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omments4.xml" ContentType="application/vnd.openxmlformats-officedocument.spreadsheetml.comments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5"/>
  </bookViews>
  <sheets>
    <sheet name="Libre" sheetId="10" r:id="rId1"/>
    <sheet name="Plazos" sheetId="6" r:id="rId2"/>
    <sheet name="planVisa" sheetId="38" r:id="rId3"/>
    <sheet name="stockExchange" sheetId="31" r:id="rId4"/>
    <sheet name="resume" sheetId="2" r:id="rId5"/>
    <sheet name="2021" sheetId="33" r:id="rId6"/>
    <sheet name="2020" sheetId="32" r:id="rId7"/>
    <sheet name="2019" sheetId="20" r:id="rId8"/>
    <sheet name="2018" sheetId="14" r:id="rId9"/>
    <sheet name="2017" sheetId="12" r:id="rId10"/>
    <sheet name="2016" sheetId="8" r:id="rId11"/>
    <sheet name="2015" sheetId="1" r:id="rId12"/>
    <sheet name="2014" sheetId="30" r:id="rId13"/>
    <sheet name="2013" sheetId="29" r:id="rId14"/>
    <sheet name="2012" sheetId="28" r:id="rId15"/>
    <sheet name="2011" sheetId="27" r:id="rId16"/>
    <sheet name="2010" sheetId="26" r:id="rId17"/>
    <sheet name="2009" sheetId="25" r:id="rId18"/>
    <sheet name="2008" sheetId="24" r:id="rId19"/>
    <sheet name="2007" sheetId="23" r:id="rId20"/>
    <sheet name="2006" sheetId="22" r:id="rId21"/>
    <sheet name="2005" sheetId="21" r:id="rId22"/>
  </sheets>
  <definedNames>
    <definedName name="_ABR06">'2006'!$G$45</definedName>
    <definedName name="_ABR07">'2007'!$G$89</definedName>
    <definedName name="_ABR08">'2008'!$G$136</definedName>
    <definedName name="_ABR09">'2009'!$G$50</definedName>
    <definedName name="_ABR10">'2010'!$G$53</definedName>
    <definedName name="_ABR11">'2011'!$A$58</definedName>
    <definedName name="_ABR12">'2012'!$A$56</definedName>
    <definedName name="_ABR13">'2013'!$F$39</definedName>
    <definedName name="_ABR14">'2014'!$F$23</definedName>
    <definedName name="_ABR15">'2015'!$F$27</definedName>
    <definedName name="_ABR16">'2016'!$F$38</definedName>
    <definedName name="_ABR17">'2017'!$F$61</definedName>
    <definedName name="_ABR17v">'2017'!$G$61</definedName>
    <definedName name="_ABR18">'2018'!$F$63</definedName>
    <definedName name="_ABR18v">'2018'!$G$63</definedName>
    <definedName name="_ABR19">'2019'!$F$51</definedName>
    <definedName name="_ABR19v">'2019'!$G$51</definedName>
    <definedName name="_ABR20">'2020'!$F$38</definedName>
    <definedName name="_ABR20v">'2020'!$G$38</definedName>
    <definedName name="_ABR21">'2021'!$F$22</definedName>
    <definedName name="_ABR21v">'2021'!$G$22</definedName>
    <definedName name="_AGO06">'2006'!$G$85</definedName>
    <definedName name="_AGO07">'2007'!$G$215</definedName>
    <definedName name="_AGO08">'2008'!$G$235</definedName>
    <definedName name="_AGO09">'2009'!$G$115</definedName>
    <definedName name="_AGO10">'2010'!$G$98</definedName>
    <definedName name="_AGO11">'2011'!$A$120</definedName>
    <definedName name="_AGO12">'2012'!$A$103</definedName>
    <definedName name="_AGO13">'2013'!$F$67</definedName>
    <definedName name="_AGO14">'2014'!$F$42</definedName>
    <definedName name="_AGO15">'2015'!$F$58</definedName>
    <definedName name="_AGO16">'2016'!$F$84</definedName>
    <definedName name="_AGO17">'2017'!$F$99</definedName>
    <definedName name="_AGO17v">'2017'!$G$99</definedName>
    <definedName name="_AGO18">'2018'!$F$105</definedName>
    <definedName name="_AGO18v">'2018'!$G$105</definedName>
    <definedName name="_AGO19">'2019'!$F$87</definedName>
    <definedName name="_AGO19v">'2019'!$G$87</definedName>
    <definedName name="_AGO20">'2020'!$F$64</definedName>
    <definedName name="_AGO20v">'2020'!$G$64</definedName>
    <definedName name="_AGO21">'2021'!$F$44</definedName>
    <definedName name="_AGO21v">'2021'!$G$44</definedName>
    <definedName name="_DIC05">'2005'!$G$25</definedName>
    <definedName name="_DIC06">'2006'!$G$129</definedName>
    <definedName name="_DIC07">'2007'!$G$293</definedName>
    <definedName name="_DIC08">'2008'!$G$295</definedName>
    <definedName name="_DIC09">'2009'!$G$167</definedName>
    <definedName name="_DIC10">'2010'!$G$154</definedName>
    <definedName name="_DIC11">'2011'!$A$184</definedName>
    <definedName name="_DIC12">'2012'!$A$149</definedName>
    <definedName name="_DIC13">'2013'!$F$94</definedName>
    <definedName name="_DIC14">'2014'!$F$63</definedName>
    <definedName name="_DIC15">'2015'!$F$96</definedName>
    <definedName name="_DIC16">'2016'!$F$122</definedName>
    <definedName name="_DIC17">'2017'!$F$152</definedName>
    <definedName name="_DIC17v">'2017'!$G$152</definedName>
    <definedName name="_DIC18">'2018'!$F$162</definedName>
    <definedName name="_DIC18v">'2018'!$G$162</definedName>
    <definedName name="_DIC19">'2019'!$F$125</definedName>
    <definedName name="_DIC19v">'2019'!$G$125</definedName>
    <definedName name="_DIC20">'2020'!$F$84</definedName>
    <definedName name="_DIC20v">'2020'!$G$84</definedName>
    <definedName name="_DIC21">'2021'!$F$67</definedName>
    <definedName name="_DIC21v">'2021'!$G$67</definedName>
    <definedName name="_ENE06">'2006'!$G$14</definedName>
    <definedName name="_ENE07">'2007'!$G$30</definedName>
    <definedName name="_ENE08">'2008'!$G$28</definedName>
    <definedName name="_ENE09">'2009'!$G$18</definedName>
    <definedName name="_ENE10">'2010'!$G$16</definedName>
    <definedName name="_ENE11">'2011'!$A$12</definedName>
    <definedName name="_ENE12">'2012'!$A$12</definedName>
    <definedName name="_ENE13">'2013'!$F$14</definedName>
    <definedName name="_ENE14">'2014'!$F$9</definedName>
    <definedName name="_ENE15">'2015'!$F$9</definedName>
    <definedName name="_ENE16">'2016'!$F$13</definedName>
    <definedName name="_ENE17">'2017'!$F$21</definedName>
    <definedName name="_ENE17v">'2017'!$G$21</definedName>
    <definedName name="_ENE18">'2018'!$F$19</definedName>
    <definedName name="_ENE18v">'2018'!$G$19</definedName>
    <definedName name="_ENE19">'2019'!$F$18</definedName>
    <definedName name="_ENE19v">'2019'!$G$18</definedName>
    <definedName name="_ENE20">'2020'!$F$13</definedName>
    <definedName name="_ENE20v">'2020'!$G$13</definedName>
    <definedName name="_ENE21">'2021'!$F$7</definedName>
    <definedName name="_ENE21v">'2021'!$G$7</definedName>
    <definedName name="_FEB06">'2006'!$G$22</definedName>
    <definedName name="_FEB07">'2007'!$G$50</definedName>
    <definedName name="_FEB08">'2008'!$G$73</definedName>
    <definedName name="_FEB09">'2009'!$G$29</definedName>
    <definedName name="_FEB10">'2010'!$G$31</definedName>
    <definedName name="_FEB11">'2011'!$A$28</definedName>
    <definedName name="_FEB12">'2012'!$A$28</definedName>
    <definedName name="_FEB13">'2013'!$F$24</definedName>
    <definedName name="_FEB14">'2014'!$F$13</definedName>
    <definedName name="_FEB15">'2015'!$F$13</definedName>
    <definedName name="_FEB16">'2016'!$F$23</definedName>
    <definedName name="_FEB17">'2017'!$F$31</definedName>
    <definedName name="_FEB17v">'2017'!$G$31</definedName>
    <definedName name="_FEB18">'2018'!$F$36</definedName>
    <definedName name="_FEB18v">'2018'!$G$36</definedName>
    <definedName name="_FEB19">'2019'!$F$28</definedName>
    <definedName name="_FEB19v">'2019'!$G$28</definedName>
    <definedName name="_FEB20">'2020'!$F$21</definedName>
    <definedName name="_FEB20v">'2020'!$G$21</definedName>
    <definedName name="_FEB21">'2021'!$F$12</definedName>
    <definedName name="_FEB21v">'2021'!$G$12</definedName>
    <definedName name="_xlnm._FilterDatabase" localSheetId="10" hidden="1">'2016'!$A$5:$N$5</definedName>
    <definedName name="_xlnm._FilterDatabase" localSheetId="0" hidden="1">Libre!#REF!</definedName>
    <definedName name="_xlnm._FilterDatabase" localSheetId="1" hidden="1">Plazos!$A$1:$Y$1</definedName>
    <definedName name="_JUL06">'2006'!$G$76</definedName>
    <definedName name="_JUL07">'2007'!$G$192</definedName>
    <definedName name="_JUL08">'2008'!$G$219</definedName>
    <definedName name="_JUL09">'2009'!$G$105</definedName>
    <definedName name="_JUL10">'2010'!$G$85</definedName>
    <definedName name="_JUL11">'2011'!$A$103</definedName>
    <definedName name="_JUL12">'2012'!$A$92</definedName>
    <definedName name="_JUL13">'2013'!$F$60</definedName>
    <definedName name="_JUL14">'2014'!$F$38</definedName>
    <definedName name="_JUL15">'2015'!$F$51</definedName>
    <definedName name="_JUL16">'2016'!$F$73</definedName>
    <definedName name="_JUL17">'2017'!$F$88</definedName>
    <definedName name="_JUL17v">'2017'!$G$88</definedName>
    <definedName name="_JUL18">'2018'!$F$92</definedName>
    <definedName name="_JUL18v">'2018'!$G$92</definedName>
    <definedName name="_JUL19">'2019'!$F$79</definedName>
    <definedName name="_JUL19v">'2019'!$G$79</definedName>
    <definedName name="_JUL20">'2020'!$F$59</definedName>
    <definedName name="_JUL20v">'2020'!$G$59</definedName>
    <definedName name="_JUL21">'2021'!$F$38</definedName>
    <definedName name="_JUL21v">'2021'!$G$38</definedName>
    <definedName name="_JUN06">'2006'!$G$64</definedName>
    <definedName name="_JUN07">'2007'!$G$156</definedName>
    <definedName name="_JUN08">'2008'!$G$191</definedName>
    <definedName name="_JUN09">'2009'!$G$89</definedName>
    <definedName name="_JUN10">'2010'!$G$69</definedName>
    <definedName name="_JUN11">'2011'!$A$88</definedName>
    <definedName name="_JUN12">'2012'!$A$81</definedName>
    <definedName name="_JUN13">'2013'!$F$52</definedName>
    <definedName name="_JUN14">'2014'!$F$34</definedName>
    <definedName name="_JUN15">'2015'!$F$42</definedName>
    <definedName name="_JUN16">'2016'!$F$56</definedName>
    <definedName name="_JUN17">'2017'!$F$80</definedName>
    <definedName name="_JUN17v">'2017'!$G$80</definedName>
    <definedName name="_JUN18">'2018'!$F$84</definedName>
    <definedName name="_JUN18v">'2018'!$G$84</definedName>
    <definedName name="_JUN19">'2019'!$F$69</definedName>
    <definedName name="_JUN19v">'2019'!$G$69</definedName>
    <definedName name="_JUN20">'2020'!$F$52</definedName>
    <definedName name="_JUN20v">'2020'!$G$52</definedName>
    <definedName name="_JUN21">'2021'!$F$33</definedName>
    <definedName name="_JUN21v">'2021'!$G$33</definedName>
    <definedName name="_MAR06">'2006'!$G$36</definedName>
    <definedName name="_MAR07">'2007'!$G$74</definedName>
    <definedName name="_MAR08">'2008'!$G$111</definedName>
    <definedName name="_MAR09">'2009'!$G$38</definedName>
    <definedName name="_MAR10">'2010'!$G$44</definedName>
    <definedName name="_MAR11">'2011'!$A$43</definedName>
    <definedName name="_MAR12">'2012'!$A$41</definedName>
    <definedName name="_MAR13">'2013'!$F$32</definedName>
    <definedName name="_MAR14">'2014'!$F$17</definedName>
    <definedName name="_MAR15">'2015'!$F$21</definedName>
    <definedName name="_MAR16">'2016'!$F$32</definedName>
    <definedName name="_MAR17">'2017'!$F$42</definedName>
    <definedName name="_MAR17v">'2017'!$G$42</definedName>
    <definedName name="_MAR18">'2018'!$F$53</definedName>
    <definedName name="_MAR18v">'2018'!$G$53</definedName>
    <definedName name="_MAR19">'2019'!$F$41</definedName>
    <definedName name="_MAR19v">'2019'!$G$41</definedName>
    <definedName name="_MAR20">'2020'!$F$29</definedName>
    <definedName name="_MAR20v">'2020'!$G$29</definedName>
    <definedName name="_MAR21">'2021'!$F$18</definedName>
    <definedName name="_MAR21v">'2021'!$G$18</definedName>
    <definedName name="_MAY06">'2006'!$G$55</definedName>
    <definedName name="_MAY07">'2007'!$G$124</definedName>
    <definedName name="_MAY08">'2008'!$G$168</definedName>
    <definedName name="_MAY09">'2009'!$G$69</definedName>
    <definedName name="_MAY10">'2010'!$G$61</definedName>
    <definedName name="_MAY11">'2011'!$A$73</definedName>
    <definedName name="_MAY12">'2012'!$A$72</definedName>
    <definedName name="_MAY13">'2013'!$F$45</definedName>
    <definedName name="_MAY14">'2014'!$F$27</definedName>
    <definedName name="_MAY15">'2015'!$F$34</definedName>
    <definedName name="_MAY16">'2016'!$F$46</definedName>
    <definedName name="_MAY17">'2017'!$F$70</definedName>
    <definedName name="_MAY17v">'2017'!$G$70</definedName>
    <definedName name="_MAY18">'2018'!$F$73</definedName>
    <definedName name="_MAY18v">'2018'!$G$73</definedName>
    <definedName name="_MAY19">'2019'!$F$59</definedName>
    <definedName name="_MAY19v">'2019'!$G$59</definedName>
    <definedName name="_MAY20">'2020'!$F$45</definedName>
    <definedName name="_MAY20v">'2020'!$G$45</definedName>
    <definedName name="_MAY21">'2021'!$F$26</definedName>
    <definedName name="_MAY21v">'2021'!$G$26</definedName>
    <definedName name="_NOV05">'2005'!$G$13</definedName>
    <definedName name="_NOV06">'2006'!$G$118</definedName>
    <definedName name="_NOV07">'2007'!$G$275</definedName>
    <definedName name="_NOV08">'2008'!$G$279</definedName>
    <definedName name="_NOV09">'2009'!$G$153</definedName>
    <definedName name="_NOV10">'2010'!$G$140</definedName>
    <definedName name="_NOV11">'2011'!$A$169</definedName>
    <definedName name="_NOV12">'2012'!$A$138</definedName>
    <definedName name="_NOV13">'2013'!$F$88</definedName>
    <definedName name="_NOV14">'2014'!$F$58</definedName>
    <definedName name="_NOV15">'2015'!$F$78</definedName>
    <definedName name="_NOV16">'2016'!$F$108</definedName>
    <definedName name="_NOV17">'2017'!$F$137</definedName>
    <definedName name="_NOV17v">'2017'!$G$137</definedName>
    <definedName name="_NOV18">'2018'!$F$140</definedName>
    <definedName name="_NOV18v">'2018'!$G$140</definedName>
    <definedName name="_NOV19">'2019'!$F$116</definedName>
    <definedName name="_NOV19v">'2019'!$G$116</definedName>
    <definedName name="_NOV20">'2020'!$F$79</definedName>
    <definedName name="_NOV20v">'2020'!$G$79</definedName>
    <definedName name="_NOV21">'2021'!$F$62</definedName>
    <definedName name="_NOV21v">'2021'!$G$62</definedName>
    <definedName name="_OCT05">'2005'!$G$5</definedName>
    <definedName name="_OCT06">'2006'!$G$109</definedName>
    <definedName name="_OCT07">'2007'!$G$263</definedName>
    <definedName name="_OCT08">'2008'!$G$268</definedName>
    <definedName name="_OCT09">'2009'!$G$145</definedName>
    <definedName name="_OCT10">'2010'!$G$125</definedName>
    <definedName name="_OCT11">'2011'!$A$154</definedName>
    <definedName name="_OCT12">'2012'!$A$127</definedName>
    <definedName name="_OCT13">'2013'!$F$75</definedName>
    <definedName name="_OCT14">'2014'!$F$52</definedName>
    <definedName name="_OCT15">'2015'!$F$70</definedName>
    <definedName name="_OCT16">'2016'!$F$100</definedName>
    <definedName name="_OCT17">'2017'!$F$126</definedName>
    <definedName name="_OCT17v">'2017'!$G$126</definedName>
    <definedName name="_OCT18">'2018'!$F$127</definedName>
    <definedName name="_OCT18v">'2018'!$G$127</definedName>
    <definedName name="_OCT19">'2019'!$F$107</definedName>
    <definedName name="_OCT19v">'2019'!$G$107</definedName>
    <definedName name="_OCT20">'2020'!$F$74</definedName>
    <definedName name="_OCT20v">'2020'!$G$74</definedName>
    <definedName name="_OCT21">'2021'!$F$58</definedName>
    <definedName name="_OCT21v">'2021'!$G$58</definedName>
    <definedName name="_SEP06">'2006'!$G$95</definedName>
    <definedName name="_SEP07">'2007'!$G$241</definedName>
    <definedName name="_SEP08">'2008'!$G$254</definedName>
    <definedName name="_SEP09">'2009'!$G$127</definedName>
    <definedName name="_SEP10">'2010'!$G$111</definedName>
    <definedName name="_SEP11">'2011'!$A$139</definedName>
    <definedName name="_SEP12">'2012'!$A$115</definedName>
    <definedName name="_SEP13">'2013'!$F$71</definedName>
    <definedName name="_SEP14">'2014'!$F$47</definedName>
    <definedName name="_SEP15">'2015'!$F$64</definedName>
    <definedName name="_SEP16">'2016'!$F$93</definedName>
    <definedName name="_SEP17">'2017'!$F$111</definedName>
    <definedName name="_SEP17v">'2017'!$G$111</definedName>
    <definedName name="_SEP18">'2018'!$F$114</definedName>
    <definedName name="_SEP18v">'2018'!$G$114</definedName>
    <definedName name="_SEP19">'2019'!$F$97</definedName>
    <definedName name="_SEP19v">'2019'!$G$97</definedName>
    <definedName name="_SEP20">'2020'!$F$69</definedName>
    <definedName name="_SEP20v">'2020'!$G$69</definedName>
    <definedName name="_SEP21">'2021'!$F$54</definedName>
    <definedName name="_SEP21v">'2021'!$G$54</definedName>
    <definedName name="Bolsa_Total_D">stockExchange!$L$1</definedName>
    <definedName name="Bolsa_Total_P">stockExchange!$M$1</definedName>
    <definedName name="Brubank_Total">Plazos!$S$1</definedName>
    <definedName name="Ctz">resume!$G$20</definedName>
    <definedName name="CtzC">resume!$G$28</definedName>
    <definedName name="CtzDBitcoin">resume!$G$22</definedName>
    <definedName name="CtzE">resume!$G$21</definedName>
    <definedName name="CtzG">resume!$G$24</definedName>
    <definedName name="CtzM">resume!$G$23</definedName>
    <definedName name="CtzN">resume!$G$27</definedName>
    <definedName name="CtzS">resume!$G$25</definedName>
    <definedName name="Ctzv">resume!$H$20</definedName>
    <definedName name="CtzvC">resume!$H$28</definedName>
    <definedName name="CtzvDBitcoin">resume!$H$22</definedName>
    <definedName name="CtzvE">resume!$H$21</definedName>
    <definedName name="CtzvG">resume!$H$24</definedName>
    <definedName name="CtzvM">resume!$H$23</definedName>
    <definedName name="CtzvN">resume!$H$27</definedName>
    <definedName name="CtzvS">resume!$H$25</definedName>
    <definedName name="CtzvZ">resume!$H$26</definedName>
    <definedName name="CtzZ">resume!$G$26</definedName>
    <definedName name="Dolares_Bolsa">stockExchange!$E$1</definedName>
    <definedName name="Especies_Bolsa">stockExchange!$K$1</definedName>
    <definedName name="FinanciadaAmex">#REF!</definedName>
    <definedName name="FinanciadaVisa">planVisa!$H$1</definedName>
    <definedName name="Pesos_Bolsa">stockExchange!$H$1</definedName>
    <definedName name="Rebank_Total">Plazos!$T$1</definedName>
    <definedName name="Santander_Total">Plazos!$R$1</definedName>
    <definedName name="Tenencia_Total">Plazos!$U$1</definedName>
  </definedNames>
  <calcPr calcId="162913"/>
</workbook>
</file>

<file path=xl/calcChain.xml><?xml version="1.0" encoding="utf-8"?>
<calcChain xmlns="http://schemas.openxmlformats.org/spreadsheetml/2006/main">
  <c r="H10" i="2" l="1"/>
  <c r="C11" i="2"/>
  <c r="K15" i="2"/>
  <c r="F8" i="2"/>
  <c r="F7" i="2"/>
  <c r="H12" i="2"/>
  <c r="I6" i="2"/>
  <c r="I14" i="2" l="1"/>
  <c r="C15" i="38"/>
  <c r="Q186" i="31"/>
  <c r="Q185" i="31"/>
  <c r="A5" i="2"/>
  <c r="E5" i="2" s="1"/>
  <c r="E8" i="2" l="1"/>
  <c r="E7" i="2"/>
  <c r="E6" i="2"/>
  <c r="C8" i="2"/>
  <c r="C7" i="2"/>
  <c r="C6" i="2"/>
  <c r="C5" i="2"/>
  <c r="I10" i="2"/>
  <c r="G16" i="2"/>
  <c r="H11" i="2" l="1"/>
  <c r="H7" i="2" l="1"/>
  <c r="K11" i="2"/>
  <c r="K8" i="2" l="1"/>
  <c r="L9" i="2" s="1"/>
  <c r="K9" i="2" s="1"/>
  <c r="L10" i="2" l="1"/>
  <c r="K10" i="2" s="1"/>
  <c r="E9" i="2" l="1"/>
  <c r="F9" i="2"/>
  <c r="F10" i="2" s="1"/>
  <c r="B7" i="2"/>
  <c r="E65" i="33" l="1"/>
  <c r="D64" i="33"/>
  <c r="E60" i="33"/>
  <c r="E56" i="33"/>
  <c r="B22" i="2" l="1"/>
  <c r="H179" i="31" l="1"/>
  <c r="I140" i="31" l="1"/>
  <c r="C9" i="38"/>
  <c r="D24" i="2"/>
  <c r="H175" i="31" l="1"/>
  <c r="H176" i="31" l="1"/>
  <c r="B8" i="38" l="1"/>
  <c r="C8" i="38" l="1"/>
  <c r="K14" i="10" l="1"/>
  <c r="H171" i="31" l="1"/>
  <c r="C10" i="2" l="1"/>
  <c r="L190" i="31" l="1"/>
  <c r="H167" i="31" l="1"/>
  <c r="H164" i="31" l="1"/>
  <c r="K192" i="31" l="1"/>
  <c r="H161" i="31" l="1"/>
  <c r="C7" i="38" l="1"/>
  <c r="K189" i="31" l="1"/>
  <c r="K188" i="31" s="1"/>
  <c r="M188" i="31" s="1"/>
  <c r="M186" i="31"/>
  <c r="R185" i="31" s="1"/>
  <c r="L186" i="31"/>
  <c r="L188" i="31" l="1"/>
  <c r="P8" i="10"/>
  <c r="O17" i="10" l="1"/>
  <c r="Q18" i="10" s="1"/>
  <c r="B9" i="2" l="1"/>
  <c r="P19" i="10" l="1"/>
  <c r="K37" i="2" l="1"/>
  <c r="B4" i="2"/>
  <c r="B7" i="38"/>
  <c r="H27" i="2" l="1"/>
  <c r="D47" i="33" l="1"/>
  <c r="I9" i="2"/>
  <c r="H14" i="2" s="1"/>
  <c r="H16" i="2" s="1"/>
  <c r="K12" i="2"/>
  <c r="G26" i="2"/>
  <c r="H155" i="31"/>
  <c r="C15" i="2"/>
  <c r="E157" i="31" l="1"/>
  <c r="C17" i="2" l="1"/>
  <c r="C16" i="2"/>
  <c r="C3" i="38" l="1"/>
  <c r="D3" i="38" s="1"/>
  <c r="C4" i="38"/>
  <c r="C6" i="38"/>
  <c r="D9" i="38" l="1"/>
  <c r="B16" i="38" l="1"/>
  <c r="D8" i="38"/>
  <c r="B17" i="2" l="1"/>
  <c r="K3" i="10" l="1"/>
  <c r="K2" i="10"/>
  <c r="K9" i="10"/>
  <c r="H9" i="10"/>
  <c r="B5" i="2" l="1"/>
  <c r="E10" i="2" s="1"/>
  <c r="B6" i="38" l="1"/>
  <c r="C5" i="38"/>
  <c r="J74" i="6" l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73" i="6"/>
  <c r="J68" i="6"/>
  <c r="J69" i="6" s="1"/>
  <c r="J70" i="6" s="1"/>
  <c r="J71" i="6" s="1"/>
  <c r="J72" i="6" s="1"/>
  <c r="J67" i="6"/>
  <c r="S90" i="6" l="1"/>
  <c r="C23" i="2" l="1"/>
  <c r="K36" i="2"/>
  <c r="B24" i="10"/>
  <c r="G24" i="2" l="1"/>
  <c r="G25" i="2"/>
  <c r="H66" i="6" l="1"/>
  <c r="I66" i="6" s="1"/>
  <c r="H67" i="6"/>
  <c r="H68" i="6"/>
  <c r="B5" i="38" l="1"/>
  <c r="E11" i="33" l="1"/>
  <c r="H74" i="6" l="1"/>
  <c r="K74" i="6"/>
  <c r="H75" i="6"/>
  <c r="K75" i="6"/>
  <c r="H76" i="6"/>
  <c r="K76" i="6"/>
  <c r="S72" i="6"/>
  <c r="E3" i="2" l="1"/>
  <c r="B13" i="2" l="1"/>
  <c r="E17" i="33"/>
  <c r="H151" i="31" l="1"/>
  <c r="B4" i="38" l="1"/>
  <c r="R65" i="6" l="1"/>
  <c r="S65" i="6"/>
  <c r="R64" i="6"/>
  <c r="S53" i="6"/>
  <c r="E19" i="2" l="1"/>
  <c r="F11" i="38" l="1"/>
  <c r="D3" i="2"/>
  <c r="D2" i="2"/>
  <c r="D1" i="2"/>
  <c r="M184" i="31" l="1"/>
  <c r="G23" i="2" s="1"/>
  <c r="G20" i="2" l="1"/>
  <c r="G19" i="2" s="1"/>
  <c r="H147" i="31"/>
  <c r="C203" i="31"/>
  <c r="I18" i="2" l="1"/>
  <c r="K33" i="2"/>
  <c r="H28" i="2" l="1"/>
  <c r="H23" i="2"/>
  <c r="G18" i="2" s="1"/>
  <c r="E1" i="2" l="1"/>
  <c r="A9" i="38" l="1"/>
  <c r="A8" i="38"/>
  <c r="A7" i="38"/>
  <c r="A6" i="38"/>
  <c r="A5" i="38"/>
  <c r="A4" i="38"/>
  <c r="A3" i="38"/>
  <c r="A2" i="38"/>
  <c r="G1" i="38"/>
  <c r="H1" i="38" s="1"/>
  <c r="D22" i="2" l="1"/>
  <c r="B13" i="38"/>
  <c r="C2" i="38"/>
  <c r="E2" i="38" s="1"/>
  <c r="D4" i="38" l="1"/>
  <c r="D5" i="38" l="1"/>
  <c r="D6" i="38" l="1"/>
  <c r="H21" i="2"/>
  <c r="D7" i="38" l="1"/>
  <c r="G48" i="10" l="1"/>
  <c r="C11" i="38" l="1"/>
  <c r="B25" i="2"/>
  <c r="E2" i="2"/>
  <c r="C2" i="2"/>
  <c r="D11" i="38" l="1"/>
  <c r="B14" i="38" s="1"/>
  <c r="B15" i="38" s="1"/>
  <c r="H143" i="31" l="1"/>
  <c r="C20" i="2" l="1"/>
  <c r="E20" i="2" s="1"/>
  <c r="H138" i="31"/>
  <c r="H134" i="31"/>
  <c r="H135" i="31" l="1"/>
  <c r="E190" i="31" l="1"/>
  <c r="D130" i="31" l="1"/>
  <c r="E128" i="31" l="1"/>
  <c r="E126" i="31"/>
  <c r="H124" i="31" l="1"/>
  <c r="H122" i="31" l="1"/>
  <c r="E119" i="31" l="1"/>
  <c r="E117" i="31" l="1"/>
  <c r="J88" i="33" l="1"/>
  <c r="B30" i="2" l="1"/>
  <c r="H107" i="31" l="1"/>
  <c r="H103" i="31"/>
  <c r="H104" i="31"/>
  <c r="H110" i="31" l="1"/>
  <c r="H102" i="31" l="1"/>
  <c r="H106" i="31"/>
  <c r="H109" i="31"/>
  <c r="H105" i="31" l="1"/>
  <c r="H101" i="31"/>
  <c r="B112" i="33" l="1"/>
  <c r="J72" i="33"/>
  <c r="F67" i="33"/>
  <c r="F62" i="33"/>
  <c r="F58" i="33"/>
  <c r="F54" i="33"/>
  <c r="F44" i="33"/>
  <c r="F38" i="33"/>
  <c r="F33" i="33"/>
  <c r="F26" i="33"/>
  <c r="F22" i="33"/>
  <c r="F18" i="33"/>
  <c r="F12" i="33"/>
  <c r="E1" i="33"/>
  <c r="B1" i="33"/>
  <c r="C112" i="33" l="1"/>
  <c r="B113" i="33" s="1"/>
  <c r="F7" i="33"/>
  <c r="H25" i="2"/>
  <c r="H5" i="2"/>
  <c r="H92" i="31" l="1"/>
  <c r="H94" i="31"/>
  <c r="H96" i="31"/>
  <c r="F130" i="31"/>
  <c r="E130" i="31" s="1"/>
  <c r="G130" i="31"/>
  <c r="H90" i="31" l="1"/>
  <c r="H89" i="31" l="1"/>
  <c r="H24" i="2" l="1"/>
  <c r="H83" i="31" l="1"/>
  <c r="H87" i="31"/>
  <c r="H85" i="31"/>
  <c r="G113" i="31" l="1"/>
  <c r="H86" i="31"/>
  <c r="H84" i="31"/>
  <c r="H82" i="31"/>
  <c r="H81" i="31"/>
  <c r="G114" i="31" l="1"/>
  <c r="H26" i="2" l="1"/>
  <c r="H77" i="31" l="1"/>
  <c r="H74" i="31" l="1"/>
  <c r="H71" i="31" l="1"/>
  <c r="H69" i="31" l="1"/>
  <c r="H68" i="31" l="1"/>
  <c r="H66" i="31"/>
  <c r="E205" i="31"/>
  <c r="E206" i="31" s="1"/>
  <c r="E207" i="31" l="1"/>
  <c r="E208" i="31" s="1"/>
  <c r="E209" i="31" s="1"/>
  <c r="E210" i="31" s="1"/>
  <c r="E211" i="31" s="1"/>
  <c r="H20" i="2" l="1"/>
  <c r="C49" i="10"/>
  <c r="H19" i="2" l="1"/>
  <c r="I19" i="2"/>
  <c r="I20" i="2" s="1"/>
  <c r="P186" i="31"/>
  <c r="P188" i="31"/>
  <c r="I5" i="2"/>
  <c r="C14" i="2"/>
  <c r="B15" i="2" s="1"/>
  <c r="N78" i="6"/>
  <c r="N77" i="6"/>
  <c r="N69" i="6"/>
  <c r="N73" i="6"/>
  <c r="N70" i="6"/>
  <c r="N75" i="6"/>
  <c r="N67" i="6"/>
  <c r="N71" i="6"/>
  <c r="N76" i="6"/>
  <c r="N68" i="6"/>
  <c r="N72" i="6"/>
  <c r="N74" i="6"/>
  <c r="N66" i="6"/>
  <c r="R186" i="31" l="1"/>
  <c r="P184" i="31"/>
  <c r="G115" i="31"/>
  <c r="H61" i="31" l="1"/>
  <c r="G62" i="31" s="1"/>
  <c r="C205" i="31"/>
  <c r="C207" i="31" s="1"/>
  <c r="C206" i="31" l="1"/>
  <c r="C208" i="31" s="1"/>
  <c r="C209" i="31" l="1"/>
  <c r="C210" i="31" s="1"/>
  <c r="H58" i="31"/>
  <c r="G59" i="31" s="1"/>
  <c r="C211" i="31" l="1"/>
  <c r="D211" i="31" l="1"/>
  <c r="F211" i="31"/>
  <c r="H90" i="10"/>
  <c r="I90" i="10" s="1"/>
  <c r="L90" i="10" s="1"/>
  <c r="H91" i="10"/>
  <c r="I91" i="10" s="1"/>
  <c r="L91" i="10" s="1"/>
  <c r="H92" i="10"/>
  <c r="I92" i="10" s="1"/>
  <c r="L92" i="10" s="1"/>
  <c r="H95" i="10"/>
  <c r="H96" i="10" s="1"/>
  <c r="I96" i="10" s="1"/>
  <c r="L98" i="10"/>
  <c r="M98" i="10"/>
  <c r="M99" i="10" s="1"/>
  <c r="M100" i="10" s="1"/>
  <c r="M101" i="10" s="1"/>
  <c r="M102" i="10" s="1"/>
  <c r="M103" i="10" s="1"/>
  <c r="L99" i="10"/>
  <c r="L100" i="10"/>
  <c r="L101" i="10"/>
  <c r="L102" i="10"/>
  <c r="L103" i="10"/>
  <c r="H99" i="10" l="1"/>
  <c r="I99" i="10" s="1"/>
  <c r="H101" i="10"/>
  <c r="I101" i="10" s="1"/>
  <c r="H103" i="10"/>
  <c r="I103" i="10" s="1"/>
  <c r="H97" i="10"/>
  <c r="I97" i="10" s="1"/>
  <c r="H98" i="10"/>
  <c r="I98" i="10" s="1"/>
  <c r="J92" i="10"/>
  <c r="K92" i="10" s="1"/>
  <c r="H102" i="10"/>
  <c r="I102" i="10" s="1"/>
  <c r="H100" i="10"/>
  <c r="I100" i="10" s="1"/>
  <c r="J91" i="10"/>
  <c r="K91" i="10" s="1"/>
  <c r="J96" i="10"/>
  <c r="K96" i="10" s="1"/>
  <c r="J90" i="10"/>
  <c r="K90" i="10" s="1"/>
  <c r="J101" i="10" l="1"/>
  <c r="K101" i="10" s="1"/>
  <c r="J98" i="10"/>
  <c r="K98" i="10" s="1"/>
  <c r="J99" i="10"/>
  <c r="K99" i="10" s="1"/>
  <c r="J100" i="10"/>
  <c r="K100" i="10" s="1"/>
  <c r="J103" i="10"/>
  <c r="K103" i="10" s="1"/>
  <c r="J97" i="10"/>
  <c r="K97" i="10" s="1"/>
  <c r="J102" i="10"/>
  <c r="K102" i="10" s="1"/>
  <c r="C53" i="31" l="1"/>
  <c r="C185" i="31" l="1"/>
  <c r="D186" i="31" s="1"/>
  <c r="N80" i="6" l="1"/>
  <c r="N84" i="6"/>
  <c r="N88" i="6"/>
  <c r="N92" i="6"/>
  <c r="N96" i="6"/>
  <c r="N100" i="6"/>
  <c r="N104" i="6"/>
  <c r="N108" i="6"/>
  <c r="N82" i="6"/>
  <c r="N90" i="6"/>
  <c r="N98" i="6"/>
  <c r="N106" i="6"/>
  <c r="N83" i="6"/>
  <c r="N91" i="6"/>
  <c r="N99" i="6"/>
  <c r="N107" i="6"/>
  <c r="N81" i="6"/>
  <c r="N85" i="6"/>
  <c r="N89" i="6"/>
  <c r="N93" i="6"/>
  <c r="N97" i="6"/>
  <c r="N101" i="6"/>
  <c r="N105" i="6"/>
  <c r="N109" i="6"/>
  <c r="N86" i="6"/>
  <c r="N94" i="6"/>
  <c r="N102" i="6"/>
  <c r="N110" i="6"/>
  <c r="N79" i="6"/>
  <c r="N87" i="6"/>
  <c r="N95" i="6"/>
  <c r="N103" i="6"/>
  <c r="N111" i="6"/>
  <c r="C184" i="31" l="1"/>
  <c r="B66" i="6" l="1"/>
  <c r="F66" i="6"/>
  <c r="C67" i="6" s="1"/>
  <c r="K66" i="6"/>
  <c r="E66" i="6" l="1"/>
  <c r="K68" i="6" l="1"/>
  <c r="H51" i="31"/>
  <c r="B65" i="6" l="1"/>
  <c r="F65" i="6"/>
  <c r="E65" i="6" s="1"/>
  <c r="I65" i="6"/>
  <c r="K65" i="6"/>
  <c r="L65" i="6" s="1"/>
  <c r="M65" i="6" s="1"/>
  <c r="Q65" i="6" l="1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F67" i="6" l="1"/>
  <c r="C68" i="6" s="1"/>
  <c r="B67" i="6"/>
  <c r="I63" i="6"/>
  <c r="F63" i="6"/>
  <c r="B63" i="6"/>
  <c r="K67" i="6"/>
  <c r="F62" i="6"/>
  <c r="E62" i="6" s="1"/>
  <c r="B62" i="6"/>
  <c r="M60" i="6"/>
  <c r="I60" i="6"/>
  <c r="F60" i="6"/>
  <c r="E60" i="6" s="1"/>
  <c r="B60" i="6"/>
  <c r="E67" i="6" l="1"/>
  <c r="E63" i="6"/>
  <c r="M62" i="6"/>
  <c r="I62" i="6"/>
  <c r="Q60" i="6"/>
  <c r="M63" i="6"/>
  <c r="L66" i="6" l="1"/>
  <c r="B68" i="6"/>
  <c r="F68" i="6"/>
  <c r="C69" i="6" s="1"/>
  <c r="Q62" i="6"/>
  <c r="Q63" i="6"/>
  <c r="M66" i="6" l="1"/>
  <c r="E68" i="6"/>
  <c r="Q68" i="6"/>
  <c r="Q66" i="6" l="1"/>
  <c r="A17" i="10"/>
  <c r="L67" i="6" l="1"/>
  <c r="I67" i="6"/>
  <c r="E193" i="31"/>
  <c r="C188" i="31"/>
  <c r="D187" i="31" s="1"/>
  <c r="M67" i="6" l="1"/>
  <c r="Q67" i="6"/>
  <c r="D188" i="31"/>
  <c r="E188" i="31" s="1"/>
  <c r="C192" i="31"/>
  <c r="C189" i="31"/>
  <c r="C190" i="31" s="1"/>
  <c r="T1" i="6" l="1"/>
  <c r="I68" i="6"/>
  <c r="L68" i="6"/>
  <c r="E187" i="31"/>
  <c r="C194" i="31"/>
  <c r="C193" i="31"/>
  <c r="C195" i="31" s="1"/>
  <c r="C196" i="31" s="1"/>
  <c r="C197" i="31" s="1"/>
  <c r="M68" i="6" l="1"/>
  <c r="D197" i="31"/>
  <c r="C198" i="31"/>
  <c r="D198" i="31" s="1"/>
  <c r="E42" i="32" l="1"/>
  <c r="E33" i="32"/>
  <c r="E25" i="32"/>
  <c r="E17" i="32"/>
  <c r="E10" i="32" l="1"/>
  <c r="J105" i="32" s="1"/>
  <c r="H42" i="31" l="1"/>
  <c r="E39" i="31" l="1"/>
  <c r="E40" i="31" l="1"/>
  <c r="E38" i="31" l="1"/>
  <c r="H72" i="6" l="1"/>
  <c r="E31" i="31"/>
  <c r="E1" i="31" s="1"/>
  <c r="K1" i="31" s="1"/>
  <c r="B24" i="2" l="1"/>
  <c r="F84" i="32"/>
  <c r="F79" i="32"/>
  <c r="F74" i="32"/>
  <c r="F69" i="32"/>
  <c r="F64" i="32"/>
  <c r="F59" i="32"/>
  <c r="F52" i="32"/>
  <c r="F45" i="32"/>
  <c r="F38" i="32"/>
  <c r="F29" i="32"/>
  <c r="F21" i="32"/>
  <c r="B1" i="32"/>
  <c r="L1" i="31" l="1"/>
  <c r="B129" i="32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" i="31" s="1"/>
  <c r="H17" i="31"/>
  <c r="H69" i="6"/>
  <c r="H70" i="6"/>
  <c r="H71" i="6"/>
  <c r="H73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I54" i="6"/>
  <c r="F116" i="20"/>
  <c r="M52" i="6"/>
  <c r="M53" i="6"/>
  <c r="F50" i="6"/>
  <c r="C52" i="6" s="1"/>
  <c r="B52" i="6" s="1"/>
  <c r="M50" i="6"/>
  <c r="M51" i="6"/>
  <c r="F51" i="6"/>
  <c r="Q51" i="6" s="1"/>
  <c r="C22" i="2"/>
  <c r="E22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G3" i="12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3" i="30"/>
  <c r="G3" i="30" s="1"/>
  <c r="E1" i="30"/>
  <c r="B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3" i="29"/>
  <c r="G3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A4" i="28"/>
  <c r="E3" i="28"/>
  <c r="G3" i="28" s="1"/>
  <c r="A3" i="28"/>
  <c r="E1" i="28"/>
  <c r="B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E3" i="27"/>
  <c r="G3" i="27" s="1"/>
  <c r="A2" i="27"/>
  <c r="E1" i="27"/>
  <c r="B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D3" i="26"/>
  <c r="F3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A1" i="25"/>
  <c r="I3" i="24"/>
  <c r="I2" i="24" s="1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A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A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F3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8" i="10"/>
  <c r="I48" i="10" s="1"/>
  <c r="G49" i="10"/>
  <c r="H49" i="10" s="1"/>
  <c r="I49" i="10" s="1"/>
  <c r="G50" i="10"/>
  <c r="H50" i="10" s="1"/>
  <c r="I50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B1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B1" i="14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B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H3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G3" i="1"/>
  <c r="E48" i="1"/>
  <c r="E45" i="1"/>
  <c r="E67" i="1"/>
  <c r="F70" i="1" s="1"/>
  <c r="I111" i="1" s="1"/>
  <c r="D35" i="1"/>
  <c r="D43" i="1"/>
  <c r="D52" i="1"/>
  <c r="F58" i="1" s="1"/>
  <c r="I109" i="1" s="1"/>
  <c r="B1" i="8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B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C3" i="2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46" i="20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H3" i="1"/>
  <c r="I3" i="1" s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1" i="2"/>
  <c r="E21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41" i="21" l="1"/>
  <c r="L41" i="21" s="1"/>
  <c r="G2" i="20"/>
  <c r="C214" i="31"/>
  <c r="C216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H73" i="24" s="1"/>
  <c r="H111" i="24" s="1"/>
  <c r="H136" i="24" s="1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168" i="24" l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R1" i="6" s="1"/>
  <c r="E57" i="6"/>
  <c r="K69" i="6"/>
  <c r="K70" i="6" l="1"/>
  <c r="K71" i="6" l="1"/>
  <c r="K72" i="6" l="1"/>
  <c r="K73" i="6" l="1"/>
  <c r="L69" i="6" l="1"/>
  <c r="I69" i="6"/>
  <c r="M69" i="6" l="1"/>
  <c r="L70" i="6" l="1"/>
  <c r="M70" i="6" l="1"/>
  <c r="L71" i="6" s="1"/>
  <c r="I70" i="6"/>
  <c r="I71" i="6"/>
  <c r="K77" i="6"/>
  <c r="M71" i="6" l="1"/>
  <c r="I72" i="6" s="1"/>
  <c r="F69" i="6"/>
  <c r="C70" i="6" s="1"/>
  <c r="B69" i="6"/>
  <c r="K78" i="6"/>
  <c r="L72" i="6" l="1"/>
  <c r="M72" i="6"/>
  <c r="R72" i="6"/>
  <c r="R71" i="6" s="1"/>
  <c r="Q69" i="6"/>
  <c r="E69" i="6"/>
  <c r="K79" i="6"/>
  <c r="I73" i="6" l="1"/>
  <c r="L73" i="6"/>
  <c r="F70" i="6"/>
  <c r="C71" i="6" s="1"/>
  <c r="B70" i="6"/>
  <c r="K80" i="6"/>
  <c r="M73" i="6" l="1"/>
  <c r="L74" i="6"/>
  <c r="I74" i="6"/>
  <c r="O74" i="6" s="1"/>
  <c r="Q70" i="6"/>
  <c r="E70" i="6"/>
  <c r="K81" i="6"/>
  <c r="M74" i="6" l="1"/>
  <c r="F71" i="6"/>
  <c r="C72" i="6" s="1"/>
  <c r="B71" i="6"/>
  <c r="K82" i="6"/>
  <c r="P74" i="6" l="1"/>
  <c r="B72" i="6"/>
  <c r="F72" i="6"/>
  <c r="C73" i="6" s="1"/>
  <c r="G4" i="12"/>
  <c r="G5" i="12" s="1"/>
  <c r="E71" i="6"/>
  <c r="Q71" i="6"/>
  <c r="K83" i="6"/>
  <c r="L75" i="6" l="1"/>
  <c r="I75" i="6"/>
  <c r="O75" i="6" s="1"/>
  <c r="E72" i="6"/>
  <c r="Q72" i="6"/>
  <c r="H4" i="12"/>
  <c r="H5" i="12" s="1"/>
  <c r="K84" i="6"/>
  <c r="M75" i="6" l="1"/>
  <c r="B73" i="6"/>
  <c r="F73" i="6"/>
  <c r="C74" i="6" s="1"/>
  <c r="K85" i="6"/>
  <c r="P75" i="6" l="1"/>
  <c r="L76" i="6"/>
  <c r="I76" i="6"/>
  <c r="O76" i="6" s="1"/>
  <c r="B74" i="6"/>
  <c r="F74" i="6"/>
  <c r="C75" i="6" s="1"/>
  <c r="E73" i="6"/>
  <c r="Q73" i="6"/>
  <c r="K86" i="6"/>
  <c r="M76" i="6" l="1"/>
  <c r="Q74" i="6"/>
  <c r="E74" i="6"/>
  <c r="K87" i="6"/>
  <c r="P76" i="6" l="1"/>
  <c r="F75" i="6"/>
  <c r="C76" i="6" s="1"/>
  <c r="B75" i="6"/>
  <c r="K88" i="6"/>
  <c r="I77" i="6" l="1"/>
  <c r="L77" i="6"/>
  <c r="Q75" i="6"/>
  <c r="E75" i="6"/>
  <c r="K89" i="6"/>
  <c r="M77" i="6" l="1"/>
  <c r="B76" i="6"/>
  <c r="F76" i="6"/>
  <c r="C77" i="6" s="1"/>
  <c r="K90" i="6"/>
  <c r="I78" i="6" l="1"/>
  <c r="L78" i="6"/>
  <c r="E76" i="6"/>
  <c r="Q76" i="6"/>
  <c r="K91" i="6"/>
  <c r="L91" i="6" s="1"/>
  <c r="M91" i="6" s="1"/>
  <c r="M78" i="6" l="1"/>
  <c r="G79" i="6" s="1"/>
  <c r="K92" i="6"/>
  <c r="L92" i="6" s="1"/>
  <c r="M92" i="6" s="1"/>
  <c r="I79" i="6" l="1"/>
  <c r="L79" i="6"/>
  <c r="B77" i="6"/>
  <c r="F77" i="6"/>
  <c r="K93" i="6"/>
  <c r="L93" i="6" s="1"/>
  <c r="M93" i="6" s="1"/>
  <c r="M79" i="6" l="1"/>
  <c r="G80" i="6" s="1"/>
  <c r="E77" i="6"/>
  <c r="Q77" i="6"/>
  <c r="K94" i="6"/>
  <c r="L94" i="6" s="1"/>
  <c r="M94" i="6" s="1"/>
  <c r="I80" i="6" l="1"/>
  <c r="L80" i="6"/>
  <c r="F78" i="6"/>
  <c r="C79" i="6" s="1"/>
  <c r="B78" i="6"/>
  <c r="K95" i="6"/>
  <c r="L95" i="6" s="1"/>
  <c r="M95" i="6" s="1"/>
  <c r="M80" i="6" l="1"/>
  <c r="G81" i="6" s="1"/>
  <c r="Q78" i="6"/>
  <c r="E78" i="6"/>
  <c r="K96" i="6"/>
  <c r="L96" i="6" s="1"/>
  <c r="M96" i="6" s="1"/>
  <c r="I81" i="6" l="1"/>
  <c r="L81" i="6"/>
  <c r="B79" i="6"/>
  <c r="F79" i="6"/>
  <c r="C80" i="6" s="1"/>
  <c r="K97" i="6"/>
  <c r="L97" i="6" s="1"/>
  <c r="M97" i="6" s="1"/>
  <c r="M81" i="6" l="1"/>
  <c r="G82" i="6" s="1"/>
  <c r="Q79" i="6"/>
  <c r="E79" i="6"/>
  <c r="K98" i="6"/>
  <c r="L98" i="6" s="1"/>
  <c r="M98" i="6" s="1"/>
  <c r="I82" i="6" l="1"/>
  <c r="L82" i="6"/>
  <c r="M82" i="6" s="1"/>
  <c r="G83" i="6" s="1"/>
  <c r="B80" i="6"/>
  <c r="F80" i="6"/>
  <c r="C81" i="6" s="1"/>
  <c r="K99" i="6"/>
  <c r="L99" i="6" s="1"/>
  <c r="M99" i="6" s="1"/>
  <c r="I83" i="6" l="1"/>
  <c r="L83" i="6"/>
  <c r="M83" i="6" s="1"/>
  <c r="G84" i="6" s="1"/>
  <c r="E80" i="6"/>
  <c r="Q80" i="6"/>
  <c r="K100" i="6"/>
  <c r="L100" i="6" s="1"/>
  <c r="M100" i="6" s="1"/>
  <c r="I84" i="6" l="1"/>
  <c r="L84" i="6"/>
  <c r="M84" i="6" s="1"/>
  <c r="G85" i="6" s="1"/>
  <c r="B81" i="6"/>
  <c r="F81" i="6"/>
  <c r="C82" i="6" s="1"/>
  <c r="K101" i="6"/>
  <c r="L101" i="6" s="1"/>
  <c r="M101" i="6" s="1"/>
  <c r="I85" i="6" l="1"/>
  <c r="L85" i="6"/>
  <c r="M85" i="6" s="1"/>
  <c r="G86" i="6" s="1"/>
  <c r="E81" i="6"/>
  <c r="Q81" i="6"/>
  <c r="K102" i="6"/>
  <c r="L102" i="6" s="1"/>
  <c r="M102" i="6" s="1"/>
  <c r="I86" i="6" l="1"/>
  <c r="L86" i="6"/>
  <c r="M86" i="6" s="1"/>
  <c r="G87" i="6" s="1"/>
  <c r="B82" i="6"/>
  <c r="F82" i="6"/>
  <c r="C83" i="6" s="1"/>
  <c r="K103" i="6"/>
  <c r="L103" i="6" s="1"/>
  <c r="M103" i="6" s="1"/>
  <c r="I87" i="6" l="1"/>
  <c r="L87" i="6"/>
  <c r="M87" i="6" s="1"/>
  <c r="G88" i="6" s="1"/>
  <c r="Q82" i="6"/>
  <c r="E82" i="6"/>
  <c r="K104" i="6"/>
  <c r="L104" i="6" s="1"/>
  <c r="M104" i="6" s="1"/>
  <c r="G5" i="20"/>
  <c r="I5" i="20" s="1"/>
  <c r="I88" i="6" l="1"/>
  <c r="L88" i="6"/>
  <c r="M88" i="6" s="1"/>
  <c r="G89" i="6" s="1"/>
  <c r="B83" i="6"/>
  <c r="F83" i="6"/>
  <c r="C84" i="6" s="1"/>
  <c r="K105" i="6"/>
  <c r="L105" i="6" s="1"/>
  <c r="M105" i="6" s="1"/>
  <c r="I95" i="32"/>
  <c r="I93" i="32"/>
  <c r="I97" i="32"/>
  <c r="I96" i="32"/>
  <c r="I94" i="32"/>
  <c r="I92" i="32"/>
  <c r="I144" i="20"/>
  <c r="I143" i="20"/>
  <c r="J143" i="20" s="1"/>
  <c r="I89" i="6" l="1"/>
  <c r="L89" i="6"/>
  <c r="M89" i="6" s="1"/>
  <c r="G90" i="6" s="1"/>
  <c r="Q83" i="6"/>
  <c r="E83" i="6"/>
  <c r="K106" i="6"/>
  <c r="L106" i="6" s="1"/>
  <c r="M106" i="6" s="1"/>
  <c r="J94" i="32"/>
  <c r="K94" i="32" s="1"/>
  <c r="J89" i="32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90" i="6" l="1"/>
  <c r="R90" i="6"/>
  <c r="L90" i="6"/>
  <c r="M90" i="6" s="1"/>
  <c r="B84" i="6"/>
  <c r="F84" i="6"/>
  <c r="C85" i="6" s="1"/>
  <c r="K107" i="6"/>
  <c r="L107" i="6" s="1"/>
  <c r="M107" i="6" s="1"/>
  <c r="J92" i="32"/>
  <c r="K145" i="20"/>
  <c r="J145" i="20"/>
  <c r="J147" i="20" s="1"/>
  <c r="E84" i="6" l="1"/>
  <c r="Q84" i="6"/>
  <c r="K108" i="6"/>
  <c r="L108" i="6" s="1"/>
  <c r="M108" i="6" s="1"/>
  <c r="K92" i="32"/>
  <c r="B85" i="6" l="1"/>
  <c r="F85" i="6"/>
  <c r="C86" i="6" s="1"/>
  <c r="K109" i="6"/>
  <c r="L109" i="6" s="1"/>
  <c r="M109" i="6" s="1"/>
  <c r="Q85" i="6" l="1"/>
  <c r="E85" i="6"/>
  <c r="K110" i="6"/>
  <c r="L110" i="6" s="1"/>
  <c r="M110" i="6" s="1"/>
  <c r="K111" i="6"/>
  <c r="L111" i="6" s="1"/>
  <c r="M111" i="6" s="1"/>
  <c r="F86" i="6" l="1"/>
  <c r="B86" i="6"/>
  <c r="Q86" i="6" l="1"/>
  <c r="E86" i="6"/>
  <c r="C87" i="6"/>
  <c r="F87" i="6" l="1"/>
  <c r="B87" i="6"/>
  <c r="C88" i="6" l="1"/>
  <c r="Q87" i="6"/>
  <c r="E87" i="6"/>
  <c r="F88" i="6" l="1"/>
  <c r="B88" i="6"/>
  <c r="C89" i="6" l="1"/>
  <c r="Q88" i="6"/>
  <c r="E88" i="6"/>
  <c r="B89" i="6" l="1"/>
  <c r="F89" i="6"/>
  <c r="E89" i="6" l="1"/>
  <c r="C90" i="6"/>
  <c r="Q89" i="6"/>
  <c r="B90" i="6" l="1"/>
  <c r="F90" i="6"/>
  <c r="C91" i="6" l="1"/>
  <c r="Q90" i="6"/>
  <c r="E90" i="6"/>
  <c r="B91" i="6" l="1"/>
  <c r="F91" i="6"/>
  <c r="C92" i="6" l="1"/>
  <c r="E91" i="6"/>
  <c r="Q91" i="6"/>
  <c r="B92" i="6" l="1"/>
  <c r="F92" i="6"/>
  <c r="E92" i="6" l="1"/>
  <c r="C93" i="6"/>
  <c r="Q92" i="6"/>
  <c r="F93" i="6" l="1"/>
  <c r="B93" i="6"/>
  <c r="C94" i="6" l="1"/>
  <c r="E93" i="6"/>
  <c r="Q93" i="6"/>
  <c r="B94" i="6" l="1"/>
  <c r="F94" i="6"/>
  <c r="E94" i="6" l="1"/>
  <c r="Q94" i="6"/>
  <c r="C95" i="6"/>
  <c r="F95" i="6" l="1"/>
  <c r="B95" i="6"/>
  <c r="C96" i="6" l="1"/>
  <c r="E95" i="6"/>
  <c r="Q95" i="6"/>
  <c r="B96" i="6" l="1"/>
  <c r="F96" i="6"/>
  <c r="C97" i="6" l="1"/>
  <c r="E96" i="6"/>
  <c r="Q96" i="6"/>
  <c r="F97" i="6" l="1"/>
  <c r="B97" i="6"/>
  <c r="E97" i="6" l="1"/>
  <c r="Q97" i="6"/>
  <c r="C98" i="6"/>
  <c r="B98" i="6" l="1"/>
  <c r="F98" i="6"/>
  <c r="E98" i="6" l="1"/>
  <c r="C99" i="6"/>
  <c r="Q98" i="6"/>
  <c r="B99" i="6" l="1"/>
  <c r="F99" i="6"/>
  <c r="E99" i="6" l="1"/>
  <c r="C100" i="6"/>
  <c r="Q99" i="6"/>
  <c r="F100" i="6" l="1"/>
  <c r="B100" i="6"/>
  <c r="E100" i="6" l="1"/>
  <c r="C101" i="6"/>
  <c r="Q100" i="6"/>
  <c r="F101" i="6" l="1"/>
  <c r="B101" i="6"/>
  <c r="E101" i="6" l="1"/>
  <c r="C102" i="6"/>
  <c r="Q101" i="6"/>
  <c r="B102" i="6" l="1"/>
  <c r="F102" i="6"/>
  <c r="E102" i="6" l="1"/>
  <c r="C103" i="6"/>
  <c r="Q102" i="6"/>
  <c r="B103" i="6" l="1"/>
  <c r="F103" i="6"/>
  <c r="C104" i="6" l="1"/>
  <c r="E103" i="6"/>
  <c r="Q103" i="6"/>
  <c r="F104" i="6" l="1"/>
  <c r="B104" i="6"/>
  <c r="C105" i="6" l="1"/>
  <c r="Q104" i="6"/>
  <c r="E104" i="6"/>
  <c r="B105" i="6" l="1"/>
  <c r="F105" i="6"/>
  <c r="C106" i="6" l="1"/>
  <c r="E105" i="6"/>
  <c r="Q105" i="6"/>
  <c r="F106" i="6" l="1"/>
  <c r="B106" i="6"/>
  <c r="C107" i="6" l="1"/>
  <c r="E106" i="6"/>
  <c r="Q106" i="6"/>
  <c r="F107" i="6" l="1"/>
  <c r="B107" i="6"/>
  <c r="E107" i="6" l="1"/>
  <c r="C108" i="6"/>
  <c r="Q107" i="6"/>
  <c r="F108" i="6" l="1"/>
  <c r="B108" i="6"/>
  <c r="C109" i="6" l="1"/>
  <c r="E108" i="6"/>
  <c r="Q108" i="6"/>
  <c r="F109" i="6" l="1"/>
  <c r="B109" i="6"/>
  <c r="E109" i="6" l="1"/>
  <c r="C110" i="6"/>
  <c r="Q109" i="6"/>
  <c r="B110" i="6" l="1"/>
  <c r="F110" i="6"/>
  <c r="C111" i="6" l="1"/>
  <c r="Q110" i="6"/>
  <c r="E110" i="6"/>
  <c r="F111" i="6" l="1"/>
  <c r="B111" i="6"/>
  <c r="E111" i="6" l="1"/>
  <c r="Q111" i="6"/>
  <c r="S1" i="6" s="1"/>
  <c r="C27" i="2" l="1"/>
  <c r="U1" i="6"/>
  <c r="O67" i="6"/>
  <c r="P67" i="6" s="1"/>
  <c r="O64" i="6"/>
  <c r="P64" i="6" s="1"/>
  <c r="O110" i="6"/>
  <c r="P110" i="6" s="1"/>
  <c r="O80" i="6"/>
  <c r="P80" i="6" s="1"/>
  <c r="O104" i="6"/>
  <c r="P104" i="6" s="1"/>
  <c r="O111" i="6"/>
  <c r="P111" i="6" s="1"/>
  <c r="O73" i="6"/>
  <c r="P73" i="6" s="1"/>
  <c r="O96" i="6"/>
  <c r="P96" i="6" s="1"/>
  <c r="O101" i="6"/>
  <c r="P101" i="6" s="1"/>
  <c r="O109" i="6"/>
  <c r="P109" i="6" s="1"/>
  <c r="O91" i="6"/>
  <c r="P91" i="6" s="1"/>
  <c r="O106" i="6"/>
  <c r="P106" i="6" s="1"/>
  <c r="O103" i="6"/>
  <c r="P103" i="6" s="1"/>
  <c r="O66" i="6"/>
  <c r="P66" i="6" s="1"/>
  <c r="O58" i="6"/>
  <c r="P58" i="6" s="1"/>
  <c r="O62" i="6"/>
  <c r="P62" i="6" s="1"/>
  <c r="O87" i="6"/>
  <c r="P87" i="6" s="1"/>
  <c r="O78" i="6"/>
  <c r="P78" i="6" s="1"/>
  <c r="O70" i="6"/>
  <c r="P70" i="6" s="1"/>
  <c r="O85" i="6"/>
  <c r="P85" i="6" s="1"/>
  <c r="O83" i="6"/>
  <c r="P83" i="6" s="1"/>
  <c r="O56" i="6"/>
  <c r="P56" i="6" s="1"/>
  <c r="O72" i="6"/>
  <c r="P72" i="6" s="1"/>
  <c r="O89" i="6"/>
  <c r="P89" i="6" s="1"/>
  <c r="O88" i="6"/>
  <c r="P88" i="6" s="1"/>
  <c r="O77" i="6"/>
  <c r="P77" i="6" s="1"/>
  <c r="O94" i="6"/>
  <c r="P94" i="6" s="1"/>
  <c r="O59" i="6"/>
  <c r="P59" i="6" s="1"/>
  <c r="O63" i="6"/>
  <c r="P63" i="6" s="1"/>
  <c r="O61" i="6"/>
  <c r="P61" i="6" s="1"/>
  <c r="O79" i="6"/>
  <c r="P79" i="6" s="1"/>
  <c r="O99" i="6"/>
  <c r="P99" i="6" s="1"/>
  <c r="O93" i="6"/>
  <c r="P93" i="6" s="1"/>
  <c r="O97" i="6"/>
  <c r="P97" i="6" s="1"/>
  <c r="O71" i="6"/>
  <c r="P71" i="6" s="1"/>
  <c r="O81" i="6"/>
  <c r="P81" i="6" s="1"/>
  <c r="O57" i="6"/>
  <c r="P57" i="6" s="1"/>
  <c r="O108" i="6"/>
  <c r="P108" i="6" s="1"/>
  <c r="O100" i="6"/>
  <c r="P100" i="6" s="1"/>
  <c r="O102" i="6"/>
  <c r="P102" i="6" s="1"/>
  <c r="O68" i="6"/>
  <c r="P68" i="6" s="1"/>
  <c r="O60" i="6"/>
  <c r="P60" i="6" s="1"/>
  <c r="O65" i="6"/>
  <c r="P65" i="6" s="1"/>
  <c r="O92" i="6"/>
  <c r="P92" i="6" s="1"/>
  <c r="O69" i="6"/>
  <c r="P69" i="6" s="1"/>
  <c r="O90" i="6"/>
  <c r="P90" i="6" s="1"/>
  <c r="O98" i="6"/>
  <c r="P98" i="6" s="1"/>
  <c r="O84" i="6"/>
  <c r="P84" i="6" s="1"/>
  <c r="O105" i="6"/>
  <c r="P105" i="6" s="1"/>
  <c r="O82" i="6"/>
  <c r="P82" i="6" s="1"/>
  <c r="O86" i="6"/>
  <c r="P86" i="6" s="1"/>
  <c r="O107" i="6"/>
  <c r="P107" i="6" s="1"/>
  <c r="O95" i="6"/>
  <c r="P95" i="6" s="1"/>
  <c r="I98" i="32" l="1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M1" i="31" l="1"/>
  <c r="C24" i="2" s="1"/>
  <c r="I75" i="33" l="1"/>
  <c r="J75" i="33" s="1"/>
  <c r="K75" i="33" l="1"/>
  <c r="I103" i="32"/>
  <c r="J103" i="32"/>
  <c r="K103" i="32" l="1"/>
  <c r="K104" i="32" s="1"/>
  <c r="J104" i="32"/>
  <c r="J106" i="32" s="1"/>
  <c r="C18" i="2"/>
  <c r="C26" i="2" s="1"/>
  <c r="B26" i="2" s="1"/>
  <c r="B28" i="2" s="1"/>
  <c r="C25" i="2"/>
  <c r="C28" i="2" l="1"/>
  <c r="C29" i="2" l="1"/>
  <c r="E26" i="2"/>
  <c r="E24" i="2"/>
  <c r="E25" i="2"/>
  <c r="E27" i="2"/>
  <c r="E23" i="2"/>
  <c r="D28" i="2"/>
  <c r="E28" i="2" s="1"/>
  <c r="G2" i="33"/>
  <c r="I77" i="33" s="1"/>
  <c r="G4" i="32"/>
  <c r="G5" i="32" s="1"/>
  <c r="I76" i="33"/>
  <c r="J76" i="33" s="1"/>
  <c r="K76" i="33" s="1"/>
  <c r="I80" i="33" l="1"/>
  <c r="G67" i="33"/>
  <c r="I86" i="33" s="1"/>
  <c r="I79" i="33"/>
  <c r="I82" i="33"/>
  <c r="I81" i="33"/>
  <c r="G54" i="33"/>
  <c r="I83" i="33" s="1"/>
  <c r="G62" i="33"/>
  <c r="I85" i="33" s="1"/>
  <c r="I78" i="33"/>
  <c r="J78" i="33" s="1"/>
  <c r="K78" i="33" s="1"/>
  <c r="G58" i="33"/>
  <c r="I84" i="33" s="1"/>
  <c r="J77" i="33"/>
  <c r="K77" i="33" s="1"/>
  <c r="J81" i="33" l="1"/>
  <c r="K81" i="33" s="1"/>
  <c r="J84" i="33"/>
  <c r="K84" i="33" s="1"/>
  <c r="J86" i="33"/>
  <c r="K86" i="33" s="1"/>
  <c r="J80" i="33"/>
  <c r="K80" i="33" s="1"/>
  <c r="J79" i="33"/>
  <c r="K79" i="33" s="1"/>
  <c r="J85" i="33"/>
  <c r="K85" i="33" s="1"/>
  <c r="J82" i="33"/>
  <c r="K82" i="33" s="1"/>
  <c r="J83" i="33"/>
  <c r="K83" i="33" s="1"/>
  <c r="K87" i="33" l="1"/>
  <c r="J87" i="33"/>
  <c r="J89" i="33" s="1"/>
  <c r="O18" i="10"/>
  <c r="O19" i="10" s="1"/>
  <c r="Q20" i="10" l="1"/>
  <c r="Q21" i="10" s="1"/>
  <c r="O21" i="10"/>
</calcChain>
</file>

<file path=xl/comments1.xml><?xml version="1.0" encoding="utf-8"?>
<comments xmlns="http://schemas.openxmlformats.org/spreadsheetml/2006/main">
  <authors>
    <author>Andres</author>
  </authors>
  <commentList>
    <comment ref="D15" authorId="0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Usuario0</author>
    <author>Andres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Neto
Iva=Neto * 0,21 
Impuesto= (Neto + IVa) * 0,012078
Ret Banco * 0,002
Ret ML * 0,005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2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1" authorId="1" shapeId="0">
      <text>
        <r>
          <rPr>
            <b/>
            <sz val="9"/>
            <color indexed="81"/>
            <rFont val="Tahoma"/>
            <charset val="1"/>
          </rPr>
          <t>Anterior:</t>
        </r>
        <r>
          <rPr>
            <sz val="9"/>
            <color indexed="81"/>
            <rFont val="Tahoma"/>
            <charset val="1"/>
          </rPr>
          <t xml:space="preserve">
0720367988000035394604
Santander.andres.sr</t>
        </r>
      </text>
    </comment>
    <comment ref="D35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4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<sst xmlns="http://schemas.openxmlformats.org/spreadsheetml/2006/main" count="3825" uniqueCount="1128">
  <si>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</si>
  <si>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</si>
  <si>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</si>
  <si>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</si>
  <si>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</si>
  <si>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</si>
  <si>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</si>
  <si>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</si>
  <si>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</si>
  <si>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</si>
  <si>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</si>
  <si>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</si>
  <si>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</si>
  <si>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</si>
  <si>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</si>
  <si>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</si>
  <si>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</si>
  <si>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</si>
  <si>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</si>
  <si>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</si>
  <si>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</si>
  <si>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</si>
  <si>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</si>
  <si>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</si>
  <si>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</si>
  <si>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</si>
  <si>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</si>
  <si>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</si>
  <si>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</si>
  <si>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</si>
  <si>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</si>
  <si>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</si>
  <si>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</si>
  <si>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</si>
  <si>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</si>
  <si>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</si>
  <si>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</si>
  <si>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</si>
  <si>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</si>
  <si>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</si>
  <si>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</si>
  <si>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</si>
  <si>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</si>
  <si>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</si>
  <si>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</si>
  <si>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</si>
  <si>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</si>
  <si>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</si>
  <si>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</si>
  <si>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</si>
  <si>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</si>
  <si>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</si>
  <si>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</si>
  <si>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</si>
  <si>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</si>
  <si>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</si>
  <si>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</si>
  <si>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</si>
  <si>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</si>
  <si>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</si>
  <si>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</si>
  <si>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</si>
  <si>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</si>
  <si>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</si>
  <si>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</si>
  <si>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</si>
  <si>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</si>
  <si>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</si>
  <si>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</si>
  <si>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</si>
  <si>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</si>
  <si>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</si>
  <si>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</si>
  <si>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</si>
  <si>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</si>
  <si>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</si>
  <si>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</si>
  <si>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</si>
  <si>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</si>
  <si>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</si>
  <si>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</si>
  <si>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</si>
  <si>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</si>
  <si>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</si>
  <si>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</si>
  <si>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</si>
  <si>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</si>
  <si>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</si>
  <si>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</si>
  <si>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</si>
  <si>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</si>
  <si>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</si>
  <si>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</si>
  <si>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</si>
  <si>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</si>
  <si>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</si>
  <si>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</si>
  <si>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</si>
  <si>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</si>
  <si>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</si>
  <si>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</si>
  <si>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</si>
  <si>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</si>
  <si>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</si>
  <si>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</si>
  <si>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</si>
  <si>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</si>
  <si>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</si>
  <si>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</si>
  <si>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</si>
  <si>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</si>
  <si>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</si>
  <si>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</si>
  <si>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</si>
  <si>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</si>
  <si>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</si>
  <si>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</si>
  <si>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</si>
  <si>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</si>
  <si>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</si>
  <si>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</si>
  <si>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</si>
  <si>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</si>
  <si>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</si>
  <si>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</si>
  <si>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</si>
  <si>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</si>
  <si>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</si>
  <si>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</si>
  <si>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</si>
  <si>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</si>
  <si>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</si>
  <si>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</si>
  <si>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</si>
  <si>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</si>
  <si>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</si>
  <si>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</si>
  <si>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</si>
  <si>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Hoyts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</si>
  <si>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</si>
  <si>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</si>
  <si>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</si>
  <si>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</si>
  <si>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</si>
  <si>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</si>
  <si>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</si>
  <si>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</si>
  <si>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</si>
  <si>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</si>
  <si>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</si>
  <si>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</si>
  <si>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</si>
  <si>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</si>
  <si>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</si>
  <si>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</si>
  <si>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</si>
  <si>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</si>
  <si>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</si>
  <si>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</si>
  <si>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</si>
  <si>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</si>
  <si>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</si>
  <si>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</si>
  <si>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</si>
  <si>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</si>
  <si>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</si>
  <si>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</si>
  <si>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</si>
  <si>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</si>
  <si>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</si>
  <si>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</si>
  <si>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</si>
  <si>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</si>
  <si>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</si>
  <si>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</si>
  <si>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</si>
  <si>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</si>
  <si>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</si>
  <si>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</si>
  <si>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</si>
  <si>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</si>
  <si>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</si>
  <si>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</si>
  <si>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</si>
  <si>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</si>
  <si>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</si>
  <si>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</si>
  <si>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</si>
  <si>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</si>
  <si>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</si>
  <si>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</si>
  <si>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</si>
  <si>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</si>
  <si>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</si>
  <si>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</si>
  <si>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</si>
  <si>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</si>
  <si>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</si>
  <si>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</si>
  <si>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</si>
  <si>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</si>
  <si>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</si>
  <si>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</si>
  <si>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</si>
  <si>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</si>
  <si>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</si>
  <si>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</si>
  <si>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</si>
  <si>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</si>
  <si>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</si>
  <si>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</si>
  <si>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</si>
  <si>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</si>
  <si>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</si>
  <si>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</si>
  <si>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</si>
  <si>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</si>
  <si>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</si>
  <si>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</si>
  <si>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</si>
  <si>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</si>
  <si>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</si>
  <si>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</si>
  <si>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</si>
  <si>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</si>
  <si>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</si>
  <si>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</si>
  <si>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</si>
  <si>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</si>
  <si>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</si>
  <si>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</si>
  <si>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</si>
  <si>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</si>
  <si>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</si>
  <si>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</si>
  <si>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</si>
  <si>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</si>
  <si>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</si>
  <si>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</si>
  <si>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</si>
  <si>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</si>
  <si>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</si>
  <si>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</si>
  <si>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</si>
  <si>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</si>
  <si>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</si>
  <si>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</si>
  <si>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</si>
  <si>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</si>
  <si>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</si>
  <si>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</si>
  <si>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</si>
  <si>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</si>
  <si>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</si>
  <si>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</si>
  <si>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</si>
  <si>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</si>
  <si>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</si>
  <si>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</si>
  <si>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</si>
  <si>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</si>
  <si>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</si>
  <si>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</si>
  <si>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</si>
  <si>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</si>
  <si>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Monedas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</si>
  <si>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</si>
  <si>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</si>
  <si>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</si>
  <si>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</si>
  <si>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</si>
  <si>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</si>
  <si>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</si>
  <si>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</si>
  <si>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</si>
  <si>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</si>
  <si>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</si>
  <si>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</si>
  <si>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</si>
  <si>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</si>
  <si>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</si>
  <si>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</si>
  <si>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</si>
  <si>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</si>
  <si>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</si>
  <si>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</si>
  <si>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</si>
  <si>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</si>
  <si>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</si>
  <si>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</si>
  <si>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</si>
  <si>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</si>
  <si>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</si>
  <si>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</si>
  <si>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</si>
  <si>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</si>
  <si>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</si>
  <si>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</si>
  <si>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</si>
  <si>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</si>
  <si>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</si>
  <si>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</si>
  <si>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</si>
  <si>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</si>
  <si>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</si>
  <si>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</si>
  <si>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</si>
  <si>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</si>
  <si>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</si>
  <si>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</si>
  <si>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</si>
  <si>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</si>
  <si>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</si>
  <si>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</si>
  <si>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</si>
  <si>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</si>
  <si>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</si>
  <si>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</si>
  <si>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</si>
  <si>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</si>
  <si>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</si>
  <si>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</si>
  <si>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</si>
  <si>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</si>
  <si>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</si>
  <si>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</si>
  <si>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</si>
  <si>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</si>
  <si>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</si>
  <si>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</si>
  <si>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</si>
  <si>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</si>
  <si>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</si>
  <si>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</si>
  <si>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</si>
  <si>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</si>
  <si>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</si>
  <si>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</si>
  <si>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</si>
  <si>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</si>
  <si>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</si>
  <si>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</si>
  <si>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</si>
  <si>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</si>
  <si>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</si>
  <si>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</si>
  <si>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</si>
  <si>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</si>
  <si>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</si>
  <si>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</si>
  <si>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</si>
  <si>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</si>
  <si>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</si>
  <si>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</si>
  <si>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</si>
  <si>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</si>
  <si>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</si>
  <si>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</si>
  <si>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</si>
  <si>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</si>
  <si>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</si>
  <si>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</si>
  <si>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</si>
  <si>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</si>
  <si>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</si>
  <si>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</si>
  <si>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</si>
  <si>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</si>
  <si>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</si>
  <si>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</si>
  <si>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</si>
  <si>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</si>
  <si>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</si>
  <si>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</si>
  <si>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</si>
  <si>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</si>
  <si>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</si>
  <si>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</si>
  <si>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</si>
  <si>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</si>
  <si>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</si>
  <si>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</si>
  <si>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</si>
  <si>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</si>
  <si>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</si>
  <si>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</si>
  <si>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</si>
  <si>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</si>
  <si>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</si>
  <si>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</si>
  <si>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</si>
  <si>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</si>
  <si>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</si>
  <si>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</si>
  <si>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</si>
  <si>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</si>
  <si>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</si>
  <si>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</si>
  <si>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</si>
  <si>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</si>
  <si>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</si>
  <si>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</si>
  <si>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</si>
  <si>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</si>
  <si>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</si>
  <si>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</si>
  <si>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</si>
  <si>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</si>
  <si>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</si>
  <si>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</si>
  <si>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</si>
  <si>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</si>
  <si>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</si>
  <si>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</si>
  <si>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</si>
  <si>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</si>
  <si>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</si>
  <si>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</si>
  <si>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</si>
  <si>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</si>
  <si>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</si>
  <si>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</si>
  <si>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</si>
  <si>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</si>
  <si>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</si>
  <si>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</si>
  <si>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</si>
  <si>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</si>
  <si>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</si>
  <si>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</si>
  <si>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</si>
  <si>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</si>
  <si>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</si>
  <si>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</si>
  <si>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</si>
  <si>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</si>
  <si>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</si>
  <si>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</si>
  <si>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</si>
  <si>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</si>
  <si>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</si>
  <si>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</si>
  <si>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</si>
  <si>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</si>
  <si>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</si>
  <si>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</si>
  <si>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</si>
  <si>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</si>
  <si>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</si>
  <si>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</si>
  <si>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</si>
  <si>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</si>
  <si>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</si>
  <si>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</si>
  <si>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</si>
  <si>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</si>
  <si>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</si>
  <si>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</si>
  <si>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</si>
  <si>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</si>
  <si>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</si>
  <si>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</si>
  <si>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</si>
  <si>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</si>
  <si>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</si>
  <si>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</si>
  <si>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</si>
  <si>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</si>
  <si>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</si>
  <si>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</si>
  <si>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</si>
  <si>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</si>
  <si>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</si>
  <si>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</si>
  <si>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</si>
  <si>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</si>
  <si>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</si>
  <si>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</si>
  <si>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</si>
  <si>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</si>
  <si>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</si>
  <si>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</si>
  <si>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</si>
  <si>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</si>
  <si>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</si>
  <si>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</si>
  <si>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</si>
  <si>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</si>
  <si>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</si>
  <si>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</si>
  <si>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</si>
  <si>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</si>
  <si>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</si>
  <si>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</si>
  <si>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</si>
  <si>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</si>
  <si>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</si>
  <si>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</si>
  <si>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</si>
  <si>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</si>
  <si>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</si>
  <si>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</si>
  <si>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</si>
  <si>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</si>
  <si>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</si>
  <si>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</si>
  <si>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</si>
  <si>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</si>
  <si>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</si>
  <si>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</si>
  <si>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</si>
  <si>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</si>
  <si>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</si>
  <si>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</si>
  <si>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</si>
  <si>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</si>
  <si>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</si>
  <si>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</si>
  <si>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</si>
  <si>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</si>
  <si>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</si>
  <si>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</si>
  <si>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</si>
  <si>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</si>
  <si>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</si>
  <si>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</si>
  <si>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</si>
  <si>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</si>
  <si>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</si>
  <si>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</si>
  <si>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</si>
  <si>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</si>
  <si>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</si>
  <si>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</si>
  <si>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</si>
  <si>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</si>
  <si>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</si>
  <si>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</si>
  <si>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</si>
  <si>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</si>
  <si>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</si>
  <si>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</si>
  <si>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</si>
  <si>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</si>
  <si>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</si>
  <si>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</si>
  <si>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</si>
  <si>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</si>
  <si>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</si>
  <si>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</si>
  <si>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</si>
  <si>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</si>
  <si>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</si>
  <si>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</si>
  <si>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</si>
  <si>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</si>
  <si>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</si>
  <si>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</si>
  <si>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</si>
  <si>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</si>
  <si>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</si>
  <si>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</si>
  <si>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</si>
  <si>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</si>
  <si>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</si>
  <si>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</si>
  <si>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</si>
  <si>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</si>
  <si>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</si>
  <si>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</si>
  <si>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</si>
  <si>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</si>
  <si>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</si>
  <si>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</si>
  <si>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</si>
  <si>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</si>
  <si>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</si>
  <si>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</si>
  <si>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</si>
  <si>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</si>
  <si>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</si>
  <si>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</si>
  <si>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</si>
  <si>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</si>
  <si>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</si>
  <si>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</si>
  <si>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</si>
  <si>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</si>
  <si>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</si>
  <si>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</si>
  <si>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</si>
  <si>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</si>
  <si>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</si>
  <si>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</si>
  <si>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</si>
  <si>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</si>
  <si>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</si>
  <si>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</si>
  <si>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</si>
  <si>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</si>
  <si>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</si>
  <si>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</si>
  <si>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</si>
  <si>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</si>
  <si>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</si>
  <si>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</si>
  <si>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</si>
  <si>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</si>
  <si>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</si>
  <si>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</si>
  <si>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</si>
  <si>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</si>
  <si>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</si>
  <si>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</si>
  <si>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</si>
  <si>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</si>
  <si>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</si>
  <si>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</si>
  <si>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</si>
  <si>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</si>
  <si>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</si>
  <si>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</si>
  <si>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</si>
  <si>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</si>
  <si>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</si>
  <si>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</si>
  <si>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</si>
  <si>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</si>
  <si>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</si>
  <si>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</si>
  <si>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</si>
  <si>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</si>
  <si>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</si>
  <si>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</si>
  <si>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</si>
  <si>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</si>
  <si>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</si>
  <si>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</si>
  <si>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</si>
  <si>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</si>
  <si>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</si>
  <si>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</si>
  <si>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</si>
  <si>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</si>
  <si>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</si>
  <si>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</si>
  <si>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</si>
  <si>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</si>
  <si>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</si>
  <si>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</si>
  <si>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</si>
  <si>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</si>
  <si>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</si>
  <si>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</si>
  <si>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</si>
  <si>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</si>
  <si>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</si>
  <si>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</si>
  <si>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</si>
  <si>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pro salida con la turra</t>
  </si>
  <si>
    <t>por recarga virtual</t>
  </si>
  <si>
    <t>por salida con liz el 21/5</t>
  </si>
  <si>
    <t>por salida con liz el 24/6</t>
  </si>
  <si>
    <t>por salida con liz el 2/7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</si>
  <si>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</si>
  <si>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</si>
  <si>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</si>
  <si>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</si>
  <si>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</si>
  <si>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</si>
  <si>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</si>
  <si>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</si>
  <si>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</si>
  <si>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</si>
  <si>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</si>
  <si>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</si>
  <si>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regalo a carito</t>
  </si>
  <si>
    <t>por transferencia</t>
  </si>
  <si>
    <t>por tarjeta NOV11</t>
  </si>
  <si>
    <t>por cine con yesi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</si>
  <si>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</si>
  <si>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</si>
  <si>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</si>
  <si>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</si>
  <si>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</si>
  <si>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</si>
  <si>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</si>
  <si>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</si>
  <si>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</si>
  <si>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</si>
  <si>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</si>
  <si>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</si>
  <si>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</si>
  <si>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</si>
  <si>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</si>
  <si>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</si>
  <si>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</si>
  <si>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</si>
  <si>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</si>
  <si>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</si>
  <si>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</si>
  <si>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</si>
  <si>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</si>
  <si>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</si>
  <si>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</si>
  <si>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</si>
  <si>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</si>
  <si>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</si>
  <si>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</si>
  <si>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</si>
  <si>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</si>
  <si>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</si>
  <si>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</si>
  <si>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</si>
  <si>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</si>
  <si>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</si>
  <si>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</si>
  <si>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</si>
  <si>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</si>
  <si>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</si>
  <si>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</si>
  <si>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</si>
  <si>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</si>
  <si>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</si>
  <si>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</si>
  <si>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</si>
  <si>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</si>
  <si>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</si>
  <si>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</si>
  <si>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</si>
  <si>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</si>
  <si>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</si>
  <si>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</si>
  <si>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</si>
  <si>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</si>
  <si>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</si>
  <si>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</si>
  <si>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</si>
  <si>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</si>
  <si>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</si>
  <si>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</si>
  <si>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</si>
  <si>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</si>
  <si>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</si>
  <si>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</si>
  <si>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</si>
  <si>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</si>
  <si>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</si>
  <si>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</si>
  <si>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</si>
  <si>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</si>
  <si>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</si>
  <si>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</si>
  <si>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</si>
  <si>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</si>
  <si>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</si>
  <si>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</si>
  <si>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</si>
  <si>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</si>
  <si>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</si>
  <si>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</si>
  <si>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</si>
  <si>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</si>
  <si>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</si>
  <si>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</si>
  <si>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</si>
  <si>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</si>
  <si>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</si>
  <si>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</si>
  <si>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</si>
  <si>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</si>
  <si>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</si>
  <si>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</si>
  <si>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</si>
  <si>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</si>
  <si>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</si>
  <si>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</si>
  <si>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</si>
  <si>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</si>
  <si>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</si>
  <si>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</si>
  <si>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</si>
  <si>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</si>
  <si>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</si>
  <si>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</si>
  <si>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</si>
  <si>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</si>
  <si>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</si>
  <si>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</si>
  <si>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</si>
  <si>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</si>
  <si>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</si>
  <si>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</si>
  <si>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</si>
  <si>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Especies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</si>
  <si>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</si>
  <si>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</si>
  <si>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</si>
  <si>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</si>
  <si>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</si>
  <si>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</si>
  <si>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</si>
  <si>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</si>
  <si>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</si>
  <si>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</si>
  <si>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</si>
  <si>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</si>
  <si>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</si>
  <si>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</si>
  <si>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</si>
  <si>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</si>
  <si>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</si>
  <si>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</si>
  <si>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</si>
  <si>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</si>
  <si>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</si>
  <si>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</si>
  <si>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</si>
  <si>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</si>
  <si>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</si>
  <si>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</si>
  <si>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</si>
  <si>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</si>
  <si>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Rebanking</t>
  </si>
  <si>
    <t>Anual</t>
  </si>
  <si>
    <t>Mensual</t>
  </si>
  <si>
    <t>Valor Cuota</t>
  </si>
  <si>
    <t>Cuota final</t>
  </si>
  <si>
    <t>Santander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</si>
  <si>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</si>
  <si>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</si>
  <si>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</si>
  <si>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</si>
  <si>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</si>
  <si>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</si>
  <si>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</si>
  <si>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</si>
  <si>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</si>
  <si>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30397786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</si>
  <si>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</si>
  <si>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</si>
  <si>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</si>
  <si>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</si>
  <si>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</si>
  <si>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</si>
  <si>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</si>
  <si>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</si>
  <si>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</si>
  <si>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</si>
  <si>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</si>
  <si>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</si>
  <si>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</si>
  <si>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</si>
  <si>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</si>
  <si>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Planificacion.xls</t>
  </si>
  <si>
    <t>Cuit</t>
  </si>
  <si>
    <t>Bolsa-Pesos-Dolares</t>
  </si>
  <si>
    <t>Dropbox (Casa)</t>
  </si>
  <si>
    <t>fotos2020</t>
  </si>
  <si>
    <t>Gmail (Casa)</t>
  </si>
  <si>
    <t>.Mep</t>
  </si>
  <si>
    <t>.Santander</t>
  </si>
  <si>
    <t>.Blue</t>
  </si>
  <si>
    <t>.Balanz</t>
  </si>
  <si>
    <t>mi-correo</t>
  </si>
  <si>
    <t>Origin</t>
  </si>
  <si>
    <t>AlfajorCosmico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</si>
  <si>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</si>
  <si>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</si>
  <si>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</si>
  <si>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</si>
  <si>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</si>
  <si>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</si>
  <si>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</si>
  <si>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</si>
  <si>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</si>
  <si>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</t>
    </r>
  </si>
  <si>
    <t>BUENBIT.ARS-BUENBIT.USD</t>
  </si>
  <si>
    <t>rebank.andres.p/.d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</si>
  <si>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</si>
  <si>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</si>
  <si>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</si>
  <si>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</si>
  <si>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</si>
  <si>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</si>
  <si>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Euro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</si>
  <si>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</si>
  <si>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</si>
  <si>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</si>
  <si>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</si>
  <si>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</si>
  <si>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</si>
  <si>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</si>
  <si>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</si>
  <si>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</si>
  <si>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</si>
  <si>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</si>
  <si>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</si>
  <si>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</si>
  <si>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</si>
  <si>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</si>
  <si>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</si>
  <si>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</si>
  <si>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Nov-2010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</si>
  <si>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</si>
  <si>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</si>
  <si>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</si>
  <si>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</si>
  <si>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</si>
  <si>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</si>
  <si>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</si>
  <si>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</si>
  <si>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</si>
  <si>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</si>
  <si>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</si>
  <si>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</si>
  <si>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</si>
  <si>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</si>
  <si>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</si>
  <si>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</si>
  <si>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</si>
  <si>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MUNICIPAL</t>
  </si>
  <si>
    <t>CEDEAR-DESP</t>
  </si>
  <si>
    <t>nubiandres</t>
  </si>
  <si>
    <t>Jul-2020;Ago-2020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</si>
  <si>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</si>
  <si>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</si>
  <si>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</si>
  <si>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</si>
  <si>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</si>
  <si>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</si>
  <si>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</si>
  <si>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</si>
  <si>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t>.CCL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</si>
  <si>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</si>
  <si>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</si>
  <si>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</si>
  <si>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</si>
  <si>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</si>
  <si>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2990000000002165530006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</si>
  <si>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</si>
  <si>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</si>
  <si>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</si>
  <si>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</si>
  <si>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</si>
  <si>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</si>
  <si>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</si>
  <si>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</si>
  <si>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</si>
  <si>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</si>
  <si>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</si>
  <si>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</si>
  <si>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</si>
  <si>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</si>
  <si>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</si>
  <si>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</si>
  <si>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</si>
  <si>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sueldo BETA</t>
  </si>
  <si>
    <t>sueldo NAC</t>
  </si>
  <si>
    <t>GitLab</t>
  </si>
  <si>
    <t>agonzalez@natconsultores.com.ar</t>
  </si>
  <si>
    <t>Cripto</t>
  </si>
  <si>
    <t>DISCORD</t>
  </si>
  <si>
    <t>Andres.Discord#3495</t>
  </si>
  <si>
    <t>Microsoft Teams</t>
  </si>
  <si>
    <t>Galicia.Visa</t>
  </si>
  <si>
    <t>pago de deuda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</si>
  <si>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</si>
  <si>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</si>
  <si>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</si>
  <si>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</si>
  <si>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</si>
  <si>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</si>
  <si>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</si>
  <si>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</si>
  <si>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</si>
  <si>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</si>
  <si>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</si>
  <si>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</si>
  <si>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Raul21071983</t>
  </si>
  <si>
    <t>Bet*3574</t>
  </si>
  <si>
    <t>WebMail</t>
  </si>
  <si>
    <t>beta6459</t>
  </si>
  <si>
    <t>1mas1Popeye</t>
  </si>
  <si>
    <t>andres2021</t>
  </si>
  <si>
    <t>5623</t>
  </si>
  <si>
    <t>.Galicia</t>
  </si>
  <si>
    <t>Telecentro</t>
  </si>
  <si>
    <t>PERIODO</t>
  </si>
  <si>
    <t>PAGOS</t>
  </si>
  <si>
    <t>SALDO DEUDA</t>
  </si>
  <si>
    <t>VALOR_INTERES</t>
  </si>
  <si>
    <t>RESUMEN</t>
  </si>
  <si>
    <t>SELLADO</t>
  </si>
  <si>
    <t>ORIGINAL</t>
  </si>
  <si>
    <t>INTERESES</t>
  </si>
  <si>
    <t>Gastos Fijos</t>
  </si>
  <si>
    <t>Uala.Mastercard</t>
  </si>
  <si>
    <t>Boomeran</t>
  </si>
  <si>
    <t>mi_correo</t>
  </si>
  <si>
    <t>nat_correo</t>
  </si>
  <si>
    <t>beta_correo</t>
  </si>
  <si>
    <t>cajaAndres</t>
  </si>
  <si>
    <t>Miercoles 13 de Enero de 2021, El Cambio al sol</t>
  </si>
  <si>
    <t>Martes 09 de Febreri de 2021, hundirse</t>
  </si>
  <si>
    <t>Santander.Amex</t>
  </si>
  <si>
    <t>Santander.Visa</t>
  </si>
  <si>
    <t>Ad Financiero</t>
  </si>
  <si>
    <t>Ad Deuda Financiada (Agosto 2022)</t>
  </si>
  <si>
    <t>CUOTA</t>
  </si>
  <si>
    <t>TodoPago</t>
  </si>
  <si>
    <t>1mas1Todo</t>
  </si>
  <si>
    <t>1mas1Popeye!</t>
  </si>
  <si>
    <t>1430001713007974480018</t>
  </si>
  <si>
    <t>0000003100034839931699</t>
  </si>
  <si>
    <t>mercado.andres</t>
  </si>
  <si>
    <t>1mas1hoyts</t>
  </si>
  <si>
    <t>cliente6379066</t>
  </si>
  <si>
    <t>Pago 7</t>
  </si>
  <si>
    <t>1Mas1@ndres</t>
  </si>
  <si>
    <t>Actual</t>
  </si>
  <si>
    <t>bancSant</t>
  </si>
  <si>
    <t>Ad Stremeng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</si>
  <si>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</si>
  <si>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</si>
  <si>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</si>
  <si>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</si>
  <si>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</si>
  <si>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</si>
  <si>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</si>
  <si>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</si>
  <si>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</si>
  <si>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</si>
  <si>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</si>
  <si>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</si>
  <si>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</si>
  <si>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</si>
  <si>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</si>
  <si>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</si>
  <si>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</si>
  <si>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</si>
  <si>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</si>
  <si>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</si>
  <si>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</si>
  <si>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</si>
  <si>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</si>
  <si>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</si>
  <si>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</si>
  <si>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</si>
  <si>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</si>
  <si>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</si>
  <si>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</si>
  <si>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netflix</t>
  </si>
  <si>
    <t>dias</t>
  </si>
  <si>
    <t>santander.andres.arg</t>
  </si>
  <si>
    <r>
      <t>0720</t>
    </r>
    <r>
      <rPr>
        <b/>
        <i/>
        <sz val="11"/>
        <color theme="1"/>
        <rFont val="Calibri"/>
        <family val="2"/>
        <scheme val="minor"/>
      </rPr>
      <t>036</t>
    </r>
    <r>
      <rPr>
        <i/>
        <sz val="11"/>
        <color theme="1"/>
        <rFont val="Calibri"/>
        <family val="2"/>
        <scheme val="minor"/>
      </rPr>
      <t>6880000</t>
    </r>
    <r>
      <rPr>
        <b/>
        <i/>
        <sz val="11"/>
        <color theme="1"/>
        <rFont val="Calibri"/>
        <family val="2"/>
        <scheme val="minor"/>
      </rPr>
      <t>0277712</t>
    </r>
    <r>
      <rPr>
        <i/>
        <sz val="11"/>
        <color theme="1"/>
        <rFont val="Calibri"/>
        <family val="2"/>
        <scheme val="minor"/>
      </rPr>
      <t>2</t>
    </r>
  </si>
  <si>
    <t>Ad Deuda Financiada (Diciembre 2021)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</si>
  <si>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</si>
  <si>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</si>
  <si>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</si>
  <si>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</si>
  <si>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</si>
  <si>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</si>
  <si>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</si>
  <si>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1mas1microsoft</t>
  </si>
  <si>
    <t>sueldo BETA-m21</t>
  </si>
  <si>
    <t>sueldo TODO1-m21</t>
  </si>
  <si>
    <t>gastos-cf21</t>
  </si>
  <si>
    <t>alquExp</t>
  </si>
  <si>
    <t>sueldo NAC-j21</t>
  </si>
  <si>
    <t>sueldo TODO1-j21</t>
  </si>
  <si>
    <t>aguinaldo NAC-m21</t>
  </si>
  <si>
    <t>Postman</t>
  </si>
  <si>
    <t>1mas1postman</t>
  </si>
  <si>
    <t>sueldo VAR</t>
  </si>
  <si>
    <t>sin uso</t>
  </si>
  <si>
    <t>billetera</t>
  </si>
  <si>
    <t>1Mas1origin</t>
  </si>
  <si>
    <t>liquidacion BETA</t>
  </si>
  <si>
    <t>efectivo</t>
  </si>
  <si>
    <t>electronico</t>
  </si>
  <si>
    <t>saldoCubrirEFE</t>
  </si>
  <si>
    <t>saldoCubrirELE</t>
  </si>
  <si>
    <t>B-CEDEAR-MELI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</si>
  <si>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</si>
  <si>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</si>
  <si>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</si>
  <si>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</si>
  <si>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</si>
  <si>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</si>
  <si>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</si>
  <si>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</si>
  <si>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</si>
  <si>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recorrido</t>
  </si>
  <si>
    <t>xDia</t>
  </si>
  <si>
    <t>xSaldo</t>
  </si>
  <si>
    <t>xCumplido</t>
  </si>
  <si>
    <t>falta</t>
  </si>
  <si>
    <t>estimado</t>
  </si>
  <si>
    <t>FALTA</t>
  </si>
  <si>
    <t>ratio</t>
  </si>
  <si>
    <t>acciones</t>
  </si>
  <si>
    <t>Recomienda salida por</t>
  </si>
  <si>
    <t>netflix2021</t>
  </si>
  <si>
    <t>Liquidado 1</t>
  </si>
  <si>
    <t>tenencia</t>
  </si>
  <si>
    <t>esmisegundacuentapersonal@gmail.com</t>
  </si>
  <si>
    <t>mercado.andres.0</t>
  </si>
  <si>
    <t>60312 - Lic. Sibilia, Cecilia Valeria Alte. Brown 977 Quilmes Este Tel. 15-3073-7530 (Solo WhatsApp)</t>
  </si>
  <si>
    <t>pendiente al 20/9</t>
  </si>
  <si>
    <t>liquido deuda visa feb21</t>
  </si>
  <si>
    <t>liquido deuda amex feb21</t>
  </si>
  <si>
    <t>liquido deuda cama jul21</t>
  </si>
  <si>
    <t>liquido deuda pao ago21</t>
  </si>
  <si>
    <t>liquido gastos sep21</t>
  </si>
  <si>
    <t>Bullmarket</t>
  </si>
  <si>
    <t>Octubre</t>
  </si>
  <si>
    <t>Ad Fondo de Reserva</t>
  </si>
  <si>
    <t>Ad de Planificaciones</t>
  </si>
  <si>
    <t>Ad Inversion y Moneda</t>
  </si>
  <si>
    <t>finaliza Sep21</t>
  </si>
  <si>
    <t>Debito.FCI.Galicia</t>
  </si>
  <si>
    <t>FCI</t>
  </si>
  <si>
    <t>ingresoFijo</t>
  </si>
  <si>
    <t>ingresoVariable</t>
  </si>
  <si>
    <t>Fondo total</t>
  </si>
  <si>
    <t>edesur</t>
  </si>
  <si>
    <t>aguinaldo NAC-d21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</si>
</sst>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0.000%"/>
    <numFmt numFmtId="185" formatCode="[$$-2C0A]\ #,##0"/>
    <numFmt numFmtId="186" formatCode="[$$-2C0A]\ #,##0.00000"/>
    <numFmt numFmtId="187" formatCode="[$$-2C0A]\ #,##0.000"/>
    <numFmt numFmtId="188" formatCode="dddd\,\ dd/mm/yyyy"/>
    <numFmt numFmtId="189" formatCode="[$USD]\ #,##0.00"/>
    <numFmt numFmtId="190" formatCode="[$USD]\ #,##0.0"/>
    <numFmt numFmtId="191" formatCode="[$-F800]dddd\,\ mmmm\ dd\,\ yyyy"/>
    <numFmt numFmtId="192" formatCode="0.00000%"/>
    <numFmt numFmtId="193" formatCode="[$$-2C0A]\ #,##0.00000000000000000000"/>
    <numFmt numFmtId="194" formatCode="[$$-2C0A]\ #,##0.0000000000000000000000000000"/>
    <numFmt numFmtId="195" formatCode="[$$-2C0A]\ #,##0.0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charset val="204"/>
      <scheme val="minor"/>
    </font>
    <font>
      <b/>
      <i/>
      <sz val="11"/>
      <color theme="5"/>
      <name val="Calibri"/>
      <family val="2"/>
      <charset val="204"/>
      <scheme val="minor"/>
    </font>
    <font>
      <sz val="11"/>
      <color rgb="FF222222"/>
      <name val="Calibri"/>
      <family val="2"/>
      <scheme val="minor"/>
    </font>
    <font>
      <sz val="9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</borders>
  <cellStyleXfs count="19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  <xf numFmtId="182" fontId="48" fillId="43" borderId="0" applyNumberFormat="0" applyBorder="0" applyAlignment="0" applyProtection="0"/>
    <xf numFmtId="182" fontId="1" fillId="44" borderId="0" applyNumberFormat="0" applyBorder="0" applyAlignment="0" applyProtection="0"/>
  </cellStyleXfs>
  <cellXfs count="1201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5" xfId="0" applyNumberFormat="1" applyFont="1" applyFill="1" applyBorder="1" applyAlignment="1">
      <alignment horizontal="center" vertical="justify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5" xfId="0" applyNumberFormat="1" applyFont="1" applyFill="1" applyBorder="1" applyAlignment="1">
      <alignment horizontal="center" vertical="justify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0" xfId="0" applyBorder="1" applyAlignment="1">
      <alignment horizontal="center"/>
    </xf>
    <xf numFmtId="182" fontId="37" fillId="0" borderId="0" xfId="8" applyNumberFormat="1" applyFont="1" applyBorder="1" applyAlignment="1">
      <alignment horizontal="center" vertical="center"/>
    </xf>
    <xf numFmtId="167" fontId="37" fillId="0" borderId="0" xfId="7" applyNumberFormat="1" applyFont="1" applyFill="1" applyBorder="1" applyAlignment="1">
      <alignment horizontal="center" vertic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/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0" fillId="0" borderId="0" xfId="0" applyFont="1"/>
    <xf numFmtId="182" fontId="70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82" fontId="71" fillId="3" borderId="0" xfId="0" applyFont="1" applyFill="1"/>
    <xf numFmtId="182" fontId="28" fillId="9" borderId="0" xfId="6"/>
    <xf numFmtId="182" fontId="27" fillId="8" borderId="0" xfId="5"/>
    <xf numFmtId="14" fontId="71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2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2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0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2" fillId="0" borderId="0" xfId="0" applyNumberFormat="1" applyFont="1" applyBorder="1" applyAlignment="1">
      <alignment horizontal="center"/>
    </xf>
    <xf numFmtId="182" fontId="73" fillId="12" borderId="0" xfId="0" applyFont="1" applyFill="1" applyAlignment="1">
      <alignment horizontal="center"/>
    </xf>
    <xf numFmtId="182" fontId="73" fillId="12" borderId="0" xfId="0" applyNumberFormat="1" applyFont="1" applyFill="1" applyAlignment="1">
      <alignment horizontal="center"/>
    </xf>
    <xf numFmtId="182" fontId="73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6" fontId="37" fillId="0" borderId="0" xfId="8" applyNumberFormat="1" applyFont="1" applyAlignment="1">
      <alignment horizontal="center" vertical="center"/>
    </xf>
    <xf numFmtId="182" fontId="28" fillId="9" borderId="10" xfId="6" applyNumberFormat="1" applyBorder="1" applyAlignment="1">
      <alignment horizontal="center"/>
    </xf>
    <xf numFmtId="182" fontId="48" fillId="42" borderId="0" xfId="13" applyNumberFormat="1" applyFill="1" applyBorder="1"/>
    <xf numFmtId="165" fontId="48" fillId="42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40" fillId="0" borderId="0" xfId="0" applyNumberFormat="1" applyFont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4" fillId="40" borderId="4" xfId="8" applyNumberFormat="1" applyFont="1" applyFill="1" applyBorder="1" applyAlignment="1">
      <alignment horizontal="center" vertical="center"/>
    </xf>
    <xf numFmtId="10" fontId="74" fillId="40" borderId="4" xfId="7" applyNumberFormat="1" applyFont="1" applyFill="1" applyBorder="1" applyAlignment="1">
      <alignment horizontal="center" vertical="center"/>
    </xf>
    <xf numFmtId="182" fontId="74" fillId="40" borderId="4" xfId="7" applyNumberFormat="1" applyFont="1" applyFill="1" applyBorder="1" applyAlignment="1">
      <alignment horizontal="center" vertical="center"/>
    </xf>
    <xf numFmtId="49" fontId="74" fillId="40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4" fillId="0" borderId="0" xfId="0" applyFont="1" applyAlignment="1">
      <alignment horizontal="left"/>
    </xf>
    <xf numFmtId="2" fontId="74" fillId="0" borderId="0" xfId="0" applyNumberFormat="1" applyFont="1" applyAlignment="1">
      <alignment horizontal="left"/>
    </xf>
    <xf numFmtId="182" fontId="74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0" borderId="23" xfId="8" applyNumberFormat="1" applyFont="1" applyBorder="1" applyAlignment="1">
      <alignment horizontal="center" vertical="center"/>
    </xf>
    <xf numFmtId="182" fontId="37" fillId="13" borderId="24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0" fillId="0" borderId="0" xfId="8" applyNumberFormat="1" applyFont="1" applyFill="1" applyBorder="1" applyAlignment="1">
      <alignment horizontal="center" vertical="center"/>
    </xf>
    <xf numFmtId="182" fontId="80" fillId="0" borderId="6" xfId="8" applyNumberFormat="1" applyFont="1" applyBorder="1" applyAlignment="1">
      <alignment horizontal="center" vertical="center"/>
    </xf>
    <xf numFmtId="167" fontId="80" fillId="0" borderId="7" xfId="8" applyNumberFormat="1" applyFont="1" applyBorder="1" applyAlignment="1">
      <alignment horizontal="center" vertical="center"/>
    </xf>
    <xf numFmtId="182" fontId="80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0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83" fillId="0" borderId="0" xfId="8" applyNumberFormat="1" applyFont="1" applyBorder="1" applyAlignment="1">
      <alignment horizontal="center" vertical="center"/>
    </xf>
    <xf numFmtId="182" fontId="74" fillId="40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182" fontId="83" fillId="0" borderId="0" xfId="8" applyNumberFormat="1" applyFont="1" applyFill="1" applyBorder="1" applyAlignment="1">
      <alignment horizontal="center" vertical="center"/>
    </xf>
    <xf numFmtId="9" fontId="0" fillId="0" borderId="0" xfId="7" applyFont="1"/>
    <xf numFmtId="0" fontId="0" fillId="0" borderId="0" xfId="0" applyNumberFormat="1" applyAlignment="1">
      <alignment horizontal="left"/>
    </xf>
    <xf numFmtId="181" fontId="37" fillId="0" borderId="3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left" vertical="center"/>
    </xf>
    <xf numFmtId="182" fontId="83" fillId="0" borderId="11" xfId="8" applyNumberFormat="1" applyFont="1" applyBorder="1" applyAlignment="1">
      <alignment horizontal="center" vertical="center"/>
    </xf>
    <xf numFmtId="182" fontId="28" fillId="12" borderId="10" xfId="6" applyFill="1" applyBorder="1" applyAlignment="1">
      <alignment horizontal="center"/>
    </xf>
    <xf numFmtId="181" fontId="37" fillId="13" borderId="24" xfId="8" applyNumberFormat="1" applyFont="1" applyFill="1" applyBorder="1" applyAlignment="1">
      <alignment horizontal="center" vertical="center"/>
    </xf>
    <xf numFmtId="181" fontId="39" fillId="0" borderId="0" xfId="8" applyNumberFormat="1" applyFont="1" applyFill="1" applyBorder="1" applyAlignment="1">
      <alignment horizontal="center" vertical="center"/>
    </xf>
    <xf numFmtId="181" fontId="80" fillId="0" borderId="7" xfId="8" applyNumberFormat="1" applyFont="1" applyBorder="1" applyAlignment="1">
      <alignment horizontal="center" vertical="center"/>
    </xf>
    <xf numFmtId="181" fontId="83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4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7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2" fontId="37" fillId="0" borderId="25" xfId="8" applyNumberFormat="1" applyFont="1" applyFill="1" applyBorder="1" applyAlignment="1">
      <alignment horizontal="center" vertical="center"/>
    </xf>
    <xf numFmtId="167" fontId="37" fillId="0" borderId="25" xfId="8" applyNumberFormat="1" applyFont="1" applyFill="1" applyBorder="1" applyAlignment="1">
      <alignment horizontal="center" vertical="center"/>
    </xf>
    <xf numFmtId="181" fontId="37" fillId="0" borderId="25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0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5" fillId="41" borderId="0" xfId="9" applyNumberFormat="1" applyFont="1" applyFill="1"/>
    <xf numFmtId="181" fontId="73" fillId="12" borderId="0" xfId="0" applyNumberFormat="1" applyFont="1" applyFill="1" applyAlignment="1">
      <alignment horizontal="center"/>
    </xf>
    <xf numFmtId="181" fontId="73" fillId="41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5" fontId="37" fillId="0" borderId="0" xfId="8" applyNumberFormat="1" applyFont="1" applyBorder="1" applyAlignment="1">
      <alignment horizontal="center" vertical="center"/>
    </xf>
    <xf numFmtId="182" fontId="28" fillId="45" borderId="10" xfId="6" applyFill="1" applyBorder="1" applyAlignment="1">
      <alignment horizontal="center"/>
    </xf>
    <xf numFmtId="181" fontId="73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5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3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5" borderId="0" xfId="6" applyNumberFormat="1" applyFill="1" applyBorder="1" applyAlignment="1">
      <alignment horizontal="center"/>
    </xf>
    <xf numFmtId="181" fontId="0" fillId="0" borderId="0" xfId="7" applyNumberFormat="1" applyFont="1"/>
    <xf numFmtId="186" fontId="37" fillId="0" borderId="0" xfId="8" applyNumberFormat="1" applyFont="1" applyAlignment="1">
      <alignment horizontal="right" vertical="center"/>
    </xf>
    <xf numFmtId="186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7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1" borderId="0" xfId="6" applyNumberFormat="1" applyFill="1"/>
    <xf numFmtId="182" fontId="28" fillId="41" borderId="0" xfId="6" applyFill="1"/>
    <xf numFmtId="182" fontId="28" fillId="41" borderId="0" xfId="6" applyFill="1" applyAlignment="1">
      <alignment horizontal="center"/>
    </xf>
    <xf numFmtId="182" fontId="28" fillId="41" borderId="0" xfId="6" applyNumberFormat="1" applyFill="1" applyAlignment="1">
      <alignment horizontal="center"/>
    </xf>
    <xf numFmtId="182" fontId="28" fillId="41" borderId="10" xfId="6" applyFill="1" applyBorder="1" applyAlignment="1">
      <alignment horizontal="center"/>
    </xf>
    <xf numFmtId="181" fontId="28" fillId="41" borderId="0" xfId="6" applyNumberFormat="1" applyFill="1" applyBorder="1" applyAlignment="1">
      <alignment horizontal="center"/>
    </xf>
    <xf numFmtId="181" fontId="28" fillId="41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7" fontId="0" fillId="0" borderId="0" xfId="0" applyNumberFormat="1" applyAlignment="1">
      <alignment horizontal="center"/>
    </xf>
    <xf numFmtId="187" fontId="0" fillId="0" borderId="0" xfId="0" applyNumberFormat="1" applyBorder="1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/>
    <xf numFmtId="181" fontId="80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6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6" fontId="40" fillId="0" borderId="0" xfId="0" applyNumberFormat="1" applyFont="1" applyFill="1" applyBorder="1" applyAlignment="1">
      <alignment horizontal="right"/>
    </xf>
    <xf numFmtId="182" fontId="83" fillId="0" borderId="10" xfId="8" applyNumberFormat="1" applyFont="1" applyBorder="1" applyAlignment="1">
      <alignment horizontal="center" vertical="center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4" fontId="37" fillId="0" borderId="0" xfId="7" applyNumberFormat="1" applyFont="1" applyAlignment="1">
      <alignment horizontal="center" vertical="center"/>
    </xf>
    <xf numFmtId="182" fontId="74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82" fontId="44" fillId="39" borderId="0" xfId="0" applyFont="1" applyFill="1"/>
    <xf numFmtId="181" fontId="44" fillId="39" borderId="0" xfId="0" applyNumberFormat="1" applyFont="1" applyFill="1"/>
    <xf numFmtId="0" fontId="44" fillId="39" borderId="0" xfId="0" applyNumberFormat="1" applyFont="1" applyFill="1"/>
    <xf numFmtId="182" fontId="44" fillId="16" borderId="0" xfId="0" applyFont="1" applyFill="1"/>
    <xf numFmtId="181" fontId="44" fillId="16" borderId="0" xfId="0" applyNumberFormat="1" applyFont="1" applyFill="1"/>
    <xf numFmtId="182" fontId="44" fillId="3" borderId="0" xfId="0" applyFont="1" applyFill="1"/>
    <xf numFmtId="174" fontId="84" fillId="3" borderId="7" xfId="8" applyNumberFormat="1" applyFont="1" applyFill="1" applyBorder="1" applyAlignment="1">
      <alignment horizontal="center" vertical="center"/>
    </xf>
    <xf numFmtId="182" fontId="87" fillId="16" borderId="13" xfId="8" applyNumberFormat="1" applyFont="1" applyFill="1" applyBorder="1" applyAlignment="1">
      <alignment horizontal="right" vertical="center"/>
    </xf>
    <xf numFmtId="169" fontId="90" fillId="4" borderId="0" xfId="8" applyNumberFormat="1" applyFont="1" applyFill="1" applyBorder="1" applyAlignment="1">
      <alignment horizontal="right" vertical="center"/>
    </xf>
    <xf numFmtId="182" fontId="90" fillId="4" borderId="14" xfId="8" applyNumberFormat="1" applyFont="1" applyFill="1" applyBorder="1" applyAlignment="1">
      <alignment horizontal="right" vertical="center"/>
    </xf>
    <xf numFmtId="169" fontId="91" fillId="4" borderId="0" xfId="8" applyNumberFormat="1" applyFont="1" applyFill="1" applyBorder="1" applyAlignment="1">
      <alignment horizontal="right" vertical="center"/>
    </xf>
    <xf numFmtId="182" fontId="91" fillId="4" borderId="14" xfId="8" applyNumberFormat="1" applyFont="1" applyFill="1" applyBorder="1" applyAlignment="1">
      <alignment horizontal="right" vertical="center"/>
    </xf>
    <xf numFmtId="181" fontId="89" fillId="3" borderId="7" xfId="11" applyNumberFormat="1" applyFont="1" applyFill="1" applyBorder="1" applyAlignment="1">
      <alignment horizontal="center" vertical="center"/>
    </xf>
    <xf numFmtId="182" fontId="89" fillId="3" borderId="7" xfId="8" applyNumberFormat="1" applyFont="1" applyFill="1" applyBorder="1" applyAlignment="1">
      <alignment horizontal="center" vertical="center"/>
    </xf>
    <xf numFmtId="182" fontId="89" fillId="15" borderId="12" xfId="8" applyNumberFormat="1" applyFont="1" applyFill="1" applyBorder="1" applyAlignment="1">
      <alignment horizontal="right" vertical="center"/>
    </xf>
    <xf numFmtId="182" fontId="89" fillId="15" borderId="14" xfId="8" applyNumberFormat="1" applyFont="1" applyFill="1" applyBorder="1" applyAlignment="1">
      <alignment horizontal="right" vertical="center"/>
    </xf>
    <xf numFmtId="183" fontId="89" fillId="15" borderId="3" xfId="8" applyNumberFormat="1" applyFont="1" applyFill="1" applyBorder="1" applyAlignment="1">
      <alignment horizontal="left" vertical="center"/>
    </xf>
    <xf numFmtId="183" fontId="89" fillId="15" borderId="0" xfId="8" applyNumberFormat="1" applyFont="1" applyFill="1" applyBorder="1" applyAlignment="1">
      <alignment horizontal="left" vertical="center"/>
    </xf>
    <xf numFmtId="183" fontId="87" fillId="6" borderId="7" xfId="8" applyNumberFormat="1" applyFont="1" applyFill="1" applyBorder="1" applyAlignment="1">
      <alignment horizontal="left" vertical="center"/>
    </xf>
    <xf numFmtId="182" fontId="87" fillId="6" borderId="13" xfId="8" applyNumberFormat="1" applyFont="1" applyFill="1" applyBorder="1" applyAlignment="1">
      <alignment horizontal="right" vertical="center"/>
    </xf>
    <xf numFmtId="14" fontId="85" fillId="46" borderId="11" xfId="8" applyNumberFormat="1" applyFont="1" applyFill="1" applyBorder="1" applyAlignment="1">
      <alignment horizontal="center" vertical="center" wrapText="1"/>
    </xf>
    <xf numFmtId="14" fontId="85" fillId="46" borderId="3" xfId="8" applyNumberFormat="1" applyFont="1" applyFill="1" applyBorder="1" applyAlignment="1">
      <alignment horizontal="center" vertical="center" wrapText="1"/>
    </xf>
    <xf numFmtId="182" fontId="85" fillId="46" borderId="3" xfId="8" applyNumberFormat="1" applyFont="1" applyFill="1" applyBorder="1" applyAlignment="1">
      <alignment horizontal="center" vertical="center" wrapText="1"/>
    </xf>
    <xf numFmtId="14" fontId="85" fillId="46" borderId="10" xfId="8" applyNumberFormat="1" applyFont="1" applyFill="1" applyBorder="1" applyAlignment="1">
      <alignment horizontal="center" vertical="center" wrapText="1"/>
    </xf>
    <xf numFmtId="14" fontId="85" fillId="46" borderId="0" xfId="8" applyNumberFormat="1" applyFont="1" applyFill="1" applyBorder="1" applyAlignment="1">
      <alignment horizontal="center" vertical="center" wrapText="1"/>
    </xf>
    <xf numFmtId="182" fontId="85" fillId="46" borderId="0" xfId="8" applyNumberFormat="1" applyFont="1" applyFill="1" applyBorder="1" applyAlignment="1">
      <alignment horizontal="center" vertical="center" wrapText="1"/>
    </xf>
    <xf numFmtId="14" fontId="85" fillId="46" borderId="6" xfId="8" applyNumberFormat="1" applyFont="1" applyFill="1" applyBorder="1" applyAlignment="1">
      <alignment horizontal="center" vertical="center" wrapText="1"/>
    </xf>
    <xf numFmtId="14" fontId="85" fillId="46" borderId="7" xfId="8" applyNumberFormat="1" applyFont="1" applyFill="1" applyBorder="1" applyAlignment="1">
      <alignment horizontal="center" vertical="center" wrapText="1"/>
    </xf>
    <xf numFmtId="182" fontId="82" fillId="46" borderId="0" xfId="8" applyNumberFormat="1" applyFont="1" applyFill="1" applyAlignment="1">
      <alignment horizontal="center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92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7" fontId="44" fillId="16" borderId="0" xfId="0" applyNumberFormat="1" applyFont="1" applyFill="1"/>
    <xf numFmtId="188" fontId="85" fillId="46" borderId="14" xfId="8" applyNumberFormat="1" applyFont="1" applyFill="1" applyBorder="1" applyAlignment="1">
      <alignment horizontal="center" vertical="center" wrapText="1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2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center" vertical="center"/>
    </xf>
    <xf numFmtId="167" fontId="0" fillId="0" borderId="0" xfId="0" applyNumberFormat="1"/>
    <xf numFmtId="167" fontId="37" fillId="0" borderId="0" xfId="8" applyNumberFormat="1" applyFont="1" applyAlignment="1">
      <alignment horizontal="center" vertical="center"/>
    </xf>
    <xf numFmtId="167" fontId="0" fillId="0" borderId="0" xfId="0" applyNumberFormat="1" applyFill="1"/>
    <xf numFmtId="167" fontId="37" fillId="0" borderId="0" xfId="8" applyNumberFormat="1" applyFont="1" applyFill="1" applyBorder="1" applyAlignment="1">
      <alignment horizontal="left" vertical="center"/>
    </xf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96" fillId="0" borderId="0" xfId="0" applyFont="1" applyFill="1" applyBorder="1"/>
    <xf numFmtId="182" fontId="96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7" fillId="0" borderId="0" xfId="15" applyFont="1" applyFill="1" applyBorder="1" applyAlignment="1">
      <alignment horizontal="left"/>
    </xf>
    <xf numFmtId="182" fontId="97" fillId="0" borderId="0" xfId="15" applyFont="1" applyFill="1" applyBorder="1"/>
    <xf numFmtId="183" fontId="40" fillId="0" borderId="0" xfId="0" applyNumberFormat="1" applyFont="1"/>
    <xf numFmtId="167" fontId="84" fillId="3" borderId="7" xfId="8" applyNumberFormat="1" applyFont="1" applyFill="1" applyBorder="1" applyAlignment="1">
      <alignment horizontal="center" vertical="center"/>
    </xf>
    <xf numFmtId="181" fontId="85" fillId="16" borderId="3" xfId="8" applyNumberFormat="1" applyFont="1" applyFill="1" applyBorder="1" applyAlignment="1">
      <alignment horizontal="right" vertical="center"/>
    </xf>
    <xf numFmtId="181" fontId="85" fillId="16" borderId="0" xfId="8" applyNumberFormat="1" applyFont="1" applyFill="1" applyBorder="1" applyAlignment="1">
      <alignment horizontal="right" vertical="center"/>
    </xf>
    <xf numFmtId="181" fontId="95" fillId="16" borderId="0" xfId="8" applyNumberFormat="1" applyFont="1" applyFill="1" applyBorder="1" applyAlignment="1">
      <alignment horizontal="right" vertical="center"/>
    </xf>
    <xf numFmtId="181" fontId="84" fillId="3" borderId="7" xfId="8" applyNumberFormat="1" applyFont="1" applyFill="1" applyBorder="1" applyAlignment="1">
      <alignment horizontal="right" vertical="center"/>
    </xf>
    <xf numFmtId="181" fontId="88" fillId="6" borderId="3" xfId="8" applyNumberFormat="1" applyFont="1" applyFill="1" applyBorder="1" applyAlignment="1">
      <alignment horizontal="right" vertical="center"/>
    </xf>
    <xf numFmtId="181" fontId="88" fillId="6" borderId="0" xfId="8" applyNumberFormat="1" applyFont="1" applyFill="1" applyBorder="1" applyAlignment="1">
      <alignment horizontal="right" vertical="center"/>
    </xf>
    <xf numFmtId="181" fontId="85" fillId="6" borderId="0" xfId="8" applyNumberFormat="1" applyFont="1" applyFill="1" applyBorder="1" applyAlignment="1">
      <alignment horizontal="right" vertical="center"/>
    </xf>
    <xf numFmtId="181" fontId="89" fillId="3" borderId="7" xfId="8" applyNumberFormat="1" applyFont="1" applyFill="1" applyBorder="1" applyAlignment="1">
      <alignment horizontal="right" vertical="center"/>
    </xf>
    <xf numFmtId="181" fontId="84" fillId="16" borderId="0" xfId="8" applyNumberFormat="1" applyFont="1" applyFill="1" applyBorder="1" applyAlignment="1">
      <alignment horizontal="right" vertical="center"/>
    </xf>
    <xf numFmtId="181" fontId="89" fillId="16" borderId="0" xfId="8" applyNumberFormat="1" applyFont="1" applyFill="1" applyBorder="1" applyAlignment="1">
      <alignment horizontal="right" vertical="center"/>
    </xf>
    <xf numFmtId="181" fontId="87" fillId="16" borderId="7" xfId="8" applyNumberFormat="1" applyFont="1" applyFill="1" applyBorder="1" applyAlignment="1">
      <alignment horizontal="right" vertical="center"/>
    </xf>
    <xf numFmtId="181" fontId="89" fillId="6" borderId="3" xfId="8" applyNumberFormat="1" applyFont="1" applyFill="1" applyBorder="1" applyAlignment="1">
      <alignment horizontal="right" vertical="center"/>
    </xf>
    <xf numFmtId="181" fontId="89" fillId="6" borderId="0" xfId="8" applyNumberFormat="1" applyFont="1" applyFill="1" applyBorder="1" applyAlignment="1">
      <alignment horizontal="right" vertical="center"/>
    </xf>
    <xf numFmtId="181" fontId="87" fillId="6" borderId="7" xfId="8" applyNumberFormat="1" applyFont="1" applyFill="1" applyBorder="1" applyAlignment="1">
      <alignment horizontal="right" vertical="center"/>
    </xf>
    <xf numFmtId="189" fontId="84" fillId="3" borderId="6" xfId="8" applyNumberFormat="1" applyFont="1" applyFill="1" applyBorder="1" applyAlignment="1">
      <alignment horizontal="center" vertical="center"/>
    </xf>
    <xf numFmtId="189" fontId="89" fillId="3" borderId="6" xfId="8" applyNumberFormat="1" applyFont="1" applyFill="1" applyBorder="1" applyAlignment="1">
      <alignment horizontal="center" vertical="center"/>
    </xf>
    <xf numFmtId="189" fontId="88" fillId="6" borderId="11" xfId="8" applyNumberFormat="1" applyFont="1" applyFill="1" applyBorder="1" applyAlignment="1">
      <alignment horizontal="right" vertical="center"/>
    </xf>
    <xf numFmtId="189" fontId="88" fillId="6" borderId="10" xfId="8" applyNumberFormat="1" applyFont="1" applyFill="1" applyBorder="1" applyAlignment="1">
      <alignment horizontal="right" vertical="center"/>
    </xf>
    <xf numFmtId="189" fontId="87" fillId="6" borderId="6" xfId="8" applyNumberFormat="1" applyFont="1" applyFill="1" applyBorder="1" applyAlignment="1">
      <alignment horizontal="right" vertical="center"/>
    </xf>
    <xf numFmtId="190" fontId="85" fillId="16" borderId="10" xfId="8" applyNumberFormat="1" applyFont="1" applyFill="1" applyBorder="1" applyAlignment="1">
      <alignment horizontal="center" vertical="center"/>
    </xf>
    <xf numFmtId="167" fontId="86" fillId="16" borderId="6" xfId="8" applyNumberFormat="1" applyFont="1" applyFill="1" applyBorder="1" applyAlignment="1">
      <alignment horizontal="right" vertical="center"/>
    </xf>
    <xf numFmtId="167" fontId="85" fillId="16" borderId="11" xfId="8" applyNumberFormat="1" applyFont="1" applyFill="1" applyBorder="1" applyAlignment="1">
      <alignment horizontal="right" vertical="center"/>
    </xf>
    <xf numFmtId="167" fontId="85" fillId="16" borderId="10" xfId="8" applyNumberFormat="1" applyFont="1" applyFill="1" applyBorder="1" applyAlignment="1">
      <alignment horizontal="right" vertical="center"/>
    </xf>
    <xf numFmtId="167" fontId="95" fillId="16" borderId="10" xfId="8" applyNumberFormat="1" applyFont="1" applyFill="1" applyBorder="1" applyAlignment="1">
      <alignment horizontal="right" vertical="center"/>
    </xf>
    <xf numFmtId="182" fontId="44" fillId="48" borderId="0" xfId="0" applyFont="1" applyFill="1"/>
    <xf numFmtId="181" fontId="44" fillId="48" borderId="0" xfId="0" applyNumberFormat="1" applyFont="1" applyFill="1"/>
    <xf numFmtId="2" fontId="98" fillId="49" borderId="0" xfId="17" applyNumberFormat="1" applyFont="1" applyFill="1"/>
    <xf numFmtId="2" fontId="98" fillId="50" borderId="0" xfId="18" applyNumberFormat="1" applyFont="1" applyFill="1"/>
    <xf numFmtId="2" fontId="99" fillId="3" borderId="0" xfId="8" applyNumberFormat="1" applyFont="1" applyFill="1"/>
    <xf numFmtId="1" fontId="99" fillId="3" borderId="0" xfId="8" applyNumberFormat="1" applyFont="1" applyFill="1"/>
    <xf numFmtId="182" fontId="98" fillId="3" borderId="0" xfId="8" applyNumberFormat="1" applyFont="1" applyFill="1"/>
    <xf numFmtId="1" fontId="98" fillId="3" borderId="0" xfId="8" applyNumberFormat="1" applyFont="1" applyFill="1"/>
    <xf numFmtId="182" fontId="98" fillId="6" borderId="15" xfId="8" applyNumberFormat="1" applyFont="1" applyFill="1" applyBorder="1"/>
    <xf numFmtId="14" fontId="98" fillId="6" borderId="15" xfId="8" applyNumberFormat="1" applyFont="1" applyFill="1" applyBorder="1"/>
    <xf numFmtId="2" fontId="98" fillId="6" borderId="15" xfId="8" applyNumberFormat="1" applyFont="1" applyFill="1" applyBorder="1"/>
    <xf numFmtId="182" fontId="100" fillId="6" borderId="15" xfId="9" applyNumberFormat="1" applyFont="1" applyFill="1" applyBorder="1"/>
    <xf numFmtId="14" fontId="100" fillId="6" borderId="15" xfId="9" applyNumberFormat="1" applyFont="1" applyFill="1" applyBorder="1"/>
    <xf numFmtId="2" fontId="100" fillId="6" borderId="15" xfId="9" applyNumberFormat="1" applyFont="1" applyFill="1" applyBorder="1"/>
    <xf numFmtId="182" fontId="100" fillId="6" borderId="15" xfId="3" applyNumberFormat="1" applyFont="1" applyFill="1" applyBorder="1"/>
    <xf numFmtId="14" fontId="100" fillId="6" borderId="15" xfId="3" applyNumberFormat="1" applyFont="1" applyFill="1" applyBorder="1"/>
    <xf numFmtId="2" fontId="100" fillId="6" borderId="15" xfId="3" applyNumberFormat="1" applyFont="1" applyFill="1" applyBorder="1"/>
    <xf numFmtId="182" fontId="100" fillId="6" borderId="15" xfId="10" applyNumberFormat="1" applyFont="1" applyFill="1" applyBorder="1"/>
    <xf numFmtId="14" fontId="100" fillId="6" borderId="15" xfId="10" applyNumberFormat="1" applyFont="1" applyFill="1" applyBorder="1"/>
    <xf numFmtId="2" fontId="100" fillId="6" borderId="15" xfId="10" applyNumberFormat="1" applyFont="1" applyFill="1" applyBorder="1"/>
    <xf numFmtId="182" fontId="100" fillId="6" borderId="15" xfId="4" applyNumberFormat="1" applyFont="1" applyFill="1"/>
    <xf numFmtId="14" fontId="100" fillId="6" borderId="15" xfId="4" applyNumberFormat="1" applyFont="1" applyFill="1"/>
    <xf numFmtId="2" fontId="100" fillId="6" borderId="15" xfId="4" applyNumberFormat="1" applyFont="1" applyFill="1"/>
    <xf numFmtId="182" fontId="100" fillId="6" borderId="15" xfId="6" applyNumberFormat="1" applyFont="1" applyFill="1" applyBorder="1"/>
    <xf numFmtId="14" fontId="100" fillId="6" borderId="15" xfId="6" applyNumberFormat="1" applyFont="1" applyFill="1" applyBorder="1"/>
    <xf numFmtId="2" fontId="100" fillId="6" borderId="15" xfId="6" applyNumberFormat="1" applyFont="1" applyFill="1" applyBorder="1"/>
    <xf numFmtId="182" fontId="100" fillId="6" borderId="15" xfId="5" applyNumberFormat="1" applyFont="1" applyFill="1" applyBorder="1"/>
    <xf numFmtId="14" fontId="100" fillId="6" borderId="15" xfId="5" applyNumberFormat="1" applyFont="1" applyFill="1" applyBorder="1"/>
    <xf numFmtId="2" fontId="100" fillId="6" borderId="15" xfId="5" applyNumberFormat="1" applyFont="1" applyFill="1" applyBorder="1"/>
    <xf numFmtId="0" fontId="98" fillId="3" borderId="0" xfId="8" applyNumberFormat="1" applyFont="1" applyFill="1"/>
    <xf numFmtId="0" fontId="98" fillId="6" borderId="15" xfId="8" applyNumberFormat="1" applyFont="1" applyFill="1" applyBorder="1"/>
    <xf numFmtId="0" fontId="100" fillId="6" borderId="15" xfId="9" applyNumberFormat="1" applyFont="1" applyFill="1" applyBorder="1"/>
    <xf numFmtId="0" fontId="100" fillId="6" borderId="15" xfId="3" applyNumberFormat="1" applyFont="1" applyFill="1" applyBorder="1"/>
    <xf numFmtId="0" fontId="100" fillId="6" borderId="15" xfId="10" applyNumberFormat="1" applyFont="1" applyFill="1" applyBorder="1"/>
    <xf numFmtId="0" fontId="100" fillId="6" borderId="15" xfId="4" applyNumberFormat="1" applyFont="1" applyFill="1"/>
    <xf numFmtId="0" fontId="100" fillId="6" borderId="15" xfId="6" applyNumberFormat="1" applyFont="1" applyFill="1" applyBorder="1"/>
    <xf numFmtId="0" fontId="100" fillId="6" borderId="15" xfId="5" applyNumberFormat="1" applyFont="1" applyFill="1" applyBorder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7" fontId="49" fillId="20" borderId="8" xfId="0" applyNumberFormat="1" applyFont="1" applyFill="1" applyBorder="1" applyAlignment="1">
      <alignment horizontal="left" vertical="justify" wrapText="1"/>
    </xf>
    <xf numFmtId="187" fontId="49" fillId="22" borderId="6" xfId="0" applyNumberFormat="1" applyFont="1" applyFill="1" applyBorder="1" applyAlignment="1">
      <alignment horizontal="left"/>
    </xf>
    <xf numFmtId="187" fontId="3" fillId="0" borderId="0" xfId="0" applyNumberFormat="1" applyFont="1"/>
    <xf numFmtId="187" fontId="3" fillId="23" borderId="4" xfId="0" applyNumberFormat="1" applyFont="1" applyFill="1" applyBorder="1"/>
    <xf numFmtId="187" fontId="3" fillId="23" borderId="8" xfId="0" applyNumberFormat="1" applyFont="1" applyFill="1" applyBorder="1"/>
    <xf numFmtId="187" fontId="3" fillId="0" borderId="0" xfId="0" applyNumberFormat="1" applyFont="1" applyFill="1" applyBorder="1"/>
    <xf numFmtId="187" fontId="49" fillId="0" borderId="0" xfId="0" applyNumberFormat="1" applyFont="1" applyFill="1" applyBorder="1"/>
    <xf numFmtId="187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7" fontId="15" fillId="21" borderId="1" xfId="0" applyNumberFormat="1" applyFont="1" applyFill="1" applyBorder="1" applyAlignment="1">
      <alignment horizontal="left" vertical="center"/>
    </xf>
    <xf numFmtId="187" fontId="49" fillId="22" borderId="19" xfId="0" applyNumberFormat="1" applyFont="1" applyFill="1" applyBorder="1" applyAlignment="1">
      <alignment horizontal="left" vertical="center"/>
    </xf>
    <xf numFmtId="187" fontId="3" fillId="20" borderId="4" xfId="0" applyNumberFormat="1" applyFont="1" applyFill="1" applyBorder="1" applyAlignment="1">
      <alignment horizontal="center" vertical="distributed" wrapText="1"/>
    </xf>
    <xf numFmtId="187" fontId="3" fillId="23" borderId="4" xfId="0" applyNumberFormat="1" applyFont="1" applyFill="1" applyBorder="1" applyAlignment="1">
      <alignment horizontal="center" vertical="distributed" wrapText="1"/>
    </xf>
    <xf numFmtId="187" fontId="3" fillId="20" borderId="8" xfId="0" applyNumberFormat="1" applyFont="1" applyFill="1" applyBorder="1" applyAlignment="1">
      <alignment horizontal="center" vertical="distributed" wrapText="1"/>
    </xf>
    <xf numFmtId="187" fontId="3" fillId="23" borderId="8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center" wrapText="1"/>
    </xf>
    <xf numFmtId="187" fontId="3" fillId="0" borderId="0" xfId="0" applyNumberFormat="1" applyFont="1" applyFill="1" applyBorder="1" applyAlignment="1">
      <alignment horizontal="left" vertical="center" wrapText="1"/>
    </xf>
    <xf numFmtId="187" fontId="3" fillId="0" borderId="0" xfId="0" applyNumberFormat="1" applyFont="1" applyFill="1" applyBorder="1" applyAlignment="1">
      <alignment horizontal="left" vertical="center"/>
    </xf>
    <xf numFmtId="187" fontId="49" fillId="0" borderId="0" xfId="0" applyNumberFormat="1" applyFont="1" applyFill="1" applyBorder="1" applyAlignment="1">
      <alignment horizontal="left" vertical="center"/>
    </xf>
    <xf numFmtId="187" fontId="49" fillId="20" borderId="19" xfId="0" applyNumberFormat="1" applyFont="1" applyFill="1" applyBorder="1" applyAlignment="1">
      <alignment horizontal="left" vertical="center"/>
    </xf>
    <xf numFmtId="187" fontId="49" fillId="20" borderId="4" xfId="0" applyNumberFormat="1" applyFont="1" applyFill="1" applyBorder="1" applyAlignment="1">
      <alignment horizontal="left" vertical="center"/>
    </xf>
    <xf numFmtId="187" fontId="4" fillId="20" borderId="5" xfId="0" applyNumberFormat="1" applyFont="1" applyFill="1" applyBorder="1" applyAlignment="1">
      <alignment horizontal="left" vertical="justify"/>
    </xf>
    <xf numFmtId="187" fontId="16" fillId="2" borderId="0" xfId="0" applyNumberFormat="1" applyFont="1" applyFill="1" applyAlignment="1">
      <alignment horizontal="center"/>
    </xf>
    <xf numFmtId="187" fontId="55" fillId="0" borderId="0" xfId="0" applyNumberFormat="1" applyFont="1"/>
    <xf numFmtId="187" fontId="15" fillId="0" borderId="0" xfId="0" applyNumberFormat="1" applyFont="1"/>
    <xf numFmtId="187" fontId="16" fillId="2" borderId="0" xfId="0" applyNumberFormat="1" applyFont="1" applyFill="1"/>
    <xf numFmtId="187" fontId="16" fillId="0" borderId="0" xfId="0" applyNumberFormat="1" applyFont="1" applyFill="1" applyAlignment="1">
      <alignment horizontal="center"/>
    </xf>
    <xf numFmtId="187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7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7" fontId="17" fillId="28" borderId="5" xfId="0" applyNumberFormat="1" applyFont="1" applyFill="1" applyBorder="1" applyAlignment="1">
      <alignment horizontal="right" vertical="justify"/>
    </xf>
    <xf numFmtId="187" fontId="4" fillId="29" borderId="5" xfId="0" applyNumberFormat="1" applyFont="1" applyFill="1" applyBorder="1" applyAlignment="1">
      <alignment horizontal="right" vertical="justify"/>
    </xf>
    <xf numFmtId="187" fontId="55" fillId="0" borderId="0" xfId="0" applyNumberFormat="1" applyFont="1" applyAlignment="1">
      <alignment horizontal="right"/>
    </xf>
    <xf numFmtId="187" fontId="16" fillId="2" borderId="0" xfId="0" applyNumberFormat="1" applyFont="1" applyFill="1" applyAlignment="1">
      <alignment horizontal="left"/>
    </xf>
    <xf numFmtId="187" fontId="59" fillId="20" borderId="0" xfId="0" applyNumberFormat="1" applyFont="1" applyFill="1" applyBorder="1" applyAlignment="1">
      <alignment horizontal="left"/>
    </xf>
    <xf numFmtId="187" fontId="8" fillId="2" borderId="6" xfId="0" applyNumberFormat="1" applyFont="1" applyFill="1" applyBorder="1" applyAlignment="1">
      <alignment horizontal="center"/>
    </xf>
    <xf numFmtId="187" fontId="56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center" vertical="justify" wrapText="1"/>
    </xf>
    <xf numFmtId="187" fontId="8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left" vertical="justify" wrapText="1"/>
    </xf>
    <xf numFmtId="187" fontId="8" fillId="20" borderId="4" xfId="0" applyNumberFormat="1" applyFont="1" applyFill="1" applyBorder="1" applyAlignment="1">
      <alignment horizontal="left" vertical="justify" wrapText="1"/>
    </xf>
    <xf numFmtId="187" fontId="8" fillId="2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/>
    <xf numFmtId="187" fontId="50" fillId="27" borderId="0" xfId="0" applyNumberFormat="1" applyFont="1" applyFill="1" applyBorder="1" applyAlignment="1">
      <alignment horizontal="left"/>
    </xf>
    <xf numFmtId="187" fontId="17" fillId="28" borderId="5" xfId="0" applyNumberFormat="1" applyFont="1" applyFill="1" applyBorder="1" applyAlignment="1">
      <alignment horizontal="left" vertical="justify"/>
    </xf>
    <xf numFmtId="187" fontId="8" fillId="25" borderId="6" xfId="0" applyNumberFormat="1" applyFont="1" applyFill="1" applyBorder="1" applyAlignment="1">
      <alignment horizontal="left"/>
    </xf>
    <xf numFmtId="187" fontId="56" fillId="30" borderId="4" xfId="0" applyNumberFormat="1" applyFont="1" applyFill="1" applyBorder="1" applyAlignment="1">
      <alignment horizontal="left" vertical="justify" wrapText="1"/>
    </xf>
    <xf numFmtId="187" fontId="8" fillId="27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/>
    </xf>
    <xf numFmtId="187" fontId="8" fillId="3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8" fillId="6" borderId="11" xfId="8" applyNumberFormat="1" applyFont="1" applyFill="1" applyBorder="1" applyAlignment="1">
      <alignment horizontal="center" vertical="center"/>
    </xf>
    <xf numFmtId="167" fontId="88" fillId="6" borderId="10" xfId="8" applyNumberFormat="1" applyFont="1" applyFill="1" applyBorder="1" applyAlignment="1">
      <alignment horizontal="center" vertical="center"/>
    </xf>
    <xf numFmtId="167" fontId="85" fillId="6" borderId="10" xfId="8" applyNumberFormat="1" applyFont="1" applyFill="1" applyBorder="1" applyAlignment="1">
      <alignment horizontal="center" vertical="center"/>
    </xf>
    <xf numFmtId="182" fontId="48" fillId="51" borderId="0" xfId="13" applyNumberFormat="1" applyFill="1" applyBorder="1"/>
    <xf numFmtId="165" fontId="48" fillId="51" borderId="0" xfId="13" applyNumberFormat="1" applyFill="1" applyBorder="1"/>
    <xf numFmtId="181" fontId="48" fillId="51" borderId="0" xfId="13" applyNumberFormat="1" applyFill="1" applyBorder="1" applyAlignment="1">
      <alignment horizontal="center" vertical="justify" wrapText="1"/>
    </xf>
    <xf numFmtId="181" fontId="48" fillId="51" borderId="0" xfId="13" applyNumberFormat="1" applyFill="1" applyBorder="1" applyAlignment="1">
      <alignment horizontal="center"/>
    </xf>
    <xf numFmtId="192" fontId="87" fillId="16" borderId="7" xfId="7" applyNumberFormat="1" applyFont="1" applyFill="1" applyBorder="1" applyAlignment="1">
      <alignment horizontal="center" vertical="center"/>
    </xf>
    <xf numFmtId="182" fontId="100" fillId="52" borderId="15" xfId="5" applyNumberFormat="1" applyFont="1" applyFill="1" applyBorder="1"/>
    <xf numFmtId="14" fontId="100" fillId="52" borderId="15" xfId="3" applyNumberFormat="1" applyFont="1" applyFill="1" applyBorder="1"/>
    <xf numFmtId="0" fontId="100" fillId="52" borderId="15" xfId="5" applyNumberFormat="1" applyFont="1" applyFill="1" applyBorder="1"/>
    <xf numFmtId="14" fontId="100" fillId="52" borderId="15" xfId="5" applyNumberFormat="1" applyFont="1" applyFill="1" applyBorder="1"/>
    <xf numFmtId="2" fontId="100" fillId="52" borderId="15" xfId="5" applyNumberFormat="1" applyFont="1" applyFill="1" applyBorder="1"/>
    <xf numFmtId="2" fontId="100" fillId="52" borderId="15" xfId="3" applyNumberFormat="1" applyFont="1" applyFill="1" applyBorder="1"/>
    <xf numFmtId="169" fontId="40" fillId="0" borderId="0" xfId="0" applyNumberFormat="1" applyFont="1"/>
    <xf numFmtId="2" fontId="98" fillId="53" borderId="0" xfId="18" applyNumberFormat="1" applyFont="1" applyFill="1"/>
    <xf numFmtId="0" fontId="37" fillId="0" borderId="0" xfId="8" applyNumberFormat="1" applyFont="1" applyAlignment="1">
      <alignment horizontal="right" vertical="center"/>
    </xf>
    <xf numFmtId="0" fontId="37" fillId="0" borderId="10" xfId="8" applyNumberFormat="1" applyFont="1" applyBorder="1" applyAlignment="1">
      <alignment horizontal="center" vertical="center"/>
    </xf>
    <xf numFmtId="2" fontId="37" fillId="0" borderId="10" xfId="8" applyNumberFormat="1" applyFont="1" applyBorder="1" applyAlignment="1">
      <alignment horizontal="center" vertical="center"/>
    </xf>
    <xf numFmtId="182" fontId="101" fillId="4" borderId="3" xfId="8" applyNumberFormat="1" applyFont="1" applyFill="1" applyBorder="1" applyAlignment="1">
      <alignment horizontal="center" vertical="center"/>
    </xf>
    <xf numFmtId="182" fontId="101" fillId="4" borderId="0" xfId="8" applyNumberFormat="1" applyFont="1" applyFill="1" applyBorder="1" applyAlignment="1">
      <alignment horizontal="center" vertical="center"/>
    </xf>
    <xf numFmtId="2" fontId="37" fillId="0" borderId="26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67" fontId="85" fillId="16" borderId="6" xfId="8" applyNumberFormat="1" applyFont="1" applyFill="1" applyBorder="1" applyAlignment="1">
      <alignment horizontal="right" vertical="center"/>
    </xf>
    <xf numFmtId="181" fontId="85" fillId="16" borderId="7" xfId="8" applyNumberFormat="1" applyFont="1" applyFill="1" applyBorder="1" applyAlignment="1">
      <alignment horizontal="right" vertical="center"/>
    </xf>
    <xf numFmtId="182" fontId="101" fillId="4" borderId="7" xfId="8" applyNumberFormat="1" applyFont="1" applyFill="1" applyBorder="1" applyAlignment="1">
      <alignment horizontal="center" vertical="center"/>
    </xf>
    <xf numFmtId="167" fontId="102" fillId="6" borderId="10" xfId="8" applyNumberFormat="1" applyFont="1" applyFill="1" applyBorder="1" applyAlignment="1">
      <alignment horizontal="center" vertical="center"/>
    </xf>
    <xf numFmtId="181" fontId="37" fillId="0" borderId="0" xfId="8" applyNumberFormat="1" applyFont="1" applyBorder="1" applyAlignment="1">
      <alignment horizontal="right" vertical="center"/>
    </xf>
    <xf numFmtId="181" fontId="102" fillId="6" borderId="0" xfId="8" applyNumberFormat="1" applyFont="1" applyFill="1" applyBorder="1" applyAlignment="1">
      <alignment horizontal="right" vertical="center"/>
    </xf>
    <xf numFmtId="193" fontId="0" fillId="0" borderId="0" xfId="0" applyNumberFormat="1"/>
    <xf numFmtId="194" fontId="0" fillId="0" borderId="0" xfId="0" applyNumberFormat="1"/>
    <xf numFmtId="0" fontId="37" fillId="0" borderId="0" xfId="8" applyNumberFormat="1" applyFont="1" applyFill="1" applyBorder="1" applyAlignment="1">
      <alignment horizontal="center" vertical="center" wrapText="1"/>
    </xf>
    <xf numFmtId="182" fontId="103" fillId="4" borderId="12" xfId="8" applyNumberFormat="1" applyFont="1" applyFill="1" applyBorder="1" applyAlignment="1">
      <alignment horizontal="center" vertical="center"/>
    </xf>
    <xf numFmtId="182" fontId="103" fillId="4" borderId="14" xfId="8" applyNumberFormat="1" applyFont="1" applyFill="1" applyBorder="1" applyAlignment="1">
      <alignment horizontal="center" vertical="center"/>
    </xf>
    <xf numFmtId="182" fontId="103" fillId="4" borderId="13" xfId="8" applyNumberFormat="1" applyFont="1" applyFill="1" applyBorder="1" applyAlignment="1">
      <alignment horizontal="center" vertical="center"/>
    </xf>
    <xf numFmtId="174" fontId="103" fillId="47" borderId="3" xfId="8" applyNumberFormat="1" applyFont="1" applyFill="1" applyBorder="1" applyAlignment="1">
      <alignment horizontal="center" vertical="center"/>
    </xf>
    <xf numFmtId="182" fontId="103" fillId="47" borderId="3" xfId="8" applyNumberFormat="1" applyFont="1" applyFill="1" applyBorder="1" applyAlignment="1">
      <alignment horizontal="center" vertical="center"/>
    </xf>
    <xf numFmtId="174" fontId="103" fillId="47" borderId="0" xfId="8" applyNumberFormat="1" applyFont="1" applyFill="1" applyBorder="1" applyAlignment="1">
      <alignment horizontal="center" vertical="center"/>
    </xf>
    <xf numFmtId="182" fontId="103" fillId="47" borderId="0" xfId="8" applyNumberFormat="1" applyFont="1" applyFill="1" applyBorder="1" applyAlignment="1">
      <alignment horizontal="center" vertical="center"/>
    </xf>
    <xf numFmtId="175" fontId="103" fillId="47" borderId="0" xfId="8" applyNumberFormat="1" applyFont="1" applyFill="1" applyBorder="1" applyAlignment="1">
      <alignment horizontal="center" vertical="center"/>
    </xf>
    <xf numFmtId="181" fontId="103" fillId="47" borderId="0" xfId="8" applyNumberFormat="1" applyFont="1" applyFill="1" applyBorder="1" applyAlignment="1">
      <alignment horizontal="center" vertical="center"/>
    </xf>
    <xf numFmtId="182" fontId="80" fillId="0" borderId="10" xfId="8" applyNumberFormat="1" applyFont="1" applyBorder="1" applyAlignment="1">
      <alignment horizontal="center" vertical="center"/>
    </xf>
    <xf numFmtId="182" fontId="95" fillId="0" borderId="11" xfId="8" applyNumberFormat="1" applyFont="1" applyBorder="1" applyAlignment="1">
      <alignment horizontal="center" vertical="center"/>
    </xf>
    <xf numFmtId="182" fontId="95" fillId="0" borderId="3" xfId="8" applyNumberFormat="1" applyFont="1" applyFill="1" applyBorder="1" applyAlignment="1">
      <alignment horizontal="center" vertical="center"/>
    </xf>
    <xf numFmtId="0" fontId="40" fillId="0" borderId="0" xfId="15" applyNumberFormat="1" applyFont="1" applyFill="1" applyBorder="1"/>
    <xf numFmtId="182" fontId="94" fillId="0" borderId="0" xfId="0" applyFont="1" applyFill="1" applyBorder="1"/>
    <xf numFmtId="14" fontId="93" fillId="0" borderId="0" xfId="0" applyNumberFormat="1" applyFont="1" applyFill="1" applyBorder="1" applyAlignment="1">
      <alignment horizontal="left" vertical="top" wrapText="1" indent="1"/>
    </xf>
    <xf numFmtId="182" fontId="44" fillId="0" borderId="0" xfId="0" applyFont="1" applyFill="1" applyBorder="1"/>
    <xf numFmtId="0" fontId="93" fillId="0" borderId="0" xfId="0" applyNumberFormat="1" applyFont="1" applyFill="1" applyBorder="1" applyAlignment="1">
      <alignment horizontal="right" vertical="top" wrapText="1"/>
    </xf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2" fontId="40" fillId="0" borderId="0" xfId="8" applyNumberFormat="1" applyFont="1" applyAlignment="1">
      <alignment horizontal="center" vertical="center"/>
    </xf>
    <xf numFmtId="193" fontId="40" fillId="0" borderId="0" xfId="0" applyNumberFormat="1" applyFont="1"/>
    <xf numFmtId="181" fontId="40" fillId="0" borderId="0" xfId="0" applyNumberFormat="1" applyFont="1" applyFill="1" applyBorder="1" applyAlignment="1">
      <alignment horizontal="right"/>
    </xf>
    <xf numFmtId="183" fontId="40" fillId="0" borderId="0" xfId="0" applyNumberFormat="1" applyFont="1" applyFill="1" applyBorder="1" applyAlignment="1">
      <alignment horizontal="center"/>
    </xf>
    <xf numFmtId="195" fontId="0" fillId="0" borderId="0" xfId="0" applyNumberFormat="1"/>
    <xf numFmtId="14" fontId="37" fillId="0" borderId="0" xfId="8" applyNumberFormat="1" applyFont="1" applyAlignment="1">
      <alignment horizontal="right" vertical="center"/>
    </xf>
    <xf numFmtId="182" fontId="104" fillId="0" borderId="0" xfId="8" applyNumberFormat="1" applyFont="1" applyAlignment="1">
      <alignment horizontal="center" vertical="center"/>
    </xf>
    <xf numFmtId="181" fontId="27" fillId="8" borderId="0" xfId="5" applyNumberFormat="1" applyAlignment="1">
      <alignment horizontal="center"/>
    </xf>
    <xf numFmtId="14" fontId="37" fillId="0" borderId="0" xfId="8" applyNumberFormat="1" applyFont="1" applyFill="1" applyBorder="1" applyAlignment="1">
      <alignment horizontal="center" vertical="center" wrapText="1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82" fontId="63" fillId="36" borderId="1" xfId="0" applyNumberFormat="1" applyFont="1" applyFill="1" applyBorder="1" applyAlignment="1">
      <alignment horizontal="center"/>
    </xf>
    <xf numFmtId="182" fontId="63" fillId="36" borderId="2" xfId="0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82" fontId="3" fillId="34" borderId="1" xfId="0" applyNumberFormat="1" applyFont="1" applyFill="1" applyBorder="1" applyAlignment="1">
      <alignment horizontal="center"/>
    </xf>
    <xf numFmtId="182" fontId="3" fillId="34" borderId="2" xfId="0" applyFont="1" applyFill="1" applyBorder="1"/>
    <xf numFmtId="182" fontId="60" fillId="33" borderId="1" xfId="0" applyNumberFormat="1" applyFont="1" applyFill="1" applyBorder="1" applyAlignment="1">
      <alignment horizontal="center"/>
    </xf>
    <xf numFmtId="182" fontId="60" fillId="33" borderId="2" xfId="0" applyFont="1" applyFill="1" applyBorder="1"/>
    <xf numFmtId="182" fontId="3" fillId="32" borderId="1" xfId="0" applyNumberFormat="1" applyFont="1" applyFill="1" applyBorder="1" applyAlignment="1">
      <alignment horizontal="center"/>
    </xf>
    <xf numFmtId="182" fontId="3" fillId="32" borderId="2" xfId="0" applyFont="1" applyFill="1" applyBorder="1"/>
    <xf numFmtId="182" fontId="7" fillId="20" borderId="1" xfId="0" applyNumberFormat="1" applyFont="1" applyFill="1" applyBorder="1" applyAlignment="1">
      <alignment horizontal="center"/>
    </xf>
    <xf numFmtId="182" fontId="0" fillId="20" borderId="2" xfId="0" applyFill="1" applyBorder="1"/>
    <xf numFmtId="191" fontId="0" fillId="0" borderId="10" xfId="0" applyNumberFormat="1" applyBorder="1" applyAlignment="1">
      <alignment horizontal="center"/>
    </xf>
    <xf numFmtId="191" fontId="0" fillId="0" borderId="0" xfId="0" applyNumberFormat="1" applyAlignment="1">
      <alignment horizontal="center"/>
    </xf>
    <xf numFmtId="182" fontId="7" fillId="27" borderId="1" xfId="0" applyNumberFormat="1" applyFont="1" applyFill="1" applyBorder="1" applyAlignment="1">
      <alignment horizontal="center"/>
    </xf>
    <xf numFmtId="182" fontId="0" fillId="0" borderId="2" xfId="0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</cellXfs>
  <cellStyles count="19">
    <cellStyle name="20% - Énfasis2" xfId="11" builtinId="34"/>
    <cellStyle name="40% - Énfasis3" xfId="9" builtinId="39"/>
    <cellStyle name="40% - Énfasis4" xfId="18" builtinId="43"/>
    <cellStyle name="60% - Énfasis2" xfId="17" builtinId="36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5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'2021'!$I$75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'2021'!$I$76</c:f>
              <c:numCache>
                <c:formatCode>[$$-2C0A]\ #,##0.00</c:formatCode>
                <c:ptCount val="1"/>
                <c:pt idx="0">
                  <c:v>1033786.1965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'2021'!$I$77</c:f>
              <c:numCache>
                <c:formatCode>[$$-2C0A]\ #,##0.00</c:formatCode>
                <c:ptCount val="1"/>
                <c:pt idx="0">
                  <c:v>1035086.2113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'2021'!$I$78</c:f>
              <c:numCache>
                <c:formatCode>[$$-2C0A]\ #,##0.00</c:formatCode>
                <c:ptCount val="1"/>
                <c:pt idx="0">
                  <c:v>1070013.1113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'2021'!$I$79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'2021'!$I$80</c:f>
              <c:numCache>
                <c:formatCode>[$$-2C0A]\ #,##0.00</c:formatCode>
                <c:ptCount val="1"/>
                <c:pt idx="0">
                  <c:v>1348827.675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'2021'!$I$81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'2021'!$I$82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'2021'!$I$83</c:f>
              <c:numCache>
                <c:formatCode>[$$-2C0A]\ #,##0.00</c:formatCode>
                <c:ptCount val="1"/>
                <c:pt idx="0">
                  <c:v>2060848.5899999999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'2021'!$I$84</c:f>
              <c:numCache>
                <c:formatCode>[$$-2C0A]\ #,##0.00</c:formatCode>
                <c:ptCount val="1"/>
                <c:pt idx="0">
                  <c:v>2060848.5899999999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'2021'!$I$85</c:f>
              <c:numCache>
                <c:formatCode>[$$-2C0A]\ #,##0.00</c:formatCode>
                <c:ptCount val="1"/>
                <c:pt idx="0">
                  <c:v>2060848.5899999999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'2021'!$I$86</c:f>
              <c:numCache>
                <c:formatCode>[$$-2C0A]\ #,##0.00</c:formatCode>
                <c:ptCount val="1"/>
                <c:pt idx="0">
                  <c:v>2060848.5899999999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'2008'!$H$302</c:f>
              <c:numCache>
                <c:formatCode>_-* #,##0.00\ "$"_-;\-* #,##0.00\ "$"_-;_-* "-"??\ "$"_-;_-@_-</c:formatCode>
                <c:ptCount val="1"/>
                <c:pt idx="0">
                  <c:v>570.44999999999982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'2008'!$H$303</c:f>
              <c:numCache>
                <c:formatCode>_-* #,##0.00\ "$"_-;\-* #,##0.00\ "$"_-;_-* "-"??\ "$"_-;_-@_-</c:formatCode>
                <c:ptCount val="1"/>
                <c:pt idx="0">
                  <c:v>100.65000000000009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'2008'!$H$304</c:f>
              <c:numCache>
                <c:formatCode>_-* #,##0.00\ "$"_-;\-* #,##0.00\ "$"_-;_-* "-"??\ "$"_-;_-@_-</c:formatCode>
                <c:ptCount val="1"/>
                <c:pt idx="0">
                  <c:v>31.950000000000045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'2008'!$H$305</c:f>
              <c:numCache>
                <c:formatCode>_-* #,##0.00\ "$"_-;\-* #,##0.00\ "$"_-;_-* "-"??\ "$"_-;_-@_-</c:formatCode>
                <c:ptCount val="1"/>
                <c:pt idx="0">
                  <c:v>279.65000000000009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'2021'!$F$33</c:f>
              <c:numCache>
                <c:formatCode>[$$-2C0A]\ #,##0.00</c:formatCode>
                <c:ptCount val="1"/>
                <c:pt idx="0">
                  <c:v>209960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'2021'!$F$38</c:f>
              <c:numCache>
                <c:formatCode>[$$-2C0A]\ #,##0.00</c:formatCode>
                <c:ptCount val="1"/>
                <c:pt idx="0">
                  <c:v>314640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'2021'!$F$44</c:f>
              <c:numCache>
                <c:formatCode>[$$-2C0A]\ #,##0.00</c:formatCode>
                <c:ptCount val="1"/>
                <c:pt idx="0">
                  <c:v>196640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'2021'!$F$54</c:f>
              <c:numCache>
                <c:formatCode>[$$-2C0A]\ #,##0.00</c:formatCode>
                <c:ptCount val="1"/>
                <c:pt idx="0">
                  <c:v>17740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'2021'!$F$62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'2021'!$F$67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'2020'!$I$92</c:f>
              <c:numCache>
                <c:formatCode>[$$-2C0A]\ #,##0.00</c:formatCode>
                <c:ptCount val="1"/>
                <c:pt idx="0">
                  <c:v>395781.52279999998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'2020'!$I$93</c:f>
              <c:numCache>
                <c:formatCode>[$$-2C0A]\ #,##0.00</c:formatCode>
                <c:ptCount val="1"/>
                <c:pt idx="0">
                  <c:v>417678.73879999999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'2020'!$I$94</c:f>
              <c:numCache>
                <c:formatCode>[$$-2C0A]\ #,##0.00</c:formatCode>
                <c:ptCount val="1"/>
                <c:pt idx="0">
                  <c:v>420244.70899999997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'2020'!$I$96</c:f>
              <c:numCache>
                <c:formatCode>[$$-2C0A]\ #,##0.00</c:formatCode>
                <c:ptCount val="1"/>
                <c:pt idx="0">
                  <c:v>448701.10550000001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'2020'!$I$97</c:f>
              <c:numCache>
                <c:formatCode>[$$-2C0A]\ #,##0.00</c:formatCode>
                <c:ptCount val="1"/>
                <c:pt idx="0">
                  <c:v>477297.54269999999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'2020'!$I$98</c:f>
              <c:numCache>
                <c:formatCode>[$$-2C0A]\ #,##0.00</c:formatCode>
                <c:ptCount val="1"/>
                <c:pt idx="0">
                  <c:v>551878.5183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'2020'!$I$99</c:f>
              <c:numCache>
                <c:formatCode>[$$-2C0A]\ #,##0.00</c:formatCode>
                <c:ptCount val="1"/>
                <c:pt idx="0">
                  <c:v>596759.15110000002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'2020'!$I$100</c:f>
              <c:numCache>
                <c:formatCode>[$$-2C0A]\ #,##0.00</c:formatCode>
                <c:ptCount val="1"/>
                <c:pt idx="0">
                  <c:v>617314.29429999995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'2020'!$I$102</c:f>
              <c:numCache>
                <c:formatCode>[$$-2C0A]\ #,##0.00</c:formatCode>
                <c:ptCount val="1"/>
                <c:pt idx="0">
                  <c:v>828065.11899999995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'2019'!$I$144</c:f>
              <c:numCache>
                <c:formatCode>_-* #,##0.00\ "$"_-;\-* #,##0.00\ "$"_-;_-* "-"??\ "$"_-;_-@_-</c:formatCode>
                <c:ptCount val="1"/>
                <c:pt idx="0">
                  <c:v>373084.27720000001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90</xdr:row>
      <xdr:rowOff>47625</xdr:rowOff>
    </xdr:from>
    <xdr:to>
      <xdr:col>7</xdr:col>
      <xdr:colOff>1190624</xdr:colOff>
      <xdr:row>109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71</xdr:row>
      <xdr:rowOff>9525</xdr:rowOff>
    </xdr:from>
    <xdr:to>
      <xdr:col>7</xdr:col>
      <xdr:colOff>1200150</xdr:colOff>
      <xdr:row>89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cuentanubedefotos@gmail.com" TargetMode="External"/><Relationship Id="rId1" Type="http://schemas.openxmlformats.org/officeDocument/2006/relationships/hyperlink" Target="mailto:agonzalez@natconsultores.com.a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S125"/>
  <sheetViews>
    <sheetView topLeftCell="A49" workbookViewId="0">
      <selection activeCell="C32" sqref="C32"/>
    </sheetView>
  </sheetViews>
  <sheetFormatPr baseColWidth="10" defaultColWidth="11.42578125" defaultRowHeight="15" x14ac:dyDescent="0.25"/>
  <cols>
    <col min="1" max="1" width="14.7109375" customWidth="1"/>
    <col min="2" max="2" width="30.42578125" style="724" customWidth="1"/>
    <col min="3" max="3" width="16.28515625" style="724" customWidth="1"/>
    <col min="4" max="4" width="30.42578125" style="724" customWidth="1"/>
    <col min="5" max="5" width="28" bestFit="1" customWidth="1"/>
    <col min="6" max="6" width="23" customWidth="1"/>
    <col min="7" max="7" width="17.140625" style="636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951" customWidth="1"/>
    <col min="14" max="14" width="14.5703125" style="951" customWidth="1"/>
    <col min="15" max="15" width="15.42578125" customWidth="1"/>
    <col min="16" max="16" width="15.28515625" bestFit="1" customWidth="1"/>
    <col min="17" max="17" width="12.5703125" style="799" customWidth="1"/>
    <col min="18" max="18" width="12.5703125" customWidth="1"/>
    <col min="19" max="19" width="15.85546875" style="851" bestFit="1" customWidth="1"/>
  </cols>
  <sheetData>
    <row r="1" spans="1:19" s="212" customFormat="1" x14ac:dyDescent="0.25">
      <c r="A1" s="658" t="s">
        <v>1075</v>
      </c>
      <c r="B1" s="731" t="s">
        <v>830</v>
      </c>
      <c r="C1" s="734" t="s">
        <v>831</v>
      </c>
      <c r="D1" s="731" t="s">
        <v>1107</v>
      </c>
      <c r="E1" s="731" t="s">
        <v>834</v>
      </c>
      <c r="F1" s="605"/>
      <c r="G1" t="s">
        <v>1106</v>
      </c>
      <c r="H1" s="739" t="s">
        <v>977</v>
      </c>
      <c r="I1" s="735" t="s">
        <v>839</v>
      </c>
      <c r="J1" s="838"/>
      <c r="K1" s="767"/>
      <c r="L1" s="691"/>
      <c r="M1" s="214"/>
      <c r="O1" s="209"/>
      <c r="P1" s="215"/>
      <c r="Q1" s="215"/>
      <c r="R1" s="761"/>
      <c r="S1" s="735"/>
    </row>
    <row r="2" spans="1:19" s="761" customFormat="1" x14ac:dyDescent="0.25">
      <c r="A2" s="668" t="s">
        <v>1075</v>
      </c>
      <c r="B2" s="733" t="s">
        <v>1010</v>
      </c>
      <c r="C2" s="734"/>
      <c r="D2" s="763"/>
      <c r="E2" s="763" t="s">
        <v>834</v>
      </c>
      <c r="F2" s="742"/>
      <c r="G2" s="904" t="s">
        <v>805</v>
      </c>
      <c r="H2" s="739" t="s">
        <v>1011</v>
      </c>
      <c r="I2" s="735"/>
      <c r="J2" s="836"/>
      <c r="K2" s="767" t="str">
        <f>"Feb-2021"</f>
        <v>Feb-2021</v>
      </c>
      <c r="N2" s="761" t="s">
        <v>1053</v>
      </c>
      <c r="O2" s="209" t="s">
        <v>1093</v>
      </c>
      <c r="S2" s="735"/>
    </row>
    <row r="3" spans="1:19" s="761" customFormat="1" x14ac:dyDescent="0.25">
      <c r="A3" s="668" t="s">
        <v>1075</v>
      </c>
      <c r="B3" s="733" t="s">
        <v>955</v>
      </c>
      <c r="C3" s="734"/>
      <c r="D3" s="763"/>
      <c r="E3" s="763" t="s">
        <v>834</v>
      </c>
      <c r="F3" s="742"/>
      <c r="G3" s="739" t="s">
        <v>968</v>
      </c>
      <c r="H3" s="739" t="s">
        <v>1062</v>
      </c>
      <c r="I3" s="735"/>
      <c r="J3" s="836"/>
      <c r="K3" s="221" t="str">
        <f>"Dic-2020"</f>
        <v>Dic-2020</v>
      </c>
      <c r="M3" s="215" t="s">
        <v>1049</v>
      </c>
      <c r="N3" s="826">
        <v>31</v>
      </c>
      <c r="O3" s="826">
        <v>31</v>
      </c>
      <c r="S3" s="735"/>
    </row>
    <row r="4" spans="1:19" s="212" customFormat="1" x14ac:dyDescent="0.25">
      <c r="A4" s="658" t="s">
        <v>1075</v>
      </c>
      <c r="B4" s="731" t="s">
        <v>836</v>
      </c>
      <c r="C4" s="734" t="s">
        <v>882</v>
      </c>
      <c r="D4" s="731" t="s">
        <v>883</v>
      </c>
      <c r="E4" s="731" t="s">
        <v>833</v>
      </c>
      <c r="F4" s="232"/>
      <c r="G4" s="737" t="s">
        <v>846</v>
      </c>
      <c r="H4" s="738" t="s">
        <v>848</v>
      </c>
      <c r="I4" s="736"/>
      <c r="J4" s="837"/>
      <c r="K4" s="767" t="s">
        <v>905</v>
      </c>
      <c r="L4" s="691"/>
      <c r="M4" s="761" t="s">
        <v>1050</v>
      </c>
      <c r="N4" s="826">
        <v>28</v>
      </c>
      <c r="O4" s="826">
        <v>28</v>
      </c>
      <c r="P4" s="215"/>
      <c r="Q4" s="215"/>
      <c r="R4" s="761"/>
      <c r="S4" s="761"/>
    </row>
    <row r="5" spans="1:19" s="212" customFormat="1" x14ac:dyDescent="0.25">
      <c r="A5" s="639" t="s">
        <v>1075</v>
      </c>
      <c r="B5" s="731" t="s">
        <v>896</v>
      </c>
      <c r="C5" s="734"/>
      <c r="D5" s="731"/>
      <c r="E5" s="731" t="s">
        <v>897</v>
      </c>
      <c r="G5" s="827" t="s">
        <v>898</v>
      </c>
      <c r="H5" s="750" t="s">
        <v>799</v>
      </c>
      <c r="I5" s="691"/>
      <c r="J5" s="767"/>
      <c r="K5" s="767" t="s">
        <v>887</v>
      </c>
      <c r="L5" s="691"/>
      <c r="M5" s="761" t="s">
        <v>1051</v>
      </c>
      <c r="N5" s="826">
        <v>31</v>
      </c>
      <c r="O5" s="826">
        <v>31</v>
      </c>
      <c r="P5" s="215"/>
      <c r="Q5" s="215"/>
      <c r="R5" s="761"/>
    </row>
    <row r="6" spans="1:19" s="212" customFormat="1" x14ac:dyDescent="0.25">
      <c r="A6" s="639" t="s">
        <v>1075</v>
      </c>
      <c r="B6" s="731" t="s">
        <v>867</v>
      </c>
      <c r="C6" s="734" t="s">
        <v>939</v>
      </c>
      <c r="D6" s="731" t="s">
        <v>967</v>
      </c>
      <c r="E6" s="731" t="s">
        <v>869</v>
      </c>
      <c r="G6" s="904" t="s">
        <v>805</v>
      </c>
      <c r="H6" s="750" t="s">
        <v>977</v>
      </c>
      <c r="I6" s="637"/>
      <c r="J6" s="767"/>
      <c r="K6" s="767" t="s">
        <v>884</v>
      </c>
      <c r="L6" s="637"/>
      <c r="M6" s="761" t="s">
        <v>1041</v>
      </c>
      <c r="N6" s="826">
        <v>30</v>
      </c>
      <c r="O6" s="826">
        <v>30</v>
      </c>
      <c r="P6" s="215"/>
      <c r="Q6" s="215"/>
      <c r="R6" s="761"/>
    </row>
    <row r="7" spans="1:19" s="212" customFormat="1" x14ac:dyDescent="0.25">
      <c r="A7" s="691" t="s">
        <v>1075</v>
      </c>
      <c r="B7" s="731" t="s">
        <v>868</v>
      </c>
      <c r="C7" s="734" t="s">
        <v>876</v>
      </c>
      <c r="D7" s="731" t="s">
        <v>877</v>
      </c>
      <c r="E7" s="731" t="s">
        <v>869</v>
      </c>
      <c r="F7" s="691"/>
      <c r="G7" s="904" t="s">
        <v>805</v>
      </c>
      <c r="H7" s="750" t="s">
        <v>1032</v>
      </c>
      <c r="I7" s="637"/>
      <c r="J7" s="836" t="s">
        <v>844</v>
      </c>
      <c r="K7" s="767" t="s">
        <v>884</v>
      </c>
      <c r="L7" s="691"/>
      <c r="M7" s="761" t="s">
        <v>1040</v>
      </c>
      <c r="N7" s="826">
        <v>31</v>
      </c>
      <c r="O7" s="826">
        <v>31</v>
      </c>
      <c r="P7" s="215"/>
      <c r="Q7" s="215"/>
      <c r="R7" s="761"/>
    </row>
    <row r="8" spans="1:19" s="243" customFormat="1" x14ac:dyDescent="0.25">
      <c r="A8" s="691" t="s">
        <v>1075</v>
      </c>
      <c r="B8" s="731" t="s">
        <v>929</v>
      </c>
      <c r="C8" s="734"/>
      <c r="D8" s="731"/>
      <c r="E8" s="731" t="s">
        <v>870</v>
      </c>
      <c r="F8" s="691"/>
      <c r="G8" s="904" t="s">
        <v>805</v>
      </c>
      <c r="H8" s="750" t="s">
        <v>799</v>
      </c>
      <c r="I8" s="637"/>
      <c r="J8" s="767"/>
      <c r="K8" s="767" t="s">
        <v>930</v>
      </c>
      <c r="L8" s="691"/>
      <c r="M8" s="761" t="s">
        <v>1042</v>
      </c>
      <c r="N8" s="826">
        <v>30</v>
      </c>
      <c r="O8" s="826">
        <v>31</v>
      </c>
      <c r="P8" s="243">
        <f>SUM(O3:O8)</f>
        <v>182</v>
      </c>
      <c r="R8" s="761"/>
    </row>
    <row r="9" spans="1:19" s="761" customFormat="1" x14ac:dyDescent="0.25">
      <c r="A9" s="761" t="s">
        <v>1075</v>
      </c>
      <c r="B9" s="763" t="s">
        <v>961</v>
      </c>
      <c r="C9" s="734"/>
      <c r="D9" s="763"/>
      <c r="E9" s="763" t="s">
        <v>870</v>
      </c>
      <c r="F9" s="212"/>
      <c r="G9" s="904" t="s">
        <v>805</v>
      </c>
      <c r="H9" s="750" t="str">
        <f>"001300"</f>
        <v>001300</v>
      </c>
      <c r="J9" s="767"/>
      <c r="K9" s="767" t="str">
        <f>"Ene-2021"</f>
        <v>Ene-2021</v>
      </c>
      <c r="M9" s="761" t="s">
        <v>1043</v>
      </c>
      <c r="N9" s="826">
        <v>31</v>
      </c>
      <c r="O9" s="826">
        <v>31</v>
      </c>
    </row>
    <row r="10" spans="1:19" s="212" customFormat="1" x14ac:dyDescent="0.25">
      <c r="A10" s="639" t="s">
        <v>1075</v>
      </c>
      <c r="B10" s="731" t="s">
        <v>890</v>
      </c>
      <c r="C10" s="734"/>
      <c r="D10" s="731" t="s">
        <v>895</v>
      </c>
      <c r="E10" s="731" t="s">
        <v>891</v>
      </c>
      <c r="F10" s="761"/>
      <c r="G10" s="904" t="s">
        <v>805</v>
      </c>
      <c r="H10" s="750" t="s">
        <v>892</v>
      </c>
      <c r="I10" s="691"/>
      <c r="J10" s="767"/>
      <c r="K10" s="767" t="s">
        <v>887</v>
      </c>
      <c r="L10" s="637"/>
      <c r="M10" s="761" t="s">
        <v>1044</v>
      </c>
      <c r="N10" s="826">
        <v>31</v>
      </c>
      <c r="O10" s="826">
        <v>10</v>
      </c>
      <c r="P10" s="215"/>
      <c r="Q10" s="215"/>
      <c r="R10" s="215"/>
    </row>
    <row r="11" spans="1:19" s="212" customFormat="1" x14ac:dyDescent="0.25">
      <c r="A11" s="639" t="s">
        <v>1075</v>
      </c>
      <c r="B11" s="731" t="s">
        <v>893</v>
      </c>
      <c r="C11" s="734" t="s">
        <v>925</v>
      </c>
      <c r="D11" s="731" t="s">
        <v>926</v>
      </c>
      <c r="E11" s="731" t="s">
        <v>894</v>
      </c>
      <c r="G11" s="750" t="s">
        <v>923</v>
      </c>
      <c r="H11" s="750" t="s">
        <v>1012</v>
      </c>
      <c r="I11" s="735">
        <v>4512</v>
      </c>
      <c r="J11" s="767"/>
      <c r="K11" s="767" t="s">
        <v>924</v>
      </c>
      <c r="L11" s="637"/>
      <c r="M11" s="761" t="s">
        <v>1045</v>
      </c>
      <c r="N11" s="826">
        <v>30</v>
      </c>
      <c r="O11" s="826"/>
      <c r="P11" s="761"/>
      <c r="Q11" s="761"/>
      <c r="R11" s="761"/>
    </row>
    <row r="12" spans="1:19" s="761" customFormat="1" x14ac:dyDescent="0.25">
      <c r="A12" s="668" t="s">
        <v>1075</v>
      </c>
      <c r="B12" s="763" t="s">
        <v>800</v>
      </c>
      <c r="C12" s="734" t="s">
        <v>880</v>
      </c>
      <c r="D12" s="763" t="s">
        <v>881</v>
      </c>
      <c r="E12" s="763" t="s">
        <v>833</v>
      </c>
      <c r="F12" s="950" t="s">
        <v>1013</v>
      </c>
      <c r="G12" s="904" t="s">
        <v>805</v>
      </c>
      <c r="H12" s="739" t="s">
        <v>790</v>
      </c>
      <c r="I12" s="735" t="s">
        <v>839</v>
      </c>
      <c r="J12" s="836" t="s">
        <v>844</v>
      </c>
      <c r="K12" s="767" t="s">
        <v>904</v>
      </c>
      <c r="M12" s="761" t="s">
        <v>1046</v>
      </c>
      <c r="N12" s="826">
        <v>31</v>
      </c>
      <c r="O12" s="826"/>
      <c r="S12" s="735"/>
    </row>
    <row r="13" spans="1:19" s="761" customFormat="1" x14ac:dyDescent="0.25">
      <c r="A13" s="668" t="s">
        <v>1075</v>
      </c>
      <c r="B13" s="763" t="s">
        <v>823</v>
      </c>
      <c r="C13" s="734" t="s">
        <v>879</v>
      </c>
      <c r="D13" s="763" t="s">
        <v>878</v>
      </c>
      <c r="E13" s="763" t="s">
        <v>833</v>
      </c>
      <c r="F13" s="742"/>
      <c r="G13" s="739" t="s">
        <v>835</v>
      </c>
      <c r="H13" s="741" t="s">
        <v>799</v>
      </c>
      <c r="I13" s="735" t="s">
        <v>839</v>
      </c>
      <c r="J13" s="767" t="s">
        <v>864</v>
      </c>
      <c r="K13" s="767" t="s">
        <v>905</v>
      </c>
      <c r="M13" s="761" t="s">
        <v>1047</v>
      </c>
      <c r="N13" s="826">
        <v>30</v>
      </c>
      <c r="O13" s="826"/>
      <c r="S13" s="735"/>
    </row>
    <row r="14" spans="1:19" s="761" customFormat="1" x14ac:dyDescent="0.25">
      <c r="A14" s="668" t="s">
        <v>1075</v>
      </c>
      <c r="B14" s="763" t="s">
        <v>1034</v>
      </c>
      <c r="C14" s="734" t="s">
        <v>1036</v>
      </c>
      <c r="D14" s="763" t="s">
        <v>1035</v>
      </c>
      <c r="E14" s="763" t="s">
        <v>856</v>
      </c>
      <c r="F14" s="742"/>
      <c r="G14" s="739" t="s">
        <v>1039</v>
      </c>
      <c r="H14" s="738" t="s">
        <v>983</v>
      </c>
      <c r="I14" s="736"/>
      <c r="J14" s="837"/>
      <c r="K14" s="767" t="str">
        <f>"Mar-2021"</f>
        <v>Mar-2021</v>
      </c>
      <c r="O14" s="209"/>
    </row>
    <row r="15" spans="1:19" s="243" customFormat="1" x14ac:dyDescent="0.25">
      <c r="A15" s="658" t="s">
        <v>1075</v>
      </c>
      <c r="B15" s="731" t="s">
        <v>807</v>
      </c>
      <c r="C15" s="734" t="s">
        <v>874</v>
      </c>
      <c r="D15" s="731" t="s">
        <v>875</v>
      </c>
      <c r="E15" s="731" t="s">
        <v>856</v>
      </c>
      <c r="F15" s="606"/>
      <c r="G15" s="949" t="s">
        <v>757</v>
      </c>
      <c r="H15" s="750" t="s">
        <v>983</v>
      </c>
      <c r="I15" s="735">
        <v>7845</v>
      </c>
      <c r="J15" s="767"/>
      <c r="K15" s="767" t="s">
        <v>902</v>
      </c>
      <c r="L15" s="691"/>
      <c r="M15" s="215"/>
      <c r="N15" s="212"/>
      <c r="O15" s="209"/>
      <c r="R15" s="761"/>
      <c r="S15" s="735"/>
    </row>
    <row r="16" spans="1:19" x14ac:dyDescent="0.25">
      <c r="G16" s="717"/>
      <c r="H16" s="746"/>
      <c r="L16" s="28"/>
      <c r="M16" s="761" t="s">
        <v>1048</v>
      </c>
      <c r="N16" s="826">
        <v>31</v>
      </c>
      <c r="O16" s="851"/>
    </row>
    <row r="17" spans="1:19" x14ac:dyDescent="0.25">
      <c r="A17" t="str">
        <f xml:space="preserve"> "Claves " &amp; COUNTA(A19:A86)</f>
        <v>Claves 48</v>
      </c>
      <c r="C17" s="726"/>
      <c r="D17" s="955"/>
      <c r="E17" s="238"/>
      <c r="F17" s="238"/>
      <c r="G17" s="956"/>
      <c r="H17" s="238"/>
      <c r="I17" s="238"/>
      <c r="J17" s="956"/>
      <c r="K17" s="238"/>
      <c r="L17" s="212"/>
      <c r="M17" s="952"/>
      <c r="N17" s="826"/>
      <c r="O17" s="826">
        <f>SUM(O9:O16)</f>
        <v>41</v>
      </c>
      <c r="P17" s="218"/>
    </row>
    <row r="18" spans="1:19" x14ac:dyDescent="0.25">
      <c r="A18" t="s">
        <v>802</v>
      </c>
      <c r="B18" s="724" t="s">
        <v>803</v>
      </c>
      <c r="C18" s="726" t="s">
        <v>804</v>
      </c>
      <c r="D18" s="957"/>
      <c r="E18" s="851" t="s">
        <v>947</v>
      </c>
      <c r="F18" s="957"/>
      <c r="G18" s="958"/>
      <c r="H18" s="958"/>
      <c r="I18" s="957"/>
      <c r="J18" s="957"/>
      <c r="K18" s="957"/>
      <c r="L18" s="260"/>
      <c r="M18" s="952" t="s">
        <v>1094</v>
      </c>
      <c r="N18" s="826">
        <v>3</v>
      </c>
      <c r="O18" s="826">
        <f>728+(+O17*N18)</f>
        <v>851</v>
      </c>
      <c r="P18" s="209"/>
      <c r="Q18" s="799">
        <f>SUM(N9:N16)-O17</f>
        <v>143</v>
      </c>
    </row>
    <row r="19" spans="1:19" x14ac:dyDescent="0.25">
      <c r="A19" t="s">
        <v>806</v>
      </c>
      <c r="B19" s="724" t="s">
        <v>855</v>
      </c>
      <c r="C19" s="724" t="s">
        <v>799</v>
      </c>
      <c r="D19" s="959"/>
      <c r="E19" s="810" t="s">
        <v>948</v>
      </c>
      <c r="F19" s="960"/>
      <c r="G19" s="960"/>
      <c r="H19" s="961"/>
      <c r="I19" s="962"/>
      <c r="J19" s="962"/>
      <c r="K19" s="963"/>
      <c r="L19" s="260"/>
      <c r="M19" s="952" t="s">
        <v>1095</v>
      </c>
      <c r="N19" s="826">
        <v>2700</v>
      </c>
      <c r="O19" s="826">
        <f>+O18+N19</f>
        <v>3551</v>
      </c>
      <c r="P19" s="209">
        <f>1300*3</f>
        <v>3900</v>
      </c>
    </row>
    <row r="20" spans="1:19" x14ac:dyDescent="0.25">
      <c r="A20" t="s">
        <v>918</v>
      </c>
      <c r="B20" s="724" t="s">
        <v>855</v>
      </c>
      <c r="C20" s="724" t="s">
        <v>979</v>
      </c>
      <c r="D20" s="959"/>
      <c r="E20" s="41" t="s">
        <v>949</v>
      </c>
      <c r="F20" s="960"/>
      <c r="G20" s="960"/>
      <c r="H20" s="961"/>
      <c r="I20" s="962"/>
      <c r="J20" s="962"/>
      <c r="K20" s="963"/>
      <c r="L20" s="260"/>
      <c r="M20" s="952" t="s">
        <v>1096</v>
      </c>
      <c r="N20" s="826"/>
      <c r="O20" s="826">
        <v>3414</v>
      </c>
      <c r="P20" s="209"/>
      <c r="Q20" s="799">
        <f>+P19-O19</f>
        <v>349</v>
      </c>
    </row>
    <row r="21" spans="1:19" x14ac:dyDescent="0.25">
      <c r="A21" t="s">
        <v>919</v>
      </c>
      <c r="B21" s="724" t="s">
        <v>855</v>
      </c>
      <c r="C21" s="724" t="s">
        <v>920</v>
      </c>
      <c r="D21" s="959"/>
      <c r="E21" s="799" t="s">
        <v>950</v>
      </c>
      <c r="F21" s="960"/>
      <c r="G21" s="960"/>
      <c r="H21" s="961"/>
      <c r="I21" s="962"/>
      <c r="J21" s="962"/>
      <c r="K21" s="963"/>
      <c r="L21" s="260"/>
      <c r="M21" s="952" t="s">
        <v>1097</v>
      </c>
      <c r="N21" s="826"/>
      <c r="O21" s="826">
        <f>+O19-O20</f>
        <v>137</v>
      </c>
      <c r="P21" s="209"/>
      <c r="Q21" s="799">
        <f>+Q20/Q18</f>
        <v>2.4405594405594404</v>
      </c>
    </row>
    <row r="22" spans="1:19" x14ac:dyDescent="0.25">
      <c r="A22" t="s">
        <v>974</v>
      </c>
      <c r="B22" s="724" t="s">
        <v>975</v>
      </c>
      <c r="C22" s="724" t="s">
        <v>1025</v>
      </c>
      <c r="D22" s="959"/>
      <c r="E22" s="799" t="s">
        <v>951</v>
      </c>
      <c r="F22" s="960"/>
      <c r="G22" s="960"/>
      <c r="H22" s="961"/>
      <c r="I22" s="962"/>
      <c r="J22" s="962"/>
      <c r="K22" s="963"/>
      <c r="L22" s="260"/>
      <c r="M22" s="952"/>
      <c r="N22" s="952"/>
      <c r="O22" s="952"/>
      <c r="P22" s="209"/>
    </row>
    <row r="23" spans="1:19" x14ac:dyDescent="0.25">
      <c r="A23" t="s">
        <v>808</v>
      </c>
      <c r="B23" s="724" t="s">
        <v>797</v>
      </c>
      <c r="C23" s="724" t="s">
        <v>758</v>
      </c>
      <c r="D23" s="959"/>
      <c r="E23" s="799" t="s">
        <v>952</v>
      </c>
      <c r="F23" s="960"/>
      <c r="G23" s="960"/>
      <c r="H23" s="961"/>
      <c r="I23" s="962"/>
      <c r="J23" s="962"/>
      <c r="K23" s="963"/>
      <c r="L23" s="260"/>
      <c r="M23" s="952"/>
      <c r="N23" s="952"/>
      <c r="O23" s="952"/>
      <c r="P23" s="209"/>
    </row>
    <row r="24" spans="1:19" x14ac:dyDescent="0.25">
      <c r="A24" t="s">
        <v>752</v>
      </c>
      <c r="B24" s="724" t="str">
        <f>"@andresGitRepository"</f>
        <v>@andresGitRepository</v>
      </c>
      <c r="C24" s="724" t="s">
        <v>1037</v>
      </c>
      <c r="D24" s="959"/>
      <c r="E24" s="799" t="s">
        <v>953</v>
      </c>
      <c r="F24" s="960"/>
      <c r="G24" s="960"/>
      <c r="H24" s="961"/>
      <c r="I24" s="962"/>
      <c r="J24" s="962"/>
      <c r="K24" s="963"/>
      <c r="L24" s="260"/>
      <c r="M24" s="952"/>
      <c r="N24" s="952"/>
      <c r="O24" s="952"/>
      <c r="P24" s="209"/>
    </row>
    <row r="25" spans="1:19" x14ac:dyDescent="0.25">
      <c r="A25" t="s">
        <v>959</v>
      </c>
      <c r="B25" s="730" t="s">
        <v>960</v>
      </c>
      <c r="C25" s="724" t="s">
        <v>799</v>
      </c>
      <c r="D25" s="959"/>
      <c r="E25" s="799" t="s">
        <v>954</v>
      </c>
      <c r="F25" s="960"/>
      <c r="G25" s="960"/>
      <c r="H25" s="961"/>
      <c r="I25" s="962"/>
      <c r="J25" s="962"/>
      <c r="K25" s="963"/>
      <c r="L25" s="260"/>
      <c r="M25" s="952"/>
      <c r="N25" s="952"/>
      <c r="O25" s="952"/>
      <c r="P25" s="209"/>
    </row>
    <row r="26" spans="1:19" x14ac:dyDescent="0.25">
      <c r="A26" t="s">
        <v>850</v>
      </c>
      <c r="B26" s="724" t="s">
        <v>851</v>
      </c>
      <c r="C26" s="724" t="s">
        <v>790</v>
      </c>
      <c r="D26" s="959"/>
      <c r="E26" s="238"/>
      <c r="F26" s="960"/>
      <c r="G26" s="960"/>
      <c r="H26" s="961"/>
      <c r="I26" s="962"/>
      <c r="J26" s="962"/>
      <c r="K26" s="963"/>
      <c r="L26" s="260"/>
      <c r="M26" s="952"/>
      <c r="N26" s="952"/>
      <c r="O26" s="952"/>
      <c r="P26" s="209"/>
    </row>
    <row r="27" spans="1:19" x14ac:dyDescent="0.25">
      <c r="A27" t="s">
        <v>865</v>
      </c>
      <c r="B27" s="724" t="s">
        <v>866</v>
      </c>
      <c r="C27" s="724" t="s">
        <v>1077</v>
      </c>
      <c r="D27" s="959"/>
      <c r="E27" s="238"/>
      <c r="F27" s="960"/>
      <c r="G27" s="960"/>
      <c r="H27" s="961"/>
      <c r="I27" s="962"/>
      <c r="J27" s="962"/>
      <c r="K27" s="963"/>
      <c r="L27" s="260"/>
      <c r="M27" s="952"/>
      <c r="N27" s="952"/>
      <c r="O27" s="952"/>
      <c r="P27" s="209"/>
    </row>
    <row r="28" spans="1:19" x14ac:dyDescent="0.25">
      <c r="A28" t="s">
        <v>871</v>
      </c>
      <c r="B28" s="724" t="s">
        <v>866</v>
      </c>
      <c r="C28" s="724" t="s">
        <v>977</v>
      </c>
      <c r="D28" s="959"/>
      <c r="E28" s="238"/>
      <c r="F28" s="960"/>
      <c r="G28" s="960"/>
      <c r="H28" s="961"/>
      <c r="I28" s="962"/>
      <c r="J28" s="962"/>
      <c r="K28" s="963"/>
      <c r="L28" s="260"/>
      <c r="M28" s="952"/>
      <c r="N28" s="952"/>
      <c r="O28" s="952"/>
      <c r="P28" s="209"/>
    </row>
    <row r="29" spans="1:19" x14ac:dyDescent="0.25">
      <c r="A29" t="s">
        <v>872</v>
      </c>
      <c r="B29" s="724" t="s">
        <v>873</v>
      </c>
      <c r="C29" s="724" t="s">
        <v>977</v>
      </c>
      <c r="D29" s="959"/>
      <c r="E29" s="238"/>
      <c r="F29" s="960"/>
      <c r="G29" s="960"/>
      <c r="H29" s="961"/>
      <c r="I29" s="962"/>
      <c r="J29" s="962"/>
      <c r="K29" s="963"/>
      <c r="L29" s="260"/>
      <c r="M29" s="952"/>
      <c r="N29" s="952"/>
      <c r="O29" s="952"/>
      <c r="P29" s="209"/>
      <c r="S29" s="1029"/>
    </row>
    <row r="30" spans="1:19" x14ac:dyDescent="0.25">
      <c r="A30" t="s">
        <v>987</v>
      </c>
      <c r="B30" t="s">
        <v>999</v>
      </c>
      <c r="C30" s="724" t="s">
        <v>977</v>
      </c>
      <c r="D30" s="959"/>
      <c r="E30" s="238"/>
      <c r="F30" s="960"/>
      <c r="G30" s="960"/>
      <c r="H30" s="961"/>
      <c r="I30" s="962"/>
      <c r="J30" s="962"/>
      <c r="K30" s="963"/>
      <c r="L30" s="260"/>
      <c r="M30" s="952"/>
      <c r="N30" s="952"/>
      <c r="O30" s="952"/>
      <c r="P30" s="209"/>
      <c r="S30" s="1165"/>
    </row>
    <row r="31" spans="1:19" x14ac:dyDescent="0.25">
      <c r="A31" t="s">
        <v>136</v>
      </c>
      <c r="B31" s="724" t="s">
        <v>809</v>
      </c>
      <c r="C31" s="938" t="s">
        <v>242</v>
      </c>
      <c r="D31" s="238"/>
      <c r="E31" s="238"/>
      <c r="F31" s="238"/>
      <c r="G31" s="238"/>
      <c r="H31" s="238"/>
      <c r="I31" s="238"/>
      <c r="J31" s="238"/>
      <c r="K31" s="238"/>
      <c r="L31" s="260"/>
      <c r="M31" s="952"/>
      <c r="N31" s="952"/>
      <c r="O31" s="952"/>
      <c r="P31" s="209"/>
      <c r="S31" s="1037"/>
    </row>
    <row r="32" spans="1:19" x14ac:dyDescent="0.25">
      <c r="A32" t="s">
        <v>137</v>
      </c>
      <c r="B32" s="724" t="s">
        <v>999</v>
      </c>
      <c r="C32" s="724" t="s">
        <v>977</v>
      </c>
      <c r="D32" s="964"/>
      <c r="E32" s="578"/>
      <c r="F32" s="238"/>
      <c r="G32" s="956"/>
      <c r="H32" s="956"/>
      <c r="I32" s="956"/>
      <c r="J32" s="956"/>
      <c r="K32" s="956"/>
      <c r="L32" s="260"/>
      <c r="M32" s="952"/>
      <c r="N32" s="952"/>
      <c r="O32" s="952"/>
      <c r="P32" s="209"/>
      <c r="S32" s="1037"/>
    </row>
    <row r="33" spans="1:19" x14ac:dyDescent="0.25">
      <c r="A33" t="s">
        <v>138</v>
      </c>
      <c r="B33" s="724" t="s">
        <v>999</v>
      </c>
      <c r="C33" s="724" t="s">
        <v>1016</v>
      </c>
      <c r="D33" s="964"/>
      <c r="E33" s="238"/>
      <c r="F33" s="238"/>
      <c r="G33" s="956"/>
      <c r="H33" s="956"/>
      <c r="I33" s="956"/>
      <c r="J33" s="956"/>
      <c r="K33" s="956"/>
      <c r="L33" s="260"/>
      <c r="M33" s="952"/>
      <c r="N33" s="952"/>
      <c r="O33" s="952"/>
      <c r="P33" s="209"/>
      <c r="S33" s="1037"/>
    </row>
    <row r="34" spans="1:19" x14ac:dyDescent="0.25">
      <c r="A34" t="s">
        <v>241</v>
      </c>
      <c r="B34" s="724" t="s">
        <v>999</v>
      </c>
      <c r="C34" s="724" t="s">
        <v>242</v>
      </c>
      <c r="D34" s="964"/>
      <c r="E34" s="238"/>
      <c r="F34" s="238"/>
      <c r="G34" s="956"/>
      <c r="H34" s="768"/>
      <c r="I34" s="956"/>
      <c r="J34" s="956"/>
      <c r="K34" s="956"/>
      <c r="L34" s="260"/>
      <c r="M34" s="952"/>
      <c r="N34" s="952"/>
      <c r="O34" s="952"/>
      <c r="P34" s="209"/>
      <c r="S34" s="1037"/>
    </row>
    <row r="35" spans="1:19" x14ac:dyDescent="0.25">
      <c r="A35" t="s">
        <v>141</v>
      </c>
      <c r="B35" s="724" t="s">
        <v>999</v>
      </c>
      <c r="C35" s="724" t="s">
        <v>977</v>
      </c>
      <c r="D35" s="964"/>
      <c r="E35" s="238"/>
      <c r="F35" s="578"/>
      <c r="G35" s="956"/>
      <c r="H35" s="768"/>
      <c r="I35" s="956"/>
      <c r="J35" s="956"/>
      <c r="K35" s="956"/>
      <c r="L35" s="260"/>
      <c r="M35" s="952"/>
      <c r="N35" s="952"/>
      <c r="O35" s="952"/>
      <c r="P35" s="209"/>
      <c r="S35" s="1037"/>
    </row>
    <row r="36" spans="1:19" x14ac:dyDescent="0.25">
      <c r="A36" t="s">
        <v>140</v>
      </c>
      <c r="B36" s="724" t="s">
        <v>999</v>
      </c>
      <c r="C36" s="938" t="s">
        <v>977</v>
      </c>
      <c r="D36" s="964"/>
      <c r="E36" s="238"/>
      <c r="F36" s="578"/>
      <c r="G36" s="956"/>
      <c r="H36" s="768"/>
      <c r="I36" s="956"/>
      <c r="J36" s="956"/>
      <c r="K36" s="956"/>
      <c r="L36" s="260"/>
      <c r="M36" s="952"/>
      <c r="N36" s="952"/>
      <c r="O36" s="952"/>
      <c r="P36" s="209"/>
      <c r="S36" s="1037"/>
    </row>
    <row r="37" spans="1:19" x14ac:dyDescent="0.25">
      <c r="A37" t="s">
        <v>226</v>
      </c>
      <c r="B37" s="724" t="s">
        <v>999</v>
      </c>
      <c r="C37" s="938" t="s">
        <v>1064</v>
      </c>
      <c r="D37" s="964"/>
      <c r="E37" s="238"/>
      <c r="F37" s="578"/>
      <c r="G37" s="956"/>
      <c r="H37" s="768"/>
      <c r="I37" s="956"/>
      <c r="J37" s="956"/>
      <c r="K37" s="956"/>
      <c r="L37" s="260"/>
      <c r="M37" s="952"/>
      <c r="N37" s="952"/>
      <c r="O37" s="952"/>
      <c r="P37" s="209"/>
      <c r="S37" s="1037"/>
    </row>
    <row r="38" spans="1:19" x14ac:dyDescent="0.25">
      <c r="A38" t="s">
        <v>810</v>
      </c>
      <c r="B38" s="724" t="s">
        <v>162</v>
      </c>
      <c r="C38" s="724" t="s">
        <v>790</v>
      </c>
      <c r="D38" s="955"/>
      <c r="E38" s="238"/>
      <c r="F38" s="578"/>
      <c r="G38" s="956"/>
      <c r="H38" s="768"/>
      <c r="I38" s="956"/>
      <c r="J38" s="956"/>
      <c r="K38" s="956"/>
      <c r="L38" s="260"/>
      <c r="M38" s="952"/>
      <c r="N38" s="952"/>
      <c r="O38" s="952"/>
      <c r="P38" s="209"/>
      <c r="S38" s="1037"/>
    </row>
    <row r="39" spans="1:19" x14ac:dyDescent="0.25">
      <c r="A39" t="s">
        <v>811</v>
      </c>
      <c r="B39" s="730" t="s">
        <v>812</v>
      </c>
      <c r="C39" s="724" t="s">
        <v>244</v>
      </c>
      <c r="D39" s="965"/>
      <c r="E39" s="238"/>
      <c r="F39" s="578"/>
      <c r="G39" s="956"/>
      <c r="H39" s="768"/>
      <c r="I39" s="956"/>
      <c r="J39" s="956"/>
      <c r="K39" s="956"/>
      <c r="L39" s="260"/>
      <c r="M39" s="952"/>
      <c r="N39" s="952"/>
      <c r="O39" s="691"/>
      <c r="P39" s="209"/>
      <c r="S39" s="1037"/>
    </row>
    <row r="40" spans="1:19" x14ac:dyDescent="0.25">
      <c r="A40" s="107" t="s">
        <v>857</v>
      </c>
      <c r="B40" s="938" t="s">
        <v>812</v>
      </c>
      <c r="C40" s="938" t="s">
        <v>858</v>
      </c>
      <c r="D40" s="965"/>
      <c r="E40" s="238"/>
      <c r="F40" s="238"/>
      <c r="G40" s="956"/>
      <c r="H40" s="768"/>
      <c r="I40" s="956"/>
      <c r="J40" s="956"/>
      <c r="K40" s="956"/>
      <c r="L40" s="260"/>
      <c r="M40" s="952"/>
      <c r="N40" s="952"/>
      <c r="O40" s="691"/>
      <c r="P40" s="209"/>
      <c r="S40" s="1165"/>
    </row>
    <row r="41" spans="1:19" x14ac:dyDescent="0.25">
      <c r="A41" s="107" t="s">
        <v>859</v>
      </c>
      <c r="B41" s="730" t="s">
        <v>812</v>
      </c>
      <c r="C41" s="938" t="s">
        <v>244</v>
      </c>
      <c r="D41" s="1160"/>
      <c r="E41" s="238"/>
      <c r="F41" s="578"/>
      <c r="G41" s="956"/>
      <c r="H41" s="956"/>
      <c r="I41" s="956"/>
      <c r="J41" s="956"/>
      <c r="K41" s="956"/>
      <c r="L41" s="260"/>
      <c r="M41" s="952"/>
      <c r="N41" s="952"/>
      <c r="O41" s="691"/>
      <c r="P41" s="209"/>
      <c r="S41" s="1165"/>
    </row>
    <row r="42" spans="1:19" x14ac:dyDescent="0.25">
      <c r="A42" s="107" t="s">
        <v>227</v>
      </c>
      <c r="B42" s="940" t="s">
        <v>228</v>
      </c>
      <c r="C42" s="940" t="s">
        <v>139</v>
      </c>
      <c r="D42" s="955"/>
      <c r="E42" s="238"/>
      <c r="F42" s="750"/>
      <c r="G42" s="742"/>
      <c r="H42" s="956"/>
      <c r="I42" s="956"/>
      <c r="J42" s="956"/>
      <c r="K42" s="956"/>
      <c r="L42" s="260"/>
      <c r="M42" s="952"/>
      <c r="N42" s="952"/>
      <c r="O42" s="691"/>
      <c r="P42" s="209"/>
      <c r="R42" s="851"/>
      <c r="S42" s="1165"/>
    </row>
    <row r="43" spans="1:19" x14ac:dyDescent="0.25">
      <c r="A43" s="107" t="s">
        <v>147</v>
      </c>
      <c r="B43" s="939">
        <v>47120738</v>
      </c>
      <c r="C43" s="938" t="s">
        <v>148</v>
      </c>
      <c r="D43" s="955"/>
      <c r="E43" s="238"/>
      <c r="F43" s="954"/>
      <c r="G43" s="742"/>
      <c r="H43" s="956"/>
      <c r="I43" s="956"/>
      <c r="J43" s="956"/>
      <c r="K43" s="956"/>
      <c r="L43" s="260"/>
      <c r="M43" s="952"/>
      <c r="N43" s="952"/>
      <c r="O43" s="691"/>
      <c r="P43" s="209"/>
      <c r="R43" s="851"/>
    </row>
    <row r="44" spans="1:19" x14ac:dyDescent="0.25">
      <c r="A44" t="s">
        <v>151</v>
      </c>
      <c r="C44" s="938" t="s">
        <v>978</v>
      </c>
      <c r="D44"/>
      <c r="F44" s="904" t="s">
        <v>1003</v>
      </c>
      <c r="H44" s="131"/>
      <c r="I44" s="131"/>
      <c r="J44" s="131"/>
      <c r="K44" s="746"/>
      <c r="L44" s="260"/>
      <c r="M44" s="952"/>
      <c r="N44" s="952"/>
      <c r="O44" s="691"/>
      <c r="P44" s="209"/>
      <c r="R44" s="851"/>
    </row>
    <row r="45" spans="1:19" x14ac:dyDescent="0.25">
      <c r="A45" t="s">
        <v>230</v>
      </c>
      <c r="B45" s="724" t="s">
        <v>999</v>
      </c>
      <c r="C45" s="724" t="s">
        <v>139</v>
      </c>
      <c r="D45" s="730"/>
      <c r="F45" s="904" t="s">
        <v>1004</v>
      </c>
      <c r="H45" s="131"/>
      <c r="I45" s="131"/>
      <c r="J45" s="131"/>
      <c r="K45" s="746"/>
      <c r="L45" s="260"/>
      <c r="M45" s="952"/>
      <c r="N45" s="952"/>
      <c r="O45" s="691"/>
      <c r="P45" s="209"/>
    </row>
    <row r="46" spans="1:19" x14ac:dyDescent="0.25">
      <c r="A46" t="s">
        <v>152</v>
      </c>
      <c r="B46" s="727" t="s">
        <v>153</v>
      </c>
      <c r="C46" s="724" t="s">
        <v>790</v>
      </c>
      <c r="H46" s="212"/>
      <c r="I46" s="215"/>
      <c r="J46" s="215"/>
      <c r="K46" s="746"/>
      <c r="L46" s="260"/>
      <c r="M46" s="952"/>
      <c r="N46" s="952"/>
      <c r="O46" s="639"/>
      <c r="P46" s="209"/>
    </row>
    <row r="47" spans="1:19" x14ac:dyDescent="0.25">
      <c r="A47" t="s">
        <v>813</v>
      </c>
      <c r="B47" s="724" t="s">
        <v>162</v>
      </c>
      <c r="C47" s="233" t="s">
        <v>749</v>
      </c>
      <c r="H47" s="212"/>
      <c r="I47" s="215"/>
      <c r="J47" s="215"/>
      <c r="K47" s="746"/>
      <c r="L47" s="260"/>
      <c r="M47" s="952"/>
      <c r="N47" s="952"/>
      <c r="O47" s="639"/>
      <c r="P47" s="209"/>
    </row>
    <row r="48" spans="1:19" x14ac:dyDescent="0.25">
      <c r="A48" t="s">
        <v>964</v>
      </c>
      <c r="B48" s="724" t="s">
        <v>1000</v>
      </c>
      <c r="C48" s="724" t="s">
        <v>799</v>
      </c>
      <c r="D48" s="729"/>
      <c r="F48" s="219">
        <v>42802</v>
      </c>
      <c r="G48" s="219">
        <f ca="1">TODAY()</f>
        <v>44440</v>
      </c>
      <c r="H48" s="645">
        <f ca="1">+G48-F48</f>
        <v>1638</v>
      </c>
      <c r="I48" s="210">
        <f ca="1">+H48/30</f>
        <v>54.6</v>
      </c>
      <c r="J48" s="214" t="s">
        <v>190</v>
      </c>
      <c r="K48" s="746"/>
      <c r="L48" s="260"/>
      <c r="M48" s="952"/>
      <c r="N48" s="952"/>
      <c r="O48" s="761"/>
      <c r="P48" s="209"/>
    </row>
    <row r="49" spans="1:19" x14ac:dyDescent="0.25">
      <c r="A49" t="s">
        <v>921</v>
      </c>
      <c r="B49" s="818">
        <v>87184</v>
      </c>
      <c r="C49" s="818" t="str">
        <f>"0448"</f>
        <v>0448</v>
      </c>
      <c r="D49" s="730"/>
      <c r="F49" s="219">
        <v>42813</v>
      </c>
      <c r="G49" s="219">
        <f ca="1">TODAY()</f>
        <v>44440</v>
      </c>
      <c r="H49" s="645">
        <f ca="1">+G49-F49</f>
        <v>1627</v>
      </c>
      <c r="I49" s="210">
        <f ca="1">+H49/30</f>
        <v>54.233333333333334</v>
      </c>
      <c r="J49" s="214" t="s">
        <v>191</v>
      </c>
      <c r="K49" s="746"/>
      <c r="L49" s="260"/>
      <c r="M49" s="952"/>
      <c r="N49" s="952"/>
      <c r="O49" s="761"/>
      <c r="P49" s="209"/>
    </row>
    <row r="50" spans="1:19" x14ac:dyDescent="0.25">
      <c r="A50" t="s">
        <v>814</v>
      </c>
      <c r="B50" s="818">
        <v>3828289</v>
      </c>
      <c r="C50" t="s">
        <v>1019</v>
      </c>
      <c r="F50" s="219">
        <v>42879</v>
      </c>
      <c r="G50" s="219">
        <f ca="1">TODAY()</f>
        <v>44440</v>
      </c>
      <c r="H50" s="645">
        <f ca="1">+G50-F50</f>
        <v>1561</v>
      </c>
      <c r="I50" s="210">
        <f ca="1">+H50/30</f>
        <v>52.033333333333331</v>
      </c>
      <c r="J50" s="214" t="s">
        <v>192</v>
      </c>
      <c r="K50" s="746"/>
      <c r="L50" s="260"/>
      <c r="M50" s="952"/>
      <c r="N50" s="952"/>
      <c r="O50" s="761"/>
      <c r="P50" s="209"/>
    </row>
    <row r="51" spans="1:19" x14ac:dyDescent="0.25">
      <c r="A51" t="s">
        <v>815</v>
      </c>
      <c r="B51" t="s">
        <v>999</v>
      </c>
      <c r="C51" s="725" t="s">
        <v>822</v>
      </c>
      <c r="D51" s="725" t="s">
        <v>821</v>
      </c>
      <c r="F51" s="212"/>
      <c r="G51" s="221"/>
      <c r="H51" s="217"/>
      <c r="I51" s="215"/>
      <c r="J51" s="217"/>
      <c r="K51" s="746"/>
      <c r="L51" s="260"/>
      <c r="M51" s="952"/>
      <c r="N51" s="952"/>
      <c r="O51" s="761"/>
      <c r="P51" s="209"/>
    </row>
    <row r="52" spans="1:19" x14ac:dyDescent="0.25">
      <c r="A52" t="s">
        <v>816</v>
      </c>
      <c r="B52" s="818">
        <v>20608703000</v>
      </c>
      <c r="C52" s="233" t="s">
        <v>892</v>
      </c>
      <c r="D52" s="730"/>
      <c r="F52" s="212"/>
      <c r="G52" s="637"/>
      <c r="H52" s="217"/>
      <c r="I52" s="215"/>
      <c r="K52" s="746"/>
      <c r="L52" s="260"/>
      <c r="M52" s="952"/>
      <c r="N52" s="952"/>
      <c r="O52" s="761"/>
      <c r="P52" s="209"/>
    </row>
    <row r="53" spans="1:19" x14ac:dyDescent="0.25">
      <c r="A53" t="s">
        <v>817</v>
      </c>
      <c r="B53" s="724" t="s">
        <v>162</v>
      </c>
      <c r="C53" s="818">
        <v>21071983</v>
      </c>
      <c r="D53"/>
      <c r="E53" s="40"/>
      <c r="F53" s="212"/>
      <c r="G53" s="637"/>
      <c r="H53" s="217"/>
      <c r="I53" s="215"/>
    </row>
    <row r="54" spans="1:19" x14ac:dyDescent="0.25">
      <c r="A54" t="s">
        <v>817</v>
      </c>
      <c r="B54" s="724" t="s">
        <v>162</v>
      </c>
      <c r="C54" s="818">
        <v>21062003</v>
      </c>
      <c r="E54" s="40"/>
      <c r="F54" s="212"/>
      <c r="G54" s="637"/>
      <c r="H54" s="217"/>
      <c r="I54" s="215"/>
      <c r="S54" s="817"/>
    </row>
    <row r="55" spans="1:19" x14ac:dyDescent="0.25">
      <c r="A55" t="s">
        <v>212</v>
      </c>
      <c r="B55" s="724" t="s">
        <v>999</v>
      </c>
      <c r="C55" s="724" t="s">
        <v>1103</v>
      </c>
      <c r="D55" s="730"/>
      <c r="E55" s="40"/>
      <c r="F55" s="180"/>
      <c r="S55" s="28"/>
    </row>
    <row r="56" spans="1:19" x14ac:dyDescent="0.25">
      <c r="A56" t="s">
        <v>973</v>
      </c>
      <c r="B56" s="724" t="s">
        <v>999</v>
      </c>
      <c r="C56" s="938" t="s">
        <v>977</v>
      </c>
      <c r="D56" s="730"/>
      <c r="E56" s="40"/>
      <c r="F56" s="180"/>
      <c r="S56" s="28"/>
    </row>
    <row r="57" spans="1:19" x14ac:dyDescent="0.25">
      <c r="A57" t="s">
        <v>962</v>
      </c>
      <c r="B57" s="818" t="s">
        <v>963</v>
      </c>
      <c r="C57" s="818" t="s">
        <v>799</v>
      </c>
      <c r="D57" s="723"/>
      <c r="E57" s="40"/>
      <c r="F57" s="261"/>
      <c r="H57" s="131"/>
      <c r="I57" s="131"/>
      <c r="J57" s="871"/>
      <c r="K57" s="761"/>
      <c r="L57" s="799"/>
      <c r="O57" s="799"/>
      <c r="P57" s="799"/>
      <c r="R57" s="799"/>
      <c r="S57" s="799"/>
    </row>
    <row r="58" spans="1:19" x14ac:dyDescent="0.25">
      <c r="A58" t="s">
        <v>226</v>
      </c>
      <c r="B58" s="724" t="s">
        <v>1001</v>
      </c>
      <c r="C58" s="724" t="s">
        <v>982</v>
      </c>
      <c r="D58" s="729"/>
      <c r="E58" s="40"/>
      <c r="F58" s="261"/>
      <c r="H58" s="131"/>
      <c r="I58" s="131"/>
      <c r="J58" s="871"/>
    </row>
    <row r="59" spans="1:19" x14ac:dyDescent="0.25">
      <c r="A59" t="s">
        <v>981</v>
      </c>
      <c r="B59" s="724" t="s">
        <v>1001</v>
      </c>
      <c r="C59" s="724" t="s">
        <v>980</v>
      </c>
      <c r="D59" s="729"/>
      <c r="E59" s="40"/>
      <c r="F59" s="261"/>
      <c r="H59" s="131"/>
      <c r="I59" s="131"/>
      <c r="J59" s="871"/>
      <c r="L59" s="799"/>
    </row>
    <row r="60" spans="1:19" x14ac:dyDescent="0.25">
      <c r="A60" t="s">
        <v>219</v>
      </c>
      <c r="B60" s="724" t="s">
        <v>220</v>
      </c>
      <c r="C60" s="724" t="s">
        <v>221</v>
      </c>
      <c r="E60" s="40"/>
      <c r="F60" s="261"/>
      <c r="H60" s="131"/>
      <c r="I60" s="131"/>
      <c r="J60" s="638"/>
      <c r="K60" s="761"/>
      <c r="L60" s="799"/>
      <c r="O60" s="799"/>
      <c r="P60" s="799"/>
      <c r="R60" s="799"/>
      <c r="S60" s="799"/>
    </row>
    <row r="61" spans="1:19" x14ac:dyDescent="0.25">
      <c r="A61" t="s">
        <v>998</v>
      </c>
      <c r="B61" s="724" t="s">
        <v>999</v>
      </c>
      <c r="C61" s="728" t="s">
        <v>977</v>
      </c>
      <c r="E61" s="40"/>
      <c r="F61" s="261"/>
      <c r="H61" s="131"/>
      <c r="I61" s="131"/>
      <c r="J61" s="638"/>
      <c r="L61" s="799"/>
      <c r="O61" s="799"/>
      <c r="P61" s="799"/>
      <c r="R61" s="799"/>
      <c r="S61" s="799"/>
    </row>
    <row r="62" spans="1:19" x14ac:dyDescent="0.25">
      <c r="A62" t="s">
        <v>1023</v>
      </c>
      <c r="B62" s="724" t="s">
        <v>1024</v>
      </c>
      <c r="C62" s="818">
        <v>210783</v>
      </c>
      <c r="E62" s="40"/>
      <c r="F62" s="261"/>
      <c r="H62" s="131"/>
      <c r="I62" s="131"/>
      <c r="J62" s="638"/>
      <c r="K62" s="761"/>
      <c r="L62" s="799"/>
      <c r="O62" s="799"/>
      <c r="P62" s="799"/>
      <c r="R62" s="799"/>
      <c r="S62" s="799"/>
    </row>
    <row r="63" spans="1:19" x14ac:dyDescent="0.25">
      <c r="A63" t="s">
        <v>1026</v>
      </c>
      <c r="B63" s="724" t="s">
        <v>1031</v>
      </c>
      <c r="C63" s="1036" t="s">
        <v>844</v>
      </c>
      <c r="D63" s="728"/>
      <c r="E63" s="40"/>
      <c r="F63" s="261"/>
      <c r="G63" s="746"/>
      <c r="H63" s="746"/>
      <c r="I63" s="746"/>
      <c r="J63" s="638"/>
      <c r="K63" s="761"/>
      <c r="L63" s="799"/>
      <c r="O63" s="799"/>
      <c r="P63" s="799"/>
      <c r="R63" s="799"/>
      <c r="S63" s="799"/>
    </row>
    <row r="64" spans="1:19" x14ac:dyDescent="0.25">
      <c r="A64" t="s">
        <v>1027</v>
      </c>
      <c r="B64" s="724" t="s">
        <v>999</v>
      </c>
      <c r="C64" s="724" t="s">
        <v>1028</v>
      </c>
      <c r="D64" s="728"/>
      <c r="E64" s="40"/>
      <c r="F64" s="261"/>
      <c r="H64" s="131"/>
      <c r="I64" s="131"/>
      <c r="J64" s="638"/>
      <c r="K64" s="638"/>
      <c r="L64" s="638"/>
      <c r="M64" s="953"/>
      <c r="N64" s="953"/>
      <c r="O64" s="638"/>
      <c r="P64" s="638"/>
    </row>
    <row r="65" spans="1:16" x14ac:dyDescent="0.25">
      <c r="A65" t="s">
        <v>1029</v>
      </c>
      <c r="B65" s="724" t="s">
        <v>999</v>
      </c>
      <c r="C65" s="724" t="s">
        <v>1030</v>
      </c>
      <c r="E65" s="40"/>
      <c r="F65" s="261"/>
      <c r="H65" s="131"/>
      <c r="I65" s="131"/>
      <c r="J65" s="638"/>
      <c r="K65" s="638"/>
      <c r="L65" s="638"/>
      <c r="M65" s="953"/>
      <c r="N65" s="953"/>
      <c r="O65" s="638"/>
      <c r="P65" s="638"/>
    </row>
    <row r="66" spans="1:16" x14ac:dyDescent="0.25">
      <c r="A66" t="s">
        <v>1072</v>
      </c>
      <c r="B66" s="724" t="s">
        <v>999</v>
      </c>
      <c r="C66" s="724" t="s">
        <v>1073</v>
      </c>
      <c r="E66" s="40"/>
      <c r="F66" s="261"/>
      <c r="H66" s="131"/>
      <c r="I66" s="131"/>
      <c r="J66" s="638"/>
      <c r="K66" s="638"/>
      <c r="L66" s="638"/>
      <c r="M66" s="953"/>
      <c r="N66" s="953"/>
      <c r="O66" s="638"/>
      <c r="P66" s="638"/>
    </row>
    <row r="67" spans="1:16" x14ac:dyDescent="0.25">
      <c r="E67" s="40"/>
      <c r="F67" s="261"/>
      <c r="H67" s="131"/>
      <c r="I67" s="131"/>
      <c r="J67" s="638"/>
      <c r="K67" s="638"/>
      <c r="L67" s="638"/>
      <c r="M67" s="953"/>
      <c r="N67" s="953"/>
      <c r="O67" s="638"/>
      <c r="P67" s="638"/>
    </row>
    <row r="68" spans="1:16" x14ac:dyDescent="0.25">
      <c r="F68" s="261"/>
      <c r="H68" s="131"/>
      <c r="I68" s="131"/>
      <c r="J68" s="638"/>
      <c r="K68" s="638"/>
      <c r="L68" s="638"/>
      <c r="M68" s="953"/>
      <c r="N68" s="953"/>
      <c r="O68" s="810"/>
      <c r="P68" s="810"/>
    </row>
    <row r="69" spans="1:16" x14ac:dyDescent="0.25">
      <c r="F69" s="261"/>
      <c r="H69" s="131"/>
      <c r="I69" s="131"/>
      <c r="J69" s="638"/>
      <c r="K69" s="638"/>
      <c r="L69" s="638"/>
      <c r="M69" s="953"/>
      <c r="N69" s="953"/>
      <c r="O69" s="810"/>
      <c r="P69" s="810"/>
    </row>
    <row r="70" spans="1:16" x14ac:dyDescent="0.25">
      <c r="F70" s="261"/>
      <c r="H70" s="263"/>
      <c r="I70" s="263"/>
      <c r="J70" s="638"/>
      <c r="K70" s="638"/>
      <c r="L70" s="638"/>
      <c r="M70" s="953"/>
      <c r="N70" s="953"/>
      <c r="O70" s="810"/>
      <c r="P70" s="810"/>
    </row>
    <row r="71" spans="1:16" x14ac:dyDescent="0.25">
      <c r="F71" s="261"/>
      <c r="H71" s="263"/>
      <c r="I71" s="263"/>
      <c r="J71" s="638"/>
      <c r="K71" s="638"/>
      <c r="L71" s="638"/>
      <c r="M71" s="953"/>
      <c r="N71" s="953"/>
      <c r="O71" s="810"/>
      <c r="P71" s="810"/>
    </row>
    <row r="72" spans="1:16" x14ac:dyDescent="0.25">
      <c r="F72" s="261"/>
      <c r="H72" s="263"/>
      <c r="I72" s="263"/>
      <c r="J72" s="638"/>
      <c r="K72" s="638"/>
      <c r="L72" s="638"/>
      <c r="M72" s="953"/>
      <c r="N72" s="953"/>
      <c r="O72" s="638"/>
      <c r="P72" s="638"/>
    </row>
    <row r="73" spans="1:16" x14ac:dyDescent="0.25">
      <c r="F73" s="261"/>
      <c r="H73" s="263"/>
      <c r="I73" s="263"/>
      <c r="J73" s="638"/>
      <c r="K73" s="638"/>
      <c r="L73" s="638"/>
      <c r="M73" s="953"/>
      <c r="N73" s="953"/>
      <c r="O73" s="638"/>
      <c r="P73" s="638"/>
    </row>
    <row r="74" spans="1:16" x14ac:dyDescent="0.25">
      <c r="F74" s="261"/>
      <c r="H74" s="263"/>
      <c r="I74" s="263"/>
      <c r="J74" s="638"/>
      <c r="K74" s="638"/>
      <c r="L74" s="638"/>
      <c r="M74" s="953"/>
      <c r="N74" s="953"/>
      <c r="O74" s="638"/>
      <c r="P74" s="638"/>
    </row>
    <row r="75" spans="1:16" x14ac:dyDescent="0.25">
      <c r="F75" s="261"/>
      <c r="H75" s="263"/>
      <c r="I75" s="263"/>
      <c r="J75" s="638"/>
      <c r="K75" s="638"/>
      <c r="L75" s="638"/>
      <c r="M75" s="953"/>
      <c r="N75" s="953"/>
      <c r="O75" s="638"/>
      <c r="P75" s="638"/>
    </row>
    <row r="76" spans="1:16" x14ac:dyDescent="0.25">
      <c r="F76" s="261"/>
      <c r="H76" s="263"/>
      <c r="I76" s="263"/>
      <c r="J76" s="638"/>
      <c r="K76" s="638"/>
      <c r="L76" s="638"/>
      <c r="M76" s="953"/>
      <c r="N76" s="953"/>
      <c r="O76" s="638"/>
      <c r="P76" s="638"/>
    </row>
    <row r="77" spans="1:16" x14ac:dyDescent="0.25">
      <c r="F77" s="261"/>
      <c r="H77" s="263"/>
      <c r="I77" s="263"/>
      <c r="J77" s="638"/>
      <c r="K77" s="638"/>
      <c r="L77" s="638"/>
      <c r="M77" s="953"/>
      <c r="N77" s="953"/>
      <c r="O77" s="638"/>
      <c r="P77" s="638"/>
    </row>
    <row r="78" spans="1:16" x14ac:dyDescent="0.25">
      <c r="F78" s="261"/>
      <c r="H78" s="263"/>
      <c r="I78" s="263"/>
      <c r="J78" s="638"/>
      <c r="K78" s="638"/>
      <c r="L78" s="638"/>
      <c r="M78" s="953"/>
      <c r="N78" s="953"/>
      <c r="O78" s="638"/>
      <c r="P78" s="638"/>
    </row>
    <row r="79" spans="1:16" x14ac:dyDescent="0.25">
      <c r="F79" s="261"/>
      <c r="H79" s="263"/>
      <c r="I79" s="263"/>
      <c r="J79" s="638"/>
      <c r="K79" s="638"/>
      <c r="L79" s="638"/>
      <c r="M79" s="953"/>
      <c r="N79" s="953"/>
      <c r="O79" s="638"/>
      <c r="P79" s="638"/>
    </row>
    <row r="80" spans="1:16" x14ac:dyDescent="0.25">
      <c r="F80" s="261"/>
      <c r="H80" s="263"/>
      <c r="I80" s="263"/>
      <c r="J80" s="638"/>
      <c r="K80" s="638"/>
      <c r="L80" s="638"/>
      <c r="M80" s="953"/>
      <c r="N80" s="953"/>
      <c r="O80" s="638"/>
      <c r="P80" s="638"/>
    </row>
    <row r="81" spans="6:16" x14ac:dyDescent="0.25">
      <c r="H81" s="263"/>
      <c r="I81" s="263"/>
      <c r="J81" s="638"/>
      <c r="K81" s="638"/>
      <c r="L81" s="638"/>
      <c r="M81" s="953"/>
      <c r="N81" s="953"/>
      <c r="O81" s="638"/>
      <c r="P81" s="638"/>
    </row>
    <row r="87" spans="6:16" x14ac:dyDescent="0.25">
      <c r="F87" s="767"/>
    </row>
    <row r="88" spans="6:16" x14ac:dyDescent="0.25">
      <c r="F88" s="768" t="s">
        <v>785</v>
      </c>
      <c r="G88" s="767"/>
      <c r="H88" s="767" t="s">
        <v>852</v>
      </c>
      <c r="I88" s="767"/>
      <c r="J88" s="767"/>
      <c r="K88" s="767"/>
      <c r="L88" s="767"/>
      <c r="M88" s="952"/>
    </row>
    <row r="89" spans="6:16" x14ac:dyDescent="0.25">
      <c r="F89" s="768">
        <v>3</v>
      </c>
      <c r="G89" s="768" t="s">
        <v>784</v>
      </c>
      <c r="H89" s="768">
        <v>200000</v>
      </c>
      <c r="I89" s="768" t="s">
        <v>786</v>
      </c>
      <c r="J89" s="768" t="s">
        <v>787</v>
      </c>
      <c r="K89" s="768" t="s">
        <v>788</v>
      </c>
      <c r="L89" s="767" t="s">
        <v>827</v>
      </c>
      <c r="M89" s="952"/>
    </row>
    <row r="90" spans="6:16" x14ac:dyDescent="0.25">
      <c r="F90" s="768">
        <v>6</v>
      </c>
      <c r="G90" s="768">
        <v>1.1377200000000001</v>
      </c>
      <c r="H90" s="768">
        <f>+$H$89*G90</f>
        <v>227544</v>
      </c>
      <c r="I90" s="768">
        <f>+H90/F89</f>
        <v>75848</v>
      </c>
      <c r="J90" s="768">
        <f>+H90-H89</f>
        <v>27544</v>
      </c>
      <c r="K90" s="768">
        <f>+J90/F89</f>
        <v>9181.3333333333339</v>
      </c>
      <c r="L90" s="767">
        <f>+I90*1.21</f>
        <v>91776.08</v>
      </c>
      <c r="M90" s="952"/>
    </row>
    <row r="91" spans="6:16" x14ac:dyDescent="0.25">
      <c r="F91" s="768">
        <v>12</v>
      </c>
      <c r="G91" s="768">
        <v>1.248678</v>
      </c>
      <c r="H91" s="768">
        <f>+$H$89*G91</f>
        <v>249735.59999999998</v>
      </c>
      <c r="I91" s="768">
        <f>+H91/F90</f>
        <v>41622.6</v>
      </c>
      <c r="J91" s="768">
        <f>+H91-H89</f>
        <v>49735.599999999977</v>
      </c>
      <c r="K91" s="768">
        <f>+J91/F90</f>
        <v>8289.2666666666628</v>
      </c>
      <c r="L91" s="767">
        <f>+I91*1.21</f>
        <v>50363.345999999998</v>
      </c>
      <c r="M91" s="952"/>
    </row>
    <row r="92" spans="6:16" x14ac:dyDescent="0.25">
      <c r="F92" s="767"/>
      <c r="G92" s="768">
        <v>1.489932</v>
      </c>
      <c r="H92" s="768">
        <f>+$H$89*G92</f>
        <v>297986.40000000002</v>
      </c>
      <c r="I92" s="768">
        <f>+H92/F91</f>
        <v>24832.2</v>
      </c>
      <c r="J92" s="768">
        <f>+H92-H89</f>
        <v>97986.400000000023</v>
      </c>
      <c r="K92" s="768">
        <f>+J92/F91</f>
        <v>8165.5333333333356</v>
      </c>
      <c r="L92" s="767">
        <f>+I92*1.21</f>
        <v>30046.962</v>
      </c>
      <c r="M92" s="952"/>
    </row>
    <row r="93" spans="6:16" x14ac:dyDescent="0.25">
      <c r="F93" s="767"/>
      <c r="G93" s="768"/>
      <c r="H93" s="768"/>
      <c r="I93" s="768"/>
      <c r="J93" s="768"/>
      <c r="K93" s="768"/>
      <c r="L93" s="767"/>
      <c r="M93" s="952"/>
    </row>
    <row r="94" spans="6:16" x14ac:dyDescent="0.25">
      <c r="F94" s="767" t="s">
        <v>785</v>
      </c>
      <c r="G94" s="768"/>
      <c r="H94" s="768" t="s">
        <v>853</v>
      </c>
      <c r="I94" s="768"/>
      <c r="J94" s="768"/>
      <c r="K94" s="768"/>
      <c r="L94" s="767"/>
      <c r="M94" s="952"/>
    </row>
    <row r="95" spans="6:16" x14ac:dyDescent="0.25">
      <c r="F95" s="767">
        <v>3</v>
      </c>
      <c r="G95" s="768" t="s">
        <v>784</v>
      </c>
      <c r="H95" s="768">
        <f>+H89</f>
        <v>200000</v>
      </c>
      <c r="I95" s="768" t="s">
        <v>826</v>
      </c>
      <c r="J95" s="768" t="s">
        <v>787</v>
      </c>
      <c r="K95" s="768" t="s">
        <v>788</v>
      </c>
      <c r="L95" s="767"/>
      <c r="M95" s="952"/>
    </row>
    <row r="96" spans="6:16" x14ac:dyDescent="0.25">
      <c r="F96" s="767">
        <v>6</v>
      </c>
      <c r="G96" s="767">
        <v>1.1534</v>
      </c>
      <c r="H96" s="767">
        <f t="shared" ref="H96:H103" si="0">+$H$95*G96</f>
        <v>230680</v>
      </c>
      <c r="I96" s="767">
        <f t="shared" ref="I96:I103" si="1">+H96/F95</f>
        <v>76893.333333333328</v>
      </c>
      <c r="J96" s="767">
        <f t="shared" ref="J96:J103" si="2">+H96-$H$95</f>
        <v>30680</v>
      </c>
      <c r="K96" s="767">
        <f t="shared" ref="K96:K103" si="3">+J96/F95</f>
        <v>10226.666666666666</v>
      </c>
      <c r="L96" s="767"/>
      <c r="M96" s="952"/>
    </row>
    <row r="97" spans="5:14" x14ac:dyDescent="0.25">
      <c r="F97" s="767">
        <v>12</v>
      </c>
      <c r="G97" s="767">
        <v>1.2839400000000001</v>
      </c>
      <c r="H97" s="767">
        <f t="shared" si="0"/>
        <v>256788.00000000003</v>
      </c>
      <c r="I97" s="767">
        <f t="shared" si="1"/>
        <v>42798.000000000007</v>
      </c>
      <c r="J97" s="767">
        <f t="shared" si="2"/>
        <v>56788.000000000029</v>
      </c>
      <c r="K97" s="767">
        <f t="shared" si="3"/>
        <v>9464.6666666666715</v>
      </c>
      <c r="L97" s="767"/>
      <c r="M97" s="952">
        <v>50000</v>
      </c>
    </row>
    <row r="98" spans="5:14" x14ac:dyDescent="0.25">
      <c r="F98" s="768">
        <v>24</v>
      </c>
      <c r="G98" s="768">
        <v>1.5581</v>
      </c>
      <c r="H98" s="767">
        <f t="shared" si="0"/>
        <v>311620</v>
      </c>
      <c r="I98" s="767">
        <f t="shared" si="1"/>
        <v>25968.333333333332</v>
      </c>
      <c r="J98" s="767">
        <f t="shared" si="2"/>
        <v>111620</v>
      </c>
      <c r="K98" s="767">
        <f t="shared" si="3"/>
        <v>9301.6666666666661</v>
      </c>
      <c r="L98" s="767">
        <f t="shared" ref="L98:L103" si="4">+F97/12</f>
        <v>1</v>
      </c>
      <c r="M98" s="952">
        <f t="shared" ref="M98:M103" si="5">+M97*1.2</f>
        <v>60000</v>
      </c>
    </row>
    <row r="99" spans="5:14" x14ac:dyDescent="0.25">
      <c r="F99" s="768">
        <v>36</v>
      </c>
      <c r="G99" s="768">
        <v>2.12</v>
      </c>
      <c r="H99" s="767">
        <f t="shared" si="0"/>
        <v>424000</v>
      </c>
      <c r="I99" s="767">
        <f t="shared" si="1"/>
        <v>17666.666666666668</v>
      </c>
      <c r="J99" s="767">
        <f t="shared" si="2"/>
        <v>224000</v>
      </c>
      <c r="K99" s="767">
        <f t="shared" si="3"/>
        <v>9333.3333333333339</v>
      </c>
      <c r="L99" s="767">
        <f t="shared" si="4"/>
        <v>2</v>
      </c>
      <c r="M99" s="952">
        <f t="shared" si="5"/>
        <v>72000</v>
      </c>
    </row>
    <row r="100" spans="5:14" x14ac:dyDescent="0.25">
      <c r="F100" s="768">
        <v>48</v>
      </c>
      <c r="G100" s="768">
        <v>2.74</v>
      </c>
      <c r="H100" s="767">
        <f t="shared" si="0"/>
        <v>548000</v>
      </c>
      <c r="I100" s="767">
        <f t="shared" si="1"/>
        <v>15222.222222222223</v>
      </c>
      <c r="J100" s="767">
        <f t="shared" si="2"/>
        <v>348000</v>
      </c>
      <c r="K100" s="767">
        <f t="shared" si="3"/>
        <v>9666.6666666666661</v>
      </c>
      <c r="L100" s="767">
        <f t="shared" si="4"/>
        <v>3</v>
      </c>
      <c r="M100" s="952">
        <f t="shared" si="5"/>
        <v>86400</v>
      </c>
    </row>
    <row r="101" spans="5:14" x14ac:dyDescent="0.25">
      <c r="F101" s="768">
        <v>60</v>
      </c>
      <c r="G101" s="768">
        <v>3.42</v>
      </c>
      <c r="H101" s="767">
        <f t="shared" si="0"/>
        <v>684000</v>
      </c>
      <c r="I101" s="767">
        <f t="shared" si="1"/>
        <v>14250</v>
      </c>
      <c r="J101" s="767">
        <f t="shared" si="2"/>
        <v>484000</v>
      </c>
      <c r="K101" s="767">
        <f t="shared" si="3"/>
        <v>10083.333333333334</v>
      </c>
      <c r="L101" s="767">
        <f t="shared" si="4"/>
        <v>4</v>
      </c>
      <c r="M101" s="952">
        <f t="shared" si="5"/>
        <v>103680</v>
      </c>
    </row>
    <row r="102" spans="5:14" x14ac:dyDescent="0.25">
      <c r="F102" s="768">
        <v>72</v>
      </c>
      <c r="G102" s="768">
        <v>4.13</v>
      </c>
      <c r="H102" s="767">
        <f t="shared" si="0"/>
        <v>826000</v>
      </c>
      <c r="I102" s="767">
        <f t="shared" si="1"/>
        <v>13766.666666666666</v>
      </c>
      <c r="J102" s="767">
        <f t="shared" si="2"/>
        <v>626000</v>
      </c>
      <c r="K102" s="767">
        <f t="shared" si="3"/>
        <v>10433.333333333334</v>
      </c>
      <c r="L102" s="767">
        <f t="shared" si="4"/>
        <v>5</v>
      </c>
      <c r="M102" s="952">
        <f t="shared" si="5"/>
        <v>124416</v>
      </c>
    </row>
    <row r="103" spans="5:14" x14ac:dyDescent="0.25">
      <c r="G103" s="768">
        <v>4.88</v>
      </c>
      <c r="H103" s="767">
        <f t="shared" si="0"/>
        <v>976000</v>
      </c>
      <c r="I103" s="767">
        <f t="shared" si="1"/>
        <v>13555.555555555555</v>
      </c>
      <c r="J103" s="767">
        <f t="shared" si="2"/>
        <v>776000</v>
      </c>
      <c r="K103" s="767">
        <f t="shared" si="3"/>
        <v>10777.777777777777</v>
      </c>
      <c r="L103" s="767">
        <f t="shared" si="4"/>
        <v>6</v>
      </c>
      <c r="M103" s="952">
        <f t="shared" si="5"/>
        <v>149299.19999999998</v>
      </c>
    </row>
    <row r="108" spans="5:14" x14ac:dyDescent="0.25">
      <c r="E108" s="37"/>
      <c r="F108" s="37"/>
      <c r="G108" s="588"/>
      <c r="H108" s="37"/>
      <c r="I108" s="37"/>
    </row>
    <row r="109" spans="5:14" x14ac:dyDescent="0.25">
      <c r="E109" s="37"/>
      <c r="F109" s="37"/>
      <c r="G109" s="820"/>
      <c r="H109" s="1143"/>
      <c r="I109" s="668"/>
      <c r="J109" s="691"/>
      <c r="K109" s="212"/>
      <c r="L109" s="212"/>
      <c r="M109" s="952"/>
      <c r="N109" s="952"/>
    </row>
    <row r="110" spans="5:14" x14ac:dyDescent="0.25">
      <c r="E110" s="37"/>
      <c r="F110" s="37"/>
      <c r="G110" s="820"/>
      <c r="H110" s="1143"/>
      <c r="I110" s="668"/>
      <c r="J110" s="212"/>
      <c r="K110" s="212"/>
      <c r="L110" s="212"/>
      <c r="M110" s="952"/>
      <c r="N110" s="952"/>
    </row>
    <row r="111" spans="5:14" x14ac:dyDescent="0.25">
      <c r="E111" s="37"/>
      <c r="F111" s="37"/>
      <c r="G111" s="820"/>
      <c r="H111" s="1143"/>
      <c r="I111" s="668"/>
      <c r="J111" s="691"/>
      <c r="K111" s="212"/>
      <c r="L111" s="212"/>
      <c r="M111" s="952"/>
      <c r="N111" s="952"/>
    </row>
    <row r="112" spans="5:14" x14ac:dyDescent="0.25">
      <c r="E112" s="37"/>
      <c r="F112" s="37"/>
      <c r="G112" s="820"/>
      <c r="H112" s="1143"/>
      <c r="I112" s="668"/>
      <c r="J112" s="691"/>
      <c r="K112" s="212"/>
      <c r="L112" s="212"/>
      <c r="M112" s="952"/>
      <c r="N112" s="952"/>
    </row>
    <row r="113" spans="5:14" x14ac:dyDescent="0.25">
      <c r="E113" s="37"/>
      <c r="F113" s="37"/>
      <c r="G113" s="820"/>
      <c r="H113" s="1143"/>
      <c r="I113" s="668"/>
      <c r="J113" s="691"/>
      <c r="K113" s="212"/>
      <c r="L113" s="212"/>
      <c r="M113" s="952"/>
      <c r="N113" s="952"/>
    </row>
    <row r="114" spans="5:14" x14ac:dyDescent="0.25">
      <c r="E114" s="37"/>
      <c r="F114" s="37"/>
      <c r="G114" s="820"/>
      <c r="H114" s="1143"/>
      <c r="I114" s="668"/>
      <c r="J114" s="691"/>
      <c r="K114" s="212"/>
      <c r="L114" s="212"/>
      <c r="M114" s="952"/>
      <c r="N114" s="952"/>
    </row>
    <row r="115" spans="5:14" x14ac:dyDescent="0.25">
      <c r="E115" s="37"/>
      <c r="F115" s="37"/>
      <c r="G115" s="820"/>
      <c r="H115" s="1143"/>
      <c r="I115" s="668"/>
      <c r="J115" s="691"/>
      <c r="K115" s="212"/>
      <c r="L115" s="212"/>
      <c r="M115" s="952"/>
      <c r="N115" s="952"/>
    </row>
    <row r="116" spans="5:14" x14ac:dyDescent="0.25">
      <c r="E116" s="37"/>
      <c r="F116" s="37"/>
      <c r="G116" s="820"/>
      <c r="H116" s="1143"/>
      <c r="I116" s="668"/>
      <c r="J116" s="691"/>
      <c r="K116" s="212"/>
      <c r="L116" s="212"/>
      <c r="M116" s="952"/>
      <c r="N116" s="952"/>
    </row>
    <row r="117" spans="5:14" x14ac:dyDescent="0.25">
      <c r="E117" s="37"/>
      <c r="F117" s="37"/>
      <c r="G117" s="820"/>
      <c r="H117" s="1143"/>
      <c r="I117" s="668"/>
      <c r="J117" s="212"/>
      <c r="K117" s="212"/>
      <c r="L117" s="212"/>
      <c r="M117" s="952"/>
      <c r="N117" s="952"/>
    </row>
    <row r="118" spans="5:14" x14ac:dyDescent="0.25">
      <c r="E118" s="37"/>
      <c r="F118" s="37"/>
      <c r="G118" s="820"/>
      <c r="H118" s="1143"/>
      <c r="I118" s="668"/>
      <c r="J118" s="243"/>
      <c r="K118" s="243"/>
      <c r="L118" s="243"/>
      <c r="M118" s="952"/>
      <c r="N118" s="952"/>
    </row>
    <row r="119" spans="5:14" x14ac:dyDescent="0.25">
      <c r="E119" s="37"/>
      <c r="F119" s="37"/>
      <c r="G119" s="820"/>
      <c r="H119" s="1143"/>
      <c r="I119" s="668"/>
      <c r="J119" s="243"/>
      <c r="K119" s="243"/>
      <c r="L119" s="243"/>
      <c r="M119" s="952"/>
      <c r="N119" s="952"/>
    </row>
    <row r="120" spans="5:14" x14ac:dyDescent="0.25">
      <c r="E120" s="37"/>
      <c r="F120" s="37"/>
      <c r="G120" s="820"/>
      <c r="H120" s="1143"/>
      <c r="I120" s="668"/>
      <c r="J120" s="243"/>
      <c r="K120" s="243"/>
      <c r="L120" s="243"/>
      <c r="M120" s="952"/>
      <c r="N120" s="952"/>
    </row>
    <row r="121" spans="5:14" x14ac:dyDescent="0.25">
      <c r="E121" s="37"/>
      <c r="F121" s="37"/>
      <c r="G121" s="1082"/>
      <c r="H121" s="821"/>
      <c r="I121" s="37"/>
    </row>
    <row r="122" spans="5:14" x14ac:dyDescent="0.25">
      <c r="E122" s="37"/>
      <c r="F122" s="37"/>
      <c r="G122" s="1082"/>
      <c r="H122" s="1082"/>
      <c r="I122" s="37"/>
    </row>
    <row r="123" spans="5:14" x14ac:dyDescent="0.25">
      <c r="E123" s="37"/>
      <c r="F123" s="37"/>
      <c r="G123" s="1082"/>
      <c r="H123" s="1082"/>
      <c r="I123" s="37"/>
    </row>
    <row r="124" spans="5:14" x14ac:dyDescent="0.25">
      <c r="E124" s="37"/>
      <c r="F124" s="37"/>
      <c r="G124" s="1082"/>
      <c r="H124" s="1082"/>
      <c r="I124" s="37"/>
    </row>
    <row r="125" spans="5:14" x14ac:dyDescent="0.25">
      <c r="E125" s="37"/>
      <c r="F125" s="37"/>
      <c r="G125" s="588"/>
      <c r="H125" s="37"/>
      <c r="I125" s="37"/>
    </row>
  </sheetData>
  <hyperlinks>
    <hyperlink ref="B25" r:id="rId1"/>
    <hyperlink ref="B41" r:id="rId2"/>
    <hyperlink ref="B39" r:id="rId3"/>
  </hyperlinks>
  <pageMargins left="0.7" right="0.7" top="0.75" bottom="0.75" header="0.3" footer="0.3"/>
  <pageSetup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/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22" bestFit="1" customWidth="1"/>
    <col min="6" max="6" width="15.85546875" style="165" customWidth="1"/>
    <col min="7" max="7" width="19.28515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78">
        <f ca="1">TODAY()</f>
        <v>44440</v>
      </c>
      <c r="C1" s="1179"/>
      <c r="D1" s="123" t="s">
        <v>0</v>
      </c>
      <c r="E1" s="118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160</v>
      </c>
      <c r="E2" s="119">
        <f>SUM(D6:D203)-SUM(E6:E203)</f>
        <v>3800</v>
      </c>
      <c r="F2" s="175" t="s">
        <v>161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19"/>
      <c r="F3" s="175" t="s">
        <v>159</v>
      </c>
      <c r="G3" s="110">
        <f>+H3*Ctz</f>
        <v>28808.999999999996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182</v>
      </c>
      <c r="E4" s="119">
        <v>64925.07</v>
      </c>
      <c r="F4" s="175" t="s">
        <v>158</v>
      </c>
      <c r="G4" s="111">
        <f ca="1">+Plazos!R1+E4</f>
        <v>64925.07</v>
      </c>
      <c r="H4" s="101">
        <f ca="1">+G4/20</f>
        <v>3246.2534999999998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20" t="s">
        <v>64</v>
      </c>
      <c r="F5" s="162" t="s">
        <v>10</v>
      </c>
      <c r="G5" s="112">
        <f ca="1">+G2+G4+G3</f>
        <v>97534.07</v>
      </c>
      <c r="H5" s="101">
        <f ca="1">+H4+H3+H2</f>
        <v>3616.2534999999998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72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72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142</v>
      </c>
      <c r="D8" s="172">
        <v>3800</v>
      </c>
      <c r="E8" s="172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142</v>
      </c>
      <c r="D9" s="172">
        <v>1500</v>
      </c>
      <c r="E9" s="172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142</v>
      </c>
      <c r="D10" s="172">
        <v>2700</v>
      </c>
      <c r="E10" s="172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72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72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72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72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72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72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72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154</v>
      </c>
      <c r="D18" s="172"/>
      <c r="E18" s="172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72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72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72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72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155</v>
      </c>
      <c r="D23" s="172"/>
      <c r="E23" s="172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72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156</v>
      </c>
      <c r="D25" s="172"/>
      <c r="E25" s="172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72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72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72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72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72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72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72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143</v>
      </c>
      <c r="D33" s="172"/>
      <c r="E33" s="172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72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72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163</v>
      </c>
      <c r="D36" s="172"/>
      <c r="E36" s="172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164</v>
      </c>
      <c r="D37" s="172"/>
      <c r="E37" s="172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72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169</v>
      </c>
      <c r="D39" s="172"/>
      <c r="E39" s="172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168</v>
      </c>
      <c r="D40" s="172"/>
      <c r="E40" s="172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72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72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72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163</v>
      </c>
      <c r="D44" s="173">
        <v>3800</v>
      </c>
      <c r="E44" s="174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170</v>
      </c>
      <c r="D45" s="173">
        <v>25800</v>
      </c>
      <c r="E45" s="174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73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171</v>
      </c>
      <c r="D47" s="172"/>
      <c r="E47" s="173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167</v>
      </c>
      <c r="D48" s="172"/>
      <c r="E48" s="172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172</v>
      </c>
      <c r="D49" s="172"/>
      <c r="E49" s="173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166</v>
      </c>
      <c r="D50" s="172"/>
      <c r="E50" s="172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175</v>
      </c>
      <c r="D51" s="172"/>
      <c r="E51" s="172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179</v>
      </c>
      <c r="D52" s="172"/>
      <c r="E52" s="172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179</v>
      </c>
      <c r="D53" s="172"/>
      <c r="E53" s="172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179</v>
      </c>
      <c r="D54" s="172"/>
      <c r="E54" s="172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174</v>
      </c>
      <c r="D55" s="172"/>
      <c r="E55" s="172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173</v>
      </c>
      <c r="D56" s="172"/>
      <c r="E56" s="172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176</v>
      </c>
      <c r="D57" s="172"/>
      <c r="E57" s="172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72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72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72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72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72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72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72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165</v>
      </c>
      <c r="D65" s="172"/>
      <c r="E65" s="172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177</v>
      </c>
      <c r="D66" s="172"/>
      <c r="E66" s="172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72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72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72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72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72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72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172</v>
      </c>
      <c r="D73" s="172"/>
      <c r="E73" s="172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180</v>
      </c>
      <c r="D74" s="172"/>
      <c r="E74" s="172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72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72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72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179</v>
      </c>
      <c r="D78" s="172"/>
      <c r="E78" s="172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72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72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72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172</v>
      </c>
      <c r="D82" s="172"/>
      <c r="E82" s="172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165</v>
      </c>
      <c r="D83" s="172"/>
      <c r="E83" s="172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181</v>
      </c>
      <c r="D84" s="172"/>
      <c r="E84" s="172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179</v>
      </c>
      <c r="D85" s="172"/>
      <c r="E85" s="172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72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72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72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72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72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186</v>
      </c>
      <c r="D91" s="172"/>
      <c r="E91" s="172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181</v>
      </c>
      <c r="D92" s="172"/>
      <c r="E92" s="172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72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172</v>
      </c>
      <c r="D94" s="172"/>
      <c r="E94" s="172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72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187</v>
      </c>
      <c r="D96" s="172"/>
      <c r="E96" s="172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72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72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72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72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186</v>
      </c>
      <c r="D101" s="172"/>
      <c r="E101" s="172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181</v>
      </c>
      <c r="D102" s="172"/>
      <c r="E102" s="172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72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172</v>
      </c>
      <c r="D104" s="172"/>
      <c r="E104" s="172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196</v>
      </c>
      <c r="D105" s="172"/>
      <c r="E105" s="172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188</v>
      </c>
      <c r="D106" s="172"/>
      <c r="E106" s="172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183</v>
      </c>
      <c r="D107" s="172"/>
      <c r="E107" s="172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189</v>
      </c>
      <c r="D108" s="172"/>
      <c r="E108" s="172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72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72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72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72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186</v>
      </c>
      <c r="D113" s="172"/>
      <c r="E113" s="172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181</v>
      </c>
      <c r="D114" s="172"/>
      <c r="E114" s="172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72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172</v>
      </c>
      <c r="D116" s="172"/>
      <c r="E116" s="172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178</v>
      </c>
      <c r="D117" s="172"/>
      <c r="E117" s="172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197</v>
      </c>
      <c r="D118" s="172"/>
      <c r="E118" s="172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183</v>
      </c>
      <c r="D119" s="172"/>
      <c r="E119" s="172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72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194</v>
      </c>
      <c r="D121" s="172"/>
      <c r="E121" s="172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193</v>
      </c>
      <c r="D122" s="172"/>
      <c r="E122" s="172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195</v>
      </c>
      <c r="D123" s="172"/>
      <c r="E123" s="172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72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72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72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72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181</v>
      </c>
      <c r="D128" s="172"/>
      <c r="E128" s="172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186</v>
      </c>
      <c r="D129" s="172"/>
      <c r="E129" s="172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72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172</v>
      </c>
      <c r="D131" s="172"/>
      <c r="E131" s="172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178</v>
      </c>
      <c r="D132" s="172"/>
      <c r="E132" s="172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72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72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183</v>
      </c>
      <c r="D135" s="172"/>
      <c r="E135" s="172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72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72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72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198</v>
      </c>
      <c r="D139" s="172">
        <v>9700</v>
      </c>
      <c r="E139" s="172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200</v>
      </c>
      <c r="D140" s="172"/>
      <c r="E140" s="172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186</v>
      </c>
      <c r="D141" s="172"/>
      <c r="E141" s="172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181</v>
      </c>
      <c r="D142" s="172"/>
      <c r="E142" s="172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72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172</v>
      </c>
      <c r="D144" s="172"/>
      <c r="E144" s="172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178</v>
      </c>
      <c r="D145" s="172"/>
      <c r="E145" s="172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72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204</v>
      </c>
      <c r="D147" s="172"/>
      <c r="E147" s="172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72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203</v>
      </c>
      <c r="D149" s="172"/>
      <c r="E149" s="172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183</v>
      </c>
      <c r="D150" s="172"/>
      <c r="E150" s="172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72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72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21"/>
      <c r="H153" s="13"/>
      <c r="I153" s="12"/>
      <c r="L153" s="105"/>
      <c r="M153" s="103"/>
    </row>
    <row r="154" spans="1:13" x14ac:dyDescent="0.25">
      <c r="A154" s="19"/>
      <c r="D154" s="121"/>
      <c r="E154" s="121"/>
      <c r="L154" s="15"/>
      <c r="M154" s="103"/>
    </row>
    <row r="155" spans="1:13" x14ac:dyDescent="0.25">
      <c r="A155" s="19"/>
      <c r="D155" s="121"/>
      <c r="E155" s="121"/>
      <c r="L155" s="88"/>
      <c r="M155" s="103"/>
    </row>
    <row r="156" spans="1:13" x14ac:dyDescent="0.25">
      <c r="A156" s="19"/>
      <c r="D156" s="121"/>
      <c r="E156" s="121"/>
      <c r="L156" s="88"/>
      <c r="M156" s="103"/>
    </row>
    <row r="157" spans="1:13" x14ac:dyDescent="0.25">
      <c r="A157" s="19"/>
      <c r="D157" s="121"/>
      <c r="E157" s="121"/>
      <c r="I157" s="599" t="s">
        <v>28</v>
      </c>
      <c r="J157" s="598">
        <f>+J158/20</f>
        <v>4264.1930000000002</v>
      </c>
      <c r="K157" s="599"/>
      <c r="L157" s="88"/>
      <c r="M157" s="103"/>
    </row>
    <row r="158" spans="1:13" x14ac:dyDescent="0.25">
      <c r="A158" s="19"/>
      <c r="D158" s="121"/>
      <c r="E158" s="121"/>
      <c r="I158" s="599"/>
      <c r="J158" s="598">
        <v>85283.86</v>
      </c>
      <c r="K158" s="599"/>
      <c r="L158" s="88"/>
      <c r="M158" s="103"/>
    </row>
    <row r="159" spans="1:13" x14ac:dyDescent="0.25">
      <c r="A159" s="19"/>
      <c r="D159" s="121"/>
      <c r="E159" s="121"/>
      <c r="I159" s="599" t="s">
        <v>144</v>
      </c>
      <c r="J159" s="598" t="s">
        <v>145</v>
      </c>
      <c r="K159" s="599" t="s">
        <v>146</v>
      </c>
      <c r="L159" s="88"/>
      <c r="M159" s="103"/>
    </row>
    <row r="160" spans="1:13" x14ac:dyDescent="0.25">
      <c r="A160" s="19"/>
      <c r="D160" s="121"/>
      <c r="E160" s="121"/>
      <c r="I160" s="600">
        <f>_ENE17v</f>
        <v>102814.2</v>
      </c>
      <c r="J160" s="598">
        <f>+I160-J158</f>
        <v>17530.339999999997</v>
      </c>
      <c r="K160" s="601">
        <f>(+J160*100/J158)/100</f>
        <v>0.20555284434827406</v>
      </c>
      <c r="L160" s="88"/>
      <c r="M160" s="103"/>
    </row>
    <row r="161" spans="1:14" x14ac:dyDescent="0.25">
      <c r="A161" s="19"/>
      <c r="D161" s="121"/>
      <c r="E161" s="121"/>
      <c r="I161" s="600">
        <f>_FEB17v</f>
        <v>119276.91</v>
      </c>
      <c r="J161" s="598">
        <f t="shared" ref="J161:J171" si="0">+I161-I160</f>
        <v>16462.710000000006</v>
      </c>
      <c r="K161" s="601">
        <f t="shared" ref="K161:K171" si="1">(+J161*100/I160)/100</f>
        <v>0.16012097550727436</v>
      </c>
      <c r="L161" s="88"/>
      <c r="M161" s="103"/>
    </row>
    <row r="162" spans="1:14" x14ac:dyDescent="0.25">
      <c r="A162" s="19"/>
      <c r="D162" s="121"/>
      <c r="E162" s="121"/>
      <c r="I162" s="600">
        <f>_MAR17v</f>
        <v>123337.05</v>
      </c>
      <c r="J162" s="598">
        <f t="shared" si="0"/>
        <v>4060.1399999999994</v>
      </c>
      <c r="K162" s="601">
        <f t="shared" si="1"/>
        <v>3.4039614205297566E-2</v>
      </c>
      <c r="L162" s="88"/>
      <c r="M162" s="103"/>
    </row>
    <row r="163" spans="1:14" x14ac:dyDescent="0.25">
      <c r="A163" s="19"/>
      <c r="D163" s="121"/>
      <c r="E163" s="121"/>
      <c r="I163" s="600">
        <f>_ABR17v</f>
        <v>147216.97</v>
      </c>
      <c r="J163" s="598">
        <f t="shared" si="0"/>
        <v>23879.919999999998</v>
      </c>
      <c r="K163" s="601">
        <f t="shared" si="1"/>
        <v>0.19361513835461444</v>
      </c>
    </row>
    <row r="164" spans="1:14" x14ac:dyDescent="0.25">
      <c r="A164" s="19"/>
      <c r="D164" s="121"/>
      <c r="E164" s="121"/>
      <c r="I164" s="600">
        <f>_MAY17v</f>
        <v>144077.47</v>
      </c>
      <c r="J164" s="598">
        <f t="shared" si="0"/>
        <v>-3139.5</v>
      </c>
      <c r="K164" s="601">
        <f t="shared" si="1"/>
        <v>-2.1325666463587724E-2</v>
      </c>
    </row>
    <row r="165" spans="1:14" x14ac:dyDescent="0.25">
      <c r="A165" s="19"/>
      <c r="D165" s="121"/>
      <c r="E165" s="121"/>
      <c r="I165" s="600">
        <f>_JUN17v</f>
        <v>153813.94</v>
      </c>
      <c r="J165" s="598">
        <f t="shared" si="0"/>
        <v>9736.4700000000012</v>
      </c>
      <c r="K165" s="601">
        <f t="shared" si="1"/>
        <v>6.7578018964380759E-2</v>
      </c>
    </row>
    <row r="166" spans="1:14" x14ac:dyDescent="0.25">
      <c r="A166" s="19"/>
      <c r="D166" s="121"/>
      <c r="E166" s="121"/>
      <c r="I166" s="600">
        <f>_JUL17v</f>
        <v>153213.94</v>
      </c>
      <c r="J166" s="598">
        <f t="shared" si="0"/>
        <v>-600</v>
      </c>
      <c r="K166" s="601">
        <f t="shared" si="1"/>
        <v>-3.900816792028083E-3</v>
      </c>
    </row>
    <row r="167" spans="1:14" x14ac:dyDescent="0.25">
      <c r="A167" s="19"/>
      <c r="D167" s="121"/>
      <c r="E167" s="121"/>
      <c r="I167" s="600">
        <f>_AGO17v</f>
        <v>162171.39000000001</v>
      </c>
      <c r="J167" s="598">
        <f t="shared" si="0"/>
        <v>8957.4500000000116</v>
      </c>
      <c r="K167" s="601">
        <f t="shared" si="1"/>
        <v>5.8463675041579191E-2</v>
      </c>
    </row>
    <row r="168" spans="1:14" x14ac:dyDescent="0.25">
      <c r="A168" s="19"/>
      <c r="D168" s="121"/>
      <c r="E168" s="121"/>
      <c r="I168" s="600">
        <f>_SEP17v</f>
        <v>166486.39999999999</v>
      </c>
      <c r="J168" s="598">
        <f t="shared" si="0"/>
        <v>4315.0099999999802</v>
      </c>
      <c r="K168" s="601">
        <f t="shared" si="1"/>
        <v>2.6607714221355442E-2</v>
      </c>
    </row>
    <row r="169" spans="1:14" x14ac:dyDescent="0.25">
      <c r="A169" s="19"/>
      <c r="D169" s="121"/>
      <c r="E169" s="121"/>
      <c r="I169" s="600">
        <f>_OCT17v</f>
        <v>167821.9</v>
      </c>
      <c r="J169" s="598">
        <f t="shared" si="0"/>
        <v>1335.5</v>
      </c>
      <c r="K169" s="601">
        <f t="shared" si="1"/>
        <v>8.0216762450266207E-3</v>
      </c>
    </row>
    <row r="170" spans="1:14" x14ac:dyDescent="0.25">
      <c r="A170" s="19"/>
      <c r="D170" s="121"/>
      <c r="E170" s="121"/>
      <c r="I170" s="600">
        <f>_NOV17v</f>
        <v>169252.44</v>
      </c>
      <c r="J170" s="598">
        <f t="shared" si="0"/>
        <v>1430.5400000000081</v>
      </c>
      <c r="K170" s="601">
        <f t="shared" si="1"/>
        <v>8.5241556674069841E-3</v>
      </c>
    </row>
    <row r="171" spans="1:14" x14ac:dyDescent="0.25">
      <c r="A171" s="19"/>
      <c r="D171" s="121"/>
      <c r="E171" s="121"/>
      <c r="I171" s="600">
        <f>_DIC17v</f>
        <v>167300.07</v>
      </c>
      <c r="J171" s="598">
        <f t="shared" si="0"/>
        <v>-1952.3699999999953</v>
      </c>
      <c r="K171" s="601">
        <f t="shared" si="1"/>
        <v>-1.1535254676387503E-2</v>
      </c>
    </row>
    <row r="172" spans="1:14" x14ac:dyDescent="0.25">
      <c r="A172" s="19"/>
      <c r="D172" s="121"/>
      <c r="E172" s="121"/>
      <c r="I172" s="600"/>
      <c r="J172" s="598">
        <f>SUM(J160:J171)</f>
        <v>82016.210000000006</v>
      </c>
      <c r="K172" s="601">
        <f>SUM(K160:K171)</f>
        <v>0.72576207462320619</v>
      </c>
      <c r="L172" s="28"/>
    </row>
    <row r="173" spans="1:14" x14ac:dyDescent="0.25">
      <c r="A173" s="19"/>
      <c r="D173" s="121"/>
      <c r="E173" s="121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2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3" workbookViewId="0">
      <selection activeCell="J142" sqref="J142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2.5703125" style="122" bestFit="1" customWidth="1"/>
    <col min="6" max="6" width="17.85546875" style="165" customWidth="1"/>
    <col min="7" max="7" width="21.14062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80">
        <f ca="1">TODAY()</f>
        <v>44440</v>
      </c>
      <c r="C1" s="1181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 t="e">
        <f>+I3*Cotizacion_Dolar</f>
        <v>#NAME?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 t="e">
        <f>+G4+H3</f>
        <v>#NAME?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598" t="s">
        <v>28</v>
      </c>
      <c r="J126" s="598">
        <f>E2</f>
        <v>1500</v>
      </c>
      <c r="K126" s="599"/>
    </row>
    <row r="127" spans="1:13" x14ac:dyDescent="0.25">
      <c r="A127" s="19"/>
      <c r="D127" s="121"/>
      <c r="E127" s="121"/>
      <c r="I127" s="598" t="s">
        <v>29</v>
      </c>
      <c r="J127" s="598" t="s">
        <v>30</v>
      </c>
      <c r="K127" s="599"/>
    </row>
    <row r="128" spans="1:13" x14ac:dyDescent="0.25">
      <c r="A128" s="19"/>
      <c r="D128" s="121"/>
      <c r="E128" s="121"/>
      <c r="I128" s="598">
        <f>_ENE16</f>
        <v>9400</v>
      </c>
      <c r="J128" s="598">
        <v>0</v>
      </c>
      <c r="K128" s="599" t="s">
        <v>31</v>
      </c>
    </row>
    <row r="129" spans="1:14" x14ac:dyDescent="0.25">
      <c r="A129" s="19"/>
      <c r="D129" s="121"/>
      <c r="E129" s="121"/>
      <c r="I129" s="598">
        <f>_FEB16</f>
        <v>1100</v>
      </c>
      <c r="J129" s="598">
        <v>0</v>
      </c>
      <c r="K129" s="599"/>
    </row>
    <row r="130" spans="1:14" x14ac:dyDescent="0.25">
      <c r="A130" s="19"/>
      <c r="D130" s="121"/>
      <c r="E130" s="121"/>
      <c r="I130" s="598">
        <f>_MAR16</f>
        <v>-4900</v>
      </c>
      <c r="J130" s="598">
        <v>0</v>
      </c>
      <c r="K130" s="599"/>
    </row>
    <row r="131" spans="1:14" x14ac:dyDescent="0.25">
      <c r="A131" s="19"/>
      <c r="D131" s="121"/>
      <c r="E131" s="121"/>
      <c r="I131" s="598">
        <f>_ABR16</f>
        <v>800</v>
      </c>
      <c r="J131" s="598">
        <v>0</v>
      </c>
      <c r="K131" s="599"/>
    </row>
    <row r="132" spans="1:14" x14ac:dyDescent="0.25">
      <c r="A132" s="19"/>
      <c r="D132" s="121"/>
      <c r="E132" s="121"/>
      <c r="I132" s="598">
        <f>_MAY16</f>
        <v>-1900</v>
      </c>
      <c r="J132" s="598">
        <v>0</v>
      </c>
      <c r="K132" s="599"/>
    </row>
    <row r="133" spans="1:14" x14ac:dyDescent="0.25">
      <c r="A133" s="19"/>
      <c r="D133" s="121"/>
      <c r="E133" s="121"/>
      <c r="I133" s="598">
        <f>_JUN16</f>
        <v>6500</v>
      </c>
      <c r="J133" s="598">
        <v>0</v>
      </c>
      <c r="K133" s="599"/>
    </row>
    <row r="134" spans="1:14" x14ac:dyDescent="0.25">
      <c r="A134" s="19"/>
      <c r="D134" s="121"/>
      <c r="E134" s="121"/>
      <c r="I134" s="598">
        <f>_JUL16</f>
        <v>-4500</v>
      </c>
      <c r="J134" s="598">
        <v>0</v>
      </c>
      <c r="K134" s="599"/>
    </row>
    <row r="135" spans="1:14" x14ac:dyDescent="0.25">
      <c r="A135" s="19"/>
      <c r="D135" s="121"/>
      <c r="E135" s="121"/>
      <c r="I135" s="598">
        <f>_AGO16</f>
        <v>-3000</v>
      </c>
      <c r="J135" s="598">
        <v>0</v>
      </c>
      <c r="K135" s="599"/>
    </row>
    <row r="136" spans="1:14" x14ac:dyDescent="0.25">
      <c r="A136" s="19"/>
      <c r="D136" s="121"/>
      <c r="E136" s="121"/>
      <c r="I136" s="598">
        <f>_SEP16</f>
        <v>-1000</v>
      </c>
      <c r="J136" s="598">
        <v>0</v>
      </c>
      <c r="K136" s="599"/>
    </row>
    <row r="137" spans="1:14" x14ac:dyDescent="0.25">
      <c r="A137" s="19"/>
      <c r="D137" s="121"/>
      <c r="E137" s="121"/>
      <c r="I137" s="598">
        <f>_OCT16</f>
        <v>0</v>
      </c>
      <c r="J137" s="598">
        <v>0</v>
      </c>
      <c r="K137" s="599"/>
    </row>
    <row r="138" spans="1:14" x14ac:dyDescent="0.25">
      <c r="A138" s="19"/>
      <c r="D138" s="121"/>
      <c r="E138" s="121"/>
      <c r="I138" s="598">
        <f>_NOV16</f>
        <v>1500</v>
      </c>
      <c r="J138" s="598">
        <v>0</v>
      </c>
      <c r="K138" s="599"/>
    </row>
    <row r="139" spans="1:14" x14ac:dyDescent="0.25">
      <c r="A139" s="19"/>
      <c r="D139" s="121"/>
      <c r="E139" s="121"/>
      <c r="I139" s="598">
        <f>_DIC16</f>
        <v>-2500</v>
      </c>
      <c r="J139" s="598">
        <v>0</v>
      </c>
      <c r="K139" s="599"/>
    </row>
    <row r="140" spans="1:14" x14ac:dyDescent="0.25">
      <c r="A140" s="19"/>
      <c r="D140" s="121"/>
      <c r="E140" s="121"/>
      <c r="I140" s="598">
        <f>SUM(I128:I139)</f>
        <v>1500</v>
      </c>
      <c r="J140" s="598">
        <f>-SUM(J128:J139)</f>
        <v>0</v>
      </c>
      <c r="K140" s="600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100" workbookViewId="0">
      <selection activeCell="G10" sqref="G10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140625" style="122" customWidth="1"/>
    <col min="6" max="6" width="14.7109375" style="22" customWidth="1"/>
    <col min="7" max="7" width="21.140625" style="115" bestFit="1" customWidth="1"/>
    <col min="8" max="8" width="9.140625" style="148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180">
        <f ca="1">TODAY()</f>
        <v>44440</v>
      </c>
      <c r="C1" s="1181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 t="e">
        <f>+E3*Cotizacion_Dolar</f>
        <v>#NAME?</v>
      </c>
      <c r="H3" s="146">
        <f>+E48+E55+E61+E67-E80</f>
        <v>4950</v>
      </c>
      <c r="I3" s="153" t="e">
        <f>+G3-H3</f>
        <v>#NAME?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 t="e">
        <f>+G2+G3</f>
        <v>#NAME?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598" t="s">
        <v>28</v>
      </c>
      <c r="J100" s="598">
        <f>E2</f>
        <v>24650</v>
      </c>
      <c r="K100" s="599"/>
    </row>
    <row r="101" spans="1:11" x14ac:dyDescent="0.25">
      <c r="A101" s="19"/>
      <c r="D101" s="121"/>
      <c r="E101" s="121"/>
      <c r="I101" s="598" t="s">
        <v>29</v>
      </c>
      <c r="J101" s="598"/>
      <c r="K101" s="599"/>
    </row>
    <row r="102" spans="1:11" x14ac:dyDescent="0.25">
      <c r="A102" s="19"/>
      <c r="D102" s="121"/>
      <c r="E102" s="121"/>
      <c r="I102" s="598">
        <f>_ENE15</f>
        <v>9000</v>
      </c>
      <c r="J102" s="598"/>
      <c r="K102" s="599" t="s">
        <v>31</v>
      </c>
    </row>
    <row r="103" spans="1:11" x14ac:dyDescent="0.25">
      <c r="A103" s="19"/>
      <c r="D103" s="121"/>
      <c r="E103" s="121"/>
      <c r="I103" s="598">
        <f>_FEB15</f>
        <v>3900</v>
      </c>
      <c r="J103" s="598"/>
      <c r="K103" s="599"/>
    </row>
    <row r="104" spans="1:11" x14ac:dyDescent="0.25">
      <c r="A104" s="19"/>
      <c r="D104" s="121"/>
      <c r="E104" s="121"/>
      <c r="I104" s="598">
        <f>_MAR15</f>
        <v>100</v>
      </c>
      <c r="J104" s="598"/>
      <c r="K104" s="599"/>
    </row>
    <row r="105" spans="1:11" x14ac:dyDescent="0.25">
      <c r="A105" s="19"/>
      <c r="D105" s="121"/>
      <c r="E105" s="121"/>
      <c r="I105" s="598">
        <f>_ABR15</f>
        <v>-2000</v>
      </c>
      <c r="J105" s="598"/>
      <c r="K105" s="599"/>
    </row>
    <row r="106" spans="1:11" x14ac:dyDescent="0.25">
      <c r="A106" s="19"/>
      <c r="D106" s="121"/>
      <c r="E106" s="121"/>
      <c r="I106" s="598">
        <f>_MAY15</f>
        <v>0</v>
      </c>
      <c r="J106" s="598"/>
      <c r="K106" s="599"/>
    </row>
    <row r="107" spans="1:11" x14ac:dyDescent="0.25">
      <c r="A107" s="19"/>
      <c r="D107" s="121"/>
      <c r="E107" s="121"/>
      <c r="I107" s="598">
        <f>_JUN15</f>
        <v>2500</v>
      </c>
      <c r="J107" s="598"/>
      <c r="K107" s="599"/>
    </row>
    <row r="108" spans="1:11" x14ac:dyDescent="0.25">
      <c r="A108" s="19"/>
      <c r="D108" s="121"/>
      <c r="E108" s="121"/>
      <c r="I108" s="598">
        <f>_JUL15</f>
        <v>3000</v>
      </c>
      <c r="J108" s="598"/>
      <c r="K108" s="599"/>
    </row>
    <row r="109" spans="1:11" x14ac:dyDescent="0.25">
      <c r="A109" s="19"/>
      <c r="D109" s="121"/>
      <c r="E109" s="121"/>
      <c r="I109" s="598">
        <f>_AGO15</f>
        <v>3800</v>
      </c>
      <c r="J109" s="598"/>
      <c r="K109" s="599"/>
    </row>
    <row r="110" spans="1:11" x14ac:dyDescent="0.25">
      <c r="A110" s="19"/>
      <c r="D110" s="121"/>
      <c r="E110" s="121"/>
      <c r="I110" s="598">
        <f>_SEP15</f>
        <v>3700</v>
      </c>
      <c r="J110" s="598"/>
      <c r="K110" s="599"/>
    </row>
    <row r="111" spans="1:11" x14ac:dyDescent="0.25">
      <c r="A111" s="19"/>
      <c r="D111" s="121"/>
      <c r="E111" s="121"/>
      <c r="I111" s="598">
        <f>_OCT15</f>
        <v>4400</v>
      </c>
      <c r="J111" s="598"/>
      <c r="K111" s="599"/>
    </row>
    <row r="112" spans="1:11" x14ac:dyDescent="0.25">
      <c r="A112" s="19"/>
      <c r="D112" s="121"/>
      <c r="E112" s="121"/>
      <c r="I112" s="598">
        <f>_NOV15</f>
        <v>1500</v>
      </c>
      <c r="J112" s="598"/>
      <c r="K112" s="599"/>
    </row>
    <row r="113" spans="1:14" x14ac:dyDescent="0.25">
      <c r="A113" s="19"/>
      <c r="D113" s="121"/>
      <c r="E113" s="121"/>
      <c r="I113" s="598">
        <f>_DIC15</f>
        <v>-5250</v>
      </c>
      <c r="J113" s="598"/>
      <c r="K113" s="599"/>
    </row>
    <row r="114" spans="1:14" x14ac:dyDescent="0.25">
      <c r="A114" s="19"/>
      <c r="D114" s="121"/>
      <c r="E114" s="121"/>
      <c r="I114" s="598">
        <f>SUM(I102:I113)</f>
        <v>24650</v>
      </c>
      <c r="J114" s="598">
        <f>-SUM(J102:J113)</f>
        <v>0</v>
      </c>
      <c r="K114" s="600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7" workbookViewId="0">
      <selection activeCell="A65" sqref="A65:XFD65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08" customWidth="1"/>
    <col min="5" max="5" width="13.5703125" style="408" customWidth="1"/>
    <col min="6" max="6" width="12.28515625" style="22" bestFit="1" customWidth="1"/>
    <col min="7" max="7" width="12.7109375" style="481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180">
        <f ca="1">TODAY()</f>
        <v>44440</v>
      </c>
      <c r="C1" s="1181"/>
      <c r="D1" s="492" t="s">
        <v>0</v>
      </c>
      <c r="E1" s="493">
        <f>COUNTA(B6:B63)</f>
        <v>42</v>
      </c>
      <c r="F1" s="531" t="s">
        <v>1</v>
      </c>
      <c r="G1" s="532"/>
      <c r="H1" s="496"/>
    </row>
    <row r="2" spans="1:9" s="3" customFormat="1" ht="12.75" x14ac:dyDescent="0.2">
      <c r="A2" s="1"/>
      <c r="B2" s="497" t="s">
        <v>2</v>
      </c>
      <c r="C2" s="498">
        <f>E2</f>
        <v>10000</v>
      </c>
      <c r="D2" s="499" t="s">
        <v>3</v>
      </c>
      <c r="E2" s="500">
        <f>SUM(D5:D114)-SUM(E5:E114)</f>
        <v>10000</v>
      </c>
      <c r="F2" s="501" t="s">
        <v>4</v>
      </c>
      <c r="G2" s="502">
        <f>+E2</f>
        <v>10000</v>
      </c>
      <c r="H2" s="496"/>
    </row>
    <row r="3" spans="1:9" s="3" customFormat="1" ht="12.75" x14ac:dyDescent="0.2">
      <c r="A3" s="1"/>
      <c r="B3" s="497"/>
      <c r="C3" s="498"/>
      <c r="D3" s="503" t="s">
        <v>5</v>
      </c>
      <c r="E3" s="504" t="e">
        <f>+FondoEnDolades</f>
        <v>#NAME?</v>
      </c>
      <c r="F3" s="501" t="s">
        <v>6</v>
      </c>
      <c r="G3" s="502" t="e">
        <f>+E3*Cotizacion_Dolar</f>
        <v>#NAME?</v>
      </c>
      <c r="H3" s="496"/>
    </row>
    <row r="4" spans="1:9" s="3" customFormat="1" ht="12.75" x14ac:dyDescent="0.2">
      <c r="A4" s="1"/>
      <c r="B4" s="7" t="s">
        <v>7</v>
      </c>
      <c r="C4" s="8" t="s">
        <v>8</v>
      </c>
      <c r="D4" s="505" t="s">
        <v>9</v>
      </c>
      <c r="E4" s="506" t="s">
        <v>64</v>
      </c>
      <c r="F4" s="9" t="s">
        <v>10</v>
      </c>
      <c r="G4" s="502" t="e">
        <f>+G2+G3</f>
        <v>#NAME?</v>
      </c>
      <c r="H4" s="496"/>
    </row>
    <row r="5" spans="1:9" x14ac:dyDescent="0.25">
      <c r="A5" s="533" t="s">
        <v>11</v>
      </c>
      <c r="B5" s="534">
        <v>41640</v>
      </c>
      <c r="C5" s="535" t="s">
        <v>12</v>
      </c>
      <c r="D5" s="536">
        <v>1800</v>
      </c>
      <c r="E5" s="536"/>
      <c r="F5" s="537"/>
      <c r="G5" s="512"/>
    </row>
    <row r="6" spans="1:9" x14ac:dyDescent="0.25">
      <c r="A6" s="533"/>
      <c r="B6" s="534">
        <v>41645</v>
      </c>
      <c r="C6" s="535" t="s">
        <v>13</v>
      </c>
      <c r="D6" s="536">
        <v>6000</v>
      </c>
      <c r="E6" s="536"/>
      <c r="F6" s="538"/>
      <c r="G6" s="459"/>
      <c r="H6" s="11"/>
      <c r="I6" s="12"/>
    </row>
    <row r="7" spans="1:9" x14ac:dyDescent="0.25">
      <c r="A7" s="533"/>
      <c r="B7" s="534">
        <v>41645</v>
      </c>
      <c r="C7" s="535" t="s">
        <v>14</v>
      </c>
      <c r="D7" s="536"/>
      <c r="E7" s="536">
        <v>4000</v>
      </c>
      <c r="F7" s="538"/>
      <c r="G7" s="459"/>
      <c r="H7" s="11"/>
      <c r="I7" s="12"/>
    </row>
    <row r="8" spans="1:9" x14ac:dyDescent="0.25">
      <c r="A8" s="539"/>
      <c r="B8" s="534">
        <v>41645</v>
      </c>
      <c r="C8" s="535" t="s">
        <v>15</v>
      </c>
      <c r="D8" s="536"/>
      <c r="E8" s="536">
        <v>1800</v>
      </c>
      <c r="F8" s="540"/>
      <c r="G8" s="459"/>
      <c r="H8" s="460"/>
      <c r="I8" s="12"/>
    </row>
    <row r="9" spans="1:9" x14ac:dyDescent="0.25">
      <c r="A9" s="539"/>
      <c r="B9" s="534"/>
      <c r="C9" s="535"/>
      <c r="D9" s="536"/>
      <c r="E9" s="536"/>
      <c r="F9" s="541">
        <f>SUM(D5:D9)-SUM(E5:E9)</f>
        <v>2000</v>
      </c>
      <c r="G9" s="459"/>
      <c r="H9" s="460"/>
      <c r="I9" s="12"/>
    </row>
    <row r="10" spans="1:9" x14ac:dyDescent="0.25">
      <c r="A10" s="533" t="s">
        <v>16</v>
      </c>
      <c r="B10" s="534">
        <v>41677</v>
      </c>
      <c r="C10" s="535" t="s">
        <v>13</v>
      </c>
      <c r="D10" s="536">
        <v>6000</v>
      </c>
      <c r="E10" s="536"/>
      <c r="F10" s="538"/>
      <c r="G10" s="459"/>
      <c r="H10" s="11"/>
      <c r="I10" s="12"/>
    </row>
    <row r="11" spans="1:9" x14ac:dyDescent="0.25">
      <c r="A11" s="533"/>
      <c r="B11" s="534">
        <v>41680</v>
      </c>
      <c r="C11" s="535" t="s">
        <v>14</v>
      </c>
      <c r="D11" s="536"/>
      <c r="E11" s="536">
        <v>3550</v>
      </c>
      <c r="F11" s="538"/>
      <c r="G11" s="459"/>
      <c r="H11" s="11"/>
      <c r="I11" s="462"/>
    </row>
    <row r="12" spans="1:9" x14ac:dyDescent="0.25">
      <c r="A12" s="539"/>
      <c r="B12" s="534">
        <v>41679</v>
      </c>
      <c r="C12" s="535" t="s">
        <v>15</v>
      </c>
      <c r="D12" s="536"/>
      <c r="E12" s="536">
        <v>4150</v>
      </c>
      <c r="F12" s="540"/>
      <c r="G12" s="459"/>
      <c r="H12" s="11"/>
      <c r="I12" s="12"/>
    </row>
    <row r="13" spans="1:9" x14ac:dyDescent="0.25">
      <c r="A13" s="539"/>
      <c r="B13" s="534"/>
      <c r="C13" s="535"/>
      <c r="D13" s="536"/>
      <c r="E13" s="536"/>
      <c r="F13" s="541">
        <f>SUM(D9:D13)-SUM(E9:E13)</f>
        <v>-1700</v>
      </c>
      <c r="G13" s="459"/>
      <c r="H13" s="460"/>
      <c r="I13" s="12"/>
    </row>
    <row r="14" spans="1:9" x14ac:dyDescent="0.25">
      <c r="A14" s="533" t="s">
        <v>17</v>
      </c>
      <c r="B14" s="534">
        <v>41704</v>
      </c>
      <c r="C14" s="535" t="s">
        <v>13</v>
      </c>
      <c r="D14" s="536">
        <v>6000</v>
      </c>
      <c r="E14" s="536"/>
      <c r="F14" s="538"/>
      <c r="G14" s="459"/>
      <c r="H14" s="11"/>
      <c r="I14" s="12"/>
    </row>
    <row r="15" spans="1:9" x14ac:dyDescent="0.25">
      <c r="A15" s="533"/>
      <c r="B15" s="534">
        <v>41704</v>
      </c>
      <c r="C15" s="535" t="s">
        <v>14</v>
      </c>
      <c r="D15" s="536"/>
      <c r="E15" s="536">
        <v>4600</v>
      </c>
      <c r="F15" s="538"/>
      <c r="G15" s="459"/>
      <c r="H15" s="11"/>
      <c r="I15" s="12"/>
    </row>
    <row r="16" spans="1:9" x14ac:dyDescent="0.25">
      <c r="A16" s="539"/>
      <c r="B16" s="534">
        <v>41716</v>
      </c>
      <c r="C16" s="535" t="s">
        <v>15</v>
      </c>
      <c r="D16" s="536"/>
      <c r="E16" s="536">
        <v>1000</v>
      </c>
      <c r="F16" s="540"/>
      <c r="G16" s="459"/>
      <c r="H16" s="460"/>
      <c r="I16" s="12"/>
    </row>
    <row r="17" spans="1:9" x14ac:dyDescent="0.25">
      <c r="A17" s="539"/>
      <c r="B17" s="534"/>
      <c r="C17" s="535"/>
      <c r="D17" s="536"/>
      <c r="E17" s="536"/>
      <c r="F17" s="541">
        <f>SUM(D13:D17)-SUM(E13:E17)</f>
        <v>400</v>
      </c>
      <c r="G17" s="459"/>
      <c r="H17" s="460"/>
      <c r="I17" s="12"/>
    </row>
    <row r="18" spans="1:9" x14ac:dyDescent="0.25">
      <c r="A18" s="533" t="s">
        <v>18</v>
      </c>
      <c r="B18" s="534">
        <v>41738</v>
      </c>
      <c r="C18" s="535" t="s">
        <v>13</v>
      </c>
      <c r="D18" s="536">
        <v>6000</v>
      </c>
      <c r="E18" s="536"/>
      <c r="F18" s="538"/>
      <c r="G18" s="459"/>
      <c r="H18" s="460"/>
      <c r="I18" s="12"/>
    </row>
    <row r="19" spans="1:9" x14ac:dyDescent="0.25">
      <c r="A19" s="533"/>
      <c r="B19" s="534">
        <v>41744</v>
      </c>
      <c r="C19" s="535" t="s">
        <v>19</v>
      </c>
      <c r="D19" s="536">
        <v>3000</v>
      </c>
      <c r="E19" s="536"/>
      <c r="F19" s="538"/>
      <c r="G19" s="459"/>
      <c r="H19" s="460"/>
      <c r="I19" s="12"/>
    </row>
    <row r="20" spans="1:9" x14ac:dyDescent="0.25">
      <c r="A20" s="533"/>
      <c r="B20" s="534">
        <v>41738</v>
      </c>
      <c r="C20" s="535" t="s">
        <v>14</v>
      </c>
      <c r="D20" s="536"/>
      <c r="E20" s="536">
        <v>4560</v>
      </c>
      <c r="F20" s="538"/>
      <c r="G20" s="459"/>
      <c r="H20" s="11"/>
      <c r="I20" s="12"/>
    </row>
    <row r="21" spans="1:9" x14ac:dyDescent="0.25">
      <c r="A21" s="533"/>
      <c r="B21" s="534">
        <v>41753</v>
      </c>
      <c r="C21" s="535" t="s">
        <v>738</v>
      </c>
      <c r="D21" s="536"/>
      <c r="E21" s="536">
        <v>2340</v>
      </c>
      <c r="F21" s="538"/>
      <c r="G21" s="459"/>
      <c r="H21" s="11"/>
      <c r="I21" s="12"/>
    </row>
    <row r="22" spans="1:9" x14ac:dyDescent="0.25">
      <c r="A22" s="539"/>
      <c r="B22" s="534">
        <v>41738</v>
      </c>
      <c r="C22" s="535" t="s">
        <v>15</v>
      </c>
      <c r="D22" s="536"/>
      <c r="E22" s="536">
        <v>700</v>
      </c>
      <c r="F22" s="540"/>
      <c r="G22" s="459"/>
      <c r="H22" s="11"/>
      <c r="I22" s="12"/>
    </row>
    <row r="23" spans="1:9" x14ac:dyDescent="0.25">
      <c r="A23" s="539"/>
      <c r="B23" s="534"/>
      <c r="C23" s="535"/>
      <c r="D23" s="536"/>
      <c r="E23" s="536"/>
      <c r="F23" s="541">
        <f>SUM(D17:D23)-SUM(E17:E23)</f>
        <v>1400</v>
      </c>
      <c r="G23" s="459"/>
      <c r="H23" s="11"/>
      <c r="I23" s="12"/>
    </row>
    <row r="24" spans="1:9" x14ac:dyDescent="0.25">
      <c r="A24" s="533" t="s">
        <v>20</v>
      </c>
      <c r="B24" s="534">
        <v>41765</v>
      </c>
      <c r="C24" s="535" t="s">
        <v>13</v>
      </c>
      <c r="D24" s="536">
        <v>6000</v>
      </c>
      <c r="E24" s="536"/>
      <c r="F24" s="538"/>
      <c r="G24" s="459"/>
      <c r="H24" s="11"/>
      <c r="I24" s="12"/>
    </row>
    <row r="25" spans="1:9" x14ac:dyDescent="0.25">
      <c r="A25" s="533"/>
      <c r="B25" s="534">
        <v>41766</v>
      </c>
      <c r="C25" s="535" t="s">
        <v>14</v>
      </c>
      <c r="D25" s="536"/>
      <c r="E25" s="536">
        <v>1100</v>
      </c>
      <c r="F25" s="538"/>
      <c r="G25" s="459"/>
      <c r="H25" s="11"/>
      <c r="I25" s="12"/>
    </row>
    <row r="26" spans="1:9" x14ac:dyDescent="0.25">
      <c r="A26" s="539"/>
      <c r="B26" s="534">
        <v>41765</v>
      </c>
      <c r="C26" s="535" t="s">
        <v>15</v>
      </c>
      <c r="D26" s="536"/>
      <c r="E26" s="536">
        <v>5000</v>
      </c>
      <c r="F26" s="540"/>
      <c r="G26" s="459"/>
      <c r="H26" s="460"/>
      <c r="I26" s="12"/>
    </row>
    <row r="27" spans="1:9" x14ac:dyDescent="0.25">
      <c r="A27" s="539"/>
      <c r="B27" s="534"/>
      <c r="C27" s="535"/>
      <c r="D27" s="536"/>
      <c r="E27" s="536"/>
      <c r="F27" s="541">
        <f>SUM(D23:D27)-SUM(E23:E27)</f>
        <v>-100</v>
      </c>
      <c r="G27" s="459"/>
      <c r="H27" s="460"/>
      <c r="I27" s="12"/>
    </row>
    <row r="28" spans="1:9" x14ac:dyDescent="0.25">
      <c r="A28" s="533" t="s">
        <v>21</v>
      </c>
      <c r="B28" s="534">
        <v>41794</v>
      </c>
      <c r="C28" s="535" t="s">
        <v>13</v>
      </c>
      <c r="D28" s="536">
        <f>7800+600-900+2000</f>
        <v>9500</v>
      </c>
      <c r="E28" s="536"/>
      <c r="F28" s="538"/>
      <c r="G28" s="459"/>
      <c r="H28" s="460"/>
      <c r="I28" s="12"/>
    </row>
    <row r="29" spans="1:9" x14ac:dyDescent="0.25">
      <c r="A29" s="533"/>
      <c r="B29" s="534">
        <v>41795</v>
      </c>
      <c r="C29" s="535" t="s">
        <v>14</v>
      </c>
      <c r="D29" s="536"/>
      <c r="E29" s="536">
        <v>4000</v>
      </c>
      <c r="F29" s="538"/>
      <c r="G29" s="459"/>
      <c r="H29" s="460"/>
      <c r="I29" s="12"/>
    </row>
    <row r="30" spans="1:9" x14ac:dyDescent="0.25">
      <c r="A30" s="533"/>
      <c r="B30" s="534">
        <v>41796</v>
      </c>
      <c r="C30" s="535" t="s">
        <v>739</v>
      </c>
      <c r="D30" s="536"/>
      <c r="E30" s="536">
        <v>200</v>
      </c>
      <c r="F30" s="538"/>
      <c r="G30" s="459"/>
      <c r="H30" s="460"/>
      <c r="I30" s="12"/>
    </row>
    <row r="31" spans="1:9" x14ac:dyDescent="0.25">
      <c r="A31" s="533"/>
      <c r="B31" s="534">
        <v>41794</v>
      </c>
      <c r="C31" s="535" t="s">
        <v>740</v>
      </c>
      <c r="D31" s="536"/>
      <c r="E31" s="536">
        <v>200</v>
      </c>
      <c r="F31" s="538"/>
      <c r="G31" s="459"/>
      <c r="H31" s="460"/>
      <c r="I31" s="12"/>
    </row>
    <row r="32" spans="1:9" x14ac:dyDescent="0.25">
      <c r="A32" s="533"/>
      <c r="B32" s="534">
        <v>41796</v>
      </c>
      <c r="C32" s="535" t="s">
        <v>741</v>
      </c>
      <c r="D32" s="536"/>
      <c r="E32" s="536">
        <v>200</v>
      </c>
      <c r="F32" s="538"/>
      <c r="G32" s="459"/>
      <c r="H32" s="460"/>
      <c r="I32" s="12"/>
    </row>
    <row r="33" spans="1:12" x14ac:dyDescent="0.25">
      <c r="A33" s="539"/>
      <c r="B33" s="534">
        <v>41796</v>
      </c>
      <c r="C33" s="535" t="s">
        <v>15</v>
      </c>
      <c r="D33" s="536"/>
      <c r="E33" s="536">
        <v>1900</v>
      </c>
      <c r="F33" s="540"/>
      <c r="G33" s="459"/>
      <c r="H33" s="11"/>
      <c r="I33" s="12"/>
    </row>
    <row r="34" spans="1:12" x14ac:dyDescent="0.25">
      <c r="A34" s="539"/>
      <c r="B34" s="534"/>
      <c r="C34" s="535"/>
      <c r="D34" s="536"/>
      <c r="E34" s="536"/>
      <c r="F34" s="541">
        <f>SUM(D27:D34)-SUM(E27:E34)</f>
        <v>3000</v>
      </c>
      <c r="G34" s="459"/>
      <c r="H34" s="460"/>
      <c r="I34" s="12"/>
    </row>
    <row r="35" spans="1:12" x14ac:dyDescent="0.25">
      <c r="A35" s="533" t="s">
        <v>22</v>
      </c>
      <c r="B35" s="534">
        <v>41824</v>
      </c>
      <c r="C35" s="535" t="s">
        <v>13</v>
      </c>
      <c r="D35" s="536">
        <v>7800</v>
      </c>
      <c r="E35" s="536"/>
      <c r="F35" s="538"/>
      <c r="G35" s="459"/>
      <c r="H35" s="11"/>
      <c r="I35" s="12"/>
    </row>
    <row r="36" spans="1:12" x14ac:dyDescent="0.25">
      <c r="A36" s="533"/>
      <c r="B36" s="534">
        <v>41827</v>
      </c>
      <c r="C36" s="535" t="s">
        <v>14</v>
      </c>
      <c r="D36" s="536"/>
      <c r="E36" s="536">
        <v>4100</v>
      </c>
      <c r="F36" s="538"/>
      <c r="G36" s="459"/>
      <c r="H36" s="11"/>
      <c r="I36" s="12"/>
      <c r="J36" s="15"/>
      <c r="K36" s="425"/>
    </row>
    <row r="37" spans="1:12" x14ac:dyDescent="0.25">
      <c r="A37" s="539"/>
      <c r="B37" s="534">
        <v>41829</v>
      </c>
      <c r="C37" s="535" t="s">
        <v>15</v>
      </c>
      <c r="D37" s="536"/>
      <c r="E37" s="536">
        <v>5600</v>
      </c>
      <c r="F37" s="540"/>
      <c r="G37" s="459"/>
      <c r="H37" s="11"/>
      <c r="I37" s="12"/>
      <c r="J37" s="15"/>
      <c r="K37" s="425"/>
    </row>
    <row r="38" spans="1:12" x14ac:dyDescent="0.25">
      <c r="A38" s="539"/>
      <c r="B38" s="534"/>
      <c r="C38" s="535"/>
      <c r="D38" s="536"/>
      <c r="E38" s="536"/>
      <c r="F38" s="541">
        <f>SUM(D34:D38)-SUM(E34:E38)</f>
        <v>-1900</v>
      </c>
      <c r="G38" s="459"/>
      <c r="H38" s="11"/>
      <c r="I38" s="12"/>
      <c r="J38" s="15"/>
      <c r="K38" s="425"/>
    </row>
    <row r="39" spans="1:12" x14ac:dyDescent="0.25">
      <c r="A39" s="533" t="s">
        <v>23</v>
      </c>
      <c r="B39" s="534">
        <v>41857</v>
      </c>
      <c r="C39" s="535" t="s">
        <v>13</v>
      </c>
      <c r="D39" s="536">
        <v>7800</v>
      </c>
      <c r="E39" s="536"/>
      <c r="F39" s="538"/>
      <c r="G39" s="459"/>
      <c r="H39" s="11"/>
      <c r="I39" s="12"/>
      <c r="J39" s="15"/>
      <c r="K39" s="15"/>
    </row>
    <row r="40" spans="1:12" x14ac:dyDescent="0.25">
      <c r="A40" s="533"/>
      <c r="B40" s="534">
        <v>41858</v>
      </c>
      <c r="C40" s="535" t="s">
        <v>14</v>
      </c>
      <c r="D40" s="536"/>
      <c r="E40" s="536">
        <f>4600+250</f>
        <v>4850</v>
      </c>
      <c r="F40" s="538"/>
      <c r="G40" s="459"/>
      <c r="H40" s="11"/>
      <c r="I40" s="12"/>
      <c r="J40" s="15"/>
      <c r="K40" s="15"/>
    </row>
    <row r="41" spans="1:12" x14ac:dyDescent="0.25">
      <c r="A41" s="539"/>
      <c r="B41" s="534">
        <v>41858</v>
      </c>
      <c r="C41" s="535" t="s">
        <v>15</v>
      </c>
      <c r="D41" s="536"/>
      <c r="E41" s="536">
        <v>4050</v>
      </c>
      <c r="F41" s="540"/>
      <c r="G41" s="459"/>
      <c r="H41" s="11"/>
      <c r="I41" s="12"/>
      <c r="J41" s="15"/>
      <c r="K41" s="15"/>
    </row>
    <row r="42" spans="1:12" x14ac:dyDescent="0.25">
      <c r="A42" s="539"/>
      <c r="B42" s="534"/>
      <c r="C42" s="535"/>
      <c r="D42" s="536"/>
      <c r="E42" s="536"/>
      <c r="F42" s="541">
        <f>SUM(D38:D42)-SUM(E38:E42)</f>
        <v>-1100</v>
      </c>
      <c r="G42" s="459"/>
      <c r="H42" s="11"/>
      <c r="I42" s="12"/>
      <c r="J42" s="15"/>
      <c r="K42" s="15"/>
    </row>
    <row r="43" spans="1:12" x14ac:dyDescent="0.25">
      <c r="A43" s="533" t="s">
        <v>24</v>
      </c>
      <c r="B43" s="534">
        <v>41886</v>
      </c>
      <c r="C43" s="535" t="s">
        <v>13</v>
      </c>
      <c r="D43" s="536">
        <f>7800+3900</f>
        <v>11700</v>
      </c>
      <c r="E43" s="536"/>
      <c r="F43" s="538"/>
      <c r="G43" s="459"/>
      <c r="H43" s="11"/>
      <c r="I43" s="12"/>
      <c r="J43" s="15"/>
      <c r="K43" s="15"/>
    </row>
    <row r="44" spans="1:12" x14ac:dyDescent="0.25">
      <c r="A44" s="533"/>
      <c r="B44" s="534">
        <v>41887</v>
      </c>
      <c r="C44" s="535" t="s">
        <v>14</v>
      </c>
      <c r="D44" s="536"/>
      <c r="E44" s="536">
        <v>2700</v>
      </c>
      <c r="F44" s="538"/>
      <c r="G44" s="459"/>
      <c r="H44" s="11"/>
      <c r="I44" s="12"/>
      <c r="J44" s="425"/>
      <c r="K44" s="15"/>
    </row>
    <row r="45" spans="1:12" x14ac:dyDescent="0.25">
      <c r="A45" s="533"/>
      <c r="B45" s="534">
        <v>41887</v>
      </c>
      <c r="C45" s="535" t="s">
        <v>742</v>
      </c>
      <c r="D45" s="536"/>
      <c r="E45" s="536">
        <v>1900</v>
      </c>
      <c r="F45" s="538"/>
      <c r="G45" s="459"/>
      <c r="H45" s="11"/>
      <c r="I45" s="12"/>
      <c r="J45" s="425"/>
      <c r="K45" s="15"/>
    </row>
    <row r="46" spans="1:12" x14ac:dyDescent="0.25">
      <c r="A46" s="539"/>
      <c r="B46" s="534">
        <v>41887</v>
      </c>
      <c r="C46" s="535" t="s">
        <v>15</v>
      </c>
      <c r="D46" s="536"/>
      <c r="E46" s="536">
        <v>4500</v>
      </c>
      <c r="F46" s="540"/>
      <c r="G46" s="459"/>
      <c r="H46" s="11"/>
      <c r="I46" s="12"/>
      <c r="J46" s="425"/>
      <c r="K46" s="15"/>
    </row>
    <row r="47" spans="1:12" x14ac:dyDescent="0.25">
      <c r="A47" s="539"/>
      <c r="B47" s="534"/>
      <c r="C47" s="535"/>
      <c r="D47" s="536"/>
      <c r="E47" s="536"/>
      <c r="F47" s="541">
        <f>SUM(D42:D47)-SUM(E42:E47)</f>
        <v>2600</v>
      </c>
      <c r="G47" s="459"/>
      <c r="H47" s="464"/>
      <c r="I47" s="12"/>
      <c r="L47" s="182"/>
    </row>
    <row r="48" spans="1:12" x14ac:dyDescent="0.25">
      <c r="A48" s="533" t="s">
        <v>25</v>
      </c>
      <c r="B48" s="534">
        <v>41914</v>
      </c>
      <c r="C48" s="535" t="s">
        <v>13</v>
      </c>
      <c r="D48" s="536">
        <v>7800</v>
      </c>
      <c r="E48" s="536"/>
      <c r="F48" s="538"/>
      <c r="G48" s="459"/>
      <c r="H48" s="464"/>
      <c r="I48" s="12"/>
      <c r="K48" s="182"/>
    </row>
    <row r="49" spans="1:11" x14ac:dyDescent="0.25">
      <c r="A49" s="533"/>
      <c r="B49" s="534">
        <v>41915</v>
      </c>
      <c r="C49" s="535" t="s">
        <v>14</v>
      </c>
      <c r="D49" s="536"/>
      <c r="E49" s="536">
        <v>1800</v>
      </c>
      <c r="F49" s="538"/>
      <c r="G49" s="459"/>
      <c r="H49" s="460"/>
      <c r="I49" s="462"/>
      <c r="K49" s="182"/>
    </row>
    <row r="50" spans="1:11" x14ac:dyDescent="0.25">
      <c r="A50" s="533"/>
      <c r="B50" s="534">
        <v>41924</v>
      </c>
      <c r="C50" s="535" t="s">
        <v>743</v>
      </c>
      <c r="D50" s="536"/>
      <c r="E50" s="536">
        <v>1900</v>
      </c>
      <c r="F50" s="538"/>
      <c r="G50" s="459"/>
      <c r="H50" s="460"/>
      <c r="I50" s="462"/>
      <c r="K50" s="182"/>
    </row>
    <row r="51" spans="1:11" x14ac:dyDescent="0.25">
      <c r="A51" s="539"/>
      <c r="B51" s="534">
        <v>41943</v>
      </c>
      <c r="C51" s="535" t="s">
        <v>15</v>
      </c>
      <c r="D51" s="536"/>
      <c r="E51" s="536">
        <v>3700</v>
      </c>
      <c r="F51" s="540"/>
      <c r="G51" s="459"/>
      <c r="H51" s="464"/>
      <c r="I51" s="12"/>
    </row>
    <row r="52" spans="1:11" x14ac:dyDescent="0.25">
      <c r="A52" s="539"/>
      <c r="B52" s="534"/>
      <c r="C52" s="535"/>
      <c r="D52" s="536"/>
      <c r="E52" s="536"/>
      <c r="F52" s="541">
        <f>SUM(D47:D52)-SUM(E47:E52)</f>
        <v>400</v>
      </c>
      <c r="G52" s="459"/>
      <c r="H52" s="464"/>
      <c r="I52" s="12"/>
    </row>
    <row r="53" spans="1:11" x14ac:dyDescent="0.25">
      <c r="A53" s="533" t="s">
        <v>26</v>
      </c>
      <c r="B53" s="534">
        <v>41947</v>
      </c>
      <c r="C53" s="535" t="s">
        <v>13</v>
      </c>
      <c r="D53" s="536">
        <v>7800</v>
      </c>
      <c r="E53" s="536"/>
      <c r="F53" s="538"/>
      <c r="G53" s="459"/>
      <c r="H53" s="460"/>
      <c r="I53" s="12"/>
      <c r="K53" s="182"/>
    </row>
    <row r="54" spans="1:11" x14ac:dyDescent="0.25">
      <c r="A54" s="533"/>
      <c r="B54" s="534">
        <v>41945</v>
      </c>
      <c r="C54" s="535" t="s">
        <v>744</v>
      </c>
      <c r="D54" s="536"/>
      <c r="E54" s="536">
        <v>1500</v>
      </c>
      <c r="F54" s="538"/>
      <c r="G54" s="459"/>
      <c r="H54" s="460"/>
      <c r="I54" s="12"/>
      <c r="K54" s="182"/>
    </row>
    <row r="55" spans="1:11" x14ac:dyDescent="0.25">
      <c r="A55" s="533"/>
      <c r="B55" s="534">
        <v>41948</v>
      </c>
      <c r="C55" s="535" t="s">
        <v>14</v>
      </c>
      <c r="D55" s="536"/>
      <c r="E55" s="536">
        <v>1100</v>
      </c>
      <c r="F55" s="538"/>
      <c r="G55" s="459"/>
      <c r="H55" s="460"/>
      <c r="I55" s="12"/>
      <c r="J55" s="182"/>
      <c r="K55" s="182"/>
    </row>
    <row r="56" spans="1:11" x14ac:dyDescent="0.25">
      <c r="A56" s="533"/>
      <c r="B56" s="534">
        <v>41954</v>
      </c>
      <c r="C56" s="535" t="s">
        <v>745</v>
      </c>
      <c r="D56" s="536"/>
      <c r="E56" s="536">
        <v>1600</v>
      </c>
      <c r="F56" s="538"/>
      <c r="G56" s="459"/>
      <c r="H56" s="460"/>
      <c r="I56" s="12"/>
      <c r="J56" s="182"/>
      <c r="K56" s="182"/>
    </row>
    <row r="57" spans="1:11" x14ac:dyDescent="0.25">
      <c r="A57" s="539"/>
      <c r="B57" s="534">
        <v>41947</v>
      </c>
      <c r="C57" s="535" t="s">
        <v>15</v>
      </c>
      <c r="D57" s="536"/>
      <c r="E57" s="536">
        <v>1800</v>
      </c>
      <c r="F57" s="540"/>
      <c r="G57" s="459"/>
      <c r="H57" s="460"/>
      <c r="I57" s="462"/>
    </row>
    <row r="58" spans="1:11" x14ac:dyDescent="0.25">
      <c r="A58" s="539"/>
      <c r="B58" s="534"/>
      <c r="C58" s="535"/>
      <c r="D58" s="536"/>
      <c r="E58" s="536"/>
      <c r="F58" s="541">
        <f>SUM(D52:D58)-SUM(E52:E58)</f>
        <v>1800</v>
      </c>
      <c r="G58" s="459"/>
      <c r="H58" s="11"/>
      <c r="I58" s="12"/>
    </row>
    <row r="59" spans="1:11" x14ac:dyDescent="0.25">
      <c r="A59" s="533" t="s">
        <v>27</v>
      </c>
      <c r="B59" s="534"/>
      <c r="C59" s="535" t="s">
        <v>13</v>
      </c>
      <c r="D59" s="536">
        <v>7800</v>
      </c>
      <c r="E59" s="536"/>
      <c r="F59" s="538"/>
      <c r="G59" s="483"/>
      <c r="H59" s="460"/>
      <c r="I59" s="12"/>
    </row>
    <row r="60" spans="1:11" x14ac:dyDescent="0.25">
      <c r="A60" s="533"/>
      <c r="B60" s="534"/>
      <c r="C60" s="535" t="s">
        <v>746</v>
      </c>
      <c r="D60" s="536"/>
      <c r="E60" s="536">
        <v>1800</v>
      </c>
      <c r="F60" s="538"/>
      <c r="G60" s="483"/>
      <c r="H60" s="460"/>
      <c r="I60" s="12"/>
    </row>
    <row r="61" spans="1:11" x14ac:dyDescent="0.25">
      <c r="A61" s="533"/>
      <c r="B61" s="534"/>
      <c r="C61" s="535" t="s">
        <v>14</v>
      </c>
      <c r="D61" s="536"/>
      <c r="E61" s="536">
        <v>1100</v>
      </c>
      <c r="F61" s="538"/>
      <c r="G61" s="483"/>
      <c r="H61" s="460"/>
      <c r="I61" s="12"/>
    </row>
    <row r="62" spans="1:11" x14ac:dyDescent="0.25">
      <c r="A62" s="539"/>
      <c r="B62" s="534"/>
      <c r="C62" s="535" t="s">
        <v>15</v>
      </c>
      <c r="D62" s="536"/>
      <c r="E62" s="536">
        <v>1700</v>
      </c>
      <c r="F62" s="540"/>
      <c r="G62" s="483"/>
      <c r="H62" s="460"/>
      <c r="I62" s="12"/>
    </row>
    <row r="63" spans="1:11" x14ac:dyDescent="0.25">
      <c r="A63" s="539"/>
      <c r="B63" s="534"/>
      <c r="C63" s="535"/>
      <c r="D63" s="536"/>
      <c r="E63" s="536"/>
      <c r="F63" s="541">
        <f>SUM(D58:D63)-SUM(E58:E63)</f>
        <v>3200</v>
      </c>
      <c r="G63" s="459"/>
      <c r="H63" s="460"/>
      <c r="I63" s="12"/>
    </row>
    <row r="64" spans="1:11" x14ac:dyDescent="0.25">
      <c r="A64" s="19"/>
      <c r="D64" s="329"/>
      <c r="E64" s="329"/>
    </row>
    <row r="65" spans="1:11" x14ac:dyDescent="0.25">
      <c r="A65" s="19"/>
      <c r="D65" s="329"/>
      <c r="E65" s="329"/>
    </row>
    <row r="66" spans="1:11" x14ac:dyDescent="0.25">
      <c r="A66" s="19"/>
      <c r="D66" s="329"/>
      <c r="E66" s="329"/>
    </row>
    <row r="67" spans="1:11" x14ac:dyDescent="0.25">
      <c r="A67" s="19"/>
      <c r="D67" s="329"/>
      <c r="E67" s="329"/>
      <c r="I67" s="589" t="s">
        <v>28</v>
      </c>
      <c r="J67" s="590">
        <f>E2</f>
        <v>10000</v>
      </c>
      <c r="K67" s="589"/>
    </row>
    <row r="68" spans="1:11" x14ac:dyDescent="0.25">
      <c r="A68" s="19"/>
      <c r="D68" s="329"/>
      <c r="E68" s="329"/>
      <c r="I68" s="589" t="s">
        <v>29</v>
      </c>
      <c r="J68" s="589"/>
      <c r="K68" s="589"/>
    </row>
    <row r="69" spans="1:11" x14ac:dyDescent="0.25">
      <c r="A69" s="19"/>
      <c r="D69" s="329"/>
      <c r="E69" s="329"/>
      <c r="I69" s="592">
        <f>_ENE14</f>
        <v>2000</v>
      </c>
      <c r="J69" s="592"/>
      <c r="K69" s="589" t="s">
        <v>31</v>
      </c>
    </row>
    <row r="70" spans="1:11" x14ac:dyDescent="0.25">
      <c r="A70" s="19"/>
      <c r="D70" s="329"/>
      <c r="E70" s="329"/>
      <c r="I70" s="592">
        <f>_FEB14</f>
        <v>-1700</v>
      </c>
      <c r="J70" s="592"/>
      <c r="K70" s="589"/>
    </row>
    <row r="71" spans="1:11" x14ac:dyDescent="0.25">
      <c r="A71" s="19"/>
      <c r="D71" s="329"/>
      <c r="E71" s="329"/>
      <c r="I71" s="592">
        <f>_MAR14</f>
        <v>400</v>
      </c>
      <c r="J71" s="592"/>
      <c r="K71" s="589"/>
    </row>
    <row r="72" spans="1:11" x14ac:dyDescent="0.25">
      <c r="A72" s="19"/>
      <c r="D72" s="329"/>
      <c r="E72" s="329"/>
      <c r="I72" s="592">
        <f>_ABR14</f>
        <v>1400</v>
      </c>
      <c r="J72" s="592"/>
      <c r="K72" s="589"/>
    </row>
    <row r="73" spans="1:11" x14ac:dyDescent="0.25">
      <c r="A73" s="19"/>
      <c r="D73" s="329"/>
      <c r="E73" s="329"/>
      <c r="I73" s="592">
        <f>_MAY14</f>
        <v>-100</v>
      </c>
      <c r="J73" s="592"/>
      <c r="K73" s="589"/>
    </row>
    <row r="74" spans="1:11" x14ac:dyDescent="0.25">
      <c r="A74" s="19"/>
      <c r="D74" s="329"/>
      <c r="E74" s="329"/>
      <c r="I74" s="592">
        <f>_JUN14</f>
        <v>3000</v>
      </c>
      <c r="J74" s="592"/>
      <c r="K74" s="589"/>
    </row>
    <row r="75" spans="1:11" x14ac:dyDescent="0.25">
      <c r="A75" s="19"/>
      <c r="D75" s="329"/>
      <c r="E75" s="329"/>
      <c r="I75" s="592">
        <f>_JUL14</f>
        <v>-1900</v>
      </c>
      <c r="J75" s="592"/>
      <c r="K75" s="589"/>
    </row>
    <row r="76" spans="1:11" x14ac:dyDescent="0.25">
      <c r="A76" s="19"/>
      <c r="D76" s="329"/>
      <c r="E76" s="329"/>
      <c r="I76" s="592">
        <f>_AGO14</f>
        <v>-1100</v>
      </c>
      <c r="J76" s="592"/>
      <c r="K76" s="589"/>
    </row>
    <row r="77" spans="1:11" x14ac:dyDescent="0.25">
      <c r="A77" s="19"/>
      <c r="D77" s="329"/>
      <c r="E77" s="329"/>
      <c r="I77" s="592">
        <f>_SEP14</f>
        <v>2600</v>
      </c>
      <c r="J77" s="592"/>
      <c r="K77" s="589"/>
    </row>
    <row r="78" spans="1:11" x14ac:dyDescent="0.25">
      <c r="A78" s="19"/>
      <c r="D78" s="329"/>
      <c r="E78" s="329"/>
      <c r="I78" s="592">
        <f>_OCT14</f>
        <v>400</v>
      </c>
      <c r="J78" s="592"/>
      <c r="K78" s="589"/>
    </row>
    <row r="79" spans="1:11" x14ac:dyDescent="0.25">
      <c r="A79" s="19"/>
      <c r="D79" s="329"/>
      <c r="E79" s="329"/>
      <c r="I79" s="592">
        <f>_NOV14</f>
        <v>1800</v>
      </c>
      <c r="J79" s="592"/>
      <c r="K79" s="589"/>
    </row>
    <row r="80" spans="1:11" x14ac:dyDescent="0.25">
      <c r="A80" s="19"/>
      <c r="D80" s="329"/>
      <c r="E80" s="329"/>
      <c r="I80" s="592">
        <f>_DIC14</f>
        <v>3200</v>
      </c>
      <c r="J80" s="592"/>
      <c r="K80" s="589"/>
    </row>
    <row r="81" spans="1:14" x14ac:dyDescent="0.25">
      <c r="A81" s="19"/>
      <c r="D81" s="329"/>
      <c r="E81" s="329"/>
      <c r="I81" s="592">
        <f>SUM(I69:I80)</f>
        <v>10000</v>
      </c>
      <c r="J81" s="592"/>
      <c r="K81" s="592">
        <f>I81-J81</f>
        <v>10000</v>
      </c>
    </row>
    <row r="82" spans="1:14" x14ac:dyDescent="0.25">
      <c r="A82" s="19"/>
      <c r="D82" s="329"/>
      <c r="E82" s="329"/>
      <c r="G82" s="597"/>
      <c r="H82" s="49"/>
      <c r="I82" s="332"/>
      <c r="J82" s="332"/>
      <c r="K82" s="51"/>
      <c r="L82" s="37"/>
      <c r="M82" s="37"/>
      <c r="N82" s="37"/>
    </row>
    <row r="83" spans="1:14" x14ac:dyDescent="0.25">
      <c r="A83" s="19"/>
      <c r="D83" s="329"/>
      <c r="E83" s="329"/>
      <c r="G83" s="597"/>
      <c r="H83" s="49"/>
      <c r="I83" s="181"/>
      <c r="J83" s="332"/>
      <c r="K83" s="51"/>
      <c r="L83" s="37"/>
      <c r="M83" s="588"/>
      <c r="N83" s="37"/>
    </row>
    <row r="84" spans="1:14" x14ac:dyDescent="0.25">
      <c r="A84" s="19"/>
      <c r="D84" s="329"/>
      <c r="E84" s="329"/>
      <c r="G84" s="597"/>
      <c r="H84" s="50"/>
      <c r="I84" s="181"/>
      <c r="J84" s="577"/>
      <c r="K84" s="51"/>
      <c r="L84" s="43"/>
      <c r="M84" s="37"/>
      <c r="N84" s="37"/>
    </row>
    <row r="85" spans="1:14" x14ac:dyDescent="0.25">
      <c r="A85" s="19"/>
      <c r="B85" s="391" t="s">
        <v>32</v>
      </c>
      <c r="C85" s="391" t="s">
        <v>33</v>
      </c>
      <c r="G85" s="597"/>
      <c r="H85" s="49"/>
      <c r="I85" s="181"/>
      <c r="J85" s="332"/>
      <c r="K85" s="51"/>
      <c r="L85" s="37"/>
      <c r="M85" s="37"/>
      <c r="N85" s="37"/>
    </row>
    <row r="86" spans="1:14" x14ac:dyDescent="0.25">
      <c r="A86" s="19"/>
      <c r="B86" s="391">
        <f>SUM(D5:D85)</f>
        <v>95000</v>
      </c>
      <c r="C86" s="391">
        <f>SUM(E5:E85)</f>
        <v>85000</v>
      </c>
      <c r="G86" s="597"/>
      <c r="H86" s="49"/>
      <c r="I86" s="332"/>
      <c r="J86" s="332"/>
      <c r="K86" s="51"/>
      <c r="L86" s="37"/>
      <c r="M86" s="37"/>
      <c r="N86" s="37"/>
    </row>
    <row r="87" spans="1:14" x14ac:dyDescent="0.25">
      <c r="A87" s="19"/>
      <c r="B87" s="530">
        <f>+B86-C86</f>
        <v>10000</v>
      </c>
      <c r="D87" s="329"/>
      <c r="E87" s="329"/>
      <c r="G87" s="597"/>
      <c r="H87" s="49"/>
      <c r="I87" s="596"/>
      <c r="J87" s="332"/>
      <c r="K87" s="51"/>
      <c r="L87" s="37"/>
      <c r="M87" s="37"/>
      <c r="N87" s="37"/>
    </row>
    <row r="88" spans="1:14" x14ac:dyDescent="0.25">
      <c r="A88" s="19"/>
      <c r="G88" s="597"/>
      <c r="H88" s="49"/>
      <c r="I88" s="181"/>
      <c r="J88" s="332"/>
      <c r="K88" s="51"/>
      <c r="L88" s="37"/>
      <c r="M88" s="37"/>
      <c r="N88" s="37"/>
    </row>
    <row r="89" spans="1:14" x14ac:dyDescent="0.25">
      <c r="A89" s="19"/>
      <c r="G89" s="597"/>
      <c r="H89" s="49"/>
      <c r="I89" s="181"/>
      <c r="J89" s="332"/>
      <c r="K89" s="51"/>
      <c r="L89" s="37"/>
      <c r="M89" s="37"/>
      <c r="N89" s="37"/>
    </row>
    <row r="90" spans="1:14" x14ac:dyDescent="0.25">
      <c r="A90" s="19"/>
      <c r="G90" s="597"/>
      <c r="H90" s="49"/>
      <c r="I90" s="181"/>
      <c r="J90" s="332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B101" workbookViewId="0">
      <selection activeCell="G122" sqref="G12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08" customWidth="1"/>
    <col min="5" max="5" width="12.5703125" style="408" customWidth="1"/>
    <col min="6" max="6" width="10.28515625" style="22" customWidth="1"/>
    <col min="7" max="7" width="12.28515625" style="48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180">
        <f ca="1">TODAY()</f>
        <v>44440</v>
      </c>
      <c r="C1" s="1181"/>
      <c r="D1" s="492" t="s">
        <v>0</v>
      </c>
      <c r="E1" s="493">
        <f>COUNTA(B6:B97)</f>
        <v>78</v>
      </c>
      <c r="F1" s="494" t="s">
        <v>1</v>
      </c>
      <c r="G1" s="495"/>
      <c r="H1" s="496"/>
    </row>
    <row r="2" spans="1:12" s="3" customFormat="1" ht="12.75" x14ac:dyDescent="0.2">
      <c r="A2" s="1"/>
      <c r="B2" s="497" t="s">
        <v>2</v>
      </c>
      <c r="C2" s="498">
        <f>E2</f>
        <v>1800</v>
      </c>
      <c r="D2" s="499" t="s">
        <v>3</v>
      </c>
      <c r="E2" s="500">
        <f>SUM(D5:D148)-SUM(E5:E148)</f>
        <v>1800</v>
      </c>
      <c r="F2" s="501" t="s">
        <v>4</v>
      </c>
      <c r="G2" s="502">
        <f>+E2</f>
        <v>1800</v>
      </c>
      <c r="H2" s="496"/>
    </row>
    <row r="3" spans="1:12" s="3" customFormat="1" ht="12.75" x14ac:dyDescent="0.2">
      <c r="A3" s="1"/>
      <c r="B3" s="497"/>
      <c r="C3" s="498"/>
      <c r="D3" s="503" t="s">
        <v>5</v>
      </c>
      <c r="E3" s="504" t="e">
        <f>+FondoEnDolades</f>
        <v>#NAME?</v>
      </c>
      <c r="F3" s="501" t="s">
        <v>6</v>
      </c>
      <c r="G3" s="502" t="e">
        <f>+E3*Cotizacion_Dolar</f>
        <v>#NAME?</v>
      </c>
      <c r="H3" s="496"/>
    </row>
    <row r="4" spans="1:12" s="3" customFormat="1" ht="12.75" x14ac:dyDescent="0.2">
      <c r="A4" s="1"/>
      <c r="B4" s="7" t="s">
        <v>7</v>
      </c>
      <c r="C4" s="8" t="s">
        <v>8</v>
      </c>
      <c r="D4" s="505" t="s">
        <v>9</v>
      </c>
      <c r="E4" s="506" t="s">
        <v>64</v>
      </c>
      <c r="F4" s="9" t="s">
        <v>10</v>
      </c>
      <c r="G4" s="502" t="e">
        <f>+G2+G3</f>
        <v>#NAME?</v>
      </c>
      <c r="H4" s="496"/>
    </row>
    <row r="5" spans="1:12" x14ac:dyDescent="0.25">
      <c r="A5" s="507"/>
      <c r="B5" s="508">
        <v>41275</v>
      </c>
      <c r="C5" s="509" t="s">
        <v>12</v>
      </c>
      <c r="D5" s="510">
        <v>1400</v>
      </c>
      <c r="E5" s="510"/>
      <c r="F5" s="511"/>
      <c r="G5" s="512"/>
    </row>
    <row r="6" spans="1:12" x14ac:dyDescent="0.25">
      <c r="A6" s="513"/>
      <c r="B6" s="508">
        <v>41281</v>
      </c>
      <c r="C6" s="509" t="s">
        <v>13</v>
      </c>
      <c r="D6" s="510">
        <v>3840</v>
      </c>
      <c r="E6" s="510"/>
      <c r="F6" s="514"/>
      <c r="G6" s="459"/>
      <c r="H6" s="11"/>
      <c r="I6" s="12"/>
    </row>
    <row r="7" spans="1:12" x14ac:dyDescent="0.25">
      <c r="A7" s="515"/>
      <c r="B7" s="508">
        <v>41281</v>
      </c>
      <c r="C7" s="509" t="s">
        <v>719</v>
      </c>
      <c r="D7" s="510"/>
      <c r="E7" s="510">
        <v>40</v>
      </c>
      <c r="F7" s="516"/>
      <c r="G7" s="459"/>
      <c r="H7" s="11"/>
      <c r="I7" s="12"/>
    </row>
    <row r="8" spans="1:12" x14ac:dyDescent="0.25">
      <c r="A8" s="507"/>
      <c r="B8" s="508">
        <v>41281</v>
      </c>
      <c r="C8" s="509" t="s">
        <v>720</v>
      </c>
      <c r="D8" s="510"/>
      <c r="E8" s="510">
        <v>170</v>
      </c>
      <c r="F8" s="514"/>
      <c r="G8" s="459"/>
      <c r="H8" s="11"/>
      <c r="I8" s="12"/>
    </row>
    <row r="9" spans="1:12" x14ac:dyDescent="0.25">
      <c r="A9" s="515"/>
      <c r="B9" s="508">
        <v>41281</v>
      </c>
      <c r="C9" s="509" t="s">
        <v>721</v>
      </c>
      <c r="D9" s="510"/>
      <c r="E9" s="510">
        <v>200</v>
      </c>
      <c r="F9" s="514"/>
      <c r="G9" s="459"/>
      <c r="H9" s="11"/>
      <c r="I9" s="12"/>
      <c r="L9" s="182"/>
    </row>
    <row r="10" spans="1:12" x14ac:dyDescent="0.25">
      <c r="A10" s="507"/>
      <c r="B10" s="508">
        <v>41285</v>
      </c>
      <c r="C10" s="509" t="s">
        <v>14</v>
      </c>
      <c r="D10" s="510"/>
      <c r="E10" s="510">
        <f>1160+160+20</f>
        <v>1340</v>
      </c>
      <c r="F10" s="514"/>
      <c r="G10" s="459"/>
      <c r="H10" s="11"/>
      <c r="I10" s="12"/>
    </row>
    <row r="11" spans="1:12" x14ac:dyDescent="0.25">
      <c r="A11" s="517"/>
      <c r="B11" s="508">
        <v>41281</v>
      </c>
      <c r="C11" s="509" t="s">
        <v>722</v>
      </c>
      <c r="D11" s="510"/>
      <c r="E11" s="510">
        <v>1150</v>
      </c>
      <c r="F11" s="516"/>
      <c r="G11" s="459"/>
      <c r="H11" s="460"/>
      <c r="I11" s="12"/>
    </row>
    <row r="12" spans="1:12" x14ac:dyDescent="0.25">
      <c r="A12" s="517"/>
      <c r="B12" s="508">
        <v>41285</v>
      </c>
      <c r="C12" s="509" t="s">
        <v>199</v>
      </c>
      <c r="D12" s="510"/>
      <c r="E12" s="510">
        <v>1600</v>
      </c>
      <c r="F12" s="516"/>
      <c r="G12" s="459"/>
      <c r="H12" s="460"/>
      <c r="I12" s="12"/>
    </row>
    <row r="13" spans="1:12" x14ac:dyDescent="0.25">
      <c r="A13" s="517"/>
      <c r="B13" s="508">
        <v>41294</v>
      </c>
      <c r="C13" s="509" t="s">
        <v>15</v>
      </c>
      <c r="D13" s="510"/>
      <c r="E13" s="510">
        <v>530</v>
      </c>
      <c r="F13" s="516"/>
      <c r="G13" s="459"/>
      <c r="H13" s="460"/>
      <c r="I13" s="12"/>
    </row>
    <row r="14" spans="1:12" x14ac:dyDescent="0.25">
      <c r="A14" s="517"/>
      <c r="B14" s="508"/>
      <c r="C14" s="509"/>
      <c r="D14" s="510"/>
      <c r="E14" s="510"/>
      <c r="F14" s="518">
        <f>SUM(D5:D14)-SUM(E5:E14)</f>
        <v>210</v>
      </c>
      <c r="G14" s="459"/>
      <c r="H14" s="460"/>
      <c r="I14" s="12"/>
    </row>
    <row r="15" spans="1:12" x14ac:dyDescent="0.25">
      <c r="A15" s="507"/>
      <c r="B15" s="508">
        <v>41318</v>
      </c>
      <c r="C15" s="509" t="s">
        <v>13</v>
      </c>
      <c r="D15" s="510">
        <v>3840</v>
      </c>
      <c r="E15" s="510"/>
      <c r="F15" s="519"/>
      <c r="G15" s="459"/>
      <c r="H15" s="11"/>
      <c r="I15" s="12"/>
    </row>
    <row r="16" spans="1:12" x14ac:dyDescent="0.25">
      <c r="A16" s="507"/>
      <c r="B16" s="508">
        <v>41313</v>
      </c>
      <c r="C16" s="509" t="s">
        <v>719</v>
      </c>
      <c r="D16" s="510"/>
      <c r="E16" s="510">
        <v>30</v>
      </c>
      <c r="F16" s="516"/>
      <c r="G16" s="459"/>
      <c r="H16" s="11"/>
      <c r="I16" s="462"/>
    </row>
    <row r="17" spans="1:9" x14ac:dyDescent="0.25">
      <c r="A17" s="507"/>
      <c r="B17" s="508">
        <v>41319</v>
      </c>
      <c r="C17" s="509" t="s">
        <v>720</v>
      </c>
      <c r="D17" s="510"/>
      <c r="E17" s="510">
        <v>230</v>
      </c>
      <c r="F17" s="516"/>
      <c r="G17" s="459"/>
      <c r="H17" s="11"/>
      <c r="I17" s="12"/>
    </row>
    <row r="18" spans="1:9" x14ac:dyDescent="0.25">
      <c r="A18" s="507"/>
      <c r="B18" s="508">
        <v>41319</v>
      </c>
      <c r="C18" s="509" t="s">
        <v>721</v>
      </c>
      <c r="D18" s="510"/>
      <c r="E18" s="510">
        <v>210</v>
      </c>
      <c r="F18" s="514"/>
      <c r="G18" s="459"/>
      <c r="H18" s="460"/>
      <c r="I18" s="12"/>
    </row>
    <row r="19" spans="1:9" x14ac:dyDescent="0.25">
      <c r="A19" s="507"/>
      <c r="B19" s="508">
        <v>41310</v>
      </c>
      <c r="C19" s="509" t="s">
        <v>19</v>
      </c>
      <c r="D19" s="510">
        <v>1920</v>
      </c>
      <c r="E19" s="510"/>
      <c r="F19" s="516"/>
      <c r="G19" s="459"/>
      <c r="H19" s="11"/>
      <c r="I19" s="12"/>
    </row>
    <row r="20" spans="1:9" x14ac:dyDescent="0.25">
      <c r="A20" s="507"/>
      <c r="B20" s="508">
        <v>41312</v>
      </c>
      <c r="C20" s="509" t="s">
        <v>14</v>
      </c>
      <c r="D20" s="510"/>
      <c r="E20" s="510">
        <v>20</v>
      </c>
      <c r="F20" s="516"/>
      <c r="G20" s="459"/>
      <c r="H20" s="11"/>
      <c r="I20" s="12"/>
    </row>
    <row r="21" spans="1:9" x14ac:dyDescent="0.25">
      <c r="A21" s="507"/>
      <c r="B21" s="508">
        <v>41306</v>
      </c>
      <c r="C21" s="509" t="s">
        <v>723</v>
      </c>
      <c r="D21" s="510"/>
      <c r="E21" s="510">
        <v>500</v>
      </c>
      <c r="F21" s="516"/>
      <c r="G21" s="459"/>
      <c r="H21" s="460"/>
      <c r="I21" s="12"/>
    </row>
    <row r="22" spans="1:9" x14ac:dyDescent="0.25">
      <c r="A22" s="507"/>
      <c r="B22" s="508">
        <v>41327</v>
      </c>
      <c r="C22" s="509" t="s">
        <v>15</v>
      </c>
      <c r="D22" s="510"/>
      <c r="E22" s="510">
        <v>1230</v>
      </c>
      <c r="F22" s="516"/>
      <c r="G22" s="459"/>
      <c r="H22" s="460"/>
      <c r="I22" s="12"/>
    </row>
    <row r="23" spans="1:9" x14ac:dyDescent="0.25">
      <c r="A23" s="507"/>
      <c r="B23" s="508">
        <v>41331</v>
      </c>
      <c r="C23" s="509" t="s">
        <v>724</v>
      </c>
      <c r="D23" s="510"/>
      <c r="E23" s="510">
        <f>1100+650+1000</f>
        <v>2750</v>
      </c>
      <c r="F23" s="516"/>
      <c r="G23" s="459"/>
      <c r="H23" s="460"/>
      <c r="I23" s="12"/>
    </row>
    <row r="24" spans="1:9" x14ac:dyDescent="0.25">
      <c r="A24" s="507"/>
      <c r="B24" s="508"/>
      <c r="C24" s="509"/>
      <c r="D24" s="510"/>
      <c r="E24" s="510"/>
      <c r="F24" s="520">
        <f>SUM(D15:D24)-SUM(E15:E24)</f>
        <v>790</v>
      </c>
      <c r="G24" s="459"/>
      <c r="H24" s="11"/>
      <c r="I24" s="12"/>
    </row>
    <row r="25" spans="1:9" x14ac:dyDescent="0.25">
      <c r="A25" s="507"/>
      <c r="B25" s="508">
        <v>41341</v>
      </c>
      <c r="C25" s="509" t="s">
        <v>13</v>
      </c>
      <c r="D25" s="510">
        <v>3840</v>
      </c>
      <c r="E25" s="510"/>
      <c r="F25" s="519"/>
      <c r="G25" s="459"/>
      <c r="H25" s="11"/>
      <c r="I25" s="12"/>
    </row>
    <row r="26" spans="1:9" x14ac:dyDescent="0.25">
      <c r="A26" s="507"/>
      <c r="B26" s="508">
        <v>41341</v>
      </c>
      <c r="C26" s="509" t="s">
        <v>719</v>
      </c>
      <c r="D26" s="510"/>
      <c r="E26" s="510">
        <v>170</v>
      </c>
      <c r="F26" s="514"/>
      <c r="G26" s="459"/>
      <c r="H26" s="11"/>
      <c r="I26" s="12"/>
    </row>
    <row r="27" spans="1:9" x14ac:dyDescent="0.25">
      <c r="A27" s="507"/>
      <c r="B27" s="508">
        <v>41342</v>
      </c>
      <c r="C27" s="509" t="s">
        <v>720</v>
      </c>
      <c r="D27" s="510"/>
      <c r="E27" s="510">
        <v>270</v>
      </c>
      <c r="F27" s="514"/>
      <c r="G27" s="459"/>
      <c r="H27" s="11"/>
      <c r="I27" s="12"/>
    </row>
    <row r="28" spans="1:9" x14ac:dyDescent="0.25">
      <c r="A28" s="507"/>
      <c r="B28" s="508">
        <v>41342</v>
      </c>
      <c r="C28" s="509" t="s">
        <v>721</v>
      </c>
      <c r="D28" s="510"/>
      <c r="E28" s="510">
        <v>210</v>
      </c>
      <c r="F28" s="514"/>
      <c r="G28" s="459"/>
      <c r="H28" s="11"/>
      <c r="I28" s="12"/>
    </row>
    <row r="29" spans="1:9" x14ac:dyDescent="0.25">
      <c r="A29" s="507"/>
      <c r="B29" s="508">
        <v>41341</v>
      </c>
      <c r="C29" s="509" t="s">
        <v>14</v>
      </c>
      <c r="D29" s="510"/>
      <c r="E29" s="510">
        <v>1800</v>
      </c>
      <c r="F29" s="516"/>
      <c r="G29" s="459"/>
      <c r="H29" s="460"/>
      <c r="I29" s="12"/>
    </row>
    <row r="30" spans="1:9" x14ac:dyDescent="0.25">
      <c r="A30" s="507"/>
      <c r="B30" s="508">
        <v>41341</v>
      </c>
      <c r="C30" s="509" t="s">
        <v>15</v>
      </c>
      <c r="D30" s="510"/>
      <c r="E30" s="510">
        <f>640+700</f>
        <v>1340</v>
      </c>
      <c r="F30" s="516"/>
      <c r="G30" s="459"/>
      <c r="H30" s="460"/>
      <c r="I30" s="12"/>
    </row>
    <row r="31" spans="1:9" x14ac:dyDescent="0.25">
      <c r="A31" s="507"/>
      <c r="B31" s="508">
        <v>41339</v>
      </c>
      <c r="C31" s="509" t="s">
        <v>199</v>
      </c>
      <c r="D31" s="510"/>
      <c r="E31" s="510">
        <v>1050</v>
      </c>
      <c r="F31" s="516"/>
      <c r="G31" s="459"/>
      <c r="H31" s="460"/>
      <c r="I31" s="12"/>
    </row>
    <row r="32" spans="1:9" x14ac:dyDescent="0.25">
      <c r="A32" s="507"/>
      <c r="B32" s="508"/>
      <c r="C32" s="509"/>
      <c r="D32" s="510"/>
      <c r="E32" s="510"/>
      <c r="F32" s="520">
        <f>SUM(D25:D32)-SUM(E25:E32)</f>
        <v>-1000</v>
      </c>
      <c r="G32" s="459"/>
      <c r="H32" s="460"/>
      <c r="I32" s="12"/>
    </row>
    <row r="33" spans="1:12" x14ac:dyDescent="0.25">
      <c r="A33" s="513"/>
      <c r="B33" s="508">
        <v>41372</v>
      </c>
      <c r="C33" s="509" t="s">
        <v>13</v>
      </c>
      <c r="D33" s="510">
        <v>3840</v>
      </c>
      <c r="E33" s="510"/>
      <c r="F33" s="519"/>
      <c r="G33" s="459"/>
      <c r="H33" s="11"/>
      <c r="I33" s="12"/>
    </row>
    <row r="34" spans="1:12" x14ac:dyDescent="0.25">
      <c r="A34" s="507"/>
      <c r="B34" s="508">
        <v>41372</v>
      </c>
      <c r="C34" s="509" t="s">
        <v>719</v>
      </c>
      <c r="D34" s="510"/>
      <c r="E34" s="510">
        <v>150</v>
      </c>
      <c r="F34" s="514"/>
      <c r="G34" s="459"/>
      <c r="H34" s="460"/>
      <c r="I34" s="12"/>
    </row>
    <row r="35" spans="1:12" x14ac:dyDescent="0.25">
      <c r="A35" s="515"/>
      <c r="B35" s="508">
        <v>41372</v>
      </c>
      <c r="C35" s="509" t="s">
        <v>720</v>
      </c>
      <c r="D35" s="510"/>
      <c r="E35" s="510">
        <v>180</v>
      </c>
      <c r="F35" s="514"/>
      <c r="G35" s="459"/>
      <c r="H35" s="11"/>
      <c r="I35" s="12"/>
    </row>
    <row r="36" spans="1:12" x14ac:dyDescent="0.25">
      <c r="A36" s="515"/>
      <c r="B36" s="508">
        <v>41372</v>
      </c>
      <c r="C36" s="509" t="s">
        <v>14</v>
      </c>
      <c r="D36" s="510"/>
      <c r="E36" s="510">
        <f>1330+160+250+70</f>
        <v>1810</v>
      </c>
      <c r="F36" s="514"/>
      <c r="G36" s="459"/>
      <c r="H36" s="11"/>
      <c r="I36" s="12"/>
      <c r="J36" s="15"/>
      <c r="K36" s="425"/>
    </row>
    <row r="37" spans="1:12" x14ac:dyDescent="0.25">
      <c r="A37" s="515"/>
      <c r="B37" s="508">
        <v>41389</v>
      </c>
      <c r="C37" s="509" t="s">
        <v>15</v>
      </c>
      <c r="D37" s="510"/>
      <c r="E37" s="510">
        <v>1080</v>
      </c>
      <c r="F37" s="514"/>
      <c r="G37" s="459"/>
      <c r="H37" s="11"/>
      <c r="I37" s="12"/>
      <c r="J37" s="15"/>
      <c r="K37" s="425"/>
    </row>
    <row r="38" spans="1:12" x14ac:dyDescent="0.25">
      <c r="A38" s="515"/>
      <c r="B38" s="508">
        <v>41374</v>
      </c>
      <c r="C38" s="509" t="s">
        <v>725</v>
      </c>
      <c r="D38" s="510"/>
      <c r="E38" s="510">
        <v>70</v>
      </c>
      <c r="F38" s="514"/>
      <c r="G38" s="459"/>
      <c r="H38" s="11"/>
      <c r="I38" s="12"/>
      <c r="J38" s="15"/>
      <c r="K38" s="425"/>
    </row>
    <row r="39" spans="1:12" x14ac:dyDescent="0.25">
      <c r="A39" s="507"/>
      <c r="B39" s="508"/>
      <c r="C39" s="509"/>
      <c r="D39" s="510"/>
      <c r="E39" s="510"/>
      <c r="F39" s="520">
        <f>SUM(D33:D39)-SUM(E33:E39)</f>
        <v>550</v>
      </c>
      <c r="G39" s="459"/>
      <c r="H39" s="11"/>
      <c r="I39" s="12"/>
      <c r="J39" s="15"/>
      <c r="K39" s="15"/>
    </row>
    <row r="40" spans="1:12" x14ac:dyDescent="0.25">
      <c r="A40" s="517"/>
      <c r="B40" s="508">
        <v>41403</v>
      </c>
      <c r="C40" s="509" t="s">
        <v>13</v>
      </c>
      <c r="D40" s="510">
        <f>3840</f>
        <v>3840</v>
      </c>
      <c r="E40" s="510"/>
      <c r="F40" s="519"/>
      <c r="G40" s="459"/>
      <c r="H40" s="11"/>
      <c r="I40" s="12"/>
      <c r="J40" s="15"/>
      <c r="K40" s="15"/>
    </row>
    <row r="41" spans="1:12" x14ac:dyDescent="0.25">
      <c r="A41" s="507"/>
      <c r="B41" s="508">
        <v>41402</v>
      </c>
      <c r="C41" s="509" t="s">
        <v>719</v>
      </c>
      <c r="D41" s="510"/>
      <c r="E41" s="510">
        <v>60</v>
      </c>
      <c r="F41" s="514"/>
      <c r="G41" s="459"/>
      <c r="H41" s="11"/>
      <c r="I41" s="12"/>
      <c r="J41" s="15"/>
      <c r="K41" s="15"/>
    </row>
    <row r="42" spans="1:12" x14ac:dyDescent="0.25">
      <c r="A42" s="507"/>
      <c r="B42" s="508">
        <v>41404</v>
      </c>
      <c r="C42" s="509" t="s">
        <v>720</v>
      </c>
      <c r="D42" s="510"/>
      <c r="E42" s="510">
        <f>220+140</f>
        <v>360</v>
      </c>
      <c r="F42" s="514"/>
      <c r="G42" s="459"/>
      <c r="H42" s="11"/>
      <c r="I42" s="12"/>
      <c r="J42" s="15"/>
      <c r="K42" s="15"/>
    </row>
    <row r="43" spans="1:12" x14ac:dyDescent="0.25">
      <c r="A43" s="507"/>
      <c r="B43" s="508">
        <v>41416</v>
      </c>
      <c r="C43" s="509" t="s">
        <v>15</v>
      </c>
      <c r="D43" s="510"/>
      <c r="E43" s="510">
        <v>1300</v>
      </c>
      <c r="F43" s="514"/>
      <c r="G43" s="459"/>
      <c r="H43" s="11"/>
      <c r="I43" s="12"/>
      <c r="J43" s="15"/>
      <c r="K43" s="15"/>
    </row>
    <row r="44" spans="1:12" x14ac:dyDescent="0.25">
      <c r="A44" s="507"/>
      <c r="B44" s="508">
        <v>41404</v>
      </c>
      <c r="C44" s="509" t="s">
        <v>14</v>
      </c>
      <c r="D44" s="510"/>
      <c r="E44" s="510">
        <f>1470+510+290</f>
        <v>2270</v>
      </c>
      <c r="F44" s="514"/>
      <c r="G44" s="459"/>
      <c r="H44" s="11"/>
      <c r="I44" s="12"/>
      <c r="J44" s="425"/>
      <c r="K44" s="15"/>
    </row>
    <row r="45" spans="1:12" x14ac:dyDescent="0.25">
      <c r="A45" s="507"/>
      <c r="B45" s="508"/>
      <c r="C45" s="509"/>
      <c r="D45" s="510"/>
      <c r="E45" s="510"/>
      <c r="F45" s="520">
        <f>SUM(D40:D45)-SUM(E40:E45)</f>
        <v>-150</v>
      </c>
      <c r="G45" s="459"/>
      <c r="H45" s="11"/>
      <c r="I45" s="12"/>
      <c r="J45" s="425"/>
      <c r="K45" s="15"/>
    </row>
    <row r="46" spans="1:12" x14ac:dyDescent="0.25">
      <c r="A46" s="507"/>
      <c r="B46" s="508">
        <v>41432</v>
      </c>
      <c r="C46" s="509" t="s">
        <v>13</v>
      </c>
      <c r="D46" s="510">
        <v>4300</v>
      </c>
      <c r="E46" s="510"/>
      <c r="F46" s="519"/>
      <c r="G46" s="459"/>
      <c r="H46" s="464"/>
      <c r="I46" s="12"/>
      <c r="L46" s="182"/>
    </row>
    <row r="47" spans="1:12" x14ac:dyDescent="0.25">
      <c r="A47" s="507"/>
      <c r="B47" s="508">
        <v>41433</v>
      </c>
      <c r="C47" s="509" t="s">
        <v>719</v>
      </c>
      <c r="D47" s="510"/>
      <c r="E47" s="510">
        <v>150</v>
      </c>
      <c r="F47" s="514"/>
      <c r="G47" s="459"/>
      <c r="H47" s="464"/>
      <c r="I47" s="12"/>
      <c r="K47" s="182"/>
    </row>
    <row r="48" spans="1:12" x14ac:dyDescent="0.25">
      <c r="A48" s="507"/>
      <c r="B48" s="508">
        <v>41433</v>
      </c>
      <c r="C48" s="509" t="s">
        <v>720</v>
      </c>
      <c r="D48" s="510"/>
      <c r="E48" s="510">
        <f>140+230</f>
        <v>370</v>
      </c>
      <c r="F48" s="521"/>
      <c r="G48" s="459"/>
      <c r="H48" s="460"/>
      <c r="I48" s="462"/>
      <c r="K48" s="182"/>
    </row>
    <row r="49" spans="1:11" x14ac:dyDescent="0.25">
      <c r="A49" s="513"/>
      <c r="B49" s="508">
        <v>41432</v>
      </c>
      <c r="C49" s="509" t="s">
        <v>721</v>
      </c>
      <c r="D49" s="510"/>
      <c r="E49" s="510">
        <v>0</v>
      </c>
      <c r="F49" s="521"/>
      <c r="G49" s="459"/>
      <c r="H49" s="464"/>
      <c r="I49" s="12"/>
    </row>
    <row r="50" spans="1:11" x14ac:dyDescent="0.25">
      <c r="A50" s="513"/>
      <c r="B50" s="508">
        <v>41434</v>
      </c>
      <c r="C50" s="509" t="s">
        <v>15</v>
      </c>
      <c r="D50" s="510"/>
      <c r="E50" s="510">
        <f>1110-150</f>
        <v>960</v>
      </c>
      <c r="F50" s="521"/>
      <c r="G50" s="459"/>
      <c r="H50" s="464"/>
      <c r="I50" s="12"/>
    </row>
    <row r="51" spans="1:11" x14ac:dyDescent="0.25">
      <c r="A51" s="507"/>
      <c r="B51" s="508">
        <v>41433</v>
      </c>
      <c r="C51" s="509" t="s">
        <v>14</v>
      </c>
      <c r="D51" s="510"/>
      <c r="E51" s="510">
        <f>1160+110+1200</f>
        <v>2470</v>
      </c>
      <c r="F51" s="521"/>
      <c r="G51" s="459"/>
      <c r="H51" s="460"/>
      <c r="I51" s="12"/>
      <c r="K51" s="182"/>
    </row>
    <row r="52" spans="1:11" x14ac:dyDescent="0.25">
      <c r="A52" s="515"/>
      <c r="B52" s="508"/>
      <c r="C52" s="509"/>
      <c r="D52" s="510"/>
      <c r="E52" s="510"/>
      <c r="F52" s="520">
        <f>SUM(D46:D52)-SUM(E46:E52)</f>
        <v>350</v>
      </c>
      <c r="G52" s="459"/>
      <c r="H52" s="460"/>
      <c r="I52" s="12"/>
      <c r="J52" s="182"/>
      <c r="K52" s="182"/>
    </row>
    <row r="53" spans="1:11" x14ac:dyDescent="0.25">
      <c r="A53" s="507"/>
      <c r="B53" s="508">
        <v>41460</v>
      </c>
      <c r="C53" s="509" t="s">
        <v>13</v>
      </c>
      <c r="D53" s="510">
        <f>4650</f>
        <v>4650</v>
      </c>
      <c r="E53" s="510"/>
      <c r="F53" s="519"/>
      <c r="G53" s="459"/>
      <c r="H53" s="460"/>
      <c r="I53" s="462"/>
    </row>
    <row r="54" spans="1:11" x14ac:dyDescent="0.25">
      <c r="A54" s="515"/>
      <c r="B54" s="508">
        <v>41460</v>
      </c>
      <c r="C54" s="509" t="s">
        <v>719</v>
      </c>
      <c r="D54" s="510"/>
      <c r="E54" s="510">
        <v>0</v>
      </c>
      <c r="F54" s="514"/>
      <c r="G54" s="459"/>
      <c r="H54" s="11"/>
      <c r="I54" s="12"/>
    </row>
    <row r="55" spans="1:11" x14ac:dyDescent="0.25">
      <c r="A55" s="507"/>
      <c r="B55" s="508">
        <v>41474</v>
      </c>
      <c r="C55" s="509" t="s">
        <v>720</v>
      </c>
      <c r="D55" s="510"/>
      <c r="E55" s="510">
        <f>150+200</f>
        <v>350</v>
      </c>
      <c r="F55" s="516"/>
      <c r="G55" s="483"/>
      <c r="H55" s="460"/>
      <c r="I55" s="12"/>
    </row>
    <row r="56" spans="1:11" x14ac:dyDescent="0.25">
      <c r="A56" s="507"/>
      <c r="B56" s="508">
        <v>41463</v>
      </c>
      <c r="C56" s="509" t="s">
        <v>726</v>
      </c>
      <c r="D56" s="510"/>
      <c r="E56" s="510">
        <v>400</v>
      </c>
      <c r="F56" s="516"/>
      <c r="G56" s="483"/>
      <c r="H56" s="460"/>
      <c r="I56" s="12"/>
    </row>
    <row r="57" spans="1:11" x14ac:dyDescent="0.25">
      <c r="A57" s="507"/>
      <c r="B57" s="508">
        <v>41481</v>
      </c>
      <c r="C57" s="509" t="s">
        <v>15</v>
      </c>
      <c r="D57" s="510"/>
      <c r="E57" s="510">
        <v>350</v>
      </c>
      <c r="F57" s="516"/>
      <c r="G57" s="483"/>
      <c r="H57" s="460"/>
      <c r="I57" s="12"/>
    </row>
    <row r="58" spans="1:11" x14ac:dyDescent="0.25">
      <c r="A58" s="517"/>
      <c r="B58" s="508">
        <v>41463</v>
      </c>
      <c r="C58" s="509" t="s">
        <v>727</v>
      </c>
      <c r="D58" s="510"/>
      <c r="E58" s="510">
        <v>250</v>
      </c>
      <c r="F58" s="514"/>
      <c r="G58" s="459"/>
      <c r="H58" s="460"/>
      <c r="I58" s="12"/>
    </row>
    <row r="59" spans="1:11" x14ac:dyDescent="0.25">
      <c r="A59" s="507"/>
      <c r="B59" s="508">
        <v>41465</v>
      </c>
      <c r="C59" s="509" t="s">
        <v>14</v>
      </c>
      <c r="D59" s="510"/>
      <c r="E59" s="510">
        <v>3150</v>
      </c>
      <c r="F59" s="514"/>
      <c r="G59" s="459"/>
      <c r="H59" s="11"/>
      <c r="I59" s="12"/>
    </row>
    <row r="60" spans="1:11" x14ac:dyDescent="0.25">
      <c r="A60" s="507"/>
      <c r="B60" s="508"/>
      <c r="C60" s="509"/>
      <c r="D60" s="510"/>
      <c r="E60" s="510"/>
      <c r="F60" s="520">
        <f>SUM(D53:D60)-SUM(E53:E60)</f>
        <v>150</v>
      </c>
      <c r="G60" s="459"/>
      <c r="H60" s="11"/>
      <c r="I60" s="12"/>
    </row>
    <row r="61" spans="1:11" x14ac:dyDescent="0.25">
      <c r="A61" s="507"/>
      <c r="B61" s="508">
        <v>41495</v>
      </c>
      <c r="C61" s="509" t="s">
        <v>13</v>
      </c>
      <c r="D61" s="510">
        <f>4610-40</f>
        <v>4570</v>
      </c>
      <c r="E61" s="510"/>
      <c r="F61" s="519"/>
      <c r="G61" s="459"/>
      <c r="H61" s="11"/>
      <c r="I61" s="12"/>
    </row>
    <row r="62" spans="1:11" x14ac:dyDescent="0.25">
      <c r="A62" s="507"/>
      <c r="B62" s="508">
        <v>41506</v>
      </c>
      <c r="C62" s="509" t="s">
        <v>719</v>
      </c>
      <c r="D62" s="510"/>
      <c r="E62" s="510">
        <v>140</v>
      </c>
      <c r="F62" s="514"/>
      <c r="G62" s="459"/>
      <c r="H62" s="11"/>
      <c r="I62" s="12"/>
    </row>
    <row r="63" spans="1:11" x14ac:dyDescent="0.25">
      <c r="A63" s="507"/>
      <c r="B63" s="508">
        <v>41487</v>
      </c>
      <c r="C63" s="509" t="s">
        <v>728</v>
      </c>
      <c r="D63" s="510"/>
      <c r="E63" s="510">
        <v>200</v>
      </c>
      <c r="F63" s="514"/>
      <c r="G63" s="459"/>
      <c r="H63" s="11"/>
      <c r="I63" s="12"/>
    </row>
    <row r="64" spans="1:11" x14ac:dyDescent="0.25">
      <c r="A64" s="507"/>
      <c r="B64" s="508">
        <v>41509</v>
      </c>
      <c r="C64" s="509" t="s">
        <v>19</v>
      </c>
      <c r="D64" s="510">
        <v>2300</v>
      </c>
      <c r="E64" s="510"/>
      <c r="F64" s="514"/>
      <c r="G64" s="459"/>
      <c r="H64" s="11"/>
      <c r="I64" s="12"/>
    </row>
    <row r="65" spans="1:12" x14ac:dyDescent="0.25">
      <c r="A65" s="507"/>
      <c r="B65" s="508">
        <v>41496</v>
      </c>
      <c r="C65" s="509" t="s">
        <v>15</v>
      </c>
      <c r="D65" s="510"/>
      <c r="E65" s="510">
        <f>970+200</f>
        <v>1170</v>
      </c>
      <c r="F65" s="514"/>
      <c r="G65" s="459"/>
      <c r="H65" s="11"/>
      <c r="I65" s="12"/>
    </row>
    <row r="66" spans="1:12" x14ac:dyDescent="0.25">
      <c r="A66" s="507"/>
      <c r="B66" s="508">
        <v>41502</v>
      </c>
      <c r="C66" s="509" t="s">
        <v>14</v>
      </c>
      <c r="D66" s="510"/>
      <c r="E66" s="510">
        <v>3460</v>
      </c>
      <c r="F66" s="514"/>
      <c r="G66" s="459"/>
      <c r="H66" s="182"/>
    </row>
    <row r="67" spans="1:12" x14ac:dyDescent="0.25">
      <c r="A67" s="522"/>
      <c r="B67" s="523"/>
      <c r="C67" s="524"/>
      <c r="D67" s="525"/>
      <c r="E67" s="525"/>
      <c r="F67" s="526">
        <f>SUM(D61:D67)-SUM(E61:E67)</f>
        <v>1900</v>
      </c>
      <c r="G67" s="459"/>
      <c r="H67" s="182"/>
      <c r="I67" s="182"/>
      <c r="J67" s="182"/>
      <c r="K67" s="182"/>
    </row>
    <row r="68" spans="1:12" x14ac:dyDescent="0.25">
      <c r="A68" s="507"/>
      <c r="B68" s="508">
        <v>41523</v>
      </c>
      <c r="C68" s="509" t="s">
        <v>13</v>
      </c>
      <c r="D68" s="510">
        <v>4610</v>
      </c>
      <c r="E68" s="510"/>
      <c r="F68" s="519"/>
      <c r="G68" s="459"/>
      <c r="H68" s="182"/>
      <c r="I68" s="182"/>
      <c r="J68" s="182"/>
      <c r="K68" s="182"/>
      <c r="L68" s="182"/>
    </row>
    <row r="69" spans="1:12" x14ac:dyDescent="0.25">
      <c r="A69" s="507"/>
      <c r="B69" s="508">
        <v>41523</v>
      </c>
      <c r="C69" s="509" t="s">
        <v>15</v>
      </c>
      <c r="D69" s="510"/>
      <c r="E69" s="510">
        <v>800</v>
      </c>
      <c r="F69" s="516"/>
      <c r="G69" s="459"/>
      <c r="H69" s="182"/>
      <c r="I69" s="182"/>
      <c r="J69" s="182"/>
      <c r="K69" s="182"/>
    </row>
    <row r="70" spans="1:12" x14ac:dyDescent="0.25">
      <c r="A70" s="507"/>
      <c r="B70" s="508">
        <v>41523</v>
      </c>
      <c r="C70" s="509" t="s">
        <v>14</v>
      </c>
      <c r="D70" s="510"/>
      <c r="E70" s="510">
        <v>3610</v>
      </c>
      <c r="F70" s="527"/>
      <c r="G70" s="459"/>
      <c r="H70" s="460"/>
      <c r="I70" s="12"/>
    </row>
    <row r="71" spans="1:12" x14ac:dyDescent="0.25">
      <c r="A71" s="507"/>
      <c r="B71" s="508"/>
      <c r="C71" s="509"/>
      <c r="D71" s="510"/>
      <c r="E71" s="510"/>
      <c r="F71" s="520">
        <f>SUM(D68:D71)-SUM(E68:E71)</f>
        <v>200</v>
      </c>
      <c r="G71" s="459"/>
      <c r="H71" s="460"/>
      <c r="I71" s="12"/>
    </row>
    <row r="72" spans="1:12" x14ac:dyDescent="0.25">
      <c r="A72" s="507"/>
      <c r="B72" s="508">
        <v>41551</v>
      </c>
      <c r="C72" s="509" t="s">
        <v>13</v>
      </c>
      <c r="D72" s="510">
        <v>4610</v>
      </c>
      <c r="E72" s="510"/>
      <c r="F72" s="519"/>
      <c r="G72" s="459"/>
      <c r="H72" s="460"/>
      <c r="I72" s="462"/>
    </row>
    <row r="73" spans="1:12" x14ac:dyDescent="0.25">
      <c r="A73" s="515"/>
      <c r="B73" s="508">
        <v>41551</v>
      </c>
      <c r="C73" s="509" t="s">
        <v>15</v>
      </c>
      <c r="D73" s="510"/>
      <c r="E73" s="510">
        <v>600</v>
      </c>
      <c r="F73" s="527"/>
      <c r="G73" s="459"/>
      <c r="H73" s="460"/>
      <c r="I73" s="12"/>
    </row>
    <row r="74" spans="1:12" x14ac:dyDescent="0.25">
      <c r="A74" s="515"/>
      <c r="B74" s="508">
        <v>41551</v>
      </c>
      <c r="C74" s="509" t="s">
        <v>14</v>
      </c>
      <c r="D74" s="510"/>
      <c r="E74" s="510">
        <v>4610</v>
      </c>
      <c r="F74" s="527"/>
      <c r="G74" s="459"/>
      <c r="H74" s="460"/>
      <c r="I74" s="12"/>
    </row>
    <row r="75" spans="1:12" x14ac:dyDescent="0.25">
      <c r="A75" s="515"/>
      <c r="B75" s="508"/>
      <c r="C75" s="509"/>
      <c r="D75" s="510"/>
      <c r="E75" s="510"/>
      <c r="F75" s="516">
        <f>SUM(D72:D75)-SUM(E72:E75)</f>
        <v>-600</v>
      </c>
      <c r="G75" s="459"/>
      <c r="H75" s="460"/>
      <c r="I75" s="12"/>
    </row>
    <row r="76" spans="1:12" x14ac:dyDescent="0.25">
      <c r="A76" s="515"/>
      <c r="B76" s="508">
        <v>41586</v>
      </c>
      <c r="C76" s="509" t="s">
        <v>13</v>
      </c>
      <c r="D76" s="510">
        <v>6000</v>
      </c>
      <c r="E76" s="510"/>
      <c r="F76" s="519"/>
      <c r="G76" s="459"/>
      <c r="H76" s="460"/>
      <c r="I76" s="12"/>
    </row>
    <row r="77" spans="1:12" x14ac:dyDescent="0.25">
      <c r="A77" s="515"/>
      <c r="B77" s="508">
        <v>41590</v>
      </c>
      <c r="C77" s="509" t="s">
        <v>719</v>
      </c>
      <c r="D77" s="510"/>
      <c r="E77" s="510">
        <v>200</v>
      </c>
      <c r="F77" s="527"/>
      <c r="G77" s="459"/>
      <c r="H77" s="460"/>
      <c r="I77" s="12"/>
    </row>
    <row r="78" spans="1:12" x14ac:dyDescent="0.25">
      <c r="A78" s="507"/>
      <c r="B78" s="508">
        <v>41588</v>
      </c>
      <c r="C78" s="509" t="s">
        <v>15</v>
      </c>
      <c r="D78" s="510">
        <f>500+600</f>
        <v>1100</v>
      </c>
      <c r="E78" s="510">
        <v>1900</v>
      </c>
      <c r="F78" s="528"/>
      <c r="G78" s="459"/>
      <c r="H78" s="460"/>
      <c r="I78" s="12"/>
    </row>
    <row r="79" spans="1:12" x14ac:dyDescent="0.25">
      <c r="A79" s="507"/>
      <c r="B79" s="508">
        <v>41590</v>
      </c>
      <c r="C79" s="509" t="s">
        <v>729</v>
      </c>
      <c r="D79" s="510"/>
      <c r="E79" s="510">
        <v>70</v>
      </c>
      <c r="F79" s="528"/>
      <c r="G79" s="459"/>
      <c r="H79" s="460"/>
      <c r="I79" s="12"/>
    </row>
    <row r="80" spans="1:12" x14ac:dyDescent="0.25">
      <c r="A80" s="507"/>
      <c r="B80" s="508">
        <v>41588</v>
      </c>
      <c r="C80" s="509" t="s">
        <v>730</v>
      </c>
      <c r="D80" s="510"/>
      <c r="E80" s="510">
        <v>1900</v>
      </c>
      <c r="F80" s="528"/>
      <c r="G80" s="459"/>
      <c r="H80" s="460"/>
      <c r="I80" s="12"/>
    </row>
    <row r="81" spans="1:11" x14ac:dyDescent="0.25">
      <c r="A81" s="507"/>
      <c r="B81" s="508">
        <v>41590</v>
      </c>
      <c r="C81" s="509" t="s">
        <v>731</v>
      </c>
      <c r="D81" s="510"/>
      <c r="E81" s="510">
        <v>1300</v>
      </c>
      <c r="F81" s="528"/>
      <c r="G81" s="459"/>
      <c r="H81" s="460"/>
      <c r="I81" s="12"/>
    </row>
    <row r="82" spans="1:11" x14ac:dyDescent="0.25">
      <c r="A82" s="507"/>
      <c r="B82" s="508">
        <v>41591</v>
      </c>
      <c r="C82" s="509" t="s">
        <v>732</v>
      </c>
      <c r="D82" s="510">
        <v>400</v>
      </c>
      <c r="E82" s="510"/>
      <c r="F82" s="528"/>
      <c r="G82" s="459"/>
      <c r="H82" s="460"/>
      <c r="I82" s="12"/>
    </row>
    <row r="83" spans="1:11" x14ac:dyDescent="0.25">
      <c r="A83" s="507"/>
      <c r="B83" s="508">
        <v>41591</v>
      </c>
      <c r="C83" s="509" t="s">
        <v>733</v>
      </c>
      <c r="D83" s="510"/>
      <c r="E83" s="510">
        <v>440</v>
      </c>
      <c r="F83" s="528"/>
      <c r="G83" s="459"/>
      <c r="H83" s="460"/>
      <c r="I83" s="12"/>
    </row>
    <row r="84" spans="1:11" x14ac:dyDescent="0.25">
      <c r="A84" s="507"/>
      <c r="B84" s="508">
        <v>41590</v>
      </c>
      <c r="C84" s="509" t="s">
        <v>734</v>
      </c>
      <c r="D84" s="510"/>
      <c r="E84" s="510">
        <v>240</v>
      </c>
      <c r="F84" s="528"/>
      <c r="G84" s="459"/>
      <c r="H84" s="460"/>
      <c r="I84" s="12"/>
    </row>
    <row r="85" spans="1:11" x14ac:dyDescent="0.25">
      <c r="A85" s="507"/>
      <c r="B85" s="508">
        <v>41590</v>
      </c>
      <c r="C85" s="509" t="s">
        <v>14</v>
      </c>
      <c r="D85" s="510"/>
      <c r="E85" s="510">
        <v>3150</v>
      </c>
      <c r="F85" s="528"/>
      <c r="G85" s="459"/>
      <c r="H85" s="460"/>
      <c r="I85" s="12"/>
    </row>
    <row r="86" spans="1:11" x14ac:dyDescent="0.25">
      <c r="A86" s="507"/>
      <c r="B86" s="508">
        <v>41604</v>
      </c>
      <c r="C86" s="509" t="s">
        <v>735</v>
      </c>
      <c r="D86" s="510"/>
      <c r="E86" s="510">
        <v>100</v>
      </c>
      <c r="F86" s="528"/>
      <c r="G86" s="459"/>
      <c r="H86" s="460"/>
      <c r="I86" s="12"/>
    </row>
    <row r="87" spans="1:11" x14ac:dyDescent="0.25">
      <c r="A87" s="507"/>
      <c r="B87" s="508">
        <v>41597</v>
      </c>
      <c r="C87" s="509" t="s">
        <v>736</v>
      </c>
      <c r="D87" s="510"/>
      <c r="E87" s="510">
        <v>300</v>
      </c>
      <c r="F87" s="528"/>
      <c r="G87" s="459"/>
      <c r="H87" s="460"/>
      <c r="I87" s="12"/>
    </row>
    <row r="88" spans="1:11" x14ac:dyDescent="0.25">
      <c r="A88" s="507"/>
      <c r="B88" s="508"/>
      <c r="C88" s="509"/>
      <c r="D88" s="510"/>
      <c r="E88" s="510"/>
      <c r="F88" s="516">
        <f>SUM(D76:D88)-SUM(E76:E88)</f>
        <v>-2100</v>
      </c>
      <c r="G88" s="459"/>
      <c r="H88" s="460"/>
      <c r="I88" s="12"/>
    </row>
    <row r="89" spans="1:11" x14ac:dyDescent="0.25">
      <c r="A89" s="513"/>
      <c r="B89" s="508">
        <v>41614</v>
      </c>
      <c r="C89" s="509" t="s">
        <v>13</v>
      </c>
      <c r="D89" s="510">
        <v>6400</v>
      </c>
      <c r="E89" s="510"/>
      <c r="F89" s="519"/>
      <c r="G89" s="459"/>
      <c r="H89" s="11"/>
      <c r="I89" s="12"/>
    </row>
    <row r="90" spans="1:11" x14ac:dyDescent="0.25">
      <c r="A90" s="507"/>
      <c r="B90" s="508">
        <v>41615</v>
      </c>
      <c r="C90" s="509" t="s">
        <v>737</v>
      </c>
      <c r="D90" s="510"/>
      <c r="E90" s="510">
        <v>1050</v>
      </c>
      <c r="F90" s="528"/>
      <c r="G90" s="484"/>
      <c r="H90" s="486"/>
      <c r="I90" s="12"/>
      <c r="J90" s="529"/>
    </row>
    <row r="91" spans="1:11" x14ac:dyDescent="0.25">
      <c r="A91" s="507"/>
      <c r="B91" s="508">
        <v>41616</v>
      </c>
      <c r="C91" s="509" t="s">
        <v>731</v>
      </c>
      <c r="D91" s="510"/>
      <c r="E91" s="510">
        <v>400</v>
      </c>
      <c r="F91" s="528"/>
      <c r="G91" s="484"/>
      <c r="H91" s="486"/>
      <c r="I91" s="12"/>
    </row>
    <row r="92" spans="1:11" x14ac:dyDescent="0.25">
      <c r="A92" s="515"/>
      <c r="B92" s="508">
        <v>41625</v>
      </c>
      <c r="C92" s="509" t="s">
        <v>15</v>
      </c>
      <c r="D92" s="510"/>
      <c r="E92" s="510">
        <v>800</v>
      </c>
      <c r="F92" s="528"/>
      <c r="G92" s="487"/>
      <c r="H92" s="485"/>
      <c r="I92" s="12"/>
      <c r="J92" s="15"/>
    </row>
    <row r="93" spans="1:11" x14ac:dyDescent="0.25">
      <c r="A93" s="515"/>
      <c r="B93" s="508">
        <v>41619</v>
      </c>
      <c r="C93" s="509" t="s">
        <v>172</v>
      </c>
      <c r="D93" s="510"/>
      <c r="E93" s="510">
        <f>2650-240</f>
        <v>2410</v>
      </c>
      <c r="F93" s="528"/>
      <c r="G93" s="487"/>
      <c r="H93" s="485"/>
      <c r="I93" s="12"/>
      <c r="K93" s="182"/>
    </row>
    <row r="94" spans="1:11" x14ac:dyDescent="0.25">
      <c r="A94" s="515"/>
      <c r="B94" s="508">
        <v>41619</v>
      </c>
      <c r="C94" s="509" t="s">
        <v>734</v>
      </c>
      <c r="D94" s="510"/>
      <c r="E94" s="510">
        <v>240</v>
      </c>
      <c r="F94" s="516">
        <f>SUM(D89:D94)-SUM(E89:E94)</f>
        <v>1500</v>
      </c>
      <c r="G94" s="487"/>
      <c r="H94" s="485"/>
      <c r="I94" s="12"/>
      <c r="K94" s="182"/>
    </row>
    <row r="95" spans="1:11" x14ac:dyDescent="0.25">
      <c r="A95" s="507"/>
      <c r="B95" s="508"/>
      <c r="C95" s="509"/>
      <c r="D95" s="510"/>
      <c r="E95" s="510"/>
      <c r="F95" s="528"/>
      <c r="G95" s="488"/>
      <c r="H95" s="485"/>
      <c r="I95" s="12"/>
    </row>
    <row r="96" spans="1:11" x14ac:dyDescent="0.25">
      <c r="A96" s="515"/>
      <c r="B96" s="508"/>
      <c r="C96" s="509"/>
      <c r="D96" s="510"/>
      <c r="E96" s="510"/>
      <c r="F96" s="514"/>
      <c r="G96" s="487"/>
      <c r="H96" s="11"/>
      <c r="I96" s="12"/>
    </row>
    <row r="97" spans="1:11" x14ac:dyDescent="0.25">
      <c r="A97" s="507"/>
      <c r="B97" s="508"/>
      <c r="C97" s="509"/>
      <c r="D97" s="510"/>
      <c r="E97" s="510"/>
      <c r="F97" s="516"/>
      <c r="G97" s="487"/>
      <c r="H97" s="460"/>
      <c r="I97" s="12"/>
    </row>
    <row r="98" spans="1:11" x14ac:dyDescent="0.25">
      <c r="A98" s="19"/>
      <c r="D98" s="329"/>
      <c r="E98" s="329"/>
    </row>
    <row r="99" spans="1:11" x14ac:dyDescent="0.25">
      <c r="A99" s="19"/>
      <c r="D99" s="329"/>
      <c r="E99" s="329"/>
    </row>
    <row r="100" spans="1:11" x14ac:dyDescent="0.25">
      <c r="A100" s="19"/>
      <c r="D100" s="329"/>
      <c r="E100" s="329"/>
    </row>
    <row r="101" spans="1:11" x14ac:dyDescent="0.25">
      <c r="A101" s="19"/>
      <c r="D101" s="329"/>
      <c r="E101" s="329"/>
      <c r="I101" s="589" t="s">
        <v>28</v>
      </c>
      <c r="J101" s="590">
        <f>E2</f>
        <v>1800</v>
      </c>
      <c r="K101" s="589"/>
    </row>
    <row r="102" spans="1:11" x14ac:dyDescent="0.25">
      <c r="A102" s="19"/>
      <c r="D102" s="329"/>
      <c r="E102" s="329"/>
      <c r="I102" s="589" t="s">
        <v>29</v>
      </c>
      <c r="J102" s="589" t="s">
        <v>30</v>
      </c>
      <c r="K102" s="589"/>
    </row>
    <row r="103" spans="1:11" x14ac:dyDescent="0.25">
      <c r="A103" s="19"/>
      <c r="D103" s="329"/>
      <c r="E103" s="329"/>
      <c r="I103" s="592">
        <f>_ENE13</f>
        <v>210</v>
      </c>
      <c r="J103" s="592"/>
      <c r="K103" s="589"/>
    </row>
    <row r="104" spans="1:11" x14ac:dyDescent="0.25">
      <c r="A104" s="19"/>
      <c r="D104" s="329"/>
      <c r="E104" s="329"/>
      <c r="I104" s="592">
        <f>_FEB13</f>
        <v>790</v>
      </c>
      <c r="J104" s="592"/>
      <c r="K104" s="589"/>
    </row>
    <row r="105" spans="1:11" x14ac:dyDescent="0.25">
      <c r="A105" s="19"/>
      <c r="D105" s="329"/>
      <c r="E105" s="329"/>
      <c r="I105" s="592">
        <f>_MAR13</f>
        <v>-1000</v>
      </c>
      <c r="J105" s="592"/>
      <c r="K105" s="589"/>
    </row>
    <row r="106" spans="1:11" x14ac:dyDescent="0.25">
      <c r="A106" s="19"/>
      <c r="D106" s="329"/>
      <c r="E106" s="329"/>
      <c r="I106" s="592">
        <f>_ABR13</f>
        <v>550</v>
      </c>
      <c r="J106" s="592"/>
      <c r="K106" s="589"/>
    </row>
    <row r="107" spans="1:11" x14ac:dyDescent="0.25">
      <c r="A107" s="19"/>
      <c r="D107" s="329"/>
      <c r="E107" s="329"/>
      <c r="I107" s="592">
        <f>_MAY13</f>
        <v>-150</v>
      </c>
      <c r="J107" s="592"/>
      <c r="K107" s="589"/>
    </row>
    <row r="108" spans="1:11" x14ac:dyDescent="0.25">
      <c r="A108" s="19"/>
      <c r="D108" s="329"/>
      <c r="E108" s="329"/>
      <c r="I108" s="592">
        <f>_JUN13</f>
        <v>350</v>
      </c>
      <c r="J108" s="592"/>
      <c r="K108" s="589"/>
    </row>
    <row r="109" spans="1:11" x14ac:dyDescent="0.25">
      <c r="A109" s="19"/>
      <c r="D109" s="329"/>
      <c r="E109" s="329"/>
      <c r="I109" s="592">
        <f>_JUL13</f>
        <v>150</v>
      </c>
      <c r="J109" s="592"/>
      <c r="K109" s="589"/>
    </row>
    <row r="110" spans="1:11" x14ac:dyDescent="0.25">
      <c r="A110" s="19"/>
      <c r="D110" s="329"/>
      <c r="E110" s="329"/>
      <c r="I110" s="592">
        <f>_AGO13</f>
        <v>1900</v>
      </c>
      <c r="J110" s="592"/>
      <c r="K110" s="589"/>
    </row>
    <row r="111" spans="1:11" x14ac:dyDescent="0.25">
      <c r="A111" s="19"/>
      <c r="D111" s="329"/>
      <c r="E111" s="329"/>
      <c r="I111" s="592">
        <f>_SEP13</f>
        <v>200</v>
      </c>
      <c r="J111" s="592"/>
      <c r="K111" s="589"/>
    </row>
    <row r="112" spans="1:11" x14ac:dyDescent="0.25">
      <c r="A112" s="19"/>
      <c r="D112" s="329"/>
      <c r="E112" s="329"/>
      <c r="I112" s="592">
        <f>_OCT13</f>
        <v>-600</v>
      </c>
      <c r="J112" s="592"/>
      <c r="K112" s="589"/>
    </row>
    <row r="113" spans="1:13" x14ac:dyDescent="0.25">
      <c r="A113" s="19"/>
      <c r="D113" s="329"/>
      <c r="E113" s="329"/>
      <c r="I113" s="592">
        <f>_NOV13</f>
        <v>-2100</v>
      </c>
      <c r="J113" s="592"/>
      <c r="K113" s="589"/>
    </row>
    <row r="114" spans="1:13" x14ac:dyDescent="0.25">
      <c r="A114" s="19"/>
      <c r="D114" s="329"/>
      <c r="E114" s="329"/>
      <c r="I114" s="592">
        <f>_DIC13</f>
        <v>1500</v>
      </c>
      <c r="J114" s="592"/>
      <c r="K114" s="589"/>
    </row>
    <row r="115" spans="1:13" x14ac:dyDescent="0.25">
      <c r="A115" s="19"/>
      <c r="D115" s="329"/>
      <c r="E115" s="329"/>
      <c r="I115" s="592">
        <f>SUM(I103:I114)</f>
        <v>1800</v>
      </c>
      <c r="J115" s="592">
        <f>-SUM(J103:J114)</f>
        <v>0</v>
      </c>
      <c r="K115" s="592">
        <f>I115-J115</f>
        <v>1800</v>
      </c>
    </row>
    <row r="116" spans="1:13" x14ac:dyDescent="0.25">
      <c r="A116" s="19"/>
      <c r="D116" s="329"/>
      <c r="E116" s="329"/>
      <c r="I116" s="23"/>
      <c r="J116" s="23"/>
      <c r="K116" s="15"/>
    </row>
    <row r="117" spans="1:13" x14ac:dyDescent="0.25">
      <c r="A117" s="19"/>
      <c r="D117" s="329"/>
      <c r="E117" s="329"/>
      <c r="G117" s="597"/>
      <c r="H117" s="49"/>
      <c r="I117" s="181"/>
      <c r="J117" s="332"/>
      <c r="K117" s="51"/>
      <c r="L117" s="37"/>
      <c r="M117" s="588"/>
    </row>
    <row r="118" spans="1:13" x14ac:dyDescent="0.25">
      <c r="A118" s="19"/>
      <c r="D118" s="329"/>
      <c r="E118" s="329"/>
      <c r="G118" s="597"/>
      <c r="H118" s="50"/>
      <c r="I118" s="181"/>
      <c r="J118" s="577"/>
      <c r="K118" s="51"/>
      <c r="L118" s="43"/>
      <c r="M118" s="37"/>
    </row>
    <row r="119" spans="1:13" x14ac:dyDescent="0.25">
      <c r="A119" s="19"/>
      <c r="B119" s="391" t="s">
        <v>32</v>
      </c>
      <c r="C119" s="391" t="s">
        <v>33</v>
      </c>
      <c r="G119" s="597"/>
      <c r="H119" s="49"/>
      <c r="I119" s="181"/>
      <c r="J119" s="332"/>
      <c r="K119" s="51"/>
      <c r="L119" s="37"/>
      <c r="M119" s="37"/>
    </row>
    <row r="120" spans="1:13" x14ac:dyDescent="0.25">
      <c r="A120" s="19"/>
      <c r="B120" s="391">
        <f>SUM(D6:D119)</f>
        <v>60060</v>
      </c>
      <c r="C120" s="391">
        <f>SUM(E6:E119)</f>
        <v>59660</v>
      </c>
      <c r="G120" s="597"/>
      <c r="H120" s="49"/>
      <c r="I120" s="332"/>
      <c r="J120" s="332"/>
      <c r="K120" s="51"/>
      <c r="L120" s="37"/>
      <c r="M120" s="37"/>
    </row>
    <row r="121" spans="1:13" x14ac:dyDescent="0.25">
      <c r="A121" s="19"/>
      <c r="B121" s="530">
        <f>+B120-C120</f>
        <v>400</v>
      </c>
      <c r="D121" s="329"/>
      <c r="E121" s="329"/>
      <c r="I121" s="465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6" workbookViewId="0">
      <selection activeCell="J172" sqref="J172"/>
    </sheetView>
  </sheetViews>
  <sheetFormatPr baseColWidth="10" defaultColWidth="9" defaultRowHeight="15" x14ac:dyDescent="0.25"/>
  <cols>
    <col min="1" max="1" width="12.28515625" style="431" customWidth="1"/>
    <col min="2" max="2" width="10.7109375" style="20" customWidth="1"/>
    <col min="3" max="3" width="28.5703125" style="21" customWidth="1"/>
    <col min="4" max="4" width="16.28515625" style="408" customWidth="1"/>
    <col min="5" max="5" width="12.5703125" style="408" customWidth="1"/>
    <col min="6" max="6" width="8.42578125" style="22" customWidth="1"/>
    <col min="7" max="7" width="12.28515625" style="48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182">
        <f ca="1">TODAY()</f>
        <v>44440</v>
      </c>
      <c r="C1" s="1183"/>
      <c r="D1" s="466" t="s">
        <v>0</v>
      </c>
      <c r="E1" s="467">
        <f>COUNTA(C6:C152)</f>
        <v>146</v>
      </c>
      <c r="F1" s="434" t="s">
        <v>1</v>
      </c>
      <c r="G1" s="468"/>
    </row>
    <row r="2" spans="1:12" x14ac:dyDescent="0.25">
      <c r="A2" s="431" t="e">
        <f>((A4-A3)*12)</f>
        <v>#NAME?</v>
      </c>
      <c r="B2" s="436" t="s">
        <v>2</v>
      </c>
      <c r="C2" s="437">
        <f>_ENE12+_FEB12+_MAR12+_ABR12+_MAY12+_JUN12+_JUL12+_AGO12+_SEP12+_OCT12+_NOV12+_DIC12</f>
        <v>2900</v>
      </c>
      <c r="D2" s="469" t="s">
        <v>3</v>
      </c>
      <c r="E2" s="470">
        <f>SUM(D5:D203)-SUM(E5:E203)</f>
        <v>2900</v>
      </c>
      <c r="F2" s="471" t="s">
        <v>4</v>
      </c>
      <c r="G2" s="472">
        <f>+E2</f>
        <v>2900</v>
      </c>
    </row>
    <row r="3" spans="1:12" x14ac:dyDescent="0.25">
      <c r="A3" s="431" t="e">
        <f>100*Cotizacion_Dolar</f>
        <v>#NAME?</v>
      </c>
      <c r="B3" s="436"/>
      <c r="C3" s="437"/>
      <c r="D3" s="473" t="s">
        <v>5</v>
      </c>
      <c r="E3" s="474" t="e">
        <f>+FondoEnDolades</f>
        <v>#NAME?</v>
      </c>
      <c r="F3" s="471" t="s">
        <v>6</v>
      </c>
      <c r="G3" s="472" t="e">
        <f>+E3*Cotizacion_Dolar</f>
        <v>#NAME?</v>
      </c>
    </row>
    <row r="4" spans="1:12" x14ac:dyDescent="0.25">
      <c r="A4" s="431" t="e">
        <f>100*Cotizacion_Dolar</f>
        <v>#NAME?</v>
      </c>
      <c r="B4" s="444" t="s">
        <v>7</v>
      </c>
      <c r="C4" s="445" t="s">
        <v>8</v>
      </c>
      <c r="D4" s="475" t="s">
        <v>9</v>
      </c>
      <c r="E4" s="476" t="s">
        <v>64</v>
      </c>
      <c r="F4" s="477" t="s">
        <v>10</v>
      </c>
      <c r="G4" s="472" t="e">
        <f>+G2+G3</f>
        <v>#NAME?</v>
      </c>
    </row>
    <row r="5" spans="1:12" x14ac:dyDescent="0.25">
      <c r="B5" s="478"/>
      <c r="C5" s="479" t="s">
        <v>695</v>
      </c>
      <c r="D5" s="480">
        <v>0</v>
      </c>
      <c r="E5" s="480"/>
    </row>
    <row r="6" spans="1:12" x14ac:dyDescent="0.25">
      <c r="A6" s="450" t="s">
        <v>41</v>
      </c>
      <c r="B6" s="478"/>
      <c r="C6" s="479" t="s">
        <v>696</v>
      </c>
      <c r="D6" s="480">
        <f>3200+600</f>
        <v>3800</v>
      </c>
      <c r="E6" s="482"/>
      <c r="F6" s="11"/>
      <c r="G6" s="459"/>
      <c r="H6" s="11"/>
      <c r="I6" s="12"/>
    </row>
    <row r="7" spans="1:12" x14ac:dyDescent="0.25">
      <c r="A7" s="431" t="s">
        <v>633</v>
      </c>
      <c r="B7" s="478"/>
      <c r="C7" s="479" t="s">
        <v>543</v>
      </c>
      <c r="D7" s="480"/>
      <c r="E7" s="482">
        <v>180</v>
      </c>
      <c r="F7" s="460"/>
      <c r="G7" s="459"/>
      <c r="H7" s="11"/>
      <c r="I7" s="12"/>
    </row>
    <row r="8" spans="1:12" x14ac:dyDescent="0.25">
      <c r="A8" s="456">
        <f>SUM(D6:D21)</f>
        <v>5400</v>
      </c>
      <c r="B8" s="478"/>
      <c r="C8" s="479" t="s">
        <v>542</v>
      </c>
      <c r="D8" s="480"/>
      <c r="E8" s="482">
        <v>200</v>
      </c>
      <c r="F8" s="11"/>
      <c r="G8" s="459"/>
      <c r="H8" s="11"/>
      <c r="I8" s="12"/>
    </row>
    <row r="9" spans="1:12" x14ac:dyDescent="0.25">
      <c r="A9" s="431" t="s">
        <v>634</v>
      </c>
      <c r="B9" s="478"/>
      <c r="C9" s="479" t="s">
        <v>434</v>
      </c>
      <c r="D9" s="480"/>
      <c r="E9" s="482">
        <v>0</v>
      </c>
      <c r="F9" s="11"/>
      <c r="G9" s="459"/>
      <c r="H9" s="11"/>
      <c r="I9" s="12"/>
    </row>
    <row r="10" spans="1:12" x14ac:dyDescent="0.25">
      <c r="A10" s="456">
        <f>SUM(E6:E21)</f>
        <v>3400</v>
      </c>
      <c r="B10" s="478"/>
      <c r="C10" s="479" t="s">
        <v>652</v>
      </c>
      <c r="D10" s="480"/>
      <c r="E10" s="482">
        <v>70</v>
      </c>
      <c r="F10" s="11"/>
      <c r="G10" s="459"/>
      <c r="H10" s="11"/>
      <c r="I10" s="12"/>
      <c r="L10" s="182"/>
    </row>
    <row r="11" spans="1:12" x14ac:dyDescent="0.25">
      <c r="A11" s="431" t="s">
        <v>635</v>
      </c>
      <c r="B11" s="478"/>
      <c r="C11" s="479" t="s">
        <v>301</v>
      </c>
      <c r="D11" s="480"/>
      <c r="E11" s="482">
        <v>1250</v>
      </c>
      <c r="F11" s="11"/>
      <c r="G11" s="459"/>
      <c r="H11" s="11"/>
      <c r="I11" s="12"/>
    </row>
    <row r="12" spans="1:12" x14ac:dyDescent="0.25">
      <c r="A12" s="458">
        <f>+A8-A10</f>
        <v>2000</v>
      </c>
      <c r="B12" s="478"/>
      <c r="C12" s="479" t="s">
        <v>670</v>
      </c>
      <c r="D12" s="480"/>
      <c r="E12" s="482">
        <v>300</v>
      </c>
      <c r="F12" s="11"/>
      <c r="G12" s="459"/>
      <c r="H12" s="460"/>
      <c r="I12" s="12"/>
    </row>
    <row r="13" spans="1:12" x14ac:dyDescent="0.25">
      <c r="A13" s="431" t="s">
        <v>636</v>
      </c>
      <c r="B13" s="478"/>
      <c r="C13" s="479" t="s">
        <v>643</v>
      </c>
      <c r="D13" s="480"/>
      <c r="E13" s="482">
        <v>320</v>
      </c>
      <c r="F13" s="11"/>
      <c r="G13" s="459"/>
      <c r="H13" s="11"/>
      <c r="I13" s="12"/>
    </row>
    <row r="14" spans="1:12" x14ac:dyDescent="0.25">
      <c r="A14" s="431" t="e">
        <f>_ENE12-A4</f>
        <v>#NAME?</v>
      </c>
      <c r="B14" s="478"/>
      <c r="C14" s="479" t="s">
        <v>697</v>
      </c>
      <c r="D14" s="480"/>
      <c r="E14" s="482">
        <f>230+150</f>
        <v>380</v>
      </c>
      <c r="F14" s="460"/>
      <c r="G14" s="459"/>
      <c r="H14" s="11"/>
      <c r="I14" s="12"/>
    </row>
    <row r="15" spans="1:12" x14ac:dyDescent="0.25">
      <c r="B15" s="478"/>
      <c r="C15" s="479" t="s">
        <v>19</v>
      </c>
      <c r="D15" s="480">
        <v>1600</v>
      </c>
      <c r="E15" s="482"/>
      <c r="F15" s="11"/>
      <c r="G15" s="459"/>
      <c r="H15" s="11"/>
      <c r="I15" s="12"/>
    </row>
    <row r="16" spans="1:12" x14ac:dyDescent="0.25">
      <c r="B16" s="478"/>
      <c r="C16" s="479" t="s">
        <v>369</v>
      </c>
      <c r="D16" s="480"/>
      <c r="E16" s="482">
        <v>100</v>
      </c>
      <c r="F16" s="11"/>
      <c r="G16" s="459"/>
      <c r="H16" s="11"/>
      <c r="I16" s="12"/>
    </row>
    <row r="17" spans="1:12" x14ac:dyDescent="0.25">
      <c r="B17" s="478"/>
      <c r="C17" s="479" t="s">
        <v>698</v>
      </c>
      <c r="D17" s="480"/>
      <c r="E17" s="482">
        <v>150</v>
      </c>
      <c r="F17" s="11"/>
      <c r="G17" s="459"/>
      <c r="H17" s="11"/>
      <c r="I17" s="12"/>
    </row>
    <row r="18" spans="1:12" x14ac:dyDescent="0.25">
      <c r="B18" s="478"/>
      <c r="C18" s="479" t="s">
        <v>699</v>
      </c>
      <c r="D18" s="480"/>
      <c r="E18" s="482">
        <v>100</v>
      </c>
      <c r="F18" s="11"/>
      <c r="G18" s="459"/>
      <c r="H18" s="11"/>
      <c r="I18" s="12"/>
    </row>
    <row r="19" spans="1:12" x14ac:dyDescent="0.25">
      <c r="B19" s="478"/>
      <c r="C19" s="479" t="s">
        <v>302</v>
      </c>
      <c r="D19" s="480"/>
      <c r="E19" s="482">
        <v>100</v>
      </c>
      <c r="F19" s="11"/>
      <c r="G19" s="459"/>
      <c r="H19" s="11"/>
      <c r="I19" s="12"/>
    </row>
    <row r="20" spans="1:12" x14ac:dyDescent="0.25">
      <c r="B20" s="478"/>
      <c r="C20" s="479" t="s">
        <v>700</v>
      </c>
      <c r="D20" s="480"/>
      <c r="E20" s="482">
        <v>150</v>
      </c>
      <c r="F20" s="11"/>
      <c r="G20" s="459"/>
      <c r="H20" s="11"/>
      <c r="I20" s="12"/>
    </row>
    <row r="21" spans="1:12" x14ac:dyDescent="0.25">
      <c r="B21" s="478"/>
      <c r="C21" s="479" t="s">
        <v>701</v>
      </c>
      <c r="D21" s="480"/>
      <c r="E21" s="482">
        <v>100</v>
      </c>
      <c r="F21" s="11"/>
      <c r="G21" s="459"/>
      <c r="H21" s="11"/>
      <c r="I21" s="12"/>
    </row>
    <row r="22" spans="1:12" x14ac:dyDescent="0.25">
      <c r="A22" s="450" t="s">
        <v>42</v>
      </c>
      <c r="B22" s="478"/>
      <c r="C22" s="479" t="s">
        <v>13</v>
      </c>
      <c r="D22" s="480">
        <v>3200</v>
      </c>
      <c r="E22" s="482"/>
      <c r="F22" s="460"/>
      <c r="G22" s="459"/>
      <c r="H22" s="11"/>
      <c r="I22" s="12"/>
    </row>
    <row r="23" spans="1:12" x14ac:dyDescent="0.25">
      <c r="A23" s="431" t="s">
        <v>633</v>
      </c>
      <c r="B23" s="478"/>
      <c r="C23" s="479" t="s">
        <v>543</v>
      </c>
      <c r="D23" s="480"/>
      <c r="E23" s="482">
        <v>100</v>
      </c>
      <c r="F23" s="11"/>
      <c r="G23" s="459"/>
      <c r="H23" s="460"/>
      <c r="I23" s="12"/>
    </row>
    <row r="24" spans="1:12" x14ac:dyDescent="0.25">
      <c r="A24" s="456">
        <f>SUM(D22:D34)</f>
        <v>3200</v>
      </c>
      <c r="B24" s="478"/>
      <c r="C24" s="479" t="s">
        <v>542</v>
      </c>
      <c r="D24" s="480"/>
      <c r="E24" s="482">
        <v>100</v>
      </c>
      <c r="F24" s="11"/>
      <c r="G24" s="459"/>
      <c r="H24" s="11"/>
      <c r="I24" s="12"/>
    </row>
    <row r="25" spans="1:12" x14ac:dyDescent="0.25">
      <c r="A25" s="431" t="s">
        <v>634</v>
      </c>
      <c r="B25" s="478"/>
      <c r="C25" s="479" t="s">
        <v>434</v>
      </c>
      <c r="D25" s="480"/>
      <c r="E25" s="482">
        <v>0</v>
      </c>
      <c r="F25" s="11"/>
      <c r="G25" s="459"/>
      <c r="H25" s="460"/>
      <c r="I25" s="12"/>
      <c r="K25" s="182"/>
      <c r="L25" s="182"/>
    </row>
    <row r="26" spans="1:12" x14ac:dyDescent="0.25">
      <c r="A26" s="456">
        <f>SUM(E22:E34)</f>
        <v>4300</v>
      </c>
      <c r="B26" s="478"/>
      <c r="C26" s="479" t="s">
        <v>652</v>
      </c>
      <c r="D26" s="480"/>
      <c r="E26" s="482">
        <v>0</v>
      </c>
      <c r="F26" s="11"/>
      <c r="G26" s="459"/>
      <c r="H26" s="11"/>
      <c r="I26" s="12"/>
      <c r="J26" s="15"/>
      <c r="K26" s="425"/>
    </row>
    <row r="27" spans="1:12" x14ac:dyDescent="0.25">
      <c r="A27" s="431" t="s">
        <v>635</v>
      </c>
      <c r="B27" s="478"/>
      <c r="C27" s="479" t="s">
        <v>301</v>
      </c>
      <c r="D27" s="480"/>
      <c r="E27" s="482">
        <v>1200</v>
      </c>
      <c r="F27" s="11"/>
      <c r="G27" s="459"/>
      <c r="H27" s="11"/>
      <c r="I27" s="12"/>
      <c r="J27" s="15"/>
      <c r="K27" s="15"/>
    </row>
    <row r="28" spans="1:12" x14ac:dyDescent="0.25">
      <c r="A28" s="458">
        <f>+A24-A26</f>
        <v>-1100</v>
      </c>
      <c r="B28" s="478"/>
      <c r="C28" s="479" t="s">
        <v>670</v>
      </c>
      <c r="D28" s="480"/>
      <c r="E28" s="482">
        <v>300</v>
      </c>
      <c r="F28" s="11"/>
      <c r="G28" s="459"/>
      <c r="H28" s="11"/>
      <c r="I28" s="12"/>
      <c r="J28" s="15"/>
      <c r="K28" s="15"/>
    </row>
    <row r="29" spans="1:12" x14ac:dyDescent="0.25">
      <c r="A29" s="431" t="s">
        <v>636</v>
      </c>
      <c r="B29" s="478"/>
      <c r="C29" s="479" t="s">
        <v>643</v>
      </c>
      <c r="D29" s="480"/>
      <c r="E29" s="482">
        <v>1100</v>
      </c>
      <c r="F29" s="11"/>
      <c r="G29" s="459"/>
      <c r="H29" s="11"/>
      <c r="I29" s="12"/>
    </row>
    <row r="30" spans="1:12" x14ac:dyDescent="0.25">
      <c r="A30" s="431" t="e">
        <f>_FEB12-A4+A14</f>
        <v>#NAME?</v>
      </c>
      <c r="B30" s="478"/>
      <c r="C30" s="479" t="s">
        <v>329</v>
      </c>
      <c r="D30" s="480"/>
      <c r="E30" s="482">
        <v>0</v>
      </c>
      <c r="F30" s="11"/>
      <c r="G30" s="459"/>
      <c r="H30" s="11"/>
      <c r="I30" s="12"/>
      <c r="J30" s="15"/>
      <c r="K30" s="15"/>
    </row>
    <row r="31" spans="1:12" x14ac:dyDescent="0.25">
      <c r="B31" s="478"/>
      <c r="C31" s="479" t="s">
        <v>697</v>
      </c>
      <c r="D31" s="480"/>
      <c r="E31" s="482">
        <v>600</v>
      </c>
      <c r="F31" s="11"/>
      <c r="G31" s="459"/>
      <c r="H31" s="11"/>
      <c r="I31" s="12"/>
      <c r="J31" s="15"/>
      <c r="K31" s="15"/>
    </row>
    <row r="32" spans="1:12" x14ac:dyDescent="0.25">
      <c r="B32" s="478"/>
      <c r="C32" s="479" t="s">
        <v>702</v>
      </c>
      <c r="D32" s="480"/>
      <c r="E32" s="482">
        <v>500</v>
      </c>
      <c r="F32" s="11"/>
      <c r="G32" s="459"/>
      <c r="H32" s="11"/>
      <c r="I32" s="12"/>
      <c r="J32" s="425"/>
      <c r="K32" s="15"/>
    </row>
    <row r="33" spans="1:12" x14ac:dyDescent="0.25">
      <c r="B33" s="478"/>
      <c r="C33" s="479" t="s">
        <v>703</v>
      </c>
      <c r="D33" s="480"/>
      <c r="E33" s="482">
        <v>100</v>
      </c>
      <c r="F33" s="11"/>
      <c r="G33" s="459"/>
      <c r="H33" s="11"/>
      <c r="I33" s="12"/>
      <c r="J33" s="15"/>
      <c r="K33" s="15"/>
      <c r="L33" s="182"/>
    </row>
    <row r="34" spans="1:12" x14ac:dyDescent="0.25">
      <c r="B34" s="478"/>
      <c r="C34" s="479" t="s">
        <v>704</v>
      </c>
      <c r="D34" s="480"/>
      <c r="E34" s="482">
        <v>300</v>
      </c>
      <c r="F34" s="11"/>
      <c r="G34" s="459"/>
      <c r="H34" s="464"/>
      <c r="I34" s="12"/>
      <c r="L34" s="182"/>
    </row>
    <row r="35" spans="1:12" x14ac:dyDescent="0.25">
      <c r="A35" s="450" t="s">
        <v>43</v>
      </c>
      <c r="B35" s="478"/>
      <c r="C35" s="479" t="s">
        <v>13</v>
      </c>
      <c r="D35" s="480">
        <v>3200</v>
      </c>
      <c r="E35" s="482"/>
      <c r="F35" s="461"/>
      <c r="G35" s="459"/>
      <c r="H35" s="11"/>
      <c r="I35" s="12"/>
    </row>
    <row r="36" spans="1:12" x14ac:dyDescent="0.25">
      <c r="A36" s="431" t="s">
        <v>633</v>
      </c>
      <c r="B36" s="478"/>
      <c r="C36" s="479" t="s">
        <v>543</v>
      </c>
      <c r="D36" s="480"/>
      <c r="E36" s="482">
        <v>110</v>
      </c>
      <c r="F36" s="461"/>
      <c r="G36" s="459"/>
      <c r="H36" s="460"/>
      <c r="I36" s="12"/>
      <c r="K36" s="182"/>
    </row>
    <row r="37" spans="1:12" x14ac:dyDescent="0.25">
      <c r="A37" s="456">
        <f>SUM(D35:D49)</f>
        <v>3200</v>
      </c>
      <c r="B37" s="478"/>
      <c r="C37" s="479" t="s">
        <v>542</v>
      </c>
      <c r="D37" s="480"/>
      <c r="E37" s="482">
        <v>140</v>
      </c>
      <c r="F37" s="11"/>
      <c r="G37" s="459"/>
      <c r="H37" s="460"/>
      <c r="I37" s="12"/>
      <c r="J37" s="182"/>
      <c r="K37" s="182"/>
    </row>
    <row r="38" spans="1:12" x14ac:dyDescent="0.25">
      <c r="A38" s="431" t="s">
        <v>634</v>
      </c>
      <c r="B38" s="478"/>
      <c r="C38" s="479" t="s">
        <v>434</v>
      </c>
      <c r="D38" s="480"/>
      <c r="E38" s="482">
        <v>0</v>
      </c>
      <c r="F38" s="11"/>
      <c r="G38" s="459"/>
      <c r="H38" s="460"/>
      <c r="I38" s="462"/>
    </row>
    <row r="39" spans="1:12" x14ac:dyDescent="0.25">
      <c r="A39" s="456">
        <f>SUM(E35:E49)</f>
        <v>3200</v>
      </c>
      <c r="B39" s="478"/>
      <c r="C39" s="479" t="s">
        <v>652</v>
      </c>
      <c r="D39" s="480"/>
      <c r="E39" s="482">
        <v>120</v>
      </c>
      <c r="F39" s="11"/>
      <c r="G39" s="459"/>
      <c r="H39" s="11"/>
      <c r="I39" s="12"/>
    </row>
    <row r="40" spans="1:12" x14ac:dyDescent="0.25">
      <c r="A40" s="431" t="s">
        <v>635</v>
      </c>
      <c r="B40" s="478"/>
      <c r="C40" s="479" t="s">
        <v>301</v>
      </c>
      <c r="D40" s="480"/>
      <c r="E40" s="482">
        <v>667</v>
      </c>
      <c r="F40" s="460"/>
      <c r="G40" s="483"/>
      <c r="H40" s="460"/>
      <c r="I40" s="12"/>
    </row>
    <row r="41" spans="1:12" x14ac:dyDescent="0.25">
      <c r="A41" s="458">
        <f>+A37-A39</f>
        <v>0</v>
      </c>
      <c r="B41" s="478"/>
      <c r="C41" s="479" t="s">
        <v>670</v>
      </c>
      <c r="D41" s="480"/>
      <c r="E41" s="482">
        <v>300</v>
      </c>
      <c r="F41" s="11"/>
      <c r="G41" s="459"/>
      <c r="H41" s="11"/>
      <c r="I41" s="12"/>
    </row>
    <row r="42" spans="1:12" x14ac:dyDescent="0.25">
      <c r="A42" s="431" t="s">
        <v>636</v>
      </c>
      <c r="B42" s="478"/>
      <c r="C42" s="479" t="s">
        <v>643</v>
      </c>
      <c r="D42" s="480"/>
      <c r="E42" s="482">
        <v>250</v>
      </c>
      <c r="F42" s="11"/>
      <c r="G42" s="459"/>
      <c r="H42" s="11"/>
      <c r="I42" s="12"/>
    </row>
    <row r="43" spans="1:12" x14ac:dyDescent="0.25">
      <c r="A43" s="431" t="e">
        <f>_MAR12-A4+A30</f>
        <v>#NAME?</v>
      </c>
      <c r="B43" s="478"/>
      <c r="C43" s="479" t="s">
        <v>329</v>
      </c>
      <c r="D43" s="480"/>
      <c r="E43" s="482">
        <v>200</v>
      </c>
      <c r="F43" s="11"/>
      <c r="G43" s="459"/>
      <c r="H43" s="11"/>
      <c r="I43" s="12"/>
    </row>
    <row r="44" spans="1:12" x14ac:dyDescent="0.25">
      <c r="B44" s="478"/>
      <c r="C44" s="479" t="s">
        <v>705</v>
      </c>
      <c r="D44" s="480"/>
      <c r="E44" s="482">
        <f>200+50</f>
        <v>250</v>
      </c>
      <c r="F44" s="11"/>
      <c r="G44" s="459"/>
      <c r="H44" s="11"/>
      <c r="I44" s="12"/>
    </row>
    <row r="45" spans="1:12" x14ac:dyDescent="0.25">
      <c r="B45" s="478"/>
      <c r="C45" s="479" t="s">
        <v>703</v>
      </c>
      <c r="D45" s="480"/>
      <c r="E45" s="482">
        <v>250</v>
      </c>
      <c r="F45" s="11"/>
      <c r="G45" s="459"/>
      <c r="H45" s="11"/>
      <c r="I45" s="12"/>
    </row>
    <row r="46" spans="1:12" x14ac:dyDescent="0.25">
      <c r="B46" s="478"/>
      <c r="C46" s="479" t="s">
        <v>704</v>
      </c>
      <c r="D46" s="480"/>
      <c r="E46" s="482">
        <v>418</v>
      </c>
      <c r="F46" s="11"/>
      <c r="G46" s="459"/>
      <c r="H46" s="11"/>
      <c r="I46" s="12"/>
    </row>
    <row r="47" spans="1:12" x14ac:dyDescent="0.25">
      <c r="B47" s="478"/>
      <c r="C47" s="479" t="s">
        <v>704</v>
      </c>
      <c r="D47" s="480"/>
      <c r="E47" s="482">
        <v>225</v>
      </c>
      <c r="F47" s="11"/>
      <c r="G47" s="459"/>
      <c r="H47" s="11"/>
      <c r="I47" s="12"/>
    </row>
    <row r="48" spans="1:12" x14ac:dyDescent="0.25">
      <c r="B48" s="478"/>
      <c r="C48" s="479" t="s">
        <v>704</v>
      </c>
      <c r="D48" s="480"/>
      <c r="E48" s="482">
        <v>222</v>
      </c>
      <c r="F48" s="11"/>
      <c r="G48" s="459"/>
      <c r="H48" s="11"/>
      <c r="I48" s="12"/>
    </row>
    <row r="49" spans="1:12" x14ac:dyDescent="0.25">
      <c r="B49" s="478"/>
      <c r="C49" s="479" t="s">
        <v>704</v>
      </c>
      <c r="D49" s="480"/>
      <c r="E49" s="482">
        <v>48</v>
      </c>
      <c r="F49" s="460"/>
      <c r="G49" s="459"/>
      <c r="H49" s="460"/>
      <c r="I49" s="12"/>
      <c r="L49" s="182"/>
    </row>
    <row r="50" spans="1:12" x14ac:dyDescent="0.25">
      <c r="A50" s="450" t="s">
        <v>44</v>
      </c>
      <c r="B50" s="478"/>
      <c r="C50" s="479" t="s">
        <v>13</v>
      </c>
      <c r="D50" s="480">
        <v>3200</v>
      </c>
      <c r="E50" s="482"/>
      <c r="F50" s="460"/>
      <c r="G50" s="459"/>
      <c r="H50" s="460"/>
      <c r="I50" s="12"/>
    </row>
    <row r="51" spans="1:12" x14ac:dyDescent="0.25">
      <c r="A51" s="431" t="s">
        <v>633</v>
      </c>
      <c r="B51" s="478"/>
      <c r="C51" s="479" t="s">
        <v>543</v>
      </c>
      <c r="D51" s="480"/>
      <c r="E51" s="482">
        <v>200</v>
      </c>
      <c r="F51" s="460"/>
      <c r="G51" s="459"/>
      <c r="H51" s="460"/>
      <c r="I51" s="12"/>
      <c r="J51" s="182"/>
    </row>
    <row r="52" spans="1:12" x14ac:dyDescent="0.25">
      <c r="A52" s="456">
        <f>SUM(D50:D65)</f>
        <v>3200</v>
      </c>
      <c r="B52" s="478"/>
      <c r="C52" s="479" t="s">
        <v>542</v>
      </c>
      <c r="D52" s="480"/>
      <c r="E52" s="482">
        <v>100</v>
      </c>
      <c r="F52" s="484"/>
      <c r="G52" s="459"/>
      <c r="H52" s="460"/>
      <c r="I52" s="12"/>
    </row>
    <row r="53" spans="1:12" x14ac:dyDescent="0.25">
      <c r="A53" s="431" t="s">
        <v>634</v>
      </c>
      <c r="B53" s="478"/>
      <c r="C53" s="479" t="s">
        <v>434</v>
      </c>
      <c r="D53" s="480"/>
      <c r="E53" s="482">
        <v>0</v>
      </c>
      <c r="F53" s="485"/>
      <c r="G53" s="459"/>
      <c r="H53" s="460"/>
      <c r="I53" s="12"/>
    </row>
    <row r="54" spans="1:12" x14ac:dyDescent="0.25">
      <c r="A54" s="456">
        <f>SUM(E50:E65)</f>
        <v>3700</v>
      </c>
      <c r="B54" s="478"/>
      <c r="C54" s="479" t="s">
        <v>652</v>
      </c>
      <c r="D54" s="480"/>
      <c r="E54" s="482">
        <v>100</v>
      </c>
      <c r="F54" s="485"/>
      <c r="G54" s="459"/>
      <c r="H54" s="460"/>
      <c r="I54" s="12"/>
    </row>
    <row r="55" spans="1:12" x14ac:dyDescent="0.25">
      <c r="A55" s="431" t="s">
        <v>635</v>
      </c>
      <c r="B55" s="478"/>
      <c r="C55" s="479" t="s">
        <v>301</v>
      </c>
      <c r="D55" s="480"/>
      <c r="E55" s="482">
        <v>800</v>
      </c>
      <c r="F55" s="460"/>
      <c r="G55" s="459"/>
      <c r="H55" s="460"/>
      <c r="I55" s="462"/>
    </row>
    <row r="56" spans="1:12" x14ac:dyDescent="0.25">
      <c r="A56" s="458">
        <f>+A52-A54</f>
        <v>-500</v>
      </c>
      <c r="B56" s="478"/>
      <c r="C56" s="479" t="s">
        <v>670</v>
      </c>
      <c r="D56" s="480"/>
      <c r="E56" s="482">
        <v>0</v>
      </c>
      <c r="F56" s="485"/>
      <c r="G56" s="459"/>
      <c r="H56" s="460"/>
      <c r="I56" s="12"/>
    </row>
    <row r="57" spans="1:12" x14ac:dyDescent="0.25">
      <c r="A57" s="456" t="s">
        <v>636</v>
      </c>
      <c r="B57" s="478"/>
      <c r="C57" s="479" t="s">
        <v>643</v>
      </c>
      <c r="D57" s="480"/>
      <c r="E57" s="482">
        <v>820</v>
      </c>
      <c r="F57" s="485"/>
      <c r="G57" s="459"/>
      <c r="H57" s="460"/>
      <c r="I57" s="12"/>
    </row>
    <row r="58" spans="1:12" x14ac:dyDescent="0.25">
      <c r="A58" s="456" t="e">
        <f>_ABR12-A4+A43</f>
        <v>#NAME?</v>
      </c>
      <c r="B58" s="478"/>
      <c r="C58" s="479" t="s">
        <v>329</v>
      </c>
      <c r="D58" s="480"/>
      <c r="E58" s="482">
        <v>0</v>
      </c>
      <c r="F58" s="485"/>
      <c r="G58" s="459"/>
      <c r="H58" s="460"/>
      <c r="I58" s="12"/>
    </row>
    <row r="59" spans="1:12" x14ac:dyDescent="0.25">
      <c r="A59" s="456"/>
      <c r="B59" s="478"/>
      <c r="C59" s="479" t="s">
        <v>697</v>
      </c>
      <c r="D59" s="480"/>
      <c r="E59" s="482">
        <v>350</v>
      </c>
      <c r="F59" s="485"/>
      <c r="G59" s="459"/>
      <c r="H59" s="460"/>
      <c r="I59" s="12"/>
    </row>
    <row r="60" spans="1:12" x14ac:dyDescent="0.25">
      <c r="A60" s="456"/>
      <c r="B60" s="478"/>
      <c r="C60" s="479" t="s">
        <v>703</v>
      </c>
      <c r="D60" s="480"/>
      <c r="E60" s="482">
        <v>430</v>
      </c>
      <c r="F60" s="484"/>
      <c r="G60" s="459"/>
      <c r="H60" s="460"/>
      <c r="I60" s="12"/>
    </row>
    <row r="61" spans="1:12" x14ac:dyDescent="0.25">
      <c r="A61" s="456"/>
      <c r="B61" s="478"/>
      <c r="C61" s="479" t="s">
        <v>704</v>
      </c>
      <c r="D61" s="480"/>
      <c r="E61" s="482">
        <v>200</v>
      </c>
      <c r="F61" s="484"/>
      <c r="G61" s="459"/>
      <c r="H61" s="460"/>
      <c r="I61" s="12"/>
    </row>
    <row r="62" spans="1:12" x14ac:dyDescent="0.25">
      <c r="A62" s="456"/>
      <c r="B62" s="478"/>
      <c r="C62" s="479" t="s">
        <v>704</v>
      </c>
      <c r="D62" s="480"/>
      <c r="E62" s="482">
        <v>100</v>
      </c>
      <c r="F62" s="485"/>
      <c r="G62" s="459"/>
      <c r="H62" s="460"/>
      <c r="I62" s="12"/>
    </row>
    <row r="63" spans="1:12" x14ac:dyDescent="0.25">
      <c r="B63" s="478"/>
      <c r="C63" s="479" t="s">
        <v>704</v>
      </c>
      <c r="D63" s="480"/>
      <c r="E63" s="482">
        <v>300</v>
      </c>
      <c r="F63" s="484"/>
      <c r="G63" s="459"/>
      <c r="H63" s="460"/>
      <c r="I63" s="12"/>
    </row>
    <row r="64" spans="1:12" x14ac:dyDescent="0.25">
      <c r="B64" s="478"/>
      <c r="C64" s="479" t="s">
        <v>706</v>
      </c>
      <c r="D64" s="480"/>
      <c r="E64" s="482">
        <v>200</v>
      </c>
      <c r="F64" s="484"/>
      <c r="G64" s="459"/>
      <c r="H64" s="460"/>
      <c r="I64" s="12"/>
    </row>
    <row r="65" spans="1:12" x14ac:dyDescent="0.25">
      <c r="B65" s="478"/>
      <c r="C65" s="479" t="s">
        <v>707</v>
      </c>
      <c r="D65" s="480"/>
      <c r="E65" s="482">
        <v>100</v>
      </c>
      <c r="F65" s="484"/>
      <c r="G65" s="459"/>
      <c r="H65" s="460"/>
      <c r="I65" s="12"/>
    </row>
    <row r="66" spans="1:12" x14ac:dyDescent="0.25">
      <c r="A66" s="450" t="s">
        <v>45</v>
      </c>
      <c r="B66" s="478"/>
      <c r="C66" s="479" t="s">
        <v>13</v>
      </c>
      <c r="D66" s="480">
        <v>3200</v>
      </c>
      <c r="E66" s="482"/>
      <c r="F66" s="460"/>
      <c r="G66" s="459"/>
      <c r="H66" s="11"/>
      <c r="I66" s="12"/>
    </row>
    <row r="67" spans="1:12" x14ac:dyDescent="0.25">
      <c r="A67" s="431" t="s">
        <v>633</v>
      </c>
      <c r="B67" s="478"/>
      <c r="C67" s="479" t="s">
        <v>543</v>
      </c>
      <c r="D67" s="480"/>
      <c r="E67" s="482">
        <v>200</v>
      </c>
      <c r="F67" s="484"/>
      <c r="G67" s="484"/>
      <c r="H67" s="486"/>
      <c r="I67" s="12"/>
    </row>
    <row r="68" spans="1:12" x14ac:dyDescent="0.25">
      <c r="A68" s="456">
        <f>SUM(D66:D74)</f>
        <v>3200</v>
      </c>
      <c r="B68" s="478"/>
      <c r="C68" s="479" t="s">
        <v>542</v>
      </c>
      <c r="D68" s="480"/>
      <c r="E68" s="482">
        <v>290</v>
      </c>
      <c r="F68" s="484"/>
      <c r="G68" s="487"/>
      <c r="H68" s="485"/>
      <c r="I68" s="12"/>
    </row>
    <row r="69" spans="1:12" x14ac:dyDescent="0.25">
      <c r="A69" s="431" t="s">
        <v>634</v>
      </c>
      <c r="B69" s="478"/>
      <c r="C69" s="479" t="s">
        <v>708</v>
      </c>
      <c r="D69" s="480"/>
      <c r="E69" s="482">
        <v>800</v>
      </c>
      <c r="F69" s="484"/>
      <c r="G69" s="487"/>
      <c r="H69" s="485"/>
      <c r="I69" s="12"/>
    </row>
    <row r="70" spans="1:12" x14ac:dyDescent="0.25">
      <c r="A70" s="456">
        <f>SUM(E66:E74)</f>
        <v>2700</v>
      </c>
      <c r="B70" s="478"/>
      <c r="C70" s="479" t="s">
        <v>652</v>
      </c>
      <c r="D70" s="480"/>
      <c r="E70" s="482">
        <v>60</v>
      </c>
      <c r="F70" s="484"/>
      <c r="G70" s="487"/>
      <c r="H70" s="485"/>
      <c r="I70" s="12"/>
      <c r="K70" s="182"/>
    </row>
    <row r="71" spans="1:12" x14ac:dyDescent="0.25">
      <c r="A71" s="431" t="s">
        <v>635</v>
      </c>
      <c r="B71" s="478"/>
      <c r="C71" s="479" t="s">
        <v>709</v>
      </c>
      <c r="D71" s="480"/>
      <c r="E71" s="482">
        <v>1000</v>
      </c>
      <c r="F71" s="484"/>
      <c r="G71" s="488"/>
      <c r="H71" s="485"/>
      <c r="I71" s="12"/>
    </row>
    <row r="72" spans="1:12" x14ac:dyDescent="0.25">
      <c r="A72" s="458">
        <f>+A68-A70</f>
        <v>500</v>
      </c>
      <c r="B72" s="478"/>
      <c r="C72" s="479" t="s">
        <v>697</v>
      </c>
      <c r="D72" s="480"/>
      <c r="E72" s="482">
        <v>150</v>
      </c>
      <c r="F72" s="485"/>
      <c r="G72" s="488"/>
      <c r="H72" s="485"/>
      <c r="I72" s="12"/>
    </row>
    <row r="73" spans="1:12" x14ac:dyDescent="0.25">
      <c r="A73" s="456" t="s">
        <v>636</v>
      </c>
      <c r="B73" s="478"/>
      <c r="C73" s="479" t="s">
        <v>643</v>
      </c>
      <c r="D73" s="480"/>
      <c r="E73" s="482">
        <v>200</v>
      </c>
      <c r="F73" s="485"/>
      <c r="G73" s="487"/>
      <c r="H73" s="485"/>
      <c r="I73" s="12"/>
    </row>
    <row r="74" spans="1:12" x14ac:dyDescent="0.25">
      <c r="A74" s="456" t="e">
        <f>_MAY12-A4+A58</f>
        <v>#NAME?</v>
      </c>
      <c r="B74" s="478"/>
      <c r="C74" s="479"/>
      <c r="D74" s="480"/>
      <c r="E74" s="482"/>
      <c r="F74" s="460"/>
      <c r="G74" s="487"/>
      <c r="H74" s="485"/>
      <c r="I74" s="12"/>
    </row>
    <row r="75" spans="1:12" x14ac:dyDescent="0.25">
      <c r="A75" s="450" t="s">
        <v>46</v>
      </c>
      <c r="B75" s="478"/>
      <c r="C75" s="479" t="s">
        <v>13</v>
      </c>
      <c r="D75" s="480">
        <v>3200</v>
      </c>
      <c r="E75" s="482"/>
      <c r="F75" s="460"/>
      <c r="G75" s="459"/>
      <c r="H75" s="11"/>
      <c r="I75" s="12"/>
    </row>
    <row r="76" spans="1:12" x14ac:dyDescent="0.25">
      <c r="A76" s="431" t="s">
        <v>633</v>
      </c>
      <c r="B76" s="478"/>
      <c r="C76" s="479" t="s">
        <v>543</v>
      </c>
      <c r="D76" s="480"/>
      <c r="E76" s="482">
        <v>100</v>
      </c>
      <c r="F76" s="484"/>
      <c r="G76" s="459"/>
      <c r="H76" s="11"/>
      <c r="I76" s="12"/>
    </row>
    <row r="77" spans="1:12" x14ac:dyDescent="0.25">
      <c r="A77" s="456">
        <f>SUM(D75:D85)</f>
        <v>3200</v>
      </c>
      <c r="B77" s="478"/>
      <c r="C77" s="479" t="s">
        <v>542</v>
      </c>
      <c r="D77" s="480"/>
      <c r="E77" s="482">
        <v>240</v>
      </c>
      <c r="F77" s="484"/>
      <c r="G77" s="459"/>
      <c r="H77" s="11"/>
      <c r="I77" s="12"/>
      <c r="K77" s="182"/>
    </row>
    <row r="78" spans="1:12" x14ac:dyDescent="0.25">
      <c r="A78" s="431" t="s">
        <v>634</v>
      </c>
      <c r="B78" s="478"/>
      <c r="C78" s="479" t="s">
        <v>652</v>
      </c>
      <c r="D78" s="480"/>
      <c r="E78" s="482">
        <v>50</v>
      </c>
      <c r="F78" s="484"/>
      <c r="G78" s="459"/>
      <c r="H78" s="11"/>
      <c r="I78" s="12"/>
    </row>
    <row r="79" spans="1:12" x14ac:dyDescent="0.25">
      <c r="A79" s="456">
        <f>SUM(E75:E85)</f>
        <v>3800</v>
      </c>
      <c r="B79" s="478"/>
      <c r="C79" s="479" t="s">
        <v>709</v>
      </c>
      <c r="D79" s="480"/>
      <c r="E79" s="482">
        <v>1150</v>
      </c>
      <c r="F79" s="484"/>
      <c r="G79" s="459"/>
      <c r="H79" s="11"/>
      <c r="I79" s="462"/>
    </row>
    <row r="80" spans="1:12" x14ac:dyDescent="0.25">
      <c r="A80" s="431" t="s">
        <v>635</v>
      </c>
      <c r="B80" s="478"/>
      <c r="C80" s="479" t="s">
        <v>708</v>
      </c>
      <c r="D80" s="480"/>
      <c r="E80" s="482">
        <v>680</v>
      </c>
      <c r="F80" s="484"/>
      <c r="G80" s="484"/>
      <c r="H80" s="485"/>
      <c r="I80" s="462"/>
      <c r="L80" s="182"/>
    </row>
    <row r="81" spans="1:14" x14ac:dyDescent="0.25">
      <c r="A81" s="458">
        <f>+A77-A79</f>
        <v>-600</v>
      </c>
      <c r="B81" s="478"/>
      <c r="C81" s="479" t="s">
        <v>697</v>
      </c>
      <c r="D81" s="480"/>
      <c r="E81" s="482">
        <v>150</v>
      </c>
      <c r="F81" s="484"/>
      <c r="G81" s="459"/>
      <c r="H81" s="11"/>
      <c r="I81" s="462"/>
    </row>
    <row r="82" spans="1:14" x14ac:dyDescent="0.25">
      <c r="A82" s="456" t="s">
        <v>636</v>
      </c>
      <c r="B82" s="478"/>
      <c r="C82" s="479" t="s">
        <v>643</v>
      </c>
      <c r="D82" s="480"/>
      <c r="E82" s="482">
        <v>380</v>
      </c>
      <c r="F82" s="484"/>
      <c r="G82" s="459"/>
      <c r="H82" s="11"/>
      <c r="I82" s="462"/>
    </row>
    <row r="83" spans="1:14" x14ac:dyDescent="0.25">
      <c r="A83" s="456" t="e">
        <f>_JUN12-A4+A74</f>
        <v>#NAME?</v>
      </c>
      <c r="B83" s="478"/>
      <c r="C83" s="479" t="s">
        <v>693</v>
      </c>
      <c r="D83" s="480"/>
      <c r="E83" s="482">
        <v>750</v>
      </c>
      <c r="F83" s="484"/>
      <c r="G83" s="459"/>
      <c r="H83" s="11"/>
      <c r="I83" s="12"/>
    </row>
    <row r="84" spans="1:14" x14ac:dyDescent="0.25">
      <c r="A84" s="456"/>
      <c r="B84" s="478"/>
      <c r="C84" s="479" t="s">
        <v>710</v>
      </c>
      <c r="D84" s="480"/>
      <c r="E84" s="482">
        <v>100</v>
      </c>
      <c r="F84" s="484"/>
      <c r="G84" s="459"/>
      <c r="H84" s="11"/>
      <c r="I84" s="12"/>
    </row>
    <row r="85" spans="1:14" x14ac:dyDescent="0.25">
      <c r="A85" s="456"/>
      <c r="B85" s="478"/>
      <c r="C85" s="479" t="s">
        <v>711</v>
      </c>
      <c r="D85" s="480"/>
      <c r="E85" s="482">
        <v>200</v>
      </c>
      <c r="F85" s="484"/>
      <c r="G85" s="459"/>
      <c r="H85" s="11"/>
      <c r="I85" s="12"/>
    </row>
    <row r="86" spans="1:14" x14ac:dyDescent="0.25">
      <c r="A86" s="450" t="s">
        <v>47</v>
      </c>
      <c r="B86" s="478"/>
      <c r="C86" s="479" t="s">
        <v>13</v>
      </c>
      <c r="D86" s="480">
        <v>3200</v>
      </c>
      <c r="E86" s="482"/>
      <c r="F86" s="484"/>
      <c r="G86" s="489"/>
      <c r="H86" s="11"/>
      <c r="I86" s="12"/>
    </row>
    <row r="87" spans="1:14" x14ac:dyDescent="0.25">
      <c r="A87" s="431" t="s">
        <v>633</v>
      </c>
      <c r="B87" s="478"/>
      <c r="C87" s="479" t="s">
        <v>543</v>
      </c>
      <c r="D87" s="480"/>
      <c r="E87" s="482">
        <v>200</v>
      </c>
      <c r="F87" s="484"/>
      <c r="G87" s="489"/>
      <c r="H87" s="460"/>
      <c r="I87" s="463"/>
    </row>
    <row r="88" spans="1:14" x14ac:dyDescent="0.25">
      <c r="A88" s="456">
        <f>SUM(D86:D96)</f>
        <v>4800</v>
      </c>
      <c r="B88" s="478"/>
      <c r="C88" s="479" t="s">
        <v>542</v>
      </c>
      <c r="D88" s="480"/>
      <c r="E88" s="482">
        <v>270</v>
      </c>
      <c r="F88" s="484"/>
      <c r="G88" s="488"/>
      <c r="H88" s="11"/>
      <c r="I88" s="12"/>
      <c r="N88" s="182"/>
    </row>
    <row r="89" spans="1:14" x14ac:dyDescent="0.25">
      <c r="A89" s="431" t="s">
        <v>634</v>
      </c>
      <c r="B89" s="478"/>
      <c r="C89" s="479" t="s">
        <v>652</v>
      </c>
      <c r="D89" s="480"/>
      <c r="E89" s="482">
        <v>80</v>
      </c>
      <c r="F89" s="484"/>
      <c r="G89" s="489"/>
      <c r="H89" s="11"/>
      <c r="I89" s="12"/>
      <c r="N89" s="182"/>
    </row>
    <row r="90" spans="1:14" x14ac:dyDescent="0.25">
      <c r="A90" s="456">
        <f>SUM(E86:E96)</f>
        <v>3600</v>
      </c>
      <c r="B90" s="478"/>
      <c r="C90" s="479" t="s">
        <v>709</v>
      </c>
      <c r="D90" s="480"/>
      <c r="E90" s="482">
        <v>660</v>
      </c>
      <c r="F90" s="484"/>
      <c r="G90" s="489"/>
      <c r="H90" s="464"/>
      <c r="I90" s="12"/>
      <c r="K90" s="182"/>
      <c r="N90" s="182"/>
    </row>
    <row r="91" spans="1:14" x14ac:dyDescent="0.25">
      <c r="A91" s="431" t="s">
        <v>635</v>
      </c>
      <c r="B91" s="478"/>
      <c r="C91" s="479" t="s">
        <v>708</v>
      </c>
      <c r="D91" s="480"/>
      <c r="E91" s="482">
        <v>790</v>
      </c>
      <c r="F91" s="484"/>
      <c r="G91" s="489"/>
      <c r="H91" s="460"/>
      <c r="I91" s="463"/>
      <c r="N91" s="182"/>
    </row>
    <row r="92" spans="1:14" x14ac:dyDescent="0.25">
      <c r="A92" s="458">
        <f>+A88-A90</f>
        <v>1200</v>
      </c>
      <c r="B92" s="478"/>
      <c r="C92" s="479" t="s">
        <v>697</v>
      </c>
      <c r="D92" s="480"/>
      <c r="E92" s="482">
        <v>200</v>
      </c>
      <c r="F92" s="460"/>
      <c r="G92" s="489"/>
      <c r="H92" s="11"/>
      <c r="I92" s="463"/>
      <c r="K92" s="182"/>
      <c r="N92" s="182"/>
    </row>
    <row r="93" spans="1:14" x14ac:dyDescent="0.25">
      <c r="A93" s="431" t="s">
        <v>636</v>
      </c>
      <c r="B93" s="478"/>
      <c r="C93" s="479" t="s">
        <v>643</v>
      </c>
      <c r="D93" s="480"/>
      <c r="E93" s="482">
        <v>850</v>
      </c>
      <c r="F93" s="484"/>
      <c r="G93" s="489"/>
      <c r="H93" s="11"/>
      <c r="I93" s="12"/>
      <c r="N93" s="182"/>
    </row>
    <row r="94" spans="1:14" x14ac:dyDescent="0.25">
      <c r="A94" s="456" t="e">
        <f>_JUL12-A4+A83</f>
        <v>#NAME?</v>
      </c>
      <c r="B94" s="478"/>
      <c r="C94" s="479" t="s">
        <v>19</v>
      </c>
      <c r="D94" s="480">
        <v>1600</v>
      </c>
      <c r="E94" s="482"/>
      <c r="F94" s="484"/>
      <c r="G94" s="488"/>
      <c r="H94" s="11"/>
      <c r="I94" s="12"/>
    </row>
    <row r="95" spans="1:14" x14ac:dyDescent="0.25">
      <c r="B95" s="478"/>
      <c r="C95" s="479" t="s">
        <v>712</v>
      </c>
      <c r="D95" s="480"/>
      <c r="E95" s="482">
        <v>250</v>
      </c>
      <c r="F95" s="460"/>
      <c r="G95" s="489"/>
      <c r="H95" s="460"/>
      <c r="I95" s="462"/>
    </row>
    <row r="96" spans="1:14" x14ac:dyDescent="0.25">
      <c r="B96" s="478"/>
      <c r="C96" s="479" t="s">
        <v>713</v>
      </c>
      <c r="D96" s="480"/>
      <c r="E96" s="482">
        <v>300</v>
      </c>
      <c r="F96" s="484"/>
      <c r="G96" s="488"/>
      <c r="H96" s="460"/>
      <c r="I96" s="462"/>
      <c r="K96" s="182"/>
    </row>
    <row r="97" spans="1:13" x14ac:dyDescent="0.25">
      <c r="A97" s="450" t="s">
        <v>48</v>
      </c>
      <c r="B97" s="478"/>
      <c r="C97" s="479" t="s">
        <v>13</v>
      </c>
      <c r="D97" s="480">
        <v>3840</v>
      </c>
      <c r="E97" s="482"/>
      <c r="F97" s="11"/>
      <c r="G97" s="459"/>
      <c r="H97" s="11"/>
      <c r="I97" s="462"/>
    </row>
    <row r="98" spans="1:13" x14ac:dyDescent="0.25">
      <c r="A98" s="431" t="s">
        <v>633</v>
      </c>
      <c r="B98" s="478"/>
      <c r="C98" s="479" t="s">
        <v>543</v>
      </c>
      <c r="D98" s="480"/>
      <c r="E98" s="482">
        <v>0</v>
      </c>
      <c r="F98" s="11"/>
      <c r="G98" s="459"/>
      <c r="H98" s="11"/>
      <c r="I98" s="462"/>
    </row>
    <row r="99" spans="1:13" x14ac:dyDescent="0.25">
      <c r="A99" s="456">
        <f>SUM(D97:D108)</f>
        <v>3840</v>
      </c>
      <c r="B99" s="478"/>
      <c r="C99" s="479" t="s">
        <v>542</v>
      </c>
      <c r="D99" s="480"/>
      <c r="E99" s="482">
        <v>420</v>
      </c>
      <c r="F99" s="11"/>
      <c r="G99" s="459"/>
      <c r="H99" s="460"/>
      <c r="I99" s="12"/>
      <c r="L99" s="182"/>
      <c r="M99" s="182"/>
    </row>
    <row r="100" spans="1:13" x14ac:dyDescent="0.25">
      <c r="A100" s="431" t="s">
        <v>634</v>
      </c>
      <c r="B100" s="478"/>
      <c r="C100" s="479" t="s">
        <v>652</v>
      </c>
      <c r="D100" s="480"/>
      <c r="E100" s="482">
        <v>0</v>
      </c>
      <c r="F100" s="460"/>
      <c r="G100" s="459"/>
      <c r="H100" s="11"/>
      <c r="I100" s="12"/>
    </row>
    <row r="101" spans="1:13" x14ac:dyDescent="0.25">
      <c r="A101" s="456">
        <f>SUM(E97:E108)</f>
        <v>3640</v>
      </c>
      <c r="B101" s="478"/>
      <c r="C101" s="479" t="s">
        <v>709</v>
      </c>
      <c r="D101" s="480"/>
      <c r="E101" s="482">
        <v>330</v>
      </c>
      <c r="F101" s="460"/>
      <c r="G101" s="459"/>
      <c r="H101" s="11"/>
      <c r="I101" s="12"/>
    </row>
    <row r="102" spans="1:13" x14ac:dyDescent="0.25">
      <c r="A102" s="431" t="s">
        <v>635</v>
      </c>
      <c r="B102" s="478"/>
      <c r="C102" s="479" t="s">
        <v>708</v>
      </c>
      <c r="D102" s="480"/>
      <c r="E102" s="482">
        <v>420</v>
      </c>
      <c r="F102" s="11"/>
      <c r="G102" s="459"/>
      <c r="H102" s="11"/>
      <c r="I102" s="12"/>
    </row>
    <row r="103" spans="1:13" x14ac:dyDescent="0.25">
      <c r="A103" s="458">
        <f>+A99-A101</f>
        <v>200</v>
      </c>
      <c r="B103" s="478"/>
      <c r="C103" s="479" t="s">
        <v>697</v>
      </c>
      <c r="D103" s="480"/>
      <c r="E103" s="482">
        <v>450</v>
      </c>
      <c r="F103" s="460"/>
      <c r="G103" s="459"/>
      <c r="H103" s="11"/>
      <c r="I103" s="462"/>
    </row>
    <row r="104" spans="1:13" x14ac:dyDescent="0.25">
      <c r="A104" s="456" t="s">
        <v>636</v>
      </c>
      <c r="B104" s="478"/>
      <c r="C104" s="479" t="s">
        <v>643</v>
      </c>
      <c r="D104" s="480"/>
      <c r="E104" s="482">
        <v>1200</v>
      </c>
      <c r="F104" s="11"/>
      <c r="G104" s="459"/>
      <c r="H104" s="460"/>
      <c r="I104" s="12"/>
    </row>
    <row r="105" spans="1:13" x14ac:dyDescent="0.25">
      <c r="A105" s="456" t="e">
        <f>_AGO12-A4+A94</f>
        <v>#NAME?</v>
      </c>
      <c r="B105" s="478"/>
      <c r="C105" s="479" t="s">
        <v>714</v>
      </c>
      <c r="D105" s="480"/>
      <c r="E105" s="482">
        <v>200</v>
      </c>
      <c r="F105" s="11"/>
      <c r="G105" s="459"/>
      <c r="H105" s="11"/>
      <c r="I105" s="12"/>
    </row>
    <row r="106" spans="1:13" x14ac:dyDescent="0.25">
      <c r="A106" s="456"/>
      <c r="B106" s="478"/>
      <c r="C106" s="479" t="s">
        <v>670</v>
      </c>
      <c r="D106" s="480"/>
      <c r="E106" s="482">
        <v>200</v>
      </c>
      <c r="F106" s="11"/>
      <c r="G106" s="459"/>
      <c r="H106" s="11"/>
      <c r="I106" s="12"/>
    </row>
    <row r="107" spans="1:13" x14ac:dyDescent="0.25">
      <c r="A107" s="456"/>
      <c r="B107" s="478"/>
      <c r="C107" s="479" t="s">
        <v>693</v>
      </c>
      <c r="D107" s="480"/>
      <c r="E107" s="482">
        <v>150</v>
      </c>
      <c r="F107" s="11"/>
      <c r="G107" s="459"/>
      <c r="H107" s="11"/>
      <c r="I107" s="12"/>
    </row>
    <row r="108" spans="1:13" x14ac:dyDescent="0.25">
      <c r="A108" s="456"/>
      <c r="B108" s="478"/>
      <c r="C108" s="479" t="s">
        <v>709</v>
      </c>
      <c r="D108" s="480"/>
      <c r="E108" s="482">
        <v>270</v>
      </c>
      <c r="F108" s="11"/>
      <c r="G108" s="459"/>
      <c r="H108" s="11"/>
      <c r="I108" s="12"/>
    </row>
    <row r="109" spans="1:13" x14ac:dyDescent="0.25">
      <c r="A109" s="450" t="s">
        <v>49</v>
      </c>
      <c r="B109" s="478"/>
      <c r="C109" s="479" t="s">
        <v>13</v>
      </c>
      <c r="D109" s="480">
        <v>3840</v>
      </c>
      <c r="E109" s="482"/>
      <c r="F109" s="485"/>
      <c r="G109" s="487"/>
      <c r="H109" s="485"/>
      <c r="I109" s="12"/>
    </row>
    <row r="110" spans="1:13" x14ac:dyDescent="0.25">
      <c r="A110" s="431" t="s">
        <v>633</v>
      </c>
      <c r="B110" s="478"/>
      <c r="C110" s="479" t="s">
        <v>543</v>
      </c>
      <c r="D110" s="480"/>
      <c r="E110" s="482">
        <v>280</v>
      </c>
      <c r="F110" s="490"/>
      <c r="G110" s="491"/>
      <c r="H110" s="485"/>
      <c r="I110" s="12"/>
    </row>
    <row r="111" spans="1:13" x14ac:dyDescent="0.25">
      <c r="A111" s="456">
        <f>SUM(D109:D120)</f>
        <v>3840</v>
      </c>
      <c r="B111" s="478"/>
      <c r="C111" s="479" t="s">
        <v>715</v>
      </c>
      <c r="D111" s="480"/>
      <c r="E111" s="482">
        <v>150</v>
      </c>
      <c r="F111" s="490"/>
      <c r="G111" s="487"/>
      <c r="H111" s="485"/>
      <c r="I111" s="12"/>
    </row>
    <row r="112" spans="1:13" x14ac:dyDescent="0.25">
      <c r="A112" s="431" t="s">
        <v>634</v>
      </c>
      <c r="B112" s="478"/>
      <c r="C112" s="479" t="s">
        <v>652</v>
      </c>
      <c r="D112" s="480"/>
      <c r="E112" s="482">
        <v>90</v>
      </c>
      <c r="F112" s="490"/>
      <c r="G112" s="487"/>
      <c r="H112" s="485"/>
      <c r="I112" s="12"/>
    </row>
    <row r="113" spans="1:9" x14ac:dyDescent="0.25">
      <c r="A113" s="456">
        <f>SUM(E109:E120)</f>
        <v>3740</v>
      </c>
      <c r="B113" s="478"/>
      <c r="C113" s="479" t="s">
        <v>709</v>
      </c>
      <c r="D113" s="480"/>
      <c r="E113" s="482">
        <f>530</f>
        <v>530</v>
      </c>
      <c r="F113" s="490"/>
      <c r="G113" s="487"/>
      <c r="H113" s="485"/>
      <c r="I113" s="12"/>
    </row>
    <row r="114" spans="1:9" x14ac:dyDescent="0.25">
      <c r="A114" s="431" t="s">
        <v>635</v>
      </c>
      <c r="B114" s="478"/>
      <c r="C114" s="479" t="s">
        <v>708</v>
      </c>
      <c r="D114" s="480"/>
      <c r="E114" s="482">
        <f>450+130</f>
        <v>580</v>
      </c>
      <c r="F114" s="490"/>
      <c r="G114" s="491"/>
      <c r="H114" s="485"/>
      <c r="I114" s="12"/>
    </row>
    <row r="115" spans="1:9" x14ac:dyDescent="0.25">
      <c r="A115" s="458">
        <f>+A111-A113</f>
        <v>100</v>
      </c>
      <c r="B115" s="478"/>
      <c r="C115" s="479" t="s">
        <v>697</v>
      </c>
      <c r="D115" s="480"/>
      <c r="E115" s="482">
        <v>500</v>
      </c>
      <c r="F115" s="485"/>
      <c r="G115" s="487"/>
      <c r="H115" s="460"/>
      <c r="I115" s="12"/>
    </row>
    <row r="116" spans="1:9" x14ac:dyDescent="0.25">
      <c r="A116" s="431" t="s">
        <v>636</v>
      </c>
      <c r="B116" s="478"/>
      <c r="C116" s="479" t="s">
        <v>643</v>
      </c>
      <c r="D116" s="480"/>
      <c r="E116" s="482">
        <v>1070</v>
      </c>
      <c r="F116" s="485"/>
      <c r="G116" s="487"/>
      <c r="H116" s="485"/>
      <c r="I116" s="12"/>
    </row>
    <row r="117" spans="1:9" x14ac:dyDescent="0.25">
      <c r="A117" s="456" t="e">
        <f>_SEP12-A4+A105</f>
        <v>#NAME?</v>
      </c>
      <c r="B117" s="478"/>
      <c r="C117" s="479" t="s">
        <v>670</v>
      </c>
      <c r="D117" s="480"/>
      <c r="E117" s="482">
        <v>200</v>
      </c>
      <c r="F117" s="490"/>
      <c r="G117" s="487"/>
      <c r="H117" s="485"/>
      <c r="I117" s="12"/>
    </row>
    <row r="118" spans="1:9" x14ac:dyDescent="0.25">
      <c r="A118" s="456"/>
      <c r="B118" s="478"/>
      <c r="C118" s="479" t="s">
        <v>716</v>
      </c>
      <c r="D118" s="480"/>
      <c r="E118" s="482">
        <v>200</v>
      </c>
      <c r="F118" s="485"/>
      <c r="G118" s="487"/>
      <c r="H118" s="485"/>
      <c r="I118" s="12"/>
    </row>
    <row r="119" spans="1:9" x14ac:dyDescent="0.25">
      <c r="A119" s="456"/>
      <c r="B119" s="478"/>
      <c r="C119" s="479" t="s">
        <v>717</v>
      </c>
      <c r="D119" s="480"/>
      <c r="E119" s="482">
        <v>40</v>
      </c>
      <c r="F119" s="490"/>
      <c r="G119" s="491"/>
      <c r="H119" s="485"/>
      <c r="I119" s="12"/>
    </row>
    <row r="120" spans="1:9" x14ac:dyDescent="0.25">
      <c r="A120" s="456"/>
      <c r="B120" s="478"/>
      <c r="C120" s="479" t="s">
        <v>718</v>
      </c>
      <c r="D120" s="480"/>
      <c r="E120" s="482">
        <v>100</v>
      </c>
      <c r="F120" s="485"/>
      <c r="G120" s="487"/>
      <c r="H120" s="485"/>
      <c r="I120" s="12"/>
    </row>
    <row r="121" spans="1:9" x14ac:dyDescent="0.25">
      <c r="A121" s="450" t="s">
        <v>50</v>
      </c>
      <c r="B121" s="478"/>
      <c r="C121" s="479" t="s">
        <v>13</v>
      </c>
      <c r="D121" s="480">
        <v>3840</v>
      </c>
      <c r="E121" s="482"/>
      <c r="F121" s="485"/>
      <c r="G121" s="488"/>
      <c r="H121" s="460"/>
      <c r="I121" s="12"/>
    </row>
    <row r="122" spans="1:9" x14ac:dyDescent="0.25">
      <c r="A122" s="431" t="s">
        <v>633</v>
      </c>
      <c r="B122" s="478"/>
      <c r="C122" s="479" t="s">
        <v>543</v>
      </c>
      <c r="D122" s="480"/>
      <c r="E122" s="482">
        <v>140</v>
      </c>
      <c r="F122" s="490"/>
      <c r="G122" s="487"/>
      <c r="H122" s="11"/>
      <c r="I122" s="12"/>
    </row>
    <row r="123" spans="1:9" x14ac:dyDescent="0.25">
      <c r="A123" s="456">
        <f>SUM(D121:D131)</f>
        <v>3840</v>
      </c>
      <c r="B123" s="478"/>
      <c r="C123" s="479" t="s">
        <v>542</v>
      </c>
      <c r="D123" s="480"/>
      <c r="E123" s="482">
        <v>150</v>
      </c>
      <c r="F123" s="490"/>
      <c r="G123" s="487"/>
      <c r="H123" s="11"/>
      <c r="I123" s="12"/>
    </row>
    <row r="124" spans="1:9" x14ac:dyDescent="0.25">
      <c r="A124" s="431" t="s">
        <v>634</v>
      </c>
      <c r="B124" s="478"/>
      <c r="C124" s="479" t="s">
        <v>652</v>
      </c>
      <c r="D124" s="480"/>
      <c r="E124" s="482">
        <v>120</v>
      </c>
      <c r="F124" s="490"/>
      <c r="G124" s="487"/>
      <c r="H124" s="11"/>
      <c r="I124" s="12"/>
    </row>
    <row r="125" spans="1:9" x14ac:dyDescent="0.25">
      <c r="A125" s="456">
        <f>SUM(E121:E131)</f>
        <v>3190</v>
      </c>
      <c r="B125" s="478"/>
      <c r="C125" s="479" t="s">
        <v>709</v>
      </c>
      <c r="D125" s="480"/>
      <c r="E125" s="482">
        <v>500</v>
      </c>
      <c r="F125" s="490"/>
      <c r="G125" s="487"/>
      <c r="H125" s="11"/>
      <c r="I125" s="12"/>
    </row>
    <row r="126" spans="1:9" x14ac:dyDescent="0.25">
      <c r="A126" s="431" t="s">
        <v>635</v>
      </c>
      <c r="B126" s="478"/>
      <c r="C126" s="479" t="s">
        <v>708</v>
      </c>
      <c r="D126" s="480"/>
      <c r="E126" s="482">
        <v>620</v>
      </c>
      <c r="F126" s="490"/>
      <c r="G126" s="491"/>
      <c r="H126" s="11"/>
      <c r="I126" s="12"/>
    </row>
    <row r="127" spans="1:9" x14ac:dyDescent="0.25">
      <c r="A127" s="458">
        <f>+A123-A125</f>
        <v>650</v>
      </c>
      <c r="B127" s="478"/>
      <c r="C127" s="479" t="s">
        <v>717</v>
      </c>
      <c r="D127" s="480"/>
      <c r="E127" s="482">
        <v>100</v>
      </c>
      <c r="F127" s="490"/>
      <c r="G127" s="491"/>
      <c r="H127" s="11"/>
      <c r="I127" s="12"/>
    </row>
    <row r="128" spans="1:9" x14ac:dyDescent="0.25">
      <c r="A128" s="431" t="s">
        <v>636</v>
      </c>
      <c r="B128" s="478"/>
      <c r="C128" s="479" t="s">
        <v>670</v>
      </c>
      <c r="D128" s="480"/>
      <c r="E128" s="482">
        <v>200</v>
      </c>
      <c r="F128" s="490"/>
      <c r="G128" s="487"/>
      <c r="H128" s="11"/>
      <c r="I128" s="12"/>
    </row>
    <row r="129" spans="1:9" x14ac:dyDescent="0.25">
      <c r="A129" s="456" t="e">
        <f>_OCT12-A4+A117</f>
        <v>#NAME?</v>
      </c>
      <c r="B129" s="478"/>
      <c r="C129" s="479" t="s">
        <v>643</v>
      </c>
      <c r="D129" s="480"/>
      <c r="E129" s="482">
        <v>860</v>
      </c>
      <c r="F129" s="490"/>
      <c r="G129" s="487"/>
      <c r="H129" s="11"/>
      <c r="I129" s="12"/>
    </row>
    <row r="130" spans="1:9" x14ac:dyDescent="0.25">
      <c r="A130" s="456"/>
      <c r="B130" s="478"/>
      <c r="C130" s="479" t="s">
        <v>697</v>
      </c>
      <c r="D130" s="480"/>
      <c r="E130" s="482">
        <v>400</v>
      </c>
      <c r="F130" s="485"/>
      <c r="G130" s="487"/>
      <c r="H130" s="11"/>
      <c r="I130" s="12"/>
    </row>
    <row r="131" spans="1:9" x14ac:dyDescent="0.25">
      <c r="A131" s="456"/>
      <c r="B131" s="478"/>
      <c r="C131" s="479" t="s">
        <v>552</v>
      </c>
      <c r="D131" s="480"/>
      <c r="E131" s="482">
        <v>100</v>
      </c>
      <c r="F131" s="485"/>
      <c r="G131" s="487"/>
      <c r="H131" s="11"/>
      <c r="I131" s="12"/>
    </row>
    <row r="132" spans="1:9" x14ac:dyDescent="0.25">
      <c r="A132" s="450" t="s">
        <v>51</v>
      </c>
      <c r="B132" s="478"/>
      <c r="C132" s="479" t="s">
        <v>13</v>
      </c>
      <c r="D132" s="480">
        <v>3840</v>
      </c>
      <c r="E132" s="482"/>
      <c r="F132" s="11"/>
      <c r="G132" s="459"/>
      <c r="H132" s="11"/>
      <c r="I132" s="12"/>
    </row>
    <row r="133" spans="1:9" x14ac:dyDescent="0.25">
      <c r="A133" s="431" t="s">
        <v>633</v>
      </c>
      <c r="B133" s="478"/>
      <c r="C133" s="479" t="s">
        <v>543</v>
      </c>
      <c r="D133" s="480"/>
      <c r="E133" s="482">
        <v>200</v>
      </c>
      <c r="F133" s="490"/>
      <c r="G133" s="459"/>
      <c r="H133" s="11"/>
      <c r="I133" s="12"/>
    </row>
    <row r="134" spans="1:9" x14ac:dyDescent="0.25">
      <c r="A134" s="456">
        <f>SUM(D132:D142)</f>
        <v>3840</v>
      </c>
      <c r="B134" s="478"/>
      <c r="C134" s="479" t="s">
        <v>542</v>
      </c>
      <c r="D134" s="480"/>
      <c r="E134" s="482">
        <v>120</v>
      </c>
      <c r="F134" s="490"/>
      <c r="G134" s="487"/>
      <c r="H134" s="11"/>
      <c r="I134" s="12"/>
    </row>
    <row r="135" spans="1:9" x14ac:dyDescent="0.25">
      <c r="A135" s="431" t="s">
        <v>634</v>
      </c>
      <c r="B135" s="478"/>
      <c r="C135" s="479" t="s">
        <v>652</v>
      </c>
      <c r="D135" s="480"/>
      <c r="E135" s="482">
        <v>40</v>
      </c>
      <c r="F135" s="490"/>
      <c r="G135" s="487"/>
      <c r="H135" s="11"/>
      <c r="I135" s="12"/>
    </row>
    <row r="136" spans="1:9" x14ac:dyDescent="0.25">
      <c r="A136" s="456">
        <f>SUM(E132:E142)</f>
        <v>5090</v>
      </c>
      <c r="B136" s="478"/>
      <c r="C136" s="479" t="s">
        <v>709</v>
      </c>
      <c r="D136" s="480"/>
      <c r="E136" s="482">
        <v>1880</v>
      </c>
      <c r="F136" s="490"/>
      <c r="G136" s="487"/>
      <c r="H136" s="11"/>
      <c r="I136" s="12"/>
    </row>
    <row r="137" spans="1:9" x14ac:dyDescent="0.25">
      <c r="A137" s="431" t="s">
        <v>635</v>
      </c>
      <c r="B137" s="478"/>
      <c r="C137" s="479" t="s">
        <v>708</v>
      </c>
      <c r="D137" s="480"/>
      <c r="E137" s="482">
        <v>950</v>
      </c>
      <c r="F137" s="490"/>
      <c r="G137" s="491"/>
      <c r="H137" s="460"/>
      <c r="I137" s="462"/>
    </row>
    <row r="138" spans="1:9" x14ac:dyDescent="0.25">
      <c r="A138" s="458">
        <f>+A134-A136</f>
        <v>-1250</v>
      </c>
      <c r="B138" s="478"/>
      <c r="C138" s="479" t="s">
        <v>717</v>
      </c>
      <c r="D138" s="480"/>
      <c r="E138" s="482">
        <v>250</v>
      </c>
      <c r="F138" s="490"/>
      <c r="G138" s="491"/>
      <c r="H138" s="11"/>
      <c r="I138" s="12"/>
    </row>
    <row r="139" spans="1:9" x14ac:dyDescent="0.25">
      <c r="A139" s="431" t="s">
        <v>636</v>
      </c>
      <c r="B139" s="478"/>
      <c r="C139" s="479" t="s">
        <v>670</v>
      </c>
      <c r="D139" s="480"/>
      <c r="E139" s="482">
        <v>200</v>
      </c>
      <c r="F139" s="490"/>
      <c r="G139" s="487"/>
      <c r="H139" s="11"/>
      <c r="I139" s="12"/>
    </row>
    <row r="140" spans="1:9" x14ac:dyDescent="0.25">
      <c r="A140" s="456" t="e">
        <f>_NOV12-A4+A129</f>
        <v>#NAME?</v>
      </c>
      <c r="B140" s="478"/>
      <c r="C140" s="479" t="s">
        <v>643</v>
      </c>
      <c r="D140" s="480"/>
      <c r="E140" s="482">
        <v>750</v>
      </c>
      <c r="F140" s="490"/>
      <c r="G140" s="487"/>
      <c r="H140" s="11"/>
      <c r="I140" s="12"/>
    </row>
    <row r="141" spans="1:9" x14ac:dyDescent="0.25">
      <c r="A141" s="456"/>
      <c r="B141" s="478"/>
      <c r="C141" s="479" t="s">
        <v>697</v>
      </c>
      <c r="D141" s="480"/>
      <c r="E141" s="482">
        <v>600</v>
      </c>
      <c r="F141" s="11"/>
      <c r="G141" s="487"/>
      <c r="H141" s="11"/>
      <c r="I141" s="12"/>
    </row>
    <row r="142" spans="1:9" x14ac:dyDescent="0.25">
      <c r="A142" s="456"/>
      <c r="B142" s="478"/>
      <c r="C142" s="479" t="s">
        <v>552</v>
      </c>
      <c r="D142" s="480"/>
      <c r="E142" s="482">
        <v>100</v>
      </c>
      <c r="F142" s="11"/>
      <c r="G142" s="487"/>
      <c r="H142" s="11"/>
      <c r="I142" s="12"/>
    </row>
    <row r="143" spans="1:9" x14ac:dyDescent="0.25">
      <c r="A143" s="450" t="s">
        <v>52</v>
      </c>
      <c r="B143" s="478"/>
      <c r="C143" s="479" t="s">
        <v>13</v>
      </c>
      <c r="D143" s="480">
        <v>3840</v>
      </c>
      <c r="E143" s="482"/>
      <c r="F143" s="460"/>
      <c r="G143" s="488"/>
      <c r="H143" s="11"/>
      <c r="I143" s="12"/>
    </row>
    <row r="144" spans="1:9" x14ac:dyDescent="0.25">
      <c r="A144" s="431" t="s">
        <v>633</v>
      </c>
      <c r="B144" s="478"/>
      <c r="C144" s="479" t="s">
        <v>543</v>
      </c>
      <c r="D144" s="480"/>
      <c r="E144" s="482">
        <v>220</v>
      </c>
      <c r="F144" s="490"/>
      <c r="G144" s="487"/>
      <c r="H144" s="11"/>
      <c r="I144" s="12"/>
    </row>
    <row r="145" spans="1:11" x14ac:dyDescent="0.25">
      <c r="A145" s="456">
        <f>SUM(D143:D152)</f>
        <v>3840</v>
      </c>
      <c r="B145" s="478"/>
      <c r="C145" s="479" t="s">
        <v>542</v>
      </c>
      <c r="D145" s="480"/>
      <c r="E145" s="482">
        <v>170</v>
      </c>
      <c r="F145" s="490"/>
      <c r="G145" s="487"/>
      <c r="H145" s="11"/>
      <c r="I145" s="12"/>
    </row>
    <row r="146" spans="1:11" x14ac:dyDescent="0.25">
      <c r="A146" s="431" t="s">
        <v>634</v>
      </c>
      <c r="B146" s="478"/>
      <c r="C146" s="479" t="s">
        <v>652</v>
      </c>
      <c r="D146" s="480"/>
      <c r="E146" s="482">
        <v>0</v>
      </c>
      <c r="F146" s="490"/>
      <c r="G146" s="487"/>
      <c r="H146" s="11"/>
      <c r="I146" s="12"/>
    </row>
    <row r="147" spans="1:11" x14ac:dyDescent="0.25">
      <c r="A147" s="456">
        <f>SUM(E143:E152)</f>
        <v>2140</v>
      </c>
      <c r="B147" s="478"/>
      <c r="C147" s="479" t="s">
        <v>709</v>
      </c>
      <c r="D147" s="480"/>
      <c r="E147" s="482">
        <v>0</v>
      </c>
      <c r="F147" s="490"/>
      <c r="G147" s="487"/>
      <c r="H147" s="11"/>
      <c r="I147" s="12"/>
    </row>
    <row r="148" spans="1:11" x14ac:dyDescent="0.25">
      <c r="A148" s="431" t="s">
        <v>635</v>
      </c>
      <c r="B148" s="478"/>
      <c r="C148" s="479" t="s">
        <v>708</v>
      </c>
      <c r="D148" s="480"/>
      <c r="E148" s="482">
        <v>0</v>
      </c>
      <c r="F148" s="490"/>
      <c r="G148" s="487"/>
      <c r="H148" s="11"/>
      <c r="I148" s="12"/>
    </row>
    <row r="149" spans="1:11" x14ac:dyDescent="0.25">
      <c r="A149" s="458">
        <f>+A145-A147</f>
        <v>1700</v>
      </c>
      <c r="B149" s="478"/>
      <c r="C149" s="479" t="s">
        <v>717</v>
      </c>
      <c r="D149" s="480"/>
      <c r="E149" s="482">
        <v>0</v>
      </c>
      <c r="F149" s="490"/>
      <c r="G149" s="487"/>
      <c r="H149" s="11"/>
      <c r="I149" s="12"/>
    </row>
    <row r="150" spans="1:11" x14ac:dyDescent="0.25">
      <c r="A150" s="431" t="s">
        <v>636</v>
      </c>
      <c r="B150" s="478"/>
      <c r="C150" s="479" t="s">
        <v>670</v>
      </c>
      <c r="D150" s="480"/>
      <c r="E150" s="482">
        <v>200</v>
      </c>
      <c r="F150" s="490"/>
      <c r="G150" s="487"/>
      <c r="H150" s="11"/>
      <c r="I150" s="12"/>
    </row>
    <row r="151" spans="1:11" x14ac:dyDescent="0.25">
      <c r="A151" s="456" t="e">
        <f>_DIC12-A4+A140</f>
        <v>#NAME?</v>
      </c>
      <c r="B151" s="478"/>
      <c r="C151" s="479" t="s">
        <v>643</v>
      </c>
      <c r="D151" s="480"/>
      <c r="E151" s="482">
        <v>1000</v>
      </c>
      <c r="F151" s="490"/>
      <c r="G151" s="487"/>
      <c r="H151" s="11"/>
      <c r="I151" s="12"/>
    </row>
    <row r="152" spans="1:11" x14ac:dyDescent="0.25">
      <c r="A152" s="456"/>
      <c r="B152" s="478"/>
      <c r="C152" s="479" t="s">
        <v>697</v>
      </c>
      <c r="D152" s="480"/>
      <c r="E152" s="482">
        <v>550</v>
      </c>
      <c r="F152" s="11"/>
      <c r="G152" s="487"/>
      <c r="H152" s="11"/>
      <c r="I152" s="12"/>
    </row>
    <row r="153" spans="1:11" x14ac:dyDescent="0.25">
      <c r="D153" s="329"/>
      <c r="E153" s="329"/>
    </row>
    <row r="154" spans="1:11" x14ac:dyDescent="0.25">
      <c r="D154" s="329"/>
      <c r="E154" s="329"/>
    </row>
    <row r="155" spans="1:11" x14ac:dyDescent="0.25">
      <c r="D155" s="329"/>
      <c r="E155" s="329"/>
    </row>
    <row r="156" spans="1:11" x14ac:dyDescent="0.25">
      <c r="D156" s="329"/>
      <c r="E156" s="329"/>
      <c r="I156" s="589" t="s">
        <v>28</v>
      </c>
      <c r="J156" s="590">
        <f>E2</f>
        <v>2900</v>
      </c>
      <c r="K156" s="589"/>
    </row>
    <row r="157" spans="1:11" x14ac:dyDescent="0.25">
      <c r="D157" s="329"/>
      <c r="E157" s="329"/>
      <c r="I157" s="589" t="s">
        <v>29</v>
      </c>
      <c r="J157" s="589"/>
      <c r="K157" s="589"/>
    </row>
    <row r="158" spans="1:11" x14ac:dyDescent="0.25">
      <c r="D158" s="329"/>
      <c r="E158" s="329"/>
      <c r="I158" s="592">
        <f>_ENE12</f>
        <v>2000</v>
      </c>
      <c r="J158" s="592"/>
      <c r="K158" s="589" t="s">
        <v>31</v>
      </c>
    </row>
    <row r="159" spans="1:11" x14ac:dyDescent="0.25">
      <c r="D159" s="329"/>
      <c r="E159" s="329"/>
      <c r="I159" s="592">
        <f>_FEB12</f>
        <v>-1100</v>
      </c>
      <c r="J159" s="592"/>
      <c r="K159" s="589"/>
    </row>
    <row r="160" spans="1:11" x14ac:dyDescent="0.25">
      <c r="D160" s="329"/>
      <c r="E160" s="329"/>
      <c r="I160" s="592">
        <f>_MAR12</f>
        <v>0</v>
      </c>
      <c r="J160" s="592"/>
      <c r="K160" s="589"/>
    </row>
    <row r="161" spans="2:14" x14ac:dyDescent="0.25">
      <c r="D161" s="329"/>
      <c r="E161" s="329"/>
      <c r="I161" s="592">
        <f>_ABR12</f>
        <v>-500</v>
      </c>
      <c r="J161" s="592"/>
      <c r="K161" s="589"/>
    </row>
    <row r="162" spans="2:14" x14ac:dyDescent="0.25">
      <c r="D162" s="329"/>
      <c r="E162" s="329"/>
      <c r="I162" s="592">
        <f>_MAY12</f>
        <v>500</v>
      </c>
      <c r="J162" s="592"/>
      <c r="K162" s="589"/>
    </row>
    <row r="163" spans="2:14" x14ac:dyDescent="0.25">
      <c r="D163" s="329"/>
      <c r="E163" s="329"/>
      <c r="I163" s="592">
        <f>_JUN12</f>
        <v>-600</v>
      </c>
      <c r="J163" s="592"/>
      <c r="K163" s="589"/>
    </row>
    <row r="164" spans="2:14" x14ac:dyDescent="0.25">
      <c r="D164" s="329"/>
      <c r="E164" s="329"/>
      <c r="I164" s="592">
        <f>_JUL12</f>
        <v>1200</v>
      </c>
      <c r="J164" s="592"/>
      <c r="K164" s="589"/>
    </row>
    <row r="165" spans="2:14" x14ac:dyDescent="0.25">
      <c r="D165" s="329"/>
      <c r="E165" s="329"/>
      <c r="I165" s="592">
        <f>_AGO12</f>
        <v>200</v>
      </c>
      <c r="J165" s="592"/>
      <c r="K165" s="589"/>
    </row>
    <row r="166" spans="2:14" x14ac:dyDescent="0.25">
      <c r="D166" s="329"/>
      <c r="E166" s="329"/>
      <c r="I166" s="592">
        <f>_SEP12</f>
        <v>100</v>
      </c>
      <c r="J166" s="592"/>
      <c r="K166" s="589"/>
    </row>
    <row r="167" spans="2:14" x14ac:dyDescent="0.25">
      <c r="D167" s="329"/>
      <c r="E167" s="329"/>
      <c r="I167" s="592">
        <f>_OCT12</f>
        <v>650</v>
      </c>
      <c r="J167" s="592"/>
      <c r="K167" s="589"/>
    </row>
    <row r="168" spans="2:14" x14ac:dyDescent="0.25">
      <c r="D168" s="329"/>
      <c r="E168" s="329"/>
      <c r="I168" s="592">
        <f>_NOV12</f>
        <v>-1250</v>
      </c>
      <c r="J168" s="592"/>
      <c r="K168" s="589"/>
    </row>
    <row r="169" spans="2:14" x14ac:dyDescent="0.25">
      <c r="D169" s="329"/>
      <c r="E169" s="329"/>
      <c r="I169" s="592">
        <f>_DIC12</f>
        <v>1700</v>
      </c>
      <c r="J169" s="592"/>
      <c r="K169" s="589"/>
    </row>
    <row r="170" spans="2:14" x14ac:dyDescent="0.25">
      <c r="D170" s="329"/>
      <c r="E170" s="329"/>
      <c r="I170" s="592">
        <f>SUM(I158:I169)</f>
        <v>2900</v>
      </c>
      <c r="J170" s="592"/>
      <c r="K170" s="592">
        <f>I170-J170</f>
        <v>2900</v>
      </c>
    </row>
    <row r="171" spans="2:14" x14ac:dyDescent="0.25">
      <c r="D171" s="329"/>
      <c r="E171" s="329"/>
      <c r="I171" s="23"/>
      <c r="J171" s="23"/>
      <c r="K171" s="15"/>
    </row>
    <row r="172" spans="2:14" x14ac:dyDescent="0.25">
      <c r="D172" s="329"/>
      <c r="E172" s="329"/>
      <c r="G172" s="597"/>
      <c r="H172" s="49"/>
      <c r="I172" s="181"/>
      <c r="J172" s="332"/>
      <c r="K172" s="51"/>
      <c r="L172" s="37"/>
      <c r="M172" s="588"/>
      <c r="N172" s="37"/>
    </row>
    <row r="173" spans="2:14" x14ac:dyDescent="0.25">
      <c r="D173" s="329"/>
      <c r="E173" s="329"/>
      <c r="G173" s="597"/>
      <c r="H173" s="50"/>
      <c r="I173" s="181"/>
      <c r="J173" s="577"/>
      <c r="K173" s="51"/>
      <c r="L173" s="43"/>
      <c r="M173" s="37"/>
      <c r="N173" s="37"/>
    </row>
    <row r="174" spans="2:14" x14ac:dyDescent="0.25">
      <c r="B174" s="391" t="s">
        <v>32</v>
      </c>
      <c r="C174" s="391" t="s">
        <v>33</v>
      </c>
      <c r="G174" s="597"/>
      <c r="H174" s="49"/>
      <c r="I174" s="181"/>
      <c r="J174" s="332"/>
      <c r="K174" s="51"/>
      <c r="L174" s="37"/>
      <c r="M174" s="37"/>
      <c r="N174" s="37"/>
    </row>
    <row r="175" spans="2:14" x14ac:dyDescent="0.25">
      <c r="B175" s="391">
        <f>SUM(D6:D174)</f>
        <v>45400</v>
      </c>
      <c r="C175" s="391">
        <f>SUM(E6:E174)</f>
        <v>42500</v>
      </c>
      <c r="G175" s="597"/>
      <c r="H175" s="49"/>
      <c r="I175" s="332"/>
      <c r="J175" s="332"/>
      <c r="K175" s="51"/>
      <c r="L175" s="37"/>
      <c r="M175" s="37"/>
      <c r="N175" s="37"/>
    </row>
    <row r="176" spans="2:14" x14ac:dyDescent="0.25">
      <c r="D176" s="329"/>
      <c r="E176" s="329"/>
      <c r="G176" s="597"/>
      <c r="H176" s="49"/>
      <c r="I176" s="596"/>
      <c r="J176" s="332"/>
      <c r="K176" s="51"/>
      <c r="L176" s="37"/>
      <c r="M176" s="37"/>
      <c r="N176" s="37"/>
    </row>
    <row r="177" spans="7:14" x14ac:dyDescent="0.25">
      <c r="G177" s="597"/>
      <c r="H177" s="49"/>
      <c r="I177" s="181"/>
      <c r="J177" s="332"/>
      <c r="K177" s="51"/>
      <c r="L177" s="37"/>
      <c r="M177" s="37"/>
      <c r="N177" s="37"/>
    </row>
    <row r="178" spans="7:14" x14ac:dyDescent="0.25">
      <c r="G178" s="597"/>
      <c r="H178" s="49"/>
      <c r="I178" s="181"/>
      <c r="J178" s="332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7" workbookViewId="0">
      <selection activeCell="J213" sqref="J213"/>
    </sheetView>
  </sheetViews>
  <sheetFormatPr baseColWidth="10" defaultColWidth="9" defaultRowHeight="15" x14ac:dyDescent="0.25"/>
  <cols>
    <col min="1" max="1" width="14.7109375" style="431" customWidth="1"/>
    <col min="2" max="2" width="10.7109375" style="20" customWidth="1"/>
    <col min="3" max="3" width="35.42578125" style="21" customWidth="1"/>
    <col min="4" max="4" width="16.28515625" style="408" customWidth="1"/>
    <col min="5" max="5" width="12.5703125" style="408" customWidth="1"/>
    <col min="6" max="6" width="8.42578125" style="22" customWidth="1"/>
    <col min="7" max="7" width="12.28515625" style="449" customWidth="1"/>
    <col min="8" max="8" width="14.7109375" style="10" customWidth="1"/>
    <col min="9" max="9" width="12.28515625" customWidth="1"/>
    <col min="10" max="10" width="10.85546875" customWidth="1"/>
    <col min="11" max="11" width="13.28515625" customWidth="1"/>
    <col min="13" max="13" width="11.85546875" customWidth="1"/>
  </cols>
  <sheetData>
    <row r="1" spans="1:12" ht="12" customHeight="1" x14ac:dyDescent="0.25">
      <c r="B1" s="1184">
        <f ca="1">TODAY()</f>
        <v>44440</v>
      </c>
      <c r="C1" s="1185"/>
      <c r="D1" s="432" t="s">
        <v>0</v>
      </c>
      <c r="E1" s="433">
        <f>COUNTA(C6:C193)</f>
        <v>151</v>
      </c>
      <c r="F1" s="434" t="s">
        <v>1</v>
      </c>
      <c r="G1" s="435"/>
    </row>
    <row r="2" spans="1:12" x14ac:dyDescent="0.25">
      <c r="A2" s="431">
        <f>((A4-A3)*12)</f>
        <v>0</v>
      </c>
      <c r="B2" s="436" t="s">
        <v>2</v>
      </c>
      <c r="C2" s="437">
        <f>_ENE11+_FEB11+_MAR11+_ABR11+_MAY11+_JUN11+_JUL11+_AGO11+_SEP11+_OCT11+_NOV11+_DIC11</f>
        <v>600</v>
      </c>
      <c r="D2" s="438" t="s">
        <v>3</v>
      </c>
      <c r="E2" s="439">
        <f>SUM(D5:D244)-SUM(E5:E244)</f>
        <v>600</v>
      </c>
      <c r="F2" s="440" t="s">
        <v>4</v>
      </c>
      <c r="G2" s="441">
        <f>+E2</f>
        <v>600</v>
      </c>
    </row>
    <row r="3" spans="1:12" x14ac:dyDescent="0.25">
      <c r="A3" s="431">
        <v>400</v>
      </c>
      <c r="B3" s="436"/>
      <c r="C3" s="437"/>
      <c r="D3" s="442" t="s">
        <v>5</v>
      </c>
      <c r="E3" s="443" t="e">
        <f>+FondoEnDolades</f>
        <v>#NAME?</v>
      </c>
      <c r="F3" s="440" t="s">
        <v>6</v>
      </c>
      <c r="G3" s="441" t="e">
        <f>+E3*Cotizacion_Dolar</f>
        <v>#NAME?</v>
      </c>
    </row>
    <row r="4" spans="1:12" x14ac:dyDescent="0.25">
      <c r="A4" s="431">
        <v>400</v>
      </c>
      <c r="B4" s="444" t="s">
        <v>7</v>
      </c>
      <c r="C4" s="445" t="s">
        <v>8</v>
      </c>
      <c r="D4" s="446" t="s">
        <v>9</v>
      </c>
      <c r="E4" s="447" t="s">
        <v>64</v>
      </c>
      <c r="F4" s="448" t="s">
        <v>10</v>
      </c>
      <c r="G4" s="441" t="e">
        <f>+G2-G3</f>
        <v>#NAME?</v>
      </c>
    </row>
    <row r="5" spans="1:12" x14ac:dyDescent="0.25">
      <c r="B5" s="417"/>
      <c r="C5" s="418" t="s">
        <v>632</v>
      </c>
      <c r="D5" s="419">
        <v>0</v>
      </c>
      <c r="E5" s="419"/>
    </row>
    <row r="6" spans="1:12" x14ac:dyDescent="0.25">
      <c r="A6" s="450" t="s">
        <v>41</v>
      </c>
      <c r="B6" s="451"/>
      <c r="C6" s="452" t="s">
        <v>13</v>
      </c>
      <c r="D6" s="453">
        <v>2500</v>
      </c>
      <c r="E6" s="454"/>
      <c r="F6" s="11"/>
      <c r="G6" s="455"/>
      <c r="H6" s="11"/>
      <c r="I6" s="12"/>
    </row>
    <row r="7" spans="1:12" x14ac:dyDescent="0.25">
      <c r="A7" s="431" t="s">
        <v>633</v>
      </c>
      <c r="B7" s="451"/>
      <c r="C7" s="452" t="s">
        <v>543</v>
      </c>
      <c r="D7" s="453"/>
      <c r="E7" s="454">
        <v>200</v>
      </c>
      <c r="F7" s="11"/>
      <c r="G7" s="455"/>
      <c r="H7" s="11"/>
      <c r="I7" s="12"/>
    </row>
    <row r="8" spans="1:12" x14ac:dyDescent="0.25">
      <c r="A8" s="456">
        <f>SUM(D6:D21)</f>
        <v>3750</v>
      </c>
      <c r="B8" s="451"/>
      <c r="C8" s="452" t="s">
        <v>542</v>
      </c>
      <c r="D8" s="453"/>
      <c r="E8" s="454">
        <v>100</v>
      </c>
      <c r="F8" s="11"/>
      <c r="G8" s="457"/>
      <c r="H8" s="11"/>
      <c r="I8" s="12"/>
    </row>
    <row r="9" spans="1:12" x14ac:dyDescent="0.25">
      <c r="A9" s="431" t="s">
        <v>634</v>
      </c>
      <c r="B9" s="451"/>
      <c r="C9" s="452" t="s">
        <v>301</v>
      </c>
      <c r="D9" s="453"/>
      <c r="E9" s="454">
        <v>700</v>
      </c>
      <c r="F9" s="11"/>
      <c r="G9" s="457"/>
      <c r="H9" s="11"/>
      <c r="I9" s="12"/>
    </row>
    <row r="10" spans="1:12" x14ac:dyDescent="0.25">
      <c r="A10" s="456">
        <f>SUM(E6:E21)</f>
        <v>2750</v>
      </c>
      <c r="B10" s="451"/>
      <c r="C10" s="452" t="s">
        <v>434</v>
      </c>
      <c r="D10" s="453"/>
      <c r="E10" s="454">
        <v>50</v>
      </c>
      <c r="F10" s="11"/>
      <c r="G10" s="457"/>
      <c r="H10" s="11"/>
      <c r="I10" s="12"/>
      <c r="L10" s="182"/>
    </row>
    <row r="11" spans="1:12" x14ac:dyDescent="0.25">
      <c r="A11" s="431" t="s">
        <v>635</v>
      </c>
      <c r="B11" s="451"/>
      <c r="C11" s="452" t="s">
        <v>303</v>
      </c>
      <c r="D11" s="453"/>
      <c r="E11" s="454">
        <v>200</v>
      </c>
      <c r="F11" s="11"/>
      <c r="G11" s="457"/>
      <c r="H11" s="11"/>
      <c r="I11" s="12"/>
    </row>
    <row r="12" spans="1:12" x14ac:dyDescent="0.25">
      <c r="A12" s="458">
        <f>+A8-A10</f>
        <v>1000</v>
      </c>
      <c r="B12" s="451"/>
      <c r="C12" s="452" t="s">
        <v>369</v>
      </c>
      <c r="D12" s="453"/>
      <c r="E12" s="454">
        <v>200</v>
      </c>
      <c r="F12" s="11"/>
      <c r="G12" s="457"/>
      <c r="H12" s="11"/>
      <c r="I12" s="12"/>
    </row>
    <row r="13" spans="1:12" x14ac:dyDescent="0.25">
      <c r="A13" s="431" t="s">
        <v>636</v>
      </c>
      <c r="B13" s="451"/>
      <c r="C13" s="452" t="s">
        <v>637</v>
      </c>
      <c r="D13" s="453"/>
      <c r="E13" s="454">
        <v>300</v>
      </c>
      <c r="F13" s="11"/>
      <c r="G13" s="457"/>
      <c r="H13" s="11"/>
      <c r="I13" s="12"/>
    </row>
    <row r="14" spans="1:12" x14ac:dyDescent="0.25">
      <c r="A14" s="431">
        <f>_ENE11-A4</f>
        <v>600</v>
      </c>
      <c r="B14" s="451"/>
      <c r="C14" s="452" t="s">
        <v>19</v>
      </c>
      <c r="D14" s="453">
        <v>1250</v>
      </c>
      <c r="E14" s="454"/>
      <c r="F14" s="11"/>
      <c r="G14" s="455"/>
      <c r="H14" s="11"/>
      <c r="I14" s="12"/>
    </row>
    <row r="15" spans="1:12" x14ac:dyDescent="0.25">
      <c r="B15" s="451"/>
      <c r="C15" s="452" t="s">
        <v>638</v>
      </c>
      <c r="D15" s="453"/>
      <c r="E15" s="454">
        <v>100</v>
      </c>
      <c r="F15" s="11"/>
      <c r="G15" s="455"/>
      <c r="H15" s="11"/>
      <c r="I15" s="12"/>
    </row>
    <row r="16" spans="1:12" x14ac:dyDescent="0.25">
      <c r="B16" s="451"/>
      <c r="C16" s="452" t="s">
        <v>639</v>
      </c>
      <c r="D16" s="453"/>
      <c r="E16" s="454">
        <v>200</v>
      </c>
      <c r="F16" s="11"/>
      <c r="G16" s="455"/>
      <c r="H16" s="11"/>
      <c r="I16" s="12"/>
    </row>
    <row r="17" spans="1:12" x14ac:dyDescent="0.25">
      <c r="B17" s="451"/>
      <c r="C17" s="452" t="s">
        <v>640</v>
      </c>
      <c r="D17" s="453"/>
      <c r="E17" s="454">
        <v>100</v>
      </c>
      <c r="F17" s="11"/>
      <c r="G17" s="455"/>
      <c r="H17" s="11"/>
      <c r="I17" s="12"/>
    </row>
    <row r="18" spans="1:12" x14ac:dyDescent="0.25">
      <c r="B18" s="451"/>
      <c r="C18" s="452" t="s">
        <v>641</v>
      </c>
      <c r="D18" s="453"/>
      <c r="E18" s="454">
        <v>100</v>
      </c>
      <c r="F18" s="11"/>
      <c r="G18" s="455"/>
      <c r="H18" s="11"/>
      <c r="I18" s="12"/>
    </row>
    <row r="19" spans="1:12" x14ac:dyDescent="0.25">
      <c r="B19" s="451"/>
      <c r="C19" s="452" t="s">
        <v>256</v>
      </c>
      <c r="D19" s="453"/>
      <c r="E19" s="454">
        <v>100</v>
      </c>
      <c r="F19" s="11"/>
      <c r="G19" s="455"/>
      <c r="H19" s="11"/>
      <c r="I19" s="12"/>
    </row>
    <row r="20" spans="1:12" x14ac:dyDescent="0.25">
      <c r="B20" s="451"/>
      <c r="C20" s="452" t="s">
        <v>642</v>
      </c>
      <c r="D20" s="453"/>
      <c r="E20" s="454">
        <v>400</v>
      </c>
      <c r="F20" s="11"/>
      <c r="G20" s="459"/>
      <c r="H20" s="11"/>
      <c r="I20" s="12"/>
    </row>
    <row r="21" spans="1:12" x14ac:dyDescent="0.25">
      <c r="B21" s="451"/>
      <c r="C21" s="452"/>
      <c r="D21" s="453"/>
      <c r="E21" s="454"/>
      <c r="F21" s="460"/>
      <c r="G21" s="459"/>
      <c r="H21" s="460"/>
      <c r="I21" s="12"/>
    </row>
    <row r="22" spans="1:12" x14ac:dyDescent="0.25">
      <c r="A22" s="450" t="s">
        <v>42</v>
      </c>
      <c r="B22" s="451"/>
      <c r="C22" s="452" t="s">
        <v>13</v>
      </c>
      <c r="D22" s="453">
        <v>2500</v>
      </c>
      <c r="E22" s="454"/>
      <c r="F22" s="11"/>
      <c r="G22" s="455"/>
      <c r="H22" s="11"/>
      <c r="I22" s="12"/>
    </row>
    <row r="23" spans="1:12" x14ac:dyDescent="0.25">
      <c r="A23" s="431" t="s">
        <v>633</v>
      </c>
      <c r="B23" s="451"/>
      <c r="C23" s="452" t="s">
        <v>543</v>
      </c>
      <c r="D23" s="453"/>
      <c r="E23" s="454">
        <v>200</v>
      </c>
      <c r="F23" s="11"/>
      <c r="G23" s="455"/>
      <c r="H23" s="460"/>
      <c r="I23" s="12"/>
    </row>
    <row r="24" spans="1:12" x14ac:dyDescent="0.25">
      <c r="A24" s="456">
        <f>SUM(D22:D36)</f>
        <v>2500</v>
      </c>
      <c r="B24" s="451"/>
      <c r="C24" s="452" t="s">
        <v>542</v>
      </c>
      <c r="D24" s="453"/>
      <c r="E24" s="454">
        <v>170</v>
      </c>
      <c r="F24" s="11"/>
      <c r="G24" s="455"/>
      <c r="H24" s="11"/>
      <c r="I24" s="12"/>
    </row>
    <row r="25" spans="1:12" x14ac:dyDescent="0.25">
      <c r="A25" s="431" t="s">
        <v>634</v>
      </c>
      <c r="B25" s="451"/>
      <c r="C25" s="452" t="s">
        <v>301</v>
      </c>
      <c r="D25" s="453"/>
      <c r="E25" s="454">
        <v>700</v>
      </c>
      <c r="F25" s="11"/>
      <c r="G25" s="455"/>
      <c r="H25" s="460"/>
      <c r="I25" s="12"/>
      <c r="K25" s="182"/>
      <c r="L25" s="182"/>
    </row>
    <row r="26" spans="1:12" x14ac:dyDescent="0.25">
      <c r="A26" s="456">
        <f>SUM(E22:E36)</f>
        <v>3100</v>
      </c>
      <c r="B26" s="451"/>
      <c r="C26" s="452" t="s">
        <v>434</v>
      </c>
      <c r="D26" s="453"/>
      <c r="E26" s="454">
        <v>100</v>
      </c>
      <c r="F26" s="11"/>
      <c r="G26" s="455"/>
      <c r="H26" s="11"/>
      <c r="I26" s="12"/>
      <c r="J26" s="15"/>
      <c r="K26" s="425"/>
    </row>
    <row r="27" spans="1:12" x14ac:dyDescent="0.25">
      <c r="A27" s="431" t="s">
        <v>635</v>
      </c>
      <c r="B27" s="451"/>
      <c r="C27" s="452" t="s">
        <v>643</v>
      </c>
      <c r="D27" s="453"/>
      <c r="E27" s="454">
        <v>930</v>
      </c>
      <c r="F27" s="11"/>
      <c r="G27" s="455"/>
      <c r="H27" s="11"/>
      <c r="I27" s="12"/>
      <c r="J27" s="15"/>
      <c r="K27" s="15"/>
    </row>
    <row r="28" spans="1:12" x14ac:dyDescent="0.25">
      <c r="A28" s="458">
        <f>+A24-A26</f>
        <v>-600</v>
      </c>
      <c r="B28" s="451"/>
      <c r="C28" s="452" t="s">
        <v>369</v>
      </c>
      <c r="D28" s="453"/>
      <c r="E28" s="454">
        <v>200</v>
      </c>
      <c r="F28" s="11"/>
      <c r="G28" s="455"/>
      <c r="H28" s="11"/>
      <c r="I28" s="12"/>
      <c r="J28" s="15"/>
      <c r="K28" s="15"/>
    </row>
    <row r="29" spans="1:12" x14ac:dyDescent="0.25">
      <c r="A29" s="431" t="s">
        <v>636</v>
      </c>
      <c r="B29" s="451"/>
      <c r="C29" s="452" t="s">
        <v>644</v>
      </c>
      <c r="D29" s="453"/>
      <c r="E29" s="454">
        <v>300</v>
      </c>
      <c r="F29" s="11"/>
      <c r="G29" s="455"/>
      <c r="H29" s="11"/>
      <c r="I29" s="12"/>
    </row>
    <row r="30" spans="1:12" x14ac:dyDescent="0.25">
      <c r="A30" s="431">
        <f>_FEB11-A4+A14</f>
        <v>-400</v>
      </c>
      <c r="B30" s="451"/>
      <c r="C30" s="452" t="s">
        <v>645</v>
      </c>
      <c r="D30" s="453"/>
      <c r="E30" s="454">
        <v>100</v>
      </c>
      <c r="F30" s="11"/>
      <c r="G30" s="455"/>
      <c r="H30" s="11"/>
      <c r="I30" s="12"/>
      <c r="J30" s="15"/>
      <c r="K30" s="15"/>
    </row>
    <row r="31" spans="1:12" x14ac:dyDescent="0.25">
      <c r="B31" s="451"/>
      <c r="C31" s="452" t="s">
        <v>646</v>
      </c>
      <c r="D31" s="453"/>
      <c r="E31" s="454">
        <v>200</v>
      </c>
      <c r="F31" s="11"/>
      <c r="G31" s="455"/>
      <c r="H31" s="11"/>
      <c r="I31" s="12"/>
      <c r="J31" s="15"/>
      <c r="K31" s="15"/>
    </row>
    <row r="32" spans="1:12" x14ac:dyDescent="0.25">
      <c r="B32" s="451"/>
      <c r="C32" s="452" t="s">
        <v>647</v>
      </c>
      <c r="D32" s="453"/>
      <c r="E32" s="454">
        <v>50</v>
      </c>
      <c r="F32" s="11"/>
      <c r="G32" s="455"/>
      <c r="H32" s="11"/>
      <c r="I32" s="12"/>
      <c r="J32" s="425"/>
      <c r="K32" s="15"/>
    </row>
    <row r="33" spans="1:12" x14ac:dyDescent="0.25">
      <c r="B33" s="451"/>
      <c r="C33" s="452" t="s">
        <v>648</v>
      </c>
      <c r="D33" s="453"/>
      <c r="E33" s="454">
        <v>150</v>
      </c>
      <c r="F33" s="11"/>
      <c r="G33" s="455"/>
      <c r="H33" s="11"/>
      <c r="I33" s="12"/>
      <c r="J33" s="15"/>
      <c r="K33" s="15"/>
      <c r="L33" s="182"/>
    </row>
    <row r="34" spans="1:12" x14ac:dyDescent="0.25">
      <c r="B34" s="451"/>
      <c r="C34" s="452"/>
      <c r="D34" s="453"/>
      <c r="E34" s="454"/>
      <c r="F34" s="11"/>
      <c r="G34" s="455"/>
      <c r="H34" s="11"/>
      <c r="I34" s="12"/>
      <c r="L34" s="182"/>
    </row>
    <row r="35" spans="1:12" x14ac:dyDescent="0.25">
      <c r="B35" s="451"/>
      <c r="C35" s="452"/>
      <c r="D35" s="453"/>
      <c r="E35" s="454"/>
      <c r="F35" s="11"/>
      <c r="G35" s="459"/>
      <c r="H35" s="11"/>
      <c r="I35" s="12"/>
      <c r="K35" s="182"/>
    </row>
    <row r="36" spans="1:12" x14ac:dyDescent="0.25">
      <c r="B36" s="451"/>
      <c r="C36" s="452"/>
      <c r="D36" s="453"/>
      <c r="E36" s="454"/>
      <c r="F36" s="461"/>
      <c r="G36" s="455"/>
      <c r="H36" s="460"/>
      <c r="I36" s="12"/>
      <c r="K36" s="182"/>
    </row>
    <row r="37" spans="1:12" x14ac:dyDescent="0.25">
      <c r="A37" s="450" t="s">
        <v>43</v>
      </c>
      <c r="B37" s="451"/>
      <c r="C37" s="452" t="s">
        <v>13</v>
      </c>
      <c r="D37" s="453">
        <v>2500</v>
      </c>
      <c r="E37" s="454"/>
      <c r="F37" s="461"/>
      <c r="G37" s="455"/>
      <c r="H37" s="11"/>
      <c r="I37" s="12"/>
    </row>
    <row r="38" spans="1:12" x14ac:dyDescent="0.25">
      <c r="A38" s="431" t="s">
        <v>633</v>
      </c>
      <c r="B38" s="451"/>
      <c r="C38" s="452" t="s">
        <v>543</v>
      </c>
      <c r="D38" s="453"/>
      <c r="E38" s="454">
        <v>150</v>
      </c>
      <c r="F38" s="461"/>
      <c r="G38" s="455"/>
      <c r="H38" s="460"/>
      <c r="I38" s="12"/>
      <c r="K38" s="182"/>
    </row>
    <row r="39" spans="1:12" x14ac:dyDescent="0.25">
      <c r="A39" s="456">
        <f>SUM(D37:D51)</f>
        <v>2500</v>
      </c>
      <c r="B39" s="451"/>
      <c r="C39" s="452" t="s">
        <v>542</v>
      </c>
      <c r="D39" s="453"/>
      <c r="E39" s="454">
        <v>150</v>
      </c>
      <c r="F39" s="11"/>
      <c r="G39" s="455"/>
      <c r="H39" s="460"/>
      <c r="I39" s="12"/>
      <c r="J39" s="182"/>
      <c r="K39" s="182"/>
    </row>
    <row r="40" spans="1:12" x14ac:dyDescent="0.25">
      <c r="A40" s="431" t="s">
        <v>634</v>
      </c>
      <c r="B40" s="451"/>
      <c r="C40" s="452" t="s">
        <v>649</v>
      </c>
      <c r="D40" s="453"/>
      <c r="E40" s="454">
        <v>100</v>
      </c>
      <c r="F40" s="11"/>
      <c r="G40" s="455"/>
      <c r="H40" s="460"/>
      <c r="I40" s="462"/>
    </row>
    <row r="41" spans="1:12" x14ac:dyDescent="0.25">
      <c r="A41" s="456">
        <f>SUM(E37:E51)</f>
        <v>2700</v>
      </c>
      <c r="B41" s="451"/>
      <c r="C41" s="452" t="s">
        <v>643</v>
      </c>
      <c r="D41" s="453"/>
      <c r="E41" s="454">
        <v>510</v>
      </c>
      <c r="F41" s="11"/>
      <c r="G41" s="455"/>
      <c r="H41" s="11"/>
      <c r="I41" s="12"/>
    </row>
    <row r="42" spans="1:12" x14ac:dyDescent="0.25">
      <c r="A42" s="431" t="s">
        <v>635</v>
      </c>
      <c r="B42" s="451"/>
      <c r="C42" s="452" t="s">
        <v>301</v>
      </c>
      <c r="D42" s="453"/>
      <c r="E42" s="454">
        <v>1110</v>
      </c>
      <c r="F42" s="11"/>
      <c r="G42" s="455"/>
      <c r="H42" s="460"/>
      <c r="I42" s="12"/>
    </row>
    <row r="43" spans="1:12" x14ac:dyDescent="0.25">
      <c r="A43" s="458">
        <f>+A39-A41</f>
        <v>-200</v>
      </c>
      <c r="B43" s="451"/>
      <c r="C43" s="452" t="s">
        <v>650</v>
      </c>
      <c r="D43" s="453"/>
      <c r="E43" s="454">
        <v>80</v>
      </c>
      <c r="F43" s="11"/>
      <c r="G43" s="455"/>
      <c r="H43" s="11"/>
      <c r="I43" s="12"/>
    </row>
    <row r="44" spans="1:12" x14ac:dyDescent="0.25">
      <c r="A44" s="431" t="s">
        <v>636</v>
      </c>
      <c r="B44" s="451"/>
      <c r="C44" s="452" t="s">
        <v>651</v>
      </c>
      <c r="D44" s="453"/>
      <c r="E44" s="454">
        <v>200</v>
      </c>
      <c r="F44" s="11"/>
      <c r="G44" s="455"/>
      <c r="H44" s="11"/>
      <c r="I44" s="12"/>
    </row>
    <row r="45" spans="1:12" x14ac:dyDescent="0.25">
      <c r="A45" s="431">
        <f>_MAR11-A4+A30</f>
        <v>-1000</v>
      </c>
      <c r="B45" s="451"/>
      <c r="C45" s="452" t="s">
        <v>652</v>
      </c>
      <c r="D45" s="453"/>
      <c r="E45" s="454">
        <v>200</v>
      </c>
      <c r="F45" s="11"/>
      <c r="G45" s="455"/>
      <c r="H45" s="11"/>
      <c r="I45" s="12"/>
    </row>
    <row r="46" spans="1:12" x14ac:dyDescent="0.25">
      <c r="B46" s="451"/>
      <c r="C46" s="452" t="s">
        <v>653</v>
      </c>
      <c r="D46" s="453"/>
      <c r="E46" s="454">
        <v>100</v>
      </c>
      <c r="F46" s="11"/>
      <c r="G46" s="455"/>
      <c r="H46" s="11"/>
      <c r="I46" s="12"/>
    </row>
    <row r="47" spans="1:12" x14ac:dyDescent="0.25">
      <c r="B47" s="451"/>
      <c r="C47" s="452" t="s">
        <v>654</v>
      </c>
      <c r="D47" s="453"/>
      <c r="E47" s="454">
        <v>100</v>
      </c>
      <c r="F47" s="11"/>
      <c r="G47" s="455"/>
      <c r="H47" s="11"/>
      <c r="I47" s="12"/>
    </row>
    <row r="48" spans="1:12" x14ac:dyDescent="0.25">
      <c r="B48" s="451"/>
      <c r="C48" s="452"/>
      <c r="D48" s="453"/>
      <c r="E48" s="454"/>
      <c r="F48" s="11"/>
      <c r="G48" s="455"/>
      <c r="H48" s="11"/>
      <c r="I48" s="12"/>
    </row>
    <row r="49" spans="1:12" x14ac:dyDescent="0.25">
      <c r="B49" s="451"/>
      <c r="C49" s="452"/>
      <c r="D49" s="453"/>
      <c r="E49" s="454"/>
      <c r="F49" s="11"/>
      <c r="G49" s="455"/>
      <c r="H49" s="11"/>
      <c r="I49" s="12"/>
    </row>
    <row r="50" spans="1:12" x14ac:dyDescent="0.25">
      <c r="B50" s="451"/>
      <c r="C50" s="452"/>
      <c r="D50" s="453"/>
      <c r="E50" s="454"/>
      <c r="F50" s="11"/>
      <c r="G50" s="459"/>
      <c r="H50" s="11"/>
      <c r="I50" s="12"/>
    </row>
    <row r="51" spans="1:12" x14ac:dyDescent="0.25">
      <c r="B51" s="451"/>
      <c r="C51" s="452"/>
      <c r="D51" s="453"/>
      <c r="E51" s="454"/>
      <c r="F51" s="460"/>
      <c r="G51" s="459"/>
      <c r="H51" s="460"/>
      <c r="I51" s="12"/>
      <c r="L51" s="182"/>
    </row>
    <row r="52" spans="1:12" x14ac:dyDescent="0.25">
      <c r="A52" s="450" t="s">
        <v>44</v>
      </c>
      <c r="B52" s="451"/>
      <c r="C52" s="452" t="s">
        <v>13</v>
      </c>
      <c r="D52" s="453">
        <v>2900</v>
      </c>
      <c r="E52" s="454"/>
      <c r="F52" s="460"/>
      <c r="G52" s="459"/>
      <c r="H52" s="460"/>
      <c r="I52" s="12"/>
    </row>
    <row r="53" spans="1:12" x14ac:dyDescent="0.25">
      <c r="A53" s="431" t="s">
        <v>633</v>
      </c>
      <c r="B53" s="451"/>
      <c r="C53" s="452" t="s">
        <v>543</v>
      </c>
      <c r="D53" s="453"/>
      <c r="E53" s="454">
        <v>125</v>
      </c>
      <c r="F53" s="460"/>
      <c r="G53" s="455"/>
      <c r="H53" s="11"/>
      <c r="I53" s="12"/>
      <c r="J53" s="182"/>
    </row>
    <row r="54" spans="1:12" x14ac:dyDescent="0.25">
      <c r="A54" s="456">
        <f>SUM(D52:D66)</f>
        <v>2900</v>
      </c>
      <c r="B54" s="451"/>
      <c r="C54" s="452" t="s">
        <v>542</v>
      </c>
      <c r="D54" s="453"/>
      <c r="E54" s="454">
        <v>150</v>
      </c>
      <c r="F54" s="460"/>
      <c r="G54" s="459"/>
      <c r="H54" s="460"/>
      <c r="I54" s="12"/>
    </row>
    <row r="55" spans="1:12" x14ac:dyDescent="0.25">
      <c r="A55" s="431" t="s">
        <v>634</v>
      </c>
      <c r="B55" s="451"/>
      <c r="C55" s="452" t="s">
        <v>434</v>
      </c>
      <c r="D55" s="453"/>
      <c r="E55" s="454">
        <v>100</v>
      </c>
      <c r="F55" s="460"/>
      <c r="G55" s="459"/>
      <c r="H55" s="460"/>
      <c r="I55" s="12"/>
    </row>
    <row r="56" spans="1:12" x14ac:dyDescent="0.25">
      <c r="A56" s="456">
        <f>SUM(E52:E66)</f>
        <v>2350</v>
      </c>
      <c r="B56" s="451"/>
      <c r="C56" s="452" t="s">
        <v>643</v>
      </c>
      <c r="D56" s="453"/>
      <c r="E56" s="454">
        <v>250</v>
      </c>
      <c r="F56" s="460"/>
      <c r="G56" s="459"/>
      <c r="H56" s="460"/>
      <c r="I56" s="12"/>
    </row>
    <row r="57" spans="1:12" x14ac:dyDescent="0.25">
      <c r="A57" s="431" t="s">
        <v>635</v>
      </c>
      <c r="B57" s="451"/>
      <c r="C57" s="452" t="s">
        <v>301</v>
      </c>
      <c r="D57" s="453"/>
      <c r="E57" s="454">
        <v>1000</v>
      </c>
      <c r="F57" s="460"/>
      <c r="G57" s="459"/>
      <c r="H57" s="460"/>
      <c r="I57" s="12"/>
    </row>
    <row r="58" spans="1:12" x14ac:dyDescent="0.25">
      <c r="A58" s="458">
        <f>+A54-A56</f>
        <v>550</v>
      </c>
      <c r="B58" s="451"/>
      <c r="C58" s="452" t="s">
        <v>649</v>
      </c>
      <c r="D58" s="453"/>
      <c r="E58" s="454">
        <v>100</v>
      </c>
      <c r="F58" s="11"/>
      <c r="G58" s="455"/>
      <c r="H58" s="460"/>
      <c r="I58" s="12"/>
    </row>
    <row r="59" spans="1:12" x14ac:dyDescent="0.25">
      <c r="A59" s="456" t="s">
        <v>636</v>
      </c>
      <c r="B59" s="451"/>
      <c r="C59" s="452" t="s">
        <v>652</v>
      </c>
      <c r="D59" s="453"/>
      <c r="E59" s="454">
        <v>100</v>
      </c>
      <c r="F59" s="11"/>
      <c r="G59" s="455"/>
      <c r="H59" s="460"/>
      <c r="I59" s="12"/>
    </row>
    <row r="60" spans="1:12" x14ac:dyDescent="0.25">
      <c r="A60" s="456">
        <f>_ABR11-A4+A45</f>
        <v>-850</v>
      </c>
      <c r="B60" s="451"/>
      <c r="C60" s="452" t="s">
        <v>653</v>
      </c>
      <c r="D60" s="453"/>
      <c r="E60" s="454">
        <v>50</v>
      </c>
      <c r="F60" s="11"/>
      <c r="G60" s="455"/>
      <c r="H60" s="11"/>
      <c r="I60" s="12"/>
    </row>
    <row r="61" spans="1:12" x14ac:dyDescent="0.25">
      <c r="A61" s="456"/>
      <c r="B61" s="451"/>
      <c r="C61" s="452" t="s">
        <v>655</v>
      </c>
      <c r="D61" s="453"/>
      <c r="E61" s="454">
        <v>200</v>
      </c>
      <c r="F61" s="11"/>
      <c r="G61" s="455"/>
      <c r="H61" s="11"/>
      <c r="I61" s="12"/>
    </row>
    <row r="62" spans="1:12" x14ac:dyDescent="0.25">
      <c r="A62" s="456"/>
      <c r="B62" s="451"/>
      <c r="C62" s="452" t="s">
        <v>656</v>
      </c>
      <c r="D62" s="453"/>
      <c r="E62" s="454">
        <v>275</v>
      </c>
      <c r="F62" s="11"/>
      <c r="G62" s="455"/>
      <c r="H62" s="11"/>
      <c r="I62" s="12"/>
    </row>
    <row r="63" spans="1:12" x14ac:dyDescent="0.25">
      <c r="A63" s="456"/>
      <c r="B63" s="451"/>
      <c r="C63" s="452"/>
      <c r="D63" s="453"/>
      <c r="E63" s="454"/>
      <c r="F63" s="11"/>
      <c r="G63" s="455"/>
      <c r="H63" s="11"/>
      <c r="I63" s="12"/>
    </row>
    <row r="64" spans="1:12" x14ac:dyDescent="0.25">
      <c r="A64" s="456"/>
      <c r="B64" s="451"/>
      <c r="C64" s="452"/>
      <c r="D64" s="453"/>
      <c r="E64" s="454"/>
      <c r="F64" s="11"/>
      <c r="G64" s="455"/>
      <c r="H64" s="11"/>
      <c r="I64" s="12"/>
    </row>
    <row r="65" spans="1:11" x14ac:dyDescent="0.25">
      <c r="B65" s="451"/>
      <c r="C65" s="452"/>
      <c r="D65" s="453"/>
      <c r="E65" s="454"/>
      <c r="F65" s="11"/>
      <c r="G65" s="459"/>
      <c r="H65" s="11"/>
      <c r="I65" s="12"/>
    </row>
    <row r="66" spans="1:11" x14ac:dyDescent="0.25">
      <c r="B66" s="451"/>
      <c r="C66" s="452"/>
      <c r="D66" s="453"/>
      <c r="E66" s="454"/>
      <c r="F66" s="460"/>
      <c r="G66" s="459"/>
      <c r="H66" s="460"/>
      <c r="I66" s="12"/>
    </row>
    <row r="67" spans="1:11" x14ac:dyDescent="0.25">
      <c r="A67" s="450" t="s">
        <v>45</v>
      </c>
      <c r="B67" s="451"/>
      <c r="C67" s="452" t="s">
        <v>13</v>
      </c>
      <c r="D67" s="453">
        <v>2900</v>
      </c>
      <c r="E67" s="454"/>
      <c r="F67" s="11"/>
      <c r="G67" s="455"/>
      <c r="H67" s="11"/>
      <c r="I67" s="12"/>
    </row>
    <row r="68" spans="1:11" x14ac:dyDescent="0.25">
      <c r="A68" s="431" t="s">
        <v>633</v>
      </c>
      <c r="B68" s="451"/>
      <c r="C68" s="452" t="s">
        <v>543</v>
      </c>
      <c r="D68" s="453"/>
      <c r="E68" s="454">
        <v>150</v>
      </c>
      <c r="F68" s="11"/>
      <c r="G68" s="455"/>
      <c r="H68" s="11"/>
      <c r="I68" s="12"/>
    </row>
    <row r="69" spans="1:11" x14ac:dyDescent="0.25">
      <c r="A69" s="456">
        <f>SUM(D67:D81)</f>
        <v>2900</v>
      </c>
      <c r="B69" s="451"/>
      <c r="C69" s="452" t="s">
        <v>652</v>
      </c>
      <c r="D69" s="453"/>
      <c r="E69" s="454">
        <v>100</v>
      </c>
      <c r="F69" s="11"/>
      <c r="G69" s="455"/>
      <c r="H69" s="11"/>
      <c r="I69" s="12"/>
    </row>
    <row r="70" spans="1:11" x14ac:dyDescent="0.25">
      <c r="A70" s="431" t="s">
        <v>634</v>
      </c>
      <c r="B70" s="451"/>
      <c r="C70" s="452" t="s">
        <v>434</v>
      </c>
      <c r="D70" s="453"/>
      <c r="E70" s="454">
        <v>100</v>
      </c>
      <c r="F70" s="11"/>
      <c r="G70" s="455"/>
      <c r="H70" s="11"/>
      <c r="I70" s="12"/>
    </row>
    <row r="71" spans="1:11" x14ac:dyDescent="0.25">
      <c r="A71" s="456">
        <f>SUM(E67:E81)</f>
        <v>2650</v>
      </c>
      <c r="B71" s="451"/>
      <c r="C71" s="452" t="s">
        <v>643</v>
      </c>
      <c r="D71" s="453"/>
      <c r="E71" s="454">
        <v>450</v>
      </c>
      <c r="F71" s="11"/>
      <c r="G71" s="455"/>
      <c r="H71" s="11"/>
      <c r="I71" s="12"/>
      <c r="K71" s="182"/>
    </row>
    <row r="72" spans="1:11" x14ac:dyDescent="0.25">
      <c r="A72" s="431" t="s">
        <v>635</v>
      </c>
      <c r="B72" s="451"/>
      <c r="C72" s="452" t="s">
        <v>301</v>
      </c>
      <c r="D72" s="453"/>
      <c r="E72" s="454">
        <v>950</v>
      </c>
      <c r="F72" s="11"/>
      <c r="G72" s="455"/>
      <c r="H72" s="11"/>
      <c r="I72" s="12"/>
    </row>
    <row r="73" spans="1:11" x14ac:dyDescent="0.25">
      <c r="A73" s="458">
        <f>+A69-A71</f>
        <v>250</v>
      </c>
      <c r="B73" s="451"/>
      <c r="C73" s="452" t="s">
        <v>653</v>
      </c>
      <c r="D73" s="453"/>
      <c r="E73" s="454">
        <v>50</v>
      </c>
      <c r="F73" s="11"/>
      <c r="G73" s="459"/>
      <c r="H73" s="460"/>
      <c r="I73" s="12"/>
    </row>
    <row r="74" spans="1:11" x14ac:dyDescent="0.25">
      <c r="A74" s="456" t="s">
        <v>636</v>
      </c>
      <c r="B74" s="451"/>
      <c r="C74" s="452" t="s">
        <v>346</v>
      </c>
      <c r="D74" s="453"/>
      <c r="E74" s="454">
        <v>450</v>
      </c>
      <c r="F74" s="11"/>
      <c r="G74" s="459"/>
      <c r="H74" s="11"/>
      <c r="I74" s="12"/>
    </row>
    <row r="75" spans="1:11" x14ac:dyDescent="0.25">
      <c r="A75" s="456">
        <f>_MAY11-A4+A60</f>
        <v>-1000</v>
      </c>
      <c r="B75" s="451"/>
      <c r="C75" s="452" t="s">
        <v>542</v>
      </c>
      <c r="D75" s="453"/>
      <c r="E75" s="454">
        <v>100</v>
      </c>
      <c r="F75" s="11"/>
      <c r="G75" s="459"/>
      <c r="H75" s="11"/>
      <c r="I75" s="12"/>
    </row>
    <row r="76" spans="1:11" x14ac:dyDescent="0.25">
      <c r="A76" s="456"/>
      <c r="B76" s="451"/>
      <c r="C76" s="452" t="s">
        <v>657</v>
      </c>
      <c r="D76" s="453"/>
      <c r="E76" s="454">
        <v>100</v>
      </c>
      <c r="F76" s="11"/>
      <c r="G76" s="459"/>
      <c r="H76" s="11"/>
      <c r="I76" s="12"/>
    </row>
    <row r="77" spans="1:11" x14ac:dyDescent="0.25">
      <c r="A77" s="456"/>
      <c r="B77" s="451"/>
      <c r="C77" s="452" t="s">
        <v>658</v>
      </c>
      <c r="D77" s="453"/>
      <c r="E77" s="454">
        <v>50</v>
      </c>
      <c r="F77" s="11"/>
      <c r="G77" s="459"/>
      <c r="H77" s="11"/>
      <c r="I77" s="12"/>
    </row>
    <row r="78" spans="1:11" x14ac:dyDescent="0.25">
      <c r="A78" s="456"/>
      <c r="B78" s="451"/>
      <c r="C78" s="452" t="s">
        <v>659</v>
      </c>
      <c r="D78" s="453"/>
      <c r="E78" s="454">
        <v>100</v>
      </c>
      <c r="F78" s="11"/>
      <c r="G78" s="459"/>
      <c r="H78" s="11"/>
      <c r="I78" s="12"/>
    </row>
    <row r="79" spans="1:11" x14ac:dyDescent="0.25">
      <c r="A79" s="456"/>
      <c r="B79" s="451"/>
      <c r="C79" s="452" t="s">
        <v>660</v>
      </c>
      <c r="D79" s="453"/>
      <c r="E79" s="454">
        <v>50</v>
      </c>
      <c r="F79" s="11"/>
      <c r="G79" s="459"/>
      <c r="H79" s="11"/>
      <c r="I79" s="12"/>
    </row>
    <row r="80" spans="1:11" x14ac:dyDescent="0.25">
      <c r="A80" s="456"/>
      <c r="B80" s="451"/>
      <c r="C80" s="452"/>
      <c r="D80" s="453"/>
      <c r="E80" s="454"/>
      <c r="F80" s="11"/>
      <c r="G80" s="459"/>
      <c r="H80" s="11"/>
      <c r="I80" s="12"/>
    </row>
    <row r="81" spans="1:12" x14ac:dyDescent="0.25">
      <c r="B81" s="451"/>
      <c r="C81" s="452"/>
      <c r="D81" s="453"/>
      <c r="E81" s="454"/>
      <c r="F81" s="460"/>
      <c r="G81" s="459"/>
      <c r="H81" s="460"/>
      <c r="I81" s="12"/>
    </row>
    <row r="82" spans="1:12" x14ac:dyDescent="0.25">
      <c r="A82" s="450" t="s">
        <v>46</v>
      </c>
      <c r="B82" s="451"/>
      <c r="C82" s="452" t="s">
        <v>13</v>
      </c>
      <c r="D82" s="453">
        <v>2900</v>
      </c>
      <c r="E82" s="454"/>
      <c r="F82" s="11"/>
      <c r="G82" s="455"/>
      <c r="H82" s="11"/>
      <c r="I82" s="12"/>
    </row>
    <row r="83" spans="1:12" x14ac:dyDescent="0.25">
      <c r="A83" s="431" t="s">
        <v>633</v>
      </c>
      <c r="B83" s="451"/>
      <c r="C83" s="452" t="s">
        <v>543</v>
      </c>
      <c r="D83" s="453"/>
      <c r="E83" s="454">
        <v>33</v>
      </c>
      <c r="F83" s="11"/>
      <c r="G83" s="455"/>
      <c r="H83" s="11"/>
      <c r="I83" s="12"/>
    </row>
    <row r="84" spans="1:12" x14ac:dyDescent="0.25">
      <c r="A84" s="456">
        <f>SUM(D82:D96)</f>
        <v>2900</v>
      </c>
      <c r="B84" s="451"/>
      <c r="C84" s="452" t="s">
        <v>652</v>
      </c>
      <c r="D84" s="453"/>
      <c r="E84" s="454">
        <f>65+11+8</f>
        <v>84</v>
      </c>
      <c r="F84" s="11"/>
      <c r="G84" s="455"/>
      <c r="H84" s="11"/>
      <c r="I84" s="12"/>
      <c r="K84" s="182"/>
    </row>
    <row r="85" spans="1:12" x14ac:dyDescent="0.25">
      <c r="A85" s="431" t="s">
        <v>634</v>
      </c>
      <c r="B85" s="451"/>
      <c r="C85" s="452" t="s">
        <v>434</v>
      </c>
      <c r="D85" s="453"/>
      <c r="E85" s="454">
        <v>100</v>
      </c>
      <c r="F85" s="11"/>
      <c r="G85" s="455"/>
      <c r="H85" s="11"/>
      <c r="I85" s="12"/>
    </row>
    <row r="86" spans="1:12" x14ac:dyDescent="0.25">
      <c r="A86" s="456">
        <f>SUM(E82:E96)</f>
        <v>2600</v>
      </c>
      <c r="B86" s="451"/>
      <c r="C86" s="452" t="s">
        <v>643</v>
      </c>
      <c r="D86" s="453"/>
      <c r="E86" s="454">
        <v>463</v>
      </c>
      <c r="F86" s="11"/>
      <c r="G86" s="455"/>
      <c r="H86" s="11"/>
      <c r="I86" s="12"/>
    </row>
    <row r="87" spans="1:12" x14ac:dyDescent="0.25">
      <c r="A87" s="431" t="s">
        <v>635</v>
      </c>
      <c r="B87" s="451"/>
      <c r="C87" s="452" t="s">
        <v>301</v>
      </c>
      <c r="D87" s="453"/>
      <c r="E87" s="454">
        <v>910</v>
      </c>
      <c r="F87" s="11"/>
      <c r="G87" s="455"/>
      <c r="H87" s="11"/>
      <c r="I87" s="12"/>
      <c r="L87" s="182"/>
    </row>
    <row r="88" spans="1:12" x14ac:dyDescent="0.25">
      <c r="A88" s="458">
        <f>+A84-A86</f>
        <v>300</v>
      </c>
      <c r="B88" s="451"/>
      <c r="C88" s="452" t="s">
        <v>326</v>
      </c>
      <c r="D88" s="453"/>
      <c r="E88" s="454">
        <v>0</v>
      </c>
      <c r="F88" s="11"/>
      <c r="G88" s="459"/>
      <c r="H88" s="11"/>
      <c r="I88" s="12"/>
    </row>
    <row r="89" spans="1:12" x14ac:dyDescent="0.25">
      <c r="A89" s="456" t="s">
        <v>636</v>
      </c>
      <c r="B89" s="451"/>
      <c r="C89" s="452" t="s">
        <v>346</v>
      </c>
      <c r="D89" s="453"/>
      <c r="E89" s="454">
        <v>300</v>
      </c>
      <c r="F89" s="11"/>
      <c r="G89" s="459"/>
      <c r="H89" s="11"/>
      <c r="I89" s="12"/>
    </row>
    <row r="90" spans="1:12" x14ac:dyDescent="0.25">
      <c r="A90" s="456">
        <f>_JUN11-A4+A75</f>
        <v>-1100</v>
      </c>
      <c r="B90" s="451"/>
      <c r="C90" s="452" t="s">
        <v>542</v>
      </c>
      <c r="D90" s="453"/>
      <c r="E90" s="454">
        <v>210</v>
      </c>
      <c r="F90" s="11"/>
      <c r="G90" s="459"/>
      <c r="H90" s="11"/>
      <c r="I90" s="12"/>
    </row>
    <row r="91" spans="1:12" x14ac:dyDescent="0.25">
      <c r="A91" s="456"/>
      <c r="B91" s="451"/>
      <c r="C91" s="452" t="s">
        <v>661</v>
      </c>
      <c r="D91" s="453"/>
      <c r="E91" s="454">
        <v>100</v>
      </c>
      <c r="F91" s="11"/>
      <c r="G91" s="459"/>
      <c r="H91" s="11"/>
      <c r="I91" s="12"/>
    </row>
    <row r="92" spans="1:12" x14ac:dyDescent="0.25">
      <c r="A92" s="456"/>
      <c r="B92" s="451"/>
      <c r="C92" s="452" t="s">
        <v>662</v>
      </c>
      <c r="D92" s="453"/>
      <c r="E92" s="454">
        <v>200</v>
      </c>
      <c r="F92" s="11"/>
      <c r="G92" s="459"/>
      <c r="H92" s="11"/>
      <c r="I92" s="12"/>
    </row>
    <row r="93" spans="1:12" x14ac:dyDescent="0.25">
      <c r="A93" s="456"/>
      <c r="B93" s="451"/>
      <c r="C93" s="452" t="s">
        <v>663</v>
      </c>
      <c r="D93" s="453"/>
      <c r="E93" s="454">
        <v>200</v>
      </c>
      <c r="F93" s="11"/>
      <c r="G93" s="459"/>
      <c r="H93" s="11"/>
      <c r="I93" s="12"/>
    </row>
    <row r="94" spans="1:12" x14ac:dyDescent="0.25">
      <c r="A94" s="456"/>
      <c r="B94" s="451"/>
      <c r="C94" s="452"/>
      <c r="D94" s="453"/>
      <c r="E94" s="454"/>
      <c r="F94" s="11"/>
      <c r="G94" s="459"/>
      <c r="H94" s="460"/>
      <c r="I94" s="12"/>
    </row>
    <row r="95" spans="1:12" x14ac:dyDescent="0.25">
      <c r="A95" s="456"/>
      <c r="B95" s="451"/>
      <c r="C95" s="452"/>
      <c r="D95" s="453"/>
      <c r="E95" s="454"/>
      <c r="F95" s="11"/>
      <c r="G95" s="459"/>
      <c r="H95" s="11"/>
      <c r="I95" s="12"/>
    </row>
    <row r="96" spans="1:12" x14ac:dyDescent="0.25">
      <c r="B96" s="451"/>
      <c r="C96" s="452"/>
      <c r="D96" s="453"/>
      <c r="E96" s="454"/>
      <c r="F96" s="460"/>
      <c r="G96" s="459"/>
      <c r="H96" s="460"/>
      <c r="I96" s="12"/>
    </row>
    <row r="97" spans="1:14" x14ac:dyDescent="0.25">
      <c r="A97" s="450" t="s">
        <v>47</v>
      </c>
      <c r="B97" s="451"/>
      <c r="C97" s="452" t="s">
        <v>13</v>
      </c>
      <c r="D97" s="453">
        <v>2900</v>
      </c>
      <c r="E97" s="454"/>
      <c r="F97" s="460"/>
      <c r="G97" s="455"/>
      <c r="H97" s="11"/>
      <c r="I97" s="12"/>
    </row>
    <row r="98" spans="1:14" x14ac:dyDescent="0.25">
      <c r="A98" s="431" t="s">
        <v>633</v>
      </c>
      <c r="B98" s="451"/>
      <c r="C98" s="452" t="s">
        <v>543</v>
      </c>
      <c r="D98" s="453"/>
      <c r="E98" s="454">
        <v>200</v>
      </c>
      <c r="F98" s="460"/>
      <c r="G98" s="455"/>
      <c r="H98" s="460"/>
      <c r="I98" s="463"/>
    </row>
    <row r="99" spans="1:14" x14ac:dyDescent="0.25">
      <c r="A99" s="456">
        <f>SUM(D97:D113)</f>
        <v>4350</v>
      </c>
      <c r="B99" s="451"/>
      <c r="C99" s="452" t="s">
        <v>652</v>
      </c>
      <c r="D99" s="453"/>
      <c r="E99" s="454">
        <v>100</v>
      </c>
      <c r="F99" s="11"/>
      <c r="G99" s="455"/>
      <c r="H99" s="11"/>
      <c r="I99" s="12"/>
      <c r="N99" s="182"/>
    </row>
    <row r="100" spans="1:14" x14ac:dyDescent="0.25">
      <c r="A100" s="431" t="s">
        <v>634</v>
      </c>
      <c r="B100" s="451"/>
      <c r="C100" s="452" t="s">
        <v>434</v>
      </c>
      <c r="D100" s="453"/>
      <c r="E100" s="454">
        <v>0</v>
      </c>
      <c r="F100" s="11"/>
      <c r="G100" s="455"/>
      <c r="H100" s="11"/>
      <c r="I100" s="12"/>
      <c r="N100" s="182"/>
    </row>
    <row r="101" spans="1:14" x14ac:dyDescent="0.25">
      <c r="A101" s="456">
        <f>SUM(E97:E113)</f>
        <v>4250</v>
      </c>
      <c r="B101" s="451"/>
      <c r="C101" s="452" t="s">
        <v>643</v>
      </c>
      <c r="D101" s="453"/>
      <c r="E101" s="454">
        <f>610+150+100+200</f>
        <v>1060</v>
      </c>
      <c r="F101" s="11"/>
      <c r="G101" s="455"/>
      <c r="H101" s="464"/>
      <c r="I101" s="12"/>
      <c r="K101" s="182"/>
      <c r="N101" s="182"/>
    </row>
    <row r="102" spans="1:14" x14ac:dyDescent="0.25">
      <c r="A102" s="431" t="s">
        <v>635</v>
      </c>
      <c r="B102" s="451"/>
      <c r="C102" s="452" t="s">
        <v>301</v>
      </c>
      <c r="D102" s="453"/>
      <c r="E102" s="454">
        <v>1040</v>
      </c>
      <c r="F102" s="11"/>
      <c r="G102" s="455"/>
      <c r="H102" s="460"/>
      <c r="I102" s="463"/>
      <c r="N102" s="182"/>
    </row>
    <row r="103" spans="1:14" x14ac:dyDescent="0.25">
      <c r="A103" s="458">
        <f>+A99-A101</f>
        <v>100</v>
      </c>
      <c r="B103" s="451"/>
      <c r="C103" s="452" t="s">
        <v>542</v>
      </c>
      <c r="D103" s="453"/>
      <c r="E103" s="454">
        <v>110</v>
      </c>
      <c r="F103" s="11"/>
      <c r="G103" s="455"/>
      <c r="H103" s="11"/>
      <c r="I103" s="463"/>
      <c r="K103" s="182"/>
      <c r="N103" s="182"/>
    </row>
    <row r="104" spans="1:14" x14ac:dyDescent="0.25">
      <c r="A104" s="431" t="s">
        <v>636</v>
      </c>
      <c r="B104" s="451"/>
      <c r="C104" s="452" t="s">
        <v>19</v>
      </c>
      <c r="D104" s="453">
        <v>1450</v>
      </c>
      <c r="E104" s="454"/>
      <c r="F104" s="11"/>
      <c r="G104" s="455"/>
      <c r="H104" s="11"/>
      <c r="I104" s="12"/>
      <c r="N104" s="182"/>
    </row>
    <row r="105" spans="1:14" x14ac:dyDescent="0.25">
      <c r="A105" s="456">
        <f>_JUL11-A4+A90</f>
        <v>-1400</v>
      </c>
      <c r="B105" s="451"/>
      <c r="C105" s="452" t="s">
        <v>664</v>
      </c>
      <c r="D105" s="453"/>
      <c r="E105" s="454">
        <v>940</v>
      </c>
      <c r="F105" s="11"/>
      <c r="G105" s="455"/>
      <c r="H105" s="11"/>
      <c r="I105" s="12"/>
    </row>
    <row r="106" spans="1:14" x14ac:dyDescent="0.25">
      <c r="B106" s="451"/>
      <c r="C106" s="452" t="s">
        <v>665</v>
      </c>
      <c r="D106" s="453"/>
      <c r="E106" s="454">
        <v>500</v>
      </c>
      <c r="F106" s="11"/>
      <c r="G106" s="455"/>
      <c r="H106" s="460"/>
      <c r="I106" s="462"/>
    </row>
    <row r="107" spans="1:14" x14ac:dyDescent="0.25">
      <c r="B107" s="451"/>
      <c r="C107" s="452" t="s">
        <v>666</v>
      </c>
      <c r="D107" s="453"/>
      <c r="E107" s="454">
        <v>100</v>
      </c>
      <c r="F107" s="11"/>
      <c r="G107" s="455"/>
      <c r="H107" s="460"/>
      <c r="I107" s="462"/>
      <c r="K107" s="182"/>
    </row>
    <row r="108" spans="1:14" x14ac:dyDescent="0.25">
      <c r="B108" s="451"/>
      <c r="C108" s="452" t="s">
        <v>643</v>
      </c>
      <c r="D108" s="453"/>
      <c r="E108" s="454">
        <v>200</v>
      </c>
      <c r="F108" s="11"/>
      <c r="G108" s="455"/>
      <c r="H108" s="460"/>
      <c r="I108" s="462"/>
      <c r="K108" s="182"/>
    </row>
    <row r="109" spans="1:14" x14ac:dyDescent="0.25">
      <c r="B109" s="451"/>
      <c r="C109" s="452"/>
      <c r="D109" s="453"/>
      <c r="E109" s="454"/>
      <c r="F109" s="11"/>
      <c r="G109" s="455"/>
      <c r="H109" s="460"/>
      <c r="I109" s="462"/>
    </row>
    <row r="110" spans="1:14" x14ac:dyDescent="0.25">
      <c r="B110" s="451"/>
      <c r="C110" s="452"/>
      <c r="D110" s="453"/>
      <c r="E110" s="454"/>
      <c r="F110" s="11"/>
      <c r="G110" s="455"/>
      <c r="H110" s="11"/>
      <c r="I110" s="462"/>
    </row>
    <row r="111" spans="1:14" x14ac:dyDescent="0.25">
      <c r="B111" s="451"/>
      <c r="C111" s="452"/>
      <c r="D111" s="453"/>
      <c r="E111" s="454"/>
      <c r="F111" s="11"/>
      <c r="G111" s="455"/>
      <c r="H111" s="11"/>
      <c r="I111" s="12"/>
    </row>
    <row r="112" spans="1:14" x14ac:dyDescent="0.25">
      <c r="B112" s="451"/>
      <c r="C112" s="452"/>
      <c r="D112" s="453"/>
      <c r="E112" s="454"/>
      <c r="F112" s="11"/>
      <c r="G112" s="455"/>
      <c r="H112" s="11"/>
      <c r="I112" s="462"/>
    </row>
    <row r="113" spans="1:13" x14ac:dyDescent="0.25">
      <c r="B113" s="451"/>
      <c r="C113" s="452"/>
      <c r="D113" s="453"/>
      <c r="E113" s="454"/>
      <c r="F113" s="460"/>
      <c r="G113" s="459"/>
      <c r="H113" s="460"/>
      <c r="I113" s="462"/>
    </row>
    <row r="114" spans="1:13" x14ac:dyDescent="0.25">
      <c r="A114" s="450" t="s">
        <v>48</v>
      </c>
      <c r="B114" s="451"/>
      <c r="C114" s="452" t="s">
        <v>13</v>
      </c>
      <c r="D114" s="453">
        <v>2900</v>
      </c>
      <c r="E114" s="454"/>
      <c r="F114" s="11"/>
      <c r="G114" s="455"/>
      <c r="H114" s="11"/>
      <c r="I114" s="462"/>
    </row>
    <row r="115" spans="1:13" x14ac:dyDescent="0.25">
      <c r="A115" s="431" t="s">
        <v>633</v>
      </c>
      <c r="B115" s="451"/>
      <c r="C115" s="452" t="s">
        <v>543</v>
      </c>
      <c r="D115" s="453"/>
      <c r="E115" s="454">
        <v>120</v>
      </c>
      <c r="F115" s="11"/>
      <c r="G115" s="455"/>
      <c r="H115" s="11"/>
      <c r="I115" s="462"/>
    </row>
    <row r="116" spans="1:13" x14ac:dyDescent="0.25">
      <c r="A116" s="456">
        <f>SUM(D114:D132)</f>
        <v>2900</v>
      </c>
      <c r="B116" s="451"/>
      <c r="C116" s="452" t="s">
        <v>652</v>
      </c>
      <c r="D116" s="453"/>
      <c r="E116" s="454">
        <v>100</v>
      </c>
      <c r="F116" s="11"/>
      <c r="G116" s="455"/>
      <c r="H116" s="11"/>
      <c r="I116" s="12"/>
      <c r="L116" s="182"/>
      <c r="M116" s="182"/>
    </row>
    <row r="117" spans="1:13" x14ac:dyDescent="0.25">
      <c r="A117" s="431" t="s">
        <v>634</v>
      </c>
      <c r="B117" s="451"/>
      <c r="C117" s="452" t="s">
        <v>434</v>
      </c>
      <c r="D117" s="453"/>
      <c r="E117" s="454">
        <v>0</v>
      </c>
      <c r="F117" s="11"/>
      <c r="G117" s="455"/>
      <c r="H117" s="11"/>
      <c r="I117" s="12"/>
    </row>
    <row r="118" spans="1:13" x14ac:dyDescent="0.25">
      <c r="A118" s="456">
        <f>SUM(E114:E132)</f>
        <v>2700</v>
      </c>
      <c r="B118" s="451"/>
      <c r="C118" s="452" t="s">
        <v>643</v>
      </c>
      <c r="D118" s="453"/>
      <c r="E118" s="454">
        <v>555</v>
      </c>
      <c r="F118" s="11"/>
      <c r="G118" s="455"/>
      <c r="H118" s="11"/>
      <c r="I118" s="12"/>
    </row>
    <row r="119" spans="1:13" x14ac:dyDescent="0.25">
      <c r="A119" s="431" t="s">
        <v>635</v>
      </c>
      <c r="B119" s="451"/>
      <c r="C119" s="452" t="s">
        <v>667</v>
      </c>
      <c r="D119" s="453"/>
      <c r="E119" s="454">
        <v>600</v>
      </c>
      <c r="F119" s="11"/>
      <c r="G119" s="455"/>
      <c r="H119" s="11"/>
      <c r="I119" s="12"/>
    </row>
    <row r="120" spans="1:13" x14ac:dyDescent="0.25">
      <c r="A120" s="458">
        <f>+A116-A118</f>
        <v>200</v>
      </c>
      <c r="B120" s="451"/>
      <c r="C120" s="452" t="s">
        <v>542</v>
      </c>
      <c r="D120" s="453"/>
      <c r="E120" s="454">
        <v>130</v>
      </c>
      <c r="F120" s="11"/>
      <c r="G120" s="455"/>
      <c r="H120" s="11"/>
      <c r="I120" s="462"/>
    </row>
    <row r="121" spans="1:13" x14ac:dyDescent="0.25">
      <c r="A121" s="456" t="s">
        <v>636</v>
      </c>
      <c r="B121" s="451"/>
      <c r="C121" s="452" t="s">
        <v>668</v>
      </c>
      <c r="D121" s="453"/>
      <c r="E121" s="454">
        <v>500</v>
      </c>
      <c r="F121" s="11"/>
      <c r="G121" s="455"/>
      <c r="H121" s="460"/>
      <c r="I121" s="12"/>
    </row>
    <row r="122" spans="1:13" x14ac:dyDescent="0.25">
      <c r="A122" s="456">
        <f>_AGO11-A4+A105</f>
        <v>-1600</v>
      </c>
      <c r="B122" s="451"/>
      <c r="C122" s="452" t="s">
        <v>643</v>
      </c>
      <c r="D122" s="453"/>
      <c r="E122" s="454">
        <v>300</v>
      </c>
      <c r="F122" s="11"/>
      <c r="G122" s="459"/>
      <c r="H122" s="11"/>
      <c r="I122" s="12"/>
    </row>
    <row r="123" spans="1:13" x14ac:dyDescent="0.25">
      <c r="A123" s="456"/>
      <c r="B123" s="451"/>
      <c r="C123" s="452" t="s">
        <v>669</v>
      </c>
      <c r="D123" s="453"/>
      <c r="E123" s="454">
        <f>70+50</f>
        <v>120</v>
      </c>
      <c r="F123" s="11"/>
      <c r="G123" s="459"/>
      <c r="H123" s="11"/>
      <c r="I123" s="12"/>
    </row>
    <row r="124" spans="1:13" x14ac:dyDescent="0.25">
      <c r="A124" s="456"/>
      <c r="B124" s="451"/>
      <c r="C124" s="452" t="s">
        <v>670</v>
      </c>
      <c r="D124" s="453"/>
      <c r="E124" s="454">
        <v>275</v>
      </c>
      <c r="F124" s="11"/>
      <c r="G124" s="459"/>
      <c r="H124" s="11"/>
      <c r="I124" s="12"/>
    </row>
    <row r="125" spans="1:13" x14ac:dyDescent="0.25">
      <c r="A125" s="456"/>
      <c r="B125" s="451"/>
      <c r="C125" s="452"/>
      <c r="D125" s="453"/>
      <c r="E125" s="454"/>
      <c r="F125" s="11"/>
      <c r="G125" s="459"/>
      <c r="H125" s="11"/>
      <c r="I125" s="12"/>
    </row>
    <row r="126" spans="1:13" x14ac:dyDescent="0.25">
      <c r="A126" s="456"/>
      <c r="B126" s="451"/>
      <c r="C126" s="452"/>
      <c r="D126" s="453"/>
      <c r="E126" s="454"/>
      <c r="F126" s="11"/>
      <c r="G126" s="459"/>
      <c r="H126" s="11"/>
      <c r="I126" s="12"/>
    </row>
    <row r="127" spans="1:13" x14ac:dyDescent="0.25">
      <c r="A127" s="456"/>
      <c r="B127" s="451"/>
      <c r="C127" s="452"/>
      <c r="D127" s="453"/>
      <c r="E127" s="454"/>
      <c r="F127" s="11"/>
      <c r="G127" s="459"/>
      <c r="H127" s="11"/>
      <c r="I127" s="12"/>
    </row>
    <row r="128" spans="1:13" x14ac:dyDescent="0.25">
      <c r="A128" s="456"/>
      <c r="B128" s="451"/>
      <c r="C128" s="452"/>
      <c r="D128" s="453"/>
      <c r="E128" s="454"/>
      <c r="F128" s="11"/>
      <c r="G128" s="459"/>
      <c r="H128" s="11"/>
      <c r="I128" s="12"/>
    </row>
    <row r="129" spans="1:9" x14ac:dyDescent="0.25">
      <c r="A129" s="456"/>
      <c r="B129" s="451"/>
      <c r="C129" s="452"/>
      <c r="D129" s="453"/>
      <c r="E129" s="454"/>
      <c r="F129" s="11"/>
      <c r="G129" s="459"/>
      <c r="H129" s="11"/>
      <c r="I129" s="12"/>
    </row>
    <row r="130" spans="1:9" x14ac:dyDescent="0.25">
      <c r="A130" s="456"/>
      <c r="B130" s="451"/>
      <c r="C130" s="452"/>
      <c r="D130" s="453"/>
      <c r="E130" s="454"/>
      <c r="F130" s="11"/>
      <c r="G130" s="459"/>
      <c r="H130" s="11"/>
      <c r="I130" s="12"/>
    </row>
    <row r="131" spans="1:9" x14ac:dyDescent="0.25">
      <c r="A131" s="456"/>
      <c r="B131" s="451"/>
      <c r="C131" s="452"/>
      <c r="D131" s="453"/>
      <c r="E131" s="454"/>
      <c r="F131" s="11"/>
      <c r="G131" s="459"/>
      <c r="H131" s="11"/>
      <c r="I131" s="12"/>
    </row>
    <row r="132" spans="1:9" x14ac:dyDescent="0.25">
      <c r="B132" s="451"/>
      <c r="C132" s="452"/>
      <c r="D132" s="453"/>
      <c r="E132" s="454"/>
      <c r="F132" s="460"/>
      <c r="G132" s="459"/>
      <c r="H132" s="460"/>
      <c r="I132" s="12"/>
    </row>
    <row r="133" spans="1:9" x14ac:dyDescent="0.25">
      <c r="A133" s="450" t="s">
        <v>49</v>
      </c>
      <c r="B133" s="451"/>
      <c r="C133" s="452" t="s">
        <v>13</v>
      </c>
      <c r="D133" s="453">
        <v>2900</v>
      </c>
      <c r="E133" s="454"/>
      <c r="F133" s="11"/>
      <c r="G133" s="455"/>
      <c r="H133" s="11"/>
      <c r="I133" s="12"/>
    </row>
    <row r="134" spans="1:9" x14ac:dyDescent="0.25">
      <c r="A134" s="431" t="s">
        <v>633</v>
      </c>
      <c r="B134" s="451"/>
      <c r="C134" s="452" t="s">
        <v>543</v>
      </c>
      <c r="D134" s="453"/>
      <c r="E134" s="454">
        <v>100</v>
      </c>
      <c r="F134" s="11"/>
      <c r="G134" s="455"/>
      <c r="H134" s="11"/>
      <c r="I134" s="12"/>
    </row>
    <row r="135" spans="1:9" x14ac:dyDescent="0.25">
      <c r="A135" s="456">
        <f>SUM(D133:D147)</f>
        <v>2900</v>
      </c>
      <c r="B135" s="451"/>
      <c r="C135" s="452" t="s">
        <v>652</v>
      </c>
      <c r="D135" s="453"/>
      <c r="E135" s="454">
        <v>100</v>
      </c>
      <c r="F135" s="11"/>
      <c r="G135" s="455"/>
      <c r="H135" s="11"/>
      <c r="I135" s="12"/>
    </row>
    <row r="136" spans="1:9" x14ac:dyDescent="0.25">
      <c r="A136" s="431" t="s">
        <v>634</v>
      </c>
      <c r="B136" s="451"/>
      <c r="C136" s="452" t="s">
        <v>671</v>
      </c>
      <c r="D136" s="453"/>
      <c r="E136" s="454">
        <v>100</v>
      </c>
      <c r="F136" s="11"/>
      <c r="G136" s="455"/>
      <c r="H136" s="11"/>
      <c r="I136" s="12"/>
    </row>
    <row r="137" spans="1:9" x14ac:dyDescent="0.25">
      <c r="A137" s="456">
        <f>SUM(E133:E147)</f>
        <v>3200</v>
      </c>
      <c r="B137" s="451"/>
      <c r="C137" s="452" t="s">
        <v>643</v>
      </c>
      <c r="D137" s="453"/>
      <c r="E137" s="454">
        <v>700</v>
      </c>
      <c r="F137" s="11"/>
      <c r="G137" s="455"/>
      <c r="H137" s="11"/>
      <c r="I137" s="12"/>
    </row>
    <row r="138" spans="1:9" x14ac:dyDescent="0.25">
      <c r="A138" s="431" t="s">
        <v>635</v>
      </c>
      <c r="B138" s="451"/>
      <c r="C138" s="452" t="s">
        <v>542</v>
      </c>
      <c r="D138" s="453"/>
      <c r="E138" s="454">
        <v>260</v>
      </c>
      <c r="F138" s="11"/>
      <c r="G138" s="455"/>
      <c r="H138" s="11"/>
      <c r="I138" s="12"/>
    </row>
    <row r="139" spans="1:9" x14ac:dyDescent="0.25">
      <c r="A139" s="458">
        <f>+A135-A137</f>
        <v>-300</v>
      </c>
      <c r="B139" s="451"/>
      <c r="C139" s="452" t="s">
        <v>670</v>
      </c>
      <c r="D139" s="453"/>
      <c r="E139" s="454">
        <v>300</v>
      </c>
      <c r="F139" s="11"/>
      <c r="G139" s="455"/>
      <c r="H139" s="11"/>
      <c r="I139" s="12"/>
    </row>
    <row r="140" spans="1:9" x14ac:dyDescent="0.25">
      <c r="A140" s="431" t="s">
        <v>636</v>
      </c>
      <c r="B140" s="451"/>
      <c r="C140" s="452" t="s">
        <v>672</v>
      </c>
      <c r="D140" s="453"/>
      <c r="E140" s="454">
        <v>640</v>
      </c>
      <c r="F140" s="11"/>
      <c r="G140" s="455"/>
      <c r="H140" s="11"/>
      <c r="I140" s="12"/>
    </row>
    <row r="141" spans="1:9" x14ac:dyDescent="0.25">
      <c r="A141" s="456">
        <f>_SEP11-A4+A122</f>
        <v>-2300</v>
      </c>
      <c r="B141" s="451"/>
      <c r="C141" s="452" t="s">
        <v>673</v>
      </c>
      <c r="D141" s="453"/>
      <c r="E141" s="454">
        <v>100</v>
      </c>
      <c r="F141" s="11"/>
      <c r="G141" s="459"/>
      <c r="H141" s="11"/>
      <c r="I141" s="12"/>
    </row>
    <row r="142" spans="1:9" x14ac:dyDescent="0.25">
      <c r="A142" s="456"/>
      <c r="B142" s="451"/>
      <c r="C142" s="452" t="s">
        <v>674</v>
      </c>
      <c r="D142" s="453"/>
      <c r="E142" s="454">
        <v>500</v>
      </c>
      <c r="F142" s="11"/>
      <c r="G142" s="459"/>
      <c r="H142" s="11"/>
      <c r="I142" s="12"/>
    </row>
    <row r="143" spans="1:9" x14ac:dyDescent="0.25">
      <c r="A143" s="456"/>
      <c r="B143" s="451"/>
      <c r="C143" s="452" t="s">
        <v>675</v>
      </c>
      <c r="D143" s="453"/>
      <c r="E143" s="454">
        <v>300</v>
      </c>
      <c r="F143" s="11"/>
      <c r="G143" s="459"/>
      <c r="H143" s="11"/>
      <c r="I143" s="12"/>
    </row>
    <row r="144" spans="1:9" x14ac:dyDescent="0.25">
      <c r="A144" s="456"/>
      <c r="B144" s="451"/>
      <c r="C144" s="452" t="s">
        <v>676</v>
      </c>
      <c r="D144" s="453"/>
      <c r="E144" s="454">
        <v>100</v>
      </c>
      <c r="F144" s="11"/>
      <c r="G144" s="459"/>
      <c r="H144" s="11"/>
      <c r="I144" s="12"/>
    </row>
    <row r="145" spans="1:9" x14ac:dyDescent="0.25">
      <c r="A145" s="456"/>
      <c r="B145" s="451"/>
      <c r="C145" s="452"/>
      <c r="D145" s="453"/>
      <c r="E145" s="454"/>
      <c r="F145" s="11"/>
      <c r="G145" s="459"/>
      <c r="H145" s="11"/>
      <c r="I145" s="12"/>
    </row>
    <row r="146" spans="1:9" x14ac:dyDescent="0.25">
      <c r="A146" s="456"/>
      <c r="B146" s="451"/>
      <c r="C146" s="452"/>
      <c r="D146" s="453"/>
      <c r="E146" s="454"/>
      <c r="F146" s="11"/>
      <c r="G146" s="459"/>
      <c r="H146" s="11"/>
      <c r="I146" s="12"/>
    </row>
    <row r="147" spans="1:9" x14ac:dyDescent="0.25">
      <c r="B147" s="451"/>
      <c r="C147" s="452"/>
      <c r="D147" s="453"/>
      <c r="E147" s="454"/>
      <c r="F147" s="460"/>
      <c r="G147" s="459"/>
      <c r="H147" s="460"/>
      <c r="I147" s="12"/>
    </row>
    <row r="148" spans="1:9" x14ac:dyDescent="0.25">
      <c r="A148" s="450" t="s">
        <v>50</v>
      </c>
      <c r="B148" s="451"/>
      <c r="C148" s="452" t="s">
        <v>13</v>
      </c>
      <c r="D148" s="453">
        <v>2900</v>
      </c>
      <c r="E148" s="454"/>
      <c r="F148" s="11"/>
      <c r="G148" s="455"/>
      <c r="H148" s="11"/>
      <c r="I148" s="12"/>
    </row>
    <row r="149" spans="1:9" x14ac:dyDescent="0.25">
      <c r="A149" s="431" t="s">
        <v>633</v>
      </c>
      <c r="B149" s="451"/>
      <c r="C149" s="452" t="s">
        <v>543</v>
      </c>
      <c r="D149" s="453"/>
      <c r="E149" s="454">
        <v>200</v>
      </c>
      <c r="F149" s="11"/>
      <c r="G149" s="455"/>
      <c r="H149" s="11"/>
      <c r="I149" s="12"/>
    </row>
    <row r="150" spans="1:9" x14ac:dyDescent="0.25">
      <c r="A150" s="456">
        <f>SUM(D148:D162)</f>
        <v>2900</v>
      </c>
      <c r="B150" s="451"/>
      <c r="C150" s="452" t="s">
        <v>652</v>
      </c>
      <c r="D150" s="453"/>
      <c r="E150" s="454">
        <v>100</v>
      </c>
      <c r="F150" s="11"/>
      <c r="G150" s="455"/>
      <c r="H150" s="11"/>
      <c r="I150" s="12"/>
    </row>
    <row r="151" spans="1:9" x14ac:dyDescent="0.25">
      <c r="A151" s="431" t="s">
        <v>634</v>
      </c>
      <c r="B151" s="451"/>
      <c r="C151" s="452" t="s">
        <v>434</v>
      </c>
      <c r="D151" s="453"/>
      <c r="E151" s="454">
        <v>0</v>
      </c>
      <c r="F151" s="11"/>
      <c r="G151" s="455"/>
      <c r="H151" s="11"/>
      <c r="I151" s="12"/>
    </row>
    <row r="152" spans="1:9" x14ac:dyDescent="0.25">
      <c r="A152" s="456">
        <f>SUM(E148:E162)</f>
        <v>3200</v>
      </c>
      <c r="B152" s="451"/>
      <c r="C152" s="452" t="s">
        <v>643</v>
      </c>
      <c r="D152" s="453"/>
      <c r="E152" s="454">
        <v>745</v>
      </c>
      <c r="F152" s="11"/>
      <c r="G152" s="455"/>
      <c r="H152" s="11"/>
      <c r="I152" s="12"/>
    </row>
    <row r="153" spans="1:9" x14ac:dyDescent="0.25">
      <c r="A153" s="431" t="s">
        <v>635</v>
      </c>
      <c r="B153" s="451"/>
      <c r="C153" s="452" t="s">
        <v>542</v>
      </c>
      <c r="D153" s="453"/>
      <c r="E153" s="454">
        <f>140+60</f>
        <v>200</v>
      </c>
      <c r="F153" s="11"/>
      <c r="G153" s="455"/>
      <c r="H153" s="11"/>
      <c r="I153" s="12"/>
    </row>
    <row r="154" spans="1:9" x14ac:dyDescent="0.25">
      <c r="A154" s="458">
        <f>+A150-A152</f>
        <v>-300</v>
      </c>
      <c r="B154" s="451"/>
      <c r="C154" s="452" t="s">
        <v>670</v>
      </c>
      <c r="D154" s="453"/>
      <c r="E154" s="454">
        <v>300</v>
      </c>
      <c r="F154" s="11"/>
      <c r="G154" s="455"/>
      <c r="H154" s="11"/>
      <c r="I154" s="12"/>
    </row>
    <row r="155" spans="1:9" x14ac:dyDescent="0.25">
      <c r="A155" s="431" t="s">
        <v>636</v>
      </c>
      <c r="B155" s="451"/>
      <c r="C155" s="452" t="s">
        <v>677</v>
      </c>
      <c r="D155" s="453"/>
      <c r="E155" s="454">
        <v>300</v>
      </c>
      <c r="F155" s="11"/>
      <c r="G155" s="455"/>
      <c r="H155" s="11"/>
      <c r="I155" s="12"/>
    </row>
    <row r="156" spans="1:9" x14ac:dyDescent="0.25">
      <c r="A156" s="456">
        <f>_OCT11-A4+A141</f>
        <v>-3000</v>
      </c>
      <c r="B156" s="451"/>
      <c r="C156" s="452" t="s">
        <v>678</v>
      </c>
      <c r="D156" s="453"/>
      <c r="E156" s="454">
        <v>525</v>
      </c>
      <c r="F156" s="11"/>
      <c r="G156" s="459"/>
      <c r="H156" s="11"/>
      <c r="I156" s="12"/>
    </row>
    <row r="157" spans="1:9" x14ac:dyDescent="0.25">
      <c r="A157" s="456"/>
      <c r="B157" s="451"/>
      <c r="C157" s="452" t="s">
        <v>679</v>
      </c>
      <c r="D157" s="453"/>
      <c r="E157" s="454">
        <v>200</v>
      </c>
      <c r="F157" s="11"/>
      <c r="G157" s="459"/>
      <c r="H157" s="11"/>
      <c r="I157" s="12"/>
    </row>
    <row r="158" spans="1:9" x14ac:dyDescent="0.25">
      <c r="A158" s="456"/>
      <c r="B158" s="451"/>
      <c r="C158" s="452" t="s">
        <v>680</v>
      </c>
      <c r="D158" s="453"/>
      <c r="E158" s="454">
        <v>200</v>
      </c>
      <c r="F158" s="11"/>
      <c r="G158" s="459"/>
      <c r="H158" s="11"/>
      <c r="I158" s="12"/>
    </row>
    <row r="159" spans="1:9" x14ac:dyDescent="0.25">
      <c r="A159" s="456"/>
      <c r="B159" s="451"/>
      <c r="C159" s="452" t="s">
        <v>675</v>
      </c>
      <c r="D159" s="453"/>
      <c r="E159" s="454">
        <v>250</v>
      </c>
      <c r="F159" s="11"/>
      <c r="G159" s="459"/>
      <c r="H159" s="11"/>
      <c r="I159" s="12"/>
    </row>
    <row r="160" spans="1:9" x14ac:dyDescent="0.25">
      <c r="A160" s="456"/>
      <c r="B160" s="451"/>
      <c r="C160" s="452" t="s">
        <v>681</v>
      </c>
      <c r="D160" s="453"/>
      <c r="E160" s="454">
        <v>180</v>
      </c>
      <c r="F160" s="11"/>
      <c r="G160" s="459"/>
      <c r="H160" s="11"/>
      <c r="I160" s="12"/>
    </row>
    <row r="161" spans="1:9" x14ac:dyDescent="0.25">
      <c r="A161" s="456"/>
      <c r="B161" s="451"/>
      <c r="C161" s="452"/>
      <c r="D161" s="453"/>
      <c r="E161" s="454"/>
      <c r="F161" s="11"/>
      <c r="G161" s="459"/>
      <c r="H161" s="11"/>
      <c r="I161" s="12"/>
    </row>
    <row r="162" spans="1:9" x14ac:dyDescent="0.25">
      <c r="B162" s="451"/>
      <c r="C162" s="452"/>
      <c r="D162" s="453"/>
      <c r="E162" s="454"/>
      <c r="F162" s="460"/>
      <c r="G162" s="459"/>
      <c r="H162" s="460"/>
      <c r="I162" s="12"/>
    </row>
    <row r="163" spans="1:9" x14ac:dyDescent="0.25">
      <c r="A163" s="450" t="s">
        <v>51</v>
      </c>
      <c r="B163" s="451"/>
      <c r="C163" s="452" t="s">
        <v>13</v>
      </c>
      <c r="D163" s="453">
        <v>2900</v>
      </c>
      <c r="E163" s="454"/>
      <c r="F163" s="11"/>
      <c r="G163" s="455"/>
      <c r="H163" s="11"/>
      <c r="I163" s="12"/>
    </row>
    <row r="164" spans="1:9" x14ac:dyDescent="0.25">
      <c r="A164" s="431" t="s">
        <v>633</v>
      </c>
      <c r="B164" s="451"/>
      <c r="C164" s="452" t="s">
        <v>543</v>
      </c>
      <c r="D164" s="453"/>
      <c r="E164" s="454">
        <v>130</v>
      </c>
      <c r="F164" s="11"/>
      <c r="G164" s="455"/>
      <c r="H164" s="11"/>
      <c r="I164" s="12"/>
    </row>
    <row r="165" spans="1:9" x14ac:dyDescent="0.25">
      <c r="A165" s="456">
        <f>SUM(D163:D177)</f>
        <v>2900</v>
      </c>
      <c r="B165" s="451"/>
      <c r="C165" s="452" t="s">
        <v>652</v>
      </c>
      <c r="D165" s="453"/>
      <c r="E165" s="454">
        <v>80</v>
      </c>
      <c r="F165" s="11"/>
      <c r="G165" s="455"/>
      <c r="H165" s="11"/>
      <c r="I165" s="462"/>
    </row>
    <row r="166" spans="1:9" x14ac:dyDescent="0.25">
      <c r="A166" s="431" t="s">
        <v>634</v>
      </c>
      <c r="B166" s="451"/>
      <c r="C166" s="452" t="s">
        <v>434</v>
      </c>
      <c r="D166" s="453"/>
      <c r="E166" s="454">
        <v>0</v>
      </c>
      <c r="F166" s="11"/>
      <c r="G166" s="455"/>
      <c r="H166" s="11"/>
      <c r="I166" s="12"/>
    </row>
    <row r="167" spans="1:9" x14ac:dyDescent="0.25">
      <c r="A167" s="456">
        <f>SUM(E163:E177)</f>
        <v>3200</v>
      </c>
      <c r="B167" s="451"/>
      <c r="C167" s="452" t="s">
        <v>643</v>
      </c>
      <c r="D167" s="453"/>
      <c r="E167" s="454">
        <v>500</v>
      </c>
      <c r="F167" s="11"/>
      <c r="G167" s="455"/>
      <c r="H167" s="11"/>
      <c r="I167" s="12"/>
    </row>
    <row r="168" spans="1:9" x14ac:dyDescent="0.25">
      <c r="A168" s="431" t="s">
        <v>635</v>
      </c>
      <c r="B168" s="451"/>
      <c r="C168" s="452" t="s">
        <v>542</v>
      </c>
      <c r="D168" s="453"/>
      <c r="E168" s="454">
        <v>120</v>
      </c>
      <c r="F168" s="11"/>
      <c r="G168" s="455"/>
      <c r="H168" s="11"/>
      <c r="I168" s="12"/>
    </row>
    <row r="169" spans="1:9" x14ac:dyDescent="0.25">
      <c r="A169" s="458">
        <f>+A165-A167</f>
        <v>-300</v>
      </c>
      <c r="B169" s="451"/>
      <c r="C169" s="452" t="s">
        <v>670</v>
      </c>
      <c r="D169" s="453"/>
      <c r="E169" s="454">
        <v>300</v>
      </c>
      <c r="F169" s="11"/>
      <c r="G169" s="455"/>
      <c r="H169" s="11"/>
      <c r="I169" s="12"/>
    </row>
    <row r="170" spans="1:9" x14ac:dyDescent="0.25">
      <c r="A170" s="431" t="s">
        <v>636</v>
      </c>
      <c r="B170" s="451"/>
      <c r="C170" s="452" t="s">
        <v>682</v>
      </c>
      <c r="D170" s="453"/>
      <c r="E170" s="454">
        <v>670</v>
      </c>
      <c r="F170" s="460"/>
      <c r="G170" s="455"/>
      <c r="H170" s="11"/>
      <c r="I170" s="12"/>
    </row>
    <row r="171" spans="1:9" x14ac:dyDescent="0.25">
      <c r="A171" s="456">
        <f>_NOV11-A4+A156</f>
        <v>-3700</v>
      </c>
      <c r="B171" s="451"/>
      <c r="C171" s="452" t="s">
        <v>675</v>
      </c>
      <c r="D171" s="453"/>
      <c r="E171" s="454">
        <v>400</v>
      </c>
      <c r="F171" s="11"/>
      <c r="G171" s="459"/>
      <c r="H171" s="11"/>
      <c r="I171" s="12"/>
    </row>
    <row r="172" spans="1:9" x14ac:dyDescent="0.25">
      <c r="A172" s="456"/>
      <c r="B172" s="451"/>
      <c r="C172" s="452" t="s">
        <v>683</v>
      </c>
      <c r="D172" s="453"/>
      <c r="E172" s="454">
        <v>450</v>
      </c>
      <c r="F172" s="11"/>
      <c r="G172" s="459"/>
      <c r="H172" s="11"/>
      <c r="I172" s="12"/>
    </row>
    <row r="173" spans="1:9" x14ac:dyDescent="0.25">
      <c r="A173" s="456"/>
      <c r="B173" s="451"/>
      <c r="C173" s="452" t="s">
        <v>684</v>
      </c>
      <c r="D173" s="453"/>
      <c r="E173" s="454">
        <v>200</v>
      </c>
      <c r="F173" s="11"/>
      <c r="G173" s="459"/>
      <c r="H173" s="11"/>
      <c r="I173" s="12"/>
    </row>
    <row r="174" spans="1:9" x14ac:dyDescent="0.25">
      <c r="A174" s="456"/>
      <c r="B174" s="451"/>
      <c r="C174" s="452" t="s">
        <v>685</v>
      </c>
      <c r="D174" s="453"/>
      <c r="E174" s="454">
        <v>100</v>
      </c>
      <c r="F174" s="11"/>
      <c r="G174" s="459"/>
      <c r="H174" s="11"/>
      <c r="I174" s="12"/>
    </row>
    <row r="175" spans="1:9" x14ac:dyDescent="0.25">
      <c r="A175" s="456"/>
      <c r="B175" s="451"/>
      <c r="C175" s="452" t="s">
        <v>686</v>
      </c>
      <c r="D175" s="453"/>
      <c r="E175" s="454">
        <v>150</v>
      </c>
      <c r="F175" s="11"/>
      <c r="G175" s="459"/>
      <c r="H175" s="11"/>
      <c r="I175" s="12"/>
    </row>
    <row r="176" spans="1:9" x14ac:dyDescent="0.25">
      <c r="A176" s="456"/>
      <c r="B176" s="451"/>
      <c r="C176" s="452" t="s">
        <v>687</v>
      </c>
      <c r="D176" s="453"/>
      <c r="E176" s="454">
        <v>100</v>
      </c>
      <c r="F176" s="11"/>
      <c r="G176" s="459"/>
      <c r="H176" s="460"/>
      <c r="I176" s="12"/>
    </row>
    <row r="177" spans="1:10" x14ac:dyDescent="0.25">
      <c r="B177" s="451"/>
      <c r="C177" s="452"/>
      <c r="D177" s="453"/>
      <c r="E177" s="454"/>
      <c r="F177" s="460"/>
      <c r="G177" s="459"/>
      <c r="H177" s="460"/>
      <c r="I177" s="12"/>
    </row>
    <row r="178" spans="1:10" x14ac:dyDescent="0.25">
      <c r="A178" s="450" t="s">
        <v>52</v>
      </c>
      <c r="B178" s="451"/>
      <c r="C178" s="452" t="s">
        <v>13</v>
      </c>
      <c r="D178" s="453">
        <v>3200</v>
      </c>
      <c r="E178" s="454"/>
      <c r="F178" s="11"/>
      <c r="G178" s="455"/>
      <c r="H178" s="11"/>
      <c r="I178" s="12"/>
    </row>
    <row r="179" spans="1:10" x14ac:dyDescent="0.25">
      <c r="A179" s="431" t="s">
        <v>633</v>
      </c>
      <c r="B179" s="451"/>
      <c r="C179" s="452" t="s">
        <v>543</v>
      </c>
      <c r="D179" s="453"/>
      <c r="E179" s="454">
        <v>40</v>
      </c>
      <c r="F179" s="11"/>
      <c r="G179" s="459"/>
      <c r="H179" s="11"/>
      <c r="I179" s="12"/>
    </row>
    <row r="180" spans="1:10" x14ac:dyDescent="0.25">
      <c r="A180" s="456">
        <f>SUM(D178:D193)</f>
        <v>3200</v>
      </c>
      <c r="B180" s="451"/>
      <c r="C180" s="452" t="s">
        <v>652</v>
      </c>
      <c r="D180" s="453"/>
      <c r="E180" s="454">
        <v>50</v>
      </c>
      <c r="F180" s="11"/>
      <c r="G180" s="459"/>
      <c r="H180" s="11"/>
      <c r="I180" s="12"/>
    </row>
    <row r="181" spans="1:10" x14ac:dyDescent="0.25">
      <c r="A181" s="431" t="s">
        <v>634</v>
      </c>
      <c r="B181" s="451"/>
      <c r="C181" s="452" t="s">
        <v>434</v>
      </c>
      <c r="D181" s="453"/>
      <c r="E181" s="454">
        <v>100</v>
      </c>
      <c r="F181" s="11"/>
      <c r="G181" s="459"/>
      <c r="H181" s="11"/>
      <c r="I181" s="12"/>
      <c r="J181" s="15"/>
    </row>
    <row r="182" spans="1:10" x14ac:dyDescent="0.25">
      <c r="A182" s="456">
        <f>SUM(E178:E193)</f>
        <v>3300</v>
      </c>
      <c r="B182" s="451"/>
      <c r="C182" s="452" t="s">
        <v>643</v>
      </c>
      <c r="D182" s="453"/>
      <c r="E182" s="454">
        <v>760</v>
      </c>
      <c r="F182" s="11"/>
      <c r="G182" s="459"/>
      <c r="H182" s="460"/>
      <c r="I182" s="462"/>
      <c r="J182" s="15"/>
    </row>
    <row r="183" spans="1:10" x14ac:dyDescent="0.25">
      <c r="A183" s="431" t="s">
        <v>635</v>
      </c>
      <c r="B183" s="451"/>
      <c r="C183" s="452" t="s">
        <v>542</v>
      </c>
      <c r="D183" s="453"/>
      <c r="E183" s="454">
        <v>190</v>
      </c>
      <c r="F183" s="11"/>
      <c r="G183" s="459"/>
      <c r="H183" s="11"/>
      <c r="I183" s="462"/>
      <c r="J183" s="15"/>
    </row>
    <row r="184" spans="1:10" x14ac:dyDescent="0.25">
      <c r="A184" s="458">
        <f>+A180-A182</f>
        <v>-100</v>
      </c>
      <c r="B184" s="451"/>
      <c r="C184" s="452" t="s">
        <v>670</v>
      </c>
      <c r="D184" s="453"/>
      <c r="E184" s="454">
        <v>310</v>
      </c>
      <c r="F184" s="11"/>
      <c r="G184" s="459"/>
      <c r="H184" s="11"/>
      <c r="I184" s="12"/>
      <c r="J184" s="15"/>
    </row>
    <row r="185" spans="1:10" x14ac:dyDescent="0.25">
      <c r="A185" s="431" t="s">
        <v>636</v>
      </c>
      <c r="B185" s="451"/>
      <c r="C185" s="452" t="s">
        <v>688</v>
      </c>
      <c r="D185" s="453"/>
      <c r="E185" s="454">
        <v>650</v>
      </c>
      <c r="F185" s="11"/>
      <c r="G185" s="459"/>
      <c r="H185" s="460"/>
      <c r="I185" s="462"/>
      <c r="J185" s="15"/>
    </row>
    <row r="186" spans="1:10" x14ac:dyDescent="0.25">
      <c r="A186" s="456">
        <f>_DIC11-A4+A171</f>
        <v>-4200</v>
      </c>
      <c r="B186" s="451"/>
      <c r="C186" s="452" t="s">
        <v>675</v>
      </c>
      <c r="D186" s="453"/>
      <c r="E186" s="454">
        <v>400</v>
      </c>
      <c r="F186" s="11"/>
      <c r="G186" s="459"/>
      <c r="H186" s="11"/>
      <c r="I186" s="462"/>
      <c r="J186" s="15"/>
    </row>
    <row r="187" spans="1:10" x14ac:dyDescent="0.25">
      <c r="A187" s="456"/>
      <c r="B187" s="451"/>
      <c r="C187" s="452" t="s">
        <v>689</v>
      </c>
      <c r="D187" s="453"/>
      <c r="E187" s="454">
        <v>100</v>
      </c>
      <c r="F187" s="11"/>
      <c r="G187" s="459"/>
      <c r="H187" s="460"/>
      <c r="I187" s="462"/>
      <c r="J187" s="15"/>
    </row>
    <row r="188" spans="1:10" x14ac:dyDescent="0.25">
      <c r="A188" s="456"/>
      <c r="B188" s="451"/>
      <c r="C188" s="452" t="s">
        <v>690</v>
      </c>
      <c r="D188" s="453"/>
      <c r="E188" s="454">
        <v>100</v>
      </c>
      <c r="F188" s="11"/>
      <c r="G188" s="459"/>
      <c r="H188" s="11"/>
      <c r="I188" s="462"/>
      <c r="J188" s="15"/>
    </row>
    <row r="189" spans="1:10" x14ac:dyDescent="0.25">
      <c r="A189" s="456"/>
      <c r="B189" s="451"/>
      <c r="C189" s="452" t="s">
        <v>691</v>
      </c>
      <c r="D189" s="453"/>
      <c r="E189" s="454">
        <v>50</v>
      </c>
      <c r="F189" s="11"/>
      <c r="G189" s="459"/>
      <c r="H189" s="11"/>
      <c r="I189" s="462"/>
      <c r="J189" s="15"/>
    </row>
    <row r="190" spans="1:10" x14ac:dyDescent="0.25">
      <c r="A190" s="456"/>
      <c r="B190" s="451"/>
      <c r="C190" s="452" t="s">
        <v>692</v>
      </c>
      <c r="D190" s="453"/>
      <c r="E190" s="454">
        <v>250</v>
      </c>
      <c r="F190" s="11"/>
      <c r="G190" s="459"/>
      <c r="H190" s="11"/>
      <c r="I190" s="12"/>
    </row>
    <row r="191" spans="1:10" x14ac:dyDescent="0.25">
      <c r="A191" s="456"/>
      <c r="B191" s="451"/>
      <c r="C191" s="452" t="s">
        <v>693</v>
      </c>
      <c r="D191" s="453"/>
      <c r="E191" s="454">
        <v>200</v>
      </c>
      <c r="F191" s="11"/>
      <c r="G191" s="459"/>
      <c r="H191" s="11"/>
      <c r="I191" s="12"/>
    </row>
    <row r="192" spans="1:10" x14ac:dyDescent="0.25">
      <c r="A192" s="456"/>
      <c r="B192" s="451"/>
      <c r="C192" s="452" t="s">
        <v>694</v>
      </c>
      <c r="D192" s="453"/>
      <c r="E192" s="454">
        <v>100</v>
      </c>
      <c r="F192" s="11"/>
      <c r="G192" s="459"/>
      <c r="H192" s="11"/>
      <c r="I192" s="12"/>
    </row>
    <row r="193" spans="2:11" x14ac:dyDescent="0.25">
      <c r="B193" s="451"/>
      <c r="C193" s="452"/>
      <c r="D193" s="453"/>
      <c r="E193" s="454"/>
      <c r="F193" s="460"/>
      <c r="G193" s="459"/>
      <c r="H193" s="460"/>
      <c r="I193" s="12"/>
    </row>
    <row r="194" spans="2:11" x14ac:dyDescent="0.25">
      <c r="D194" s="329"/>
      <c r="E194" s="329"/>
    </row>
    <row r="195" spans="2:11" x14ac:dyDescent="0.25">
      <c r="D195" s="329"/>
      <c r="E195" s="329"/>
    </row>
    <row r="196" spans="2:11" x14ac:dyDescent="0.25">
      <c r="D196" s="329"/>
      <c r="E196" s="329"/>
    </row>
    <row r="197" spans="2:11" x14ac:dyDescent="0.25">
      <c r="D197" s="329"/>
      <c r="E197" s="329"/>
      <c r="I197" s="589" t="s">
        <v>28</v>
      </c>
      <c r="J197" s="590">
        <f>E2</f>
        <v>600</v>
      </c>
      <c r="K197" s="589"/>
    </row>
    <row r="198" spans="2:11" x14ac:dyDescent="0.25">
      <c r="D198" s="329"/>
      <c r="E198" s="329"/>
      <c r="I198" s="589" t="s">
        <v>29</v>
      </c>
      <c r="J198" s="589"/>
      <c r="K198" s="589"/>
    </row>
    <row r="199" spans="2:11" x14ac:dyDescent="0.25">
      <c r="D199" s="329"/>
      <c r="E199" s="329"/>
      <c r="I199" s="592">
        <f>_ENE11</f>
        <v>1000</v>
      </c>
      <c r="J199" s="592"/>
      <c r="K199" s="589" t="s">
        <v>31</v>
      </c>
    </row>
    <row r="200" spans="2:11" x14ac:dyDescent="0.25">
      <c r="D200" s="329"/>
      <c r="E200" s="329"/>
      <c r="I200" s="592">
        <f>_FEB11</f>
        <v>-600</v>
      </c>
      <c r="J200" s="592"/>
      <c r="K200" s="589"/>
    </row>
    <row r="201" spans="2:11" x14ac:dyDescent="0.25">
      <c r="D201" s="329"/>
      <c r="E201" s="329"/>
      <c r="I201" s="592">
        <f>_MAR11</f>
        <v>-200</v>
      </c>
      <c r="J201" s="592"/>
      <c r="K201" s="589"/>
    </row>
    <row r="202" spans="2:11" x14ac:dyDescent="0.25">
      <c r="D202" s="329"/>
      <c r="E202" s="329"/>
      <c r="I202" s="592">
        <f>_ABR11</f>
        <v>550</v>
      </c>
      <c r="J202" s="592"/>
      <c r="K202" s="589"/>
    </row>
    <row r="203" spans="2:11" x14ac:dyDescent="0.25">
      <c r="D203" s="329"/>
      <c r="E203" s="329"/>
      <c r="I203" s="592">
        <f>_MAY11</f>
        <v>250</v>
      </c>
      <c r="J203" s="592"/>
      <c r="K203" s="589"/>
    </row>
    <row r="204" spans="2:11" x14ac:dyDescent="0.25">
      <c r="D204" s="329"/>
      <c r="E204" s="329"/>
      <c r="I204" s="592">
        <f>_JUN11</f>
        <v>300</v>
      </c>
      <c r="J204" s="592"/>
      <c r="K204" s="589"/>
    </row>
    <row r="205" spans="2:11" x14ac:dyDescent="0.25">
      <c r="D205" s="329"/>
      <c r="E205" s="329"/>
      <c r="I205" s="592">
        <f>_JUL11</f>
        <v>100</v>
      </c>
      <c r="J205" s="592"/>
      <c r="K205" s="589"/>
    </row>
    <row r="206" spans="2:11" x14ac:dyDescent="0.25">
      <c r="D206" s="329"/>
      <c r="E206" s="329"/>
      <c r="I206" s="592">
        <f>_AGO11</f>
        <v>200</v>
      </c>
      <c r="J206" s="592"/>
      <c r="K206" s="589"/>
    </row>
    <row r="207" spans="2:11" x14ac:dyDescent="0.25">
      <c r="D207" s="329"/>
      <c r="E207" s="329"/>
      <c r="I207" s="592">
        <f>_SEP11</f>
        <v>-300</v>
      </c>
      <c r="J207" s="592"/>
      <c r="K207" s="589"/>
    </row>
    <row r="208" spans="2:11" x14ac:dyDescent="0.25">
      <c r="D208" s="329"/>
      <c r="E208" s="329"/>
      <c r="I208" s="592">
        <f>_OCT11</f>
        <v>-300</v>
      </c>
      <c r="J208" s="592"/>
      <c r="K208" s="589"/>
    </row>
    <row r="209" spans="2:14" x14ac:dyDescent="0.25">
      <c r="D209" s="329"/>
      <c r="E209" s="329"/>
      <c r="I209" s="592">
        <f>_NOV11</f>
        <v>-300</v>
      </c>
      <c r="J209" s="592"/>
      <c r="K209" s="589"/>
    </row>
    <row r="210" spans="2:14" x14ac:dyDescent="0.25">
      <c r="D210" s="329"/>
      <c r="E210" s="329"/>
      <c r="I210" s="592">
        <f>_DIC11</f>
        <v>-100</v>
      </c>
      <c r="J210" s="592"/>
      <c r="K210" s="589"/>
    </row>
    <row r="211" spans="2:14" x14ac:dyDescent="0.25">
      <c r="D211" s="329"/>
      <c r="E211" s="329"/>
      <c r="I211" s="592">
        <f>SUM(I199:I210)</f>
        <v>600</v>
      </c>
      <c r="J211" s="592">
        <f>-SUM(J199:J210)</f>
        <v>0</v>
      </c>
      <c r="K211" s="592">
        <f>I211-J211</f>
        <v>600</v>
      </c>
    </row>
    <row r="212" spans="2:14" x14ac:dyDescent="0.25">
      <c r="D212" s="329"/>
      <c r="E212" s="329"/>
      <c r="I212" s="23"/>
      <c r="J212" s="23"/>
      <c r="K212" s="15"/>
    </row>
    <row r="213" spans="2:14" x14ac:dyDescent="0.25">
      <c r="D213" s="329"/>
      <c r="E213" s="329"/>
      <c r="F213" s="594"/>
      <c r="G213" s="595"/>
      <c r="H213" s="49"/>
      <c r="I213" s="181"/>
      <c r="J213" s="332"/>
      <c r="K213" s="51"/>
      <c r="L213" s="37"/>
      <c r="M213" s="588"/>
      <c r="N213" s="37"/>
    </row>
    <row r="214" spans="2:14" x14ac:dyDescent="0.25">
      <c r="D214" s="329"/>
      <c r="E214" s="329"/>
      <c r="F214" s="594"/>
      <c r="G214" s="595"/>
      <c r="H214" s="50"/>
      <c r="I214" s="181"/>
      <c r="J214" s="577"/>
      <c r="K214" s="51"/>
      <c r="L214" s="43"/>
      <c r="M214" s="37"/>
      <c r="N214" s="37"/>
    </row>
    <row r="215" spans="2:14" x14ac:dyDescent="0.25">
      <c r="B215" s="391" t="s">
        <v>32</v>
      </c>
      <c r="C215" s="391" t="s">
        <v>33</v>
      </c>
      <c r="F215" s="594"/>
      <c r="G215" s="595"/>
      <c r="H215" s="49"/>
      <c r="I215" s="181"/>
      <c r="J215" s="332"/>
      <c r="K215" s="51"/>
      <c r="L215" s="37"/>
      <c r="M215" s="37"/>
      <c r="N215" s="37"/>
    </row>
    <row r="216" spans="2:14" x14ac:dyDescent="0.25">
      <c r="B216" s="391">
        <f>SUM(D6:D215)</f>
        <v>36600</v>
      </c>
      <c r="C216" s="391">
        <f>SUM(E6:E215)</f>
        <v>36000</v>
      </c>
      <c r="F216" s="594"/>
      <c r="G216" s="595"/>
      <c r="H216" s="49"/>
      <c r="I216" s="332"/>
      <c r="J216" s="332"/>
      <c r="K216" s="51"/>
      <c r="L216" s="37"/>
      <c r="M216" s="37"/>
      <c r="N216" s="37"/>
    </row>
    <row r="217" spans="2:14" x14ac:dyDescent="0.25">
      <c r="D217" s="329"/>
      <c r="E217" s="329"/>
      <c r="F217" s="594"/>
      <c r="G217" s="595"/>
      <c r="H217" s="49"/>
      <c r="I217" s="596"/>
      <c r="J217" s="332"/>
      <c r="K217" s="51"/>
      <c r="L217" s="37"/>
      <c r="M217" s="37"/>
      <c r="N217" s="37"/>
    </row>
    <row r="218" spans="2:14" x14ac:dyDescent="0.25">
      <c r="F218" s="594"/>
      <c r="G218" s="595"/>
      <c r="H218" s="49"/>
      <c r="I218" s="181"/>
      <c r="J218" s="332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58" workbookViewId="0">
      <selection activeCell="D27" sqref="D27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08" customWidth="1"/>
    <col min="4" max="4" width="13.5703125" style="408" customWidth="1"/>
    <col min="5" max="5" width="17.140625" customWidth="1"/>
    <col min="6" max="6" width="12.28515625" customWidth="1"/>
    <col min="7" max="7" width="9.7109375" customWidth="1"/>
    <col min="8" max="8" width="12.28515625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186">
        <f ca="1">TODAY()</f>
        <v>44440</v>
      </c>
      <c r="B1" s="1187"/>
      <c r="C1" s="409" t="s">
        <v>0</v>
      </c>
      <c r="D1" s="410">
        <f>COUNTA(A6:A154)</f>
        <v>149</v>
      </c>
      <c r="E1" s="367" t="s">
        <v>1</v>
      </c>
      <c r="F1" s="368"/>
    </row>
    <row r="2" spans="1:11" x14ac:dyDescent="0.25">
      <c r="A2" s="301" t="s">
        <v>2</v>
      </c>
      <c r="B2" s="302">
        <f>G16+G31+G44+G53+G61+G69+G85+G98+G111+G125+G140+G154</f>
        <v>5000</v>
      </c>
      <c r="C2" s="411" t="s">
        <v>3</v>
      </c>
      <c r="D2" s="1035">
        <f>SUM(C5:C205)-SUM(D5:D205)</f>
        <v>21930.449999999997</v>
      </c>
      <c r="E2" s="412" t="s">
        <v>4</v>
      </c>
      <c r="F2" s="413">
        <f>+D2</f>
        <v>21930.449999999997</v>
      </c>
      <c r="H2">
        <v>500</v>
      </c>
      <c r="I2">
        <f>+I4*12</f>
        <v>0</v>
      </c>
    </row>
    <row r="3" spans="1:11" x14ac:dyDescent="0.25">
      <c r="A3" s="301"/>
      <c r="B3" s="302"/>
      <c r="C3" s="414" t="s">
        <v>5</v>
      </c>
      <c r="D3" s="415" t="e">
        <f>+FondoEnDolades</f>
        <v>#NAME?</v>
      </c>
      <c r="E3" s="412" t="s">
        <v>6</v>
      </c>
      <c r="F3" s="413" t="e">
        <f>+D3*Cotizacion_Dolar</f>
        <v>#NAME?</v>
      </c>
    </row>
    <row r="4" spans="1:11" x14ac:dyDescent="0.25">
      <c r="A4" s="399" t="s">
        <v>7</v>
      </c>
      <c r="B4" s="400" t="s">
        <v>8</v>
      </c>
      <c r="C4" s="401" t="s">
        <v>9</v>
      </c>
      <c r="D4" s="402" t="s">
        <v>64</v>
      </c>
      <c r="E4" s="416" t="s">
        <v>10</v>
      </c>
      <c r="F4" s="413" t="e">
        <f>+F2-F3</f>
        <v>#NAME?</v>
      </c>
      <c r="H4">
        <v>500</v>
      </c>
      <c r="I4">
        <f>-(+H2-H4)</f>
        <v>0</v>
      </c>
    </row>
    <row r="5" spans="1:11" x14ac:dyDescent="0.25">
      <c r="A5" s="374"/>
      <c r="B5" s="375" t="s">
        <v>570</v>
      </c>
      <c r="C5" s="376">
        <v>16930.449999999997</v>
      </c>
      <c r="D5" s="376"/>
    </row>
    <row r="6" spans="1:11" x14ac:dyDescent="0.25">
      <c r="A6" s="417">
        <v>40179</v>
      </c>
      <c r="B6" s="418" t="s">
        <v>571</v>
      </c>
      <c r="C6" s="419">
        <v>300</v>
      </c>
      <c r="D6" s="419"/>
    </row>
    <row r="7" spans="1:11" x14ac:dyDescent="0.25">
      <c r="A7" s="417">
        <v>40179</v>
      </c>
      <c r="B7" s="418" t="s">
        <v>13</v>
      </c>
      <c r="C7" s="419">
        <v>2200</v>
      </c>
      <c r="D7" s="419"/>
    </row>
    <row r="8" spans="1:11" x14ac:dyDescent="0.25">
      <c r="A8" s="417">
        <v>40179</v>
      </c>
      <c r="B8" s="418" t="s">
        <v>19</v>
      </c>
      <c r="C8" s="419">
        <v>1100</v>
      </c>
      <c r="D8" s="419"/>
      <c r="F8" s="349"/>
      <c r="G8" s="314"/>
    </row>
    <row r="9" spans="1:11" x14ac:dyDescent="0.25">
      <c r="A9" s="417">
        <v>40179</v>
      </c>
      <c r="B9" s="418" t="s">
        <v>572</v>
      </c>
      <c r="C9" s="419"/>
      <c r="D9" s="419">
        <v>400</v>
      </c>
      <c r="F9" s="349"/>
      <c r="G9" s="324"/>
      <c r="H9" s="313"/>
    </row>
    <row r="10" spans="1:11" x14ac:dyDescent="0.25">
      <c r="A10" s="417">
        <v>40179</v>
      </c>
      <c r="B10" s="418" t="s">
        <v>573</v>
      </c>
      <c r="C10" s="419"/>
      <c r="D10" s="419">
        <v>200</v>
      </c>
      <c r="F10" s="349"/>
      <c r="G10" s="324"/>
      <c r="H10" s="313"/>
      <c r="K10" s="182"/>
    </row>
    <row r="11" spans="1:11" x14ac:dyDescent="0.25">
      <c r="A11" s="417">
        <v>40179</v>
      </c>
      <c r="B11" s="418" t="s">
        <v>574</v>
      </c>
      <c r="C11" s="419"/>
      <c r="D11" s="419">
        <v>100</v>
      </c>
      <c r="F11" s="349"/>
      <c r="G11" s="324"/>
      <c r="H11" s="313"/>
    </row>
    <row r="12" spans="1:11" x14ac:dyDescent="0.25">
      <c r="A12" s="417">
        <v>40179</v>
      </c>
      <c r="B12" s="418" t="s">
        <v>575</v>
      </c>
      <c r="C12" s="419"/>
      <c r="D12" s="419">
        <v>300</v>
      </c>
      <c r="F12" s="349"/>
      <c r="G12" s="324"/>
      <c r="H12" s="313"/>
    </row>
    <row r="13" spans="1:11" x14ac:dyDescent="0.25">
      <c r="A13" s="417">
        <v>40179</v>
      </c>
      <c r="B13" s="418" t="s">
        <v>303</v>
      </c>
      <c r="C13" s="419"/>
      <c r="D13" s="419">
        <v>230</v>
      </c>
      <c r="F13" s="349"/>
      <c r="G13" s="324"/>
      <c r="H13" s="313"/>
    </row>
    <row r="14" spans="1:11" x14ac:dyDescent="0.25">
      <c r="A14" s="417">
        <v>40179</v>
      </c>
      <c r="B14" s="418" t="s">
        <v>542</v>
      </c>
      <c r="C14" s="419"/>
      <c r="D14" s="419">
        <v>150</v>
      </c>
      <c r="E14" s="382" t="s">
        <v>11</v>
      </c>
      <c r="F14" s="314"/>
      <c r="G14" s="314"/>
    </row>
    <row r="15" spans="1:11" x14ac:dyDescent="0.25">
      <c r="A15" s="417">
        <v>40179</v>
      </c>
      <c r="B15" s="418" t="s">
        <v>454</v>
      </c>
      <c r="C15" s="419"/>
      <c r="D15" s="419">
        <v>100</v>
      </c>
      <c r="E15" s="383" t="s">
        <v>312</v>
      </c>
      <c r="F15" s="384">
        <f>COUNTA(A6:A16)</f>
        <v>11</v>
      </c>
      <c r="G15" s="314"/>
    </row>
    <row r="16" spans="1:11" ht="15.75" thickBot="1" x14ac:dyDescent="0.3">
      <c r="A16" s="420">
        <v>40179</v>
      </c>
      <c r="B16" s="421" t="s">
        <v>543</v>
      </c>
      <c r="C16" s="422"/>
      <c r="D16" s="422">
        <v>120</v>
      </c>
      <c r="E16" s="423">
        <f>SUM(C6:C16)</f>
        <v>3600</v>
      </c>
      <c r="F16" s="423">
        <f>SUM(D6:D16)</f>
        <v>1600</v>
      </c>
      <c r="G16" s="423">
        <f>E16-F16</f>
        <v>2000</v>
      </c>
      <c r="H16">
        <f>_ENE10-H4</f>
        <v>1500</v>
      </c>
    </row>
    <row r="17" spans="1:11" x14ac:dyDescent="0.25">
      <c r="A17" s="417">
        <v>40213</v>
      </c>
      <c r="B17" s="418" t="s">
        <v>571</v>
      </c>
      <c r="C17" s="419">
        <v>250</v>
      </c>
      <c r="D17" s="419"/>
      <c r="E17" s="314"/>
      <c r="F17" s="314"/>
      <c r="G17" s="314"/>
    </row>
    <row r="18" spans="1:11" x14ac:dyDescent="0.25">
      <c r="A18" s="417">
        <v>40213</v>
      </c>
      <c r="B18" s="418" t="s">
        <v>13</v>
      </c>
      <c r="C18" s="419">
        <v>2500</v>
      </c>
      <c r="D18" s="419"/>
      <c r="E18" s="314"/>
      <c r="F18" s="314"/>
      <c r="G18" s="314"/>
    </row>
    <row r="19" spans="1:11" x14ac:dyDescent="0.25">
      <c r="A19" s="417">
        <v>40213</v>
      </c>
      <c r="B19" s="424" t="s">
        <v>323</v>
      </c>
      <c r="C19" s="419"/>
      <c r="D19" s="419">
        <v>150</v>
      </c>
      <c r="E19" s="314"/>
      <c r="F19" s="314"/>
      <c r="G19" s="314"/>
    </row>
    <row r="20" spans="1:11" x14ac:dyDescent="0.25">
      <c r="A20" s="417">
        <v>40213</v>
      </c>
      <c r="B20" s="418" t="s">
        <v>576</v>
      </c>
      <c r="C20" s="419"/>
      <c r="D20" s="419">
        <v>150</v>
      </c>
      <c r="E20" s="314"/>
      <c r="F20" s="314"/>
      <c r="G20" s="314"/>
      <c r="J20" s="182"/>
      <c r="K20" s="182"/>
    </row>
    <row r="21" spans="1:11" x14ac:dyDescent="0.25">
      <c r="A21" s="417">
        <v>40213</v>
      </c>
      <c r="B21" s="418" t="s">
        <v>577</v>
      </c>
      <c r="C21" s="419"/>
      <c r="D21" s="419">
        <v>200</v>
      </c>
      <c r="E21" s="15"/>
      <c r="F21" s="15"/>
      <c r="G21" s="15"/>
      <c r="H21" s="15"/>
      <c r="I21" s="15"/>
      <c r="J21" s="425"/>
    </row>
    <row r="22" spans="1:11" x14ac:dyDescent="0.25">
      <c r="A22" s="417">
        <v>40213</v>
      </c>
      <c r="B22" s="418" t="s">
        <v>578</v>
      </c>
      <c r="C22" s="419"/>
      <c r="D22" s="419">
        <v>750</v>
      </c>
      <c r="E22" s="15"/>
      <c r="F22" s="15"/>
      <c r="G22" s="15"/>
      <c r="H22" s="15"/>
      <c r="I22" s="15"/>
      <c r="J22" s="15"/>
    </row>
    <row r="23" spans="1:11" x14ac:dyDescent="0.25">
      <c r="A23" s="417">
        <v>40213</v>
      </c>
      <c r="B23" s="418" t="s">
        <v>579</v>
      </c>
      <c r="C23" s="419"/>
      <c r="D23" s="419">
        <v>300</v>
      </c>
      <c r="E23" s="15"/>
      <c r="F23" s="15"/>
      <c r="G23" s="15"/>
      <c r="H23" s="15"/>
      <c r="I23" s="15"/>
      <c r="J23" s="15"/>
    </row>
    <row r="24" spans="1:11" x14ac:dyDescent="0.25">
      <c r="A24" s="417">
        <v>40213</v>
      </c>
      <c r="B24" s="424" t="s">
        <v>580</v>
      </c>
      <c r="C24" s="419"/>
      <c r="D24" s="419">
        <v>100</v>
      </c>
      <c r="E24" s="314"/>
      <c r="F24" s="314"/>
      <c r="G24" s="314"/>
    </row>
    <row r="25" spans="1:11" x14ac:dyDescent="0.25">
      <c r="A25" s="417">
        <v>40213</v>
      </c>
      <c r="B25" s="424" t="s">
        <v>378</v>
      </c>
      <c r="C25" s="419"/>
      <c r="D25" s="419">
        <v>40</v>
      </c>
      <c r="E25" s="15"/>
      <c r="F25" s="15"/>
      <c r="G25" s="15"/>
      <c r="H25" s="15"/>
      <c r="I25" s="15"/>
      <c r="J25" s="15"/>
    </row>
    <row r="26" spans="1:11" x14ac:dyDescent="0.25">
      <c r="A26" s="417">
        <v>40213</v>
      </c>
      <c r="B26" s="424" t="s">
        <v>581</v>
      </c>
      <c r="C26" s="419"/>
      <c r="D26" s="419">
        <v>40</v>
      </c>
      <c r="E26" s="15"/>
      <c r="F26" s="15"/>
      <c r="G26" s="15"/>
      <c r="H26" s="15"/>
      <c r="I26" s="15"/>
      <c r="J26" s="15"/>
    </row>
    <row r="27" spans="1:11" x14ac:dyDescent="0.25">
      <c r="A27" s="417">
        <v>40213</v>
      </c>
      <c r="B27" s="418" t="s">
        <v>582</v>
      </c>
      <c r="C27" s="419"/>
      <c r="D27" s="419">
        <v>250</v>
      </c>
      <c r="E27" s="15"/>
      <c r="F27" s="15"/>
      <c r="G27" s="15"/>
      <c r="H27" s="15"/>
      <c r="I27" s="425"/>
      <c r="J27" s="15"/>
    </row>
    <row r="28" spans="1:11" x14ac:dyDescent="0.25">
      <c r="A28" s="417">
        <v>40213</v>
      </c>
      <c r="B28" s="418" t="s">
        <v>303</v>
      </c>
      <c r="C28" s="419"/>
      <c r="D28" s="419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17">
        <v>40213</v>
      </c>
      <c r="B29" s="418" t="s">
        <v>542</v>
      </c>
      <c r="C29" s="419"/>
      <c r="D29" s="419">
        <v>150</v>
      </c>
      <c r="E29" s="382" t="s">
        <v>16</v>
      </c>
      <c r="F29" s="314"/>
      <c r="G29" s="314"/>
      <c r="K29" s="182"/>
    </row>
    <row r="30" spans="1:11" x14ac:dyDescent="0.25">
      <c r="A30" s="417">
        <v>40213</v>
      </c>
      <c r="B30" s="418" t="s">
        <v>454</v>
      </c>
      <c r="C30" s="419"/>
      <c r="D30" s="419">
        <v>100</v>
      </c>
      <c r="E30" s="383" t="s">
        <v>312</v>
      </c>
      <c r="F30" s="384">
        <f>COUNTA(A17:A31)</f>
        <v>15</v>
      </c>
      <c r="G30" s="314"/>
      <c r="J30" s="182"/>
    </row>
    <row r="31" spans="1:11" ht="15.75" thickBot="1" x14ac:dyDescent="0.3">
      <c r="A31" s="420">
        <v>40213</v>
      </c>
      <c r="B31" s="421" t="s">
        <v>543</v>
      </c>
      <c r="C31" s="422"/>
      <c r="D31" s="422">
        <v>120</v>
      </c>
      <c r="E31" s="426">
        <f>SUM(C17:C31)</f>
        <v>2750</v>
      </c>
      <c r="F31" s="426">
        <f>SUM(D17:D31)</f>
        <v>2650</v>
      </c>
      <c r="G31" s="426">
        <f>E31-F31</f>
        <v>100</v>
      </c>
      <c r="H31">
        <f>_FEB10-H4+H16</f>
        <v>1100</v>
      </c>
      <c r="J31" s="182"/>
    </row>
    <row r="32" spans="1:11" x14ac:dyDescent="0.25">
      <c r="A32" s="417">
        <v>40238</v>
      </c>
      <c r="B32" s="418" t="s">
        <v>571</v>
      </c>
      <c r="C32" s="419">
        <v>200</v>
      </c>
      <c r="D32" s="419"/>
      <c r="E32" s="314"/>
      <c r="F32" s="314"/>
      <c r="G32" s="314"/>
    </row>
    <row r="33" spans="1:11" x14ac:dyDescent="0.25">
      <c r="A33" s="417">
        <v>40238</v>
      </c>
      <c r="B33" s="418" t="s">
        <v>13</v>
      </c>
      <c r="C33" s="419">
        <v>2500</v>
      </c>
      <c r="D33" s="419"/>
      <c r="E33" s="314"/>
      <c r="F33" s="314"/>
      <c r="G33" s="314"/>
      <c r="J33" s="182"/>
    </row>
    <row r="34" spans="1:11" x14ac:dyDescent="0.25">
      <c r="A34" s="417">
        <v>40238</v>
      </c>
      <c r="B34" s="418" t="s">
        <v>583</v>
      </c>
      <c r="C34" s="419"/>
      <c r="D34" s="419">
        <v>100</v>
      </c>
      <c r="E34" s="314"/>
      <c r="F34" s="314"/>
      <c r="G34" s="425"/>
      <c r="I34" s="182"/>
      <c r="J34" s="182"/>
    </row>
    <row r="35" spans="1:11" x14ac:dyDescent="0.25">
      <c r="A35" s="417">
        <v>40238</v>
      </c>
      <c r="B35" s="424" t="s">
        <v>584</v>
      </c>
      <c r="C35" s="419"/>
      <c r="D35" s="419">
        <v>100</v>
      </c>
      <c r="E35" s="314"/>
      <c r="F35" s="314"/>
      <c r="G35" s="15"/>
    </row>
    <row r="36" spans="1:11" x14ac:dyDescent="0.25">
      <c r="A36" s="427">
        <v>40238</v>
      </c>
      <c r="B36" s="418" t="s">
        <v>585</v>
      </c>
      <c r="C36" s="419"/>
      <c r="D36" s="419">
        <v>600</v>
      </c>
      <c r="E36" s="314"/>
      <c r="F36" s="314"/>
      <c r="G36" s="15"/>
    </row>
    <row r="37" spans="1:11" x14ac:dyDescent="0.25">
      <c r="A37" s="417">
        <v>40238</v>
      </c>
      <c r="B37" s="418" t="s">
        <v>586</v>
      </c>
      <c r="C37" s="419"/>
      <c r="D37" s="419">
        <v>400</v>
      </c>
      <c r="E37" s="314"/>
      <c r="F37" s="314"/>
      <c r="G37" s="15"/>
    </row>
    <row r="38" spans="1:11" x14ac:dyDescent="0.25">
      <c r="A38" s="417">
        <v>40238</v>
      </c>
      <c r="B38" s="418" t="s">
        <v>587</v>
      </c>
      <c r="C38" s="419"/>
      <c r="D38" s="419">
        <v>500</v>
      </c>
      <c r="E38" s="314"/>
      <c r="F38" s="314"/>
      <c r="G38" s="314"/>
    </row>
    <row r="39" spans="1:11" x14ac:dyDescent="0.25">
      <c r="A39" s="417">
        <v>40238</v>
      </c>
      <c r="B39" s="424" t="s">
        <v>581</v>
      </c>
      <c r="C39" s="419"/>
      <c r="D39" s="419">
        <v>30</v>
      </c>
      <c r="E39" s="314"/>
      <c r="F39" s="314"/>
      <c r="G39" s="314"/>
    </row>
    <row r="40" spans="1:11" x14ac:dyDescent="0.25">
      <c r="A40" s="417">
        <v>40238</v>
      </c>
      <c r="B40" s="418" t="s">
        <v>588</v>
      </c>
      <c r="C40" s="419"/>
      <c r="D40" s="419">
        <v>200</v>
      </c>
      <c r="E40" s="314"/>
      <c r="F40" s="314"/>
      <c r="G40" s="314"/>
    </row>
    <row r="41" spans="1:11" x14ac:dyDescent="0.25">
      <c r="A41" s="417">
        <v>40238</v>
      </c>
      <c r="B41" s="418" t="s">
        <v>303</v>
      </c>
      <c r="C41" s="419"/>
      <c r="D41" s="419">
        <v>200</v>
      </c>
      <c r="E41" s="314"/>
      <c r="F41" s="314"/>
      <c r="G41" s="314"/>
    </row>
    <row r="42" spans="1:11" x14ac:dyDescent="0.25">
      <c r="A42" s="417">
        <v>40238</v>
      </c>
      <c r="B42" s="418" t="s">
        <v>542</v>
      </c>
      <c r="C42" s="419"/>
      <c r="D42" s="419">
        <v>150</v>
      </c>
      <c r="E42" s="382" t="s">
        <v>17</v>
      </c>
      <c r="F42" s="314"/>
      <c r="G42" s="314"/>
    </row>
    <row r="43" spans="1:11" x14ac:dyDescent="0.25">
      <c r="A43" s="417">
        <v>40238</v>
      </c>
      <c r="B43" s="418" t="s">
        <v>454</v>
      </c>
      <c r="C43" s="419"/>
      <c r="D43" s="419">
        <v>100</v>
      </c>
      <c r="E43" s="383" t="s">
        <v>312</v>
      </c>
      <c r="F43" s="384">
        <f>COUNTA(A32:A44)</f>
        <v>13</v>
      </c>
      <c r="G43" s="314"/>
    </row>
    <row r="44" spans="1:11" ht="15.75" thickBot="1" x14ac:dyDescent="0.3">
      <c r="A44" s="420">
        <v>40238</v>
      </c>
      <c r="B44" s="421" t="s">
        <v>543</v>
      </c>
      <c r="C44" s="422"/>
      <c r="D44" s="422">
        <v>120</v>
      </c>
      <c r="E44" s="423">
        <f>SUM(C32:C44)</f>
        <v>2700</v>
      </c>
      <c r="F44" s="423">
        <f>SUM(D32:D44)</f>
        <v>2500</v>
      </c>
      <c r="G44" s="423">
        <f>E44-F44</f>
        <v>200</v>
      </c>
      <c r="H44">
        <f>_MAR10-H4+H31</f>
        <v>800</v>
      </c>
      <c r="K44" s="182"/>
    </row>
    <row r="45" spans="1:11" x14ac:dyDescent="0.25">
      <c r="A45" s="427">
        <v>40277</v>
      </c>
      <c r="B45" s="428" t="s">
        <v>13</v>
      </c>
      <c r="C45" s="429">
        <v>2500</v>
      </c>
      <c r="D45" s="429"/>
      <c r="E45" s="387"/>
      <c r="F45" s="387"/>
      <c r="G45" s="387"/>
    </row>
    <row r="46" spans="1:11" x14ac:dyDescent="0.25">
      <c r="A46" s="417">
        <v>40277</v>
      </c>
      <c r="B46" s="424" t="s">
        <v>589</v>
      </c>
      <c r="C46" s="419"/>
      <c r="D46" s="419">
        <v>100</v>
      </c>
      <c r="E46" s="314"/>
      <c r="F46" s="314"/>
      <c r="G46" s="314"/>
    </row>
    <row r="47" spans="1:11" x14ac:dyDescent="0.25">
      <c r="A47" s="417">
        <v>40277</v>
      </c>
      <c r="B47" s="418" t="s">
        <v>587</v>
      </c>
      <c r="C47" s="419"/>
      <c r="D47" s="419">
        <v>1300</v>
      </c>
      <c r="E47" s="387"/>
      <c r="F47" s="387"/>
      <c r="G47" s="387"/>
    </row>
    <row r="48" spans="1:11" x14ac:dyDescent="0.25">
      <c r="A48" s="417">
        <v>40277</v>
      </c>
      <c r="B48" s="424" t="s">
        <v>590</v>
      </c>
      <c r="C48" s="419"/>
      <c r="D48" s="419">
        <v>20</v>
      </c>
      <c r="E48" s="387"/>
      <c r="F48" s="387"/>
      <c r="G48" s="387"/>
    </row>
    <row r="49" spans="1:10" x14ac:dyDescent="0.25">
      <c r="A49" s="417">
        <v>40277</v>
      </c>
      <c r="B49" s="418" t="s">
        <v>591</v>
      </c>
      <c r="C49" s="419"/>
      <c r="D49" s="419">
        <v>210</v>
      </c>
      <c r="E49" s="387"/>
      <c r="F49" s="387"/>
      <c r="G49" s="387"/>
    </row>
    <row r="50" spans="1:10" x14ac:dyDescent="0.25">
      <c r="A50" s="417">
        <v>40277</v>
      </c>
      <c r="B50" s="418" t="s">
        <v>303</v>
      </c>
      <c r="C50" s="419"/>
      <c r="D50" s="419">
        <v>320</v>
      </c>
      <c r="E50" s="387"/>
      <c r="F50" s="387"/>
      <c r="G50" s="387"/>
    </row>
    <row r="51" spans="1:10" x14ac:dyDescent="0.25">
      <c r="A51" s="417">
        <v>40277</v>
      </c>
      <c r="B51" s="418" t="s">
        <v>542</v>
      </c>
      <c r="C51" s="419"/>
      <c r="D51" s="419">
        <v>150</v>
      </c>
      <c r="E51" s="382" t="s">
        <v>18</v>
      </c>
      <c r="F51" s="314"/>
      <c r="G51" s="314"/>
    </row>
    <row r="52" spans="1:10" x14ac:dyDescent="0.25">
      <c r="A52" s="417">
        <v>40277</v>
      </c>
      <c r="B52" s="418" t="s">
        <v>454</v>
      </c>
      <c r="C52" s="419"/>
      <c r="D52" s="419">
        <v>100</v>
      </c>
      <c r="E52" s="382" t="s">
        <v>312</v>
      </c>
      <c r="F52" s="384">
        <f>COUNTA(A45:A53)</f>
        <v>9</v>
      </c>
      <c r="G52" s="314"/>
    </row>
    <row r="53" spans="1:10" ht="15.75" thickBot="1" x14ac:dyDescent="0.3">
      <c r="A53" s="420">
        <v>40277</v>
      </c>
      <c r="B53" s="421" t="s">
        <v>543</v>
      </c>
      <c r="C53" s="422"/>
      <c r="D53" s="422">
        <v>100</v>
      </c>
      <c r="E53" s="423">
        <f>SUM(C45:C53)</f>
        <v>2500</v>
      </c>
      <c r="F53" s="423">
        <f>SUM(D45:D53)</f>
        <v>2300</v>
      </c>
      <c r="G53" s="423">
        <f>E53-F53</f>
        <v>200</v>
      </c>
      <c r="H53">
        <f>_ABR10-H4+H44</f>
        <v>500</v>
      </c>
    </row>
    <row r="54" spans="1:10" x14ac:dyDescent="0.25">
      <c r="A54" s="427">
        <v>40299</v>
      </c>
      <c r="B54" s="428" t="s">
        <v>13</v>
      </c>
      <c r="C54" s="429">
        <v>2500</v>
      </c>
      <c r="D54" s="429"/>
      <c r="E54" s="314"/>
      <c r="F54" s="314"/>
      <c r="G54" s="314"/>
    </row>
    <row r="55" spans="1:10" x14ac:dyDescent="0.25">
      <c r="A55" s="417">
        <v>40299</v>
      </c>
      <c r="B55" s="418" t="s">
        <v>592</v>
      </c>
      <c r="C55" s="419"/>
      <c r="D55" s="419">
        <v>1400</v>
      </c>
      <c r="E55" s="314"/>
      <c r="F55" s="314"/>
      <c r="G55" s="314"/>
    </row>
    <row r="56" spans="1:10" x14ac:dyDescent="0.25">
      <c r="A56" s="427">
        <v>40299</v>
      </c>
      <c r="B56" s="424" t="s">
        <v>378</v>
      </c>
      <c r="C56" s="419"/>
      <c r="D56" s="419">
        <v>70</v>
      </c>
      <c r="E56" s="314"/>
      <c r="F56" s="314"/>
      <c r="G56" s="314"/>
    </row>
    <row r="57" spans="1:10" x14ac:dyDescent="0.25">
      <c r="A57" s="427">
        <v>40299</v>
      </c>
      <c r="B57" s="418" t="s">
        <v>560</v>
      </c>
      <c r="C57" s="419"/>
      <c r="D57" s="419">
        <v>300</v>
      </c>
      <c r="E57" s="314"/>
      <c r="F57" s="314"/>
      <c r="G57" s="314"/>
    </row>
    <row r="58" spans="1:10" x14ac:dyDescent="0.25">
      <c r="A58" s="427">
        <v>40299</v>
      </c>
      <c r="B58" s="418" t="s">
        <v>303</v>
      </c>
      <c r="C58" s="419"/>
      <c r="D58" s="419">
        <v>180</v>
      </c>
      <c r="E58" s="314"/>
      <c r="F58" s="314"/>
      <c r="G58" s="314"/>
      <c r="J58" s="182"/>
    </row>
    <row r="59" spans="1:10" x14ac:dyDescent="0.25">
      <c r="A59" s="427">
        <v>40299</v>
      </c>
      <c r="B59" s="418" t="s">
        <v>542</v>
      </c>
      <c r="C59" s="419"/>
      <c r="D59" s="419">
        <v>150</v>
      </c>
      <c r="E59" s="382" t="s">
        <v>20</v>
      </c>
      <c r="F59" s="314"/>
      <c r="G59" s="314"/>
    </row>
    <row r="60" spans="1:10" x14ac:dyDescent="0.25">
      <c r="A60" s="427">
        <v>40299</v>
      </c>
      <c r="B60" s="418" t="s">
        <v>454</v>
      </c>
      <c r="C60" s="419"/>
      <c r="D60" s="419">
        <v>100</v>
      </c>
      <c r="E60" s="382" t="s">
        <v>312</v>
      </c>
      <c r="F60" s="384">
        <f>COUNTA(A54:A61)</f>
        <v>8</v>
      </c>
      <c r="G60" s="314"/>
    </row>
    <row r="61" spans="1:10" ht="15.75" thickBot="1" x14ac:dyDescent="0.3">
      <c r="A61" s="420">
        <v>40299</v>
      </c>
      <c r="B61" s="421" t="s">
        <v>543</v>
      </c>
      <c r="C61" s="422"/>
      <c r="D61" s="422">
        <v>100</v>
      </c>
      <c r="E61" s="423">
        <f>SUM(C54:C61)</f>
        <v>2500</v>
      </c>
      <c r="F61" s="423">
        <f>SUM(D54:D61)</f>
        <v>2300</v>
      </c>
      <c r="G61" s="423">
        <f>E61-F61</f>
        <v>200</v>
      </c>
      <c r="H61">
        <f>_MAY10-H4+H53</f>
        <v>200</v>
      </c>
    </row>
    <row r="62" spans="1:10" x14ac:dyDescent="0.25">
      <c r="A62" s="427">
        <v>40330</v>
      </c>
      <c r="B62" s="428" t="s">
        <v>13</v>
      </c>
      <c r="C62" s="429">
        <v>2500</v>
      </c>
      <c r="D62" s="429"/>
      <c r="E62" s="314"/>
      <c r="F62" s="314"/>
      <c r="G62" s="314"/>
    </row>
    <row r="63" spans="1:10" x14ac:dyDescent="0.25">
      <c r="A63" s="427">
        <v>40330</v>
      </c>
      <c r="B63" s="424" t="s">
        <v>592</v>
      </c>
      <c r="C63" s="419"/>
      <c r="D63" s="419">
        <v>1300</v>
      </c>
      <c r="E63" s="314"/>
      <c r="F63" s="314"/>
      <c r="G63" s="314"/>
    </row>
    <row r="64" spans="1:10" x14ac:dyDescent="0.25">
      <c r="A64" s="427">
        <v>40330</v>
      </c>
      <c r="B64" s="418" t="s">
        <v>593</v>
      </c>
      <c r="C64" s="419"/>
      <c r="D64" s="419">
        <v>300</v>
      </c>
      <c r="E64" s="314"/>
      <c r="F64" s="314"/>
      <c r="G64" s="314"/>
      <c r="J64" s="182"/>
    </row>
    <row r="65" spans="1:13" x14ac:dyDescent="0.25">
      <c r="A65" s="427">
        <v>40330</v>
      </c>
      <c r="B65" s="418" t="s">
        <v>560</v>
      </c>
      <c r="C65" s="419"/>
      <c r="D65" s="419">
        <v>300</v>
      </c>
      <c r="E65" s="314"/>
      <c r="F65" s="314"/>
      <c r="G65" s="314"/>
    </row>
    <row r="66" spans="1:13" x14ac:dyDescent="0.25">
      <c r="A66" s="427">
        <v>40330</v>
      </c>
      <c r="B66" s="418" t="s">
        <v>303</v>
      </c>
      <c r="C66" s="419"/>
      <c r="D66" s="419">
        <v>150</v>
      </c>
      <c r="E66" s="314"/>
      <c r="F66" s="314"/>
      <c r="G66" s="314"/>
    </row>
    <row r="67" spans="1:13" x14ac:dyDescent="0.25">
      <c r="A67" s="427">
        <v>40330</v>
      </c>
      <c r="B67" s="418" t="s">
        <v>542</v>
      </c>
      <c r="C67" s="419"/>
      <c r="D67" s="419">
        <v>100</v>
      </c>
      <c r="E67" s="382" t="s">
        <v>21</v>
      </c>
      <c r="F67" s="314"/>
      <c r="G67" s="314"/>
      <c r="K67" s="182"/>
    </row>
    <row r="68" spans="1:13" x14ac:dyDescent="0.25">
      <c r="A68" s="427">
        <v>40330</v>
      </c>
      <c r="B68" s="418" t="s">
        <v>454</v>
      </c>
      <c r="C68" s="419"/>
      <c r="D68" s="419">
        <v>50</v>
      </c>
      <c r="E68" s="382" t="s">
        <v>312</v>
      </c>
      <c r="F68" s="384">
        <f>COUNTA(A62:A69)</f>
        <v>8</v>
      </c>
      <c r="G68" s="314"/>
    </row>
    <row r="69" spans="1:13" ht="15.75" thickBot="1" x14ac:dyDescent="0.3">
      <c r="A69" s="420">
        <v>40330</v>
      </c>
      <c r="B69" s="421" t="s">
        <v>543</v>
      </c>
      <c r="C69" s="422"/>
      <c r="D69" s="422">
        <v>100</v>
      </c>
      <c r="E69" s="423">
        <f>SUM(C62:C69)</f>
        <v>2500</v>
      </c>
      <c r="F69" s="423">
        <f>SUM(D62:D69)</f>
        <v>2300</v>
      </c>
      <c r="G69" s="423">
        <f>E69-F69</f>
        <v>200</v>
      </c>
      <c r="H69">
        <f>_JUN10-H4+H61</f>
        <v>-100</v>
      </c>
    </row>
    <row r="70" spans="1:13" x14ac:dyDescent="0.25">
      <c r="A70" s="427">
        <v>40367</v>
      </c>
      <c r="B70" s="428" t="s">
        <v>13</v>
      </c>
      <c r="C70" s="429">
        <v>2500</v>
      </c>
      <c r="D70" s="429"/>
      <c r="E70" s="314"/>
      <c r="F70" s="314"/>
      <c r="G70" s="314"/>
    </row>
    <row r="71" spans="1:13" x14ac:dyDescent="0.25">
      <c r="A71" s="417">
        <v>40375</v>
      </c>
      <c r="B71" s="418" t="s">
        <v>19</v>
      </c>
      <c r="C71" s="419">
        <f>+C70/2</f>
        <v>1250</v>
      </c>
      <c r="D71" s="419"/>
      <c r="E71" s="314"/>
      <c r="F71" s="314"/>
      <c r="G71" s="314"/>
    </row>
    <row r="72" spans="1:13" x14ac:dyDescent="0.25">
      <c r="A72" s="417">
        <v>40360</v>
      </c>
      <c r="B72" s="418" t="s">
        <v>594</v>
      </c>
      <c r="C72" s="419">
        <v>300</v>
      </c>
      <c r="D72" s="419"/>
      <c r="E72" s="314"/>
      <c r="F72" s="314"/>
      <c r="G72" s="314"/>
      <c r="M72" s="182"/>
    </row>
    <row r="73" spans="1:13" x14ac:dyDescent="0.25">
      <c r="A73" s="427">
        <v>40375</v>
      </c>
      <c r="B73" s="418" t="s">
        <v>594</v>
      </c>
      <c r="C73" s="419">
        <v>500</v>
      </c>
      <c r="D73" s="419"/>
      <c r="E73" s="314"/>
      <c r="F73" s="314"/>
      <c r="G73" s="314"/>
      <c r="M73" s="182"/>
    </row>
    <row r="74" spans="1:13" x14ac:dyDescent="0.25">
      <c r="A74" s="427">
        <v>40372</v>
      </c>
      <c r="B74" s="418" t="s">
        <v>595</v>
      </c>
      <c r="C74" s="419"/>
      <c r="D74" s="419">
        <v>250</v>
      </c>
      <c r="E74" s="314"/>
      <c r="F74" s="314"/>
      <c r="G74" s="314"/>
      <c r="M74" s="182"/>
    </row>
    <row r="75" spans="1:13" x14ac:dyDescent="0.25">
      <c r="A75" s="427">
        <v>40370</v>
      </c>
      <c r="B75" s="418" t="s">
        <v>596</v>
      </c>
      <c r="C75" s="419"/>
      <c r="D75" s="419">
        <v>100</v>
      </c>
      <c r="E75" s="314"/>
      <c r="F75" s="314"/>
      <c r="G75" s="314"/>
      <c r="M75" s="182"/>
    </row>
    <row r="76" spans="1:13" x14ac:dyDescent="0.25">
      <c r="A76" s="427">
        <v>40368</v>
      </c>
      <c r="B76" s="418" t="s">
        <v>597</v>
      </c>
      <c r="C76" s="419"/>
      <c r="D76" s="419">
        <v>100</v>
      </c>
      <c r="E76" s="314"/>
      <c r="F76" s="314"/>
      <c r="G76" s="314"/>
      <c r="M76" s="182"/>
    </row>
    <row r="77" spans="1:13" x14ac:dyDescent="0.25">
      <c r="A77" s="427">
        <v>40367</v>
      </c>
      <c r="B77" s="418" t="s">
        <v>598</v>
      </c>
      <c r="C77" s="419"/>
      <c r="D77" s="419">
        <v>50</v>
      </c>
      <c r="E77" s="314"/>
      <c r="F77" s="314"/>
      <c r="G77" s="314"/>
      <c r="M77" s="182"/>
    </row>
    <row r="78" spans="1:13" x14ac:dyDescent="0.25">
      <c r="A78" s="427">
        <v>40367</v>
      </c>
      <c r="B78" s="418" t="s">
        <v>599</v>
      </c>
      <c r="C78" s="419"/>
      <c r="D78" s="419">
        <v>400</v>
      </c>
      <c r="E78" s="314"/>
      <c r="F78" s="314"/>
      <c r="G78" s="314"/>
    </row>
    <row r="79" spans="1:13" x14ac:dyDescent="0.25">
      <c r="A79" s="427">
        <v>40367</v>
      </c>
      <c r="B79" s="424" t="s">
        <v>592</v>
      </c>
      <c r="C79" s="419"/>
      <c r="D79" s="419">
        <v>1170</v>
      </c>
      <c r="E79" s="314"/>
      <c r="F79" s="314"/>
      <c r="G79" s="425"/>
      <c r="H79" s="182"/>
    </row>
    <row r="80" spans="1:13" x14ac:dyDescent="0.25">
      <c r="A80" s="427">
        <v>40367</v>
      </c>
      <c r="B80" s="424" t="s">
        <v>600</v>
      </c>
      <c r="C80" s="419"/>
      <c r="D80" s="419">
        <v>870</v>
      </c>
      <c r="E80" s="314"/>
      <c r="F80" s="314"/>
      <c r="G80" s="314"/>
      <c r="H80" s="182"/>
    </row>
    <row r="81" spans="1:12" x14ac:dyDescent="0.25">
      <c r="A81" s="427">
        <v>40367</v>
      </c>
      <c r="B81" s="418" t="s">
        <v>560</v>
      </c>
      <c r="C81" s="419"/>
      <c r="D81" s="419">
        <v>240</v>
      </c>
      <c r="E81" s="314"/>
      <c r="F81" s="314"/>
      <c r="G81" s="314"/>
    </row>
    <row r="82" spans="1:12" x14ac:dyDescent="0.25">
      <c r="A82" s="427">
        <v>40367</v>
      </c>
      <c r="B82" s="418" t="s">
        <v>303</v>
      </c>
      <c r="C82" s="419"/>
      <c r="D82" s="419">
        <v>120</v>
      </c>
      <c r="E82" s="314"/>
      <c r="F82" s="314"/>
      <c r="G82" s="314"/>
    </row>
    <row r="83" spans="1:12" x14ac:dyDescent="0.25">
      <c r="A83" s="427">
        <v>40367</v>
      </c>
      <c r="B83" s="418" t="s">
        <v>542</v>
      </c>
      <c r="C83" s="419"/>
      <c r="D83" s="419">
        <v>100</v>
      </c>
      <c r="E83" s="382" t="s">
        <v>22</v>
      </c>
      <c r="F83" s="314"/>
      <c r="G83" s="314"/>
    </row>
    <row r="84" spans="1:12" x14ac:dyDescent="0.25">
      <c r="A84" s="427">
        <v>40367</v>
      </c>
      <c r="B84" s="418" t="s">
        <v>454</v>
      </c>
      <c r="C84" s="419"/>
      <c r="D84" s="419">
        <v>50</v>
      </c>
      <c r="E84" s="382" t="s">
        <v>312</v>
      </c>
      <c r="F84" s="384">
        <f>COUNTA(A70:A85)</f>
        <v>16</v>
      </c>
      <c r="G84" s="314"/>
    </row>
    <row r="85" spans="1:12" ht="15.75" thickBot="1" x14ac:dyDescent="0.3">
      <c r="A85" s="420">
        <v>40367</v>
      </c>
      <c r="B85" s="421" t="s">
        <v>543</v>
      </c>
      <c r="C85" s="422"/>
      <c r="D85" s="422">
        <v>200</v>
      </c>
      <c r="E85" s="423">
        <f>SUM(C70:C85)</f>
        <v>4550</v>
      </c>
      <c r="F85" s="423">
        <f>SUM(D70:D85)</f>
        <v>3650</v>
      </c>
      <c r="G85" s="423">
        <f>E85-F85</f>
        <v>900</v>
      </c>
      <c r="H85">
        <f>_JUL10-H4+H69</f>
        <v>300</v>
      </c>
    </row>
    <row r="86" spans="1:12" x14ac:dyDescent="0.25">
      <c r="A86" s="427">
        <v>40399</v>
      </c>
      <c r="B86" s="428" t="s">
        <v>13</v>
      </c>
      <c r="C86" s="429">
        <v>2500</v>
      </c>
      <c r="D86" s="429"/>
      <c r="E86" s="314"/>
      <c r="F86" s="314"/>
      <c r="G86" s="314"/>
    </row>
    <row r="87" spans="1:12" x14ac:dyDescent="0.25">
      <c r="A87" s="427">
        <v>40399</v>
      </c>
      <c r="B87" s="428" t="s">
        <v>601</v>
      </c>
      <c r="C87" s="429"/>
      <c r="D87" s="429">
        <f>1050+550</f>
        <v>1600</v>
      </c>
      <c r="E87" s="314"/>
      <c r="F87" s="314"/>
      <c r="G87" s="314"/>
    </row>
    <row r="88" spans="1:12" x14ac:dyDescent="0.25">
      <c r="A88" s="427">
        <v>40419</v>
      </c>
      <c r="B88" s="428" t="s">
        <v>602</v>
      </c>
      <c r="C88" s="429"/>
      <c r="D88" s="429">
        <v>100</v>
      </c>
      <c r="E88" s="314"/>
      <c r="F88" s="314"/>
      <c r="G88" s="314"/>
    </row>
    <row r="89" spans="1:12" x14ac:dyDescent="0.25">
      <c r="A89" s="427">
        <v>40415</v>
      </c>
      <c r="B89" s="428" t="s">
        <v>602</v>
      </c>
      <c r="C89" s="429"/>
      <c r="D89" s="429">
        <v>100</v>
      </c>
      <c r="E89" s="314"/>
      <c r="F89" s="314"/>
      <c r="G89" s="314"/>
    </row>
    <row r="90" spans="1:12" x14ac:dyDescent="0.25">
      <c r="A90" s="427">
        <v>40406</v>
      </c>
      <c r="B90" s="428" t="s">
        <v>603</v>
      </c>
      <c r="C90" s="429"/>
      <c r="D90" s="429">
        <v>100</v>
      </c>
      <c r="E90" s="314"/>
      <c r="F90" s="314"/>
      <c r="G90" s="314"/>
    </row>
    <row r="91" spans="1:12" x14ac:dyDescent="0.25">
      <c r="A91" s="427">
        <v>40407</v>
      </c>
      <c r="B91" s="428" t="s">
        <v>604</v>
      </c>
      <c r="C91" s="429"/>
      <c r="D91" s="429">
        <v>100</v>
      </c>
      <c r="E91" s="314"/>
      <c r="F91" s="314"/>
      <c r="G91" s="314"/>
    </row>
    <row r="92" spans="1:12" x14ac:dyDescent="0.25">
      <c r="A92" s="417">
        <v>40400</v>
      </c>
      <c r="B92" s="418" t="s">
        <v>272</v>
      </c>
      <c r="C92" s="419"/>
      <c r="D92" s="419">
        <v>50</v>
      </c>
      <c r="E92" s="314"/>
      <c r="F92" s="314"/>
      <c r="G92" s="314"/>
      <c r="K92" s="182"/>
      <c r="L92" s="182"/>
    </row>
    <row r="93" spans="1:12" x14ac:dyDescent="0.25">
      <c r="A93" s="427">
        <v>40399</v>
      </c>
      <c r="B93" s="418" t="s">
        <v>605</v>
      </c>
      <c r="C93" s="419"/>
      <c r="D93" s="419">
        <v>570</v>
      </c>
      <c r="E93" s="314"/>
      <c r="F93" s="314"/>
      <c r="G93" s="314"/>
    </row>
    <row r="94" spans="1:12" x14ac:dyDescent="0.25">
      <c r="A94" s="427">
        <v>40399</v>
      </c>
      <c r="B94" s="418" t="s">
        <v>560</v>
      </c>
      <c r="C94" s="419"/>
      <c r="D94" s="419">
        <v>240</v>
      </c>
      <c r="E94" s="314"/>
      <c r="F94" s="314"/>
      <c r="G94" s="314"/>
    </row>
    <row r="95" spans="1:12" x14ac:dyDescent="0.25">
      <c r="A95" s="427">
        <v>40399</v>
      </c>
      <c r="B95" s="418" t="s">
        <v>303</v>
      </c>
      <c r="C95" s="419"/>
      <c r="D95" s="419">
        <v>100</v>
      </c>
      <c r="E95" s="314"/>
      <c r="F95" s="314"/>
      <c r="G95" s="314"/>
    </row>
    <row r="96" spans="1:12" x14ac:dyDescent="0.25">
      <c r="A96" s="427">
        <v>40399</v>
      </c>
      <c r="B96" s="418" t="s">
        <v>542</v>
      </c>
      <c r="C96" s="419"/>
      <c r="D96" s="419">
        <v>100</v>
      </c>
      <c r="E96" s="382" t="s">
        <v>23</v>
      </c>
      <c r="F96" s="314"/>
      <c r="G96" s="314"/>
    </row>
    <row r="97" spans="1:8" x14ac:dyDescent="0.25">
      <c r="A97" s="427">
        <v>40399</v>
      </c>
      <c r="B97" s="418" t="s">
        <v>454</v>
      </c>
      <c r="C97" s="419"/>
      <c r="D97" s="419">
        <v>50</v>
      </c>
      <c r="E97" s="382" t="s">
        <v>312</v>
      </c>
      <c r="F97" s="384">
        <f>COUNTA(A86:A98)</f>
        <v>13</v>
      </c>
      <c r="G97" s="314"/>
    </row>
    <row r="98" spans="1:8" ht="15.75" thickBot="1" x14ac:dyDescent="0.3">
      <c r="A98" s="420">
        <v>40399</v>
      </c>
      <c r="B98" s="421" t="s">
        <v>543</v>
      </c>
      <c r="C98" s="422"/>
      <c r="D98" s="422">
        <v>190</v>
      </c>
      <c r="E98" s="423">
        <f>SUM(C86:C98)</f>
        <v>2500</v>
      </c>
      <c r="F98" s="423">
        <f>SUM(D86:D98)</f>
        <v>3300</v>
      </c>
      <c r="G98" s="423">
        <f>E98-F98</f>
        <v>-800</v>
      </c>
      <c r="H98">
        <f>_AGO10-H4+H85</f>
        <v>-1000</v>
      </c>
    </row>
    <row r="99" spans="1:8" x14ac:dyDescent="0.25">
      <c r="A99" s="427">
        <v>40422</v>
      </c>
      <c r="B99" s="428" t="s">
        <v>13</v>
      </c>
      <c r="C99" s="429">
        <v>2500</v>
      </c>
      <c r="D99" s="429"/>
      <c r="E99" s="314"/>
      <c r="F99" s="314"/>
      <c r="G99" s="314"/>
    </row>
    <row r="100" spans="1:8" x14ac:dyDescent="0.25">
      <c r="A100" s="427">
        <v>40422</v>
      </c>
      <c r="B100" s="428" t="s">
        <v>594</v>
      </c>
      <c r="C100" s="429">
        <v>300</v>
      </c>
      <c r="D100" s="429"/>
      <c r="E100" s="314"/>
      <c r="F100" s="314"/>
      <c r="G100" s="314"/>
    </row>
    <row r="101" spans="1:8" x14ac:dyDescent="0.25">
      <c r="A101" s="427">
        <v>40440</v>
      </c>
      <c r="B101" s="428" t="s">
        <v>606</v>
      </c>
      <c r="C101" s="429"/>
      <c r="D101" s="429">
        <v>100</v>
      </c>
      <c r="E101" s="314"/>
      <c r="F101" s="314"/>
      <c r="G101" s="314"/>
    </row>
    <row r="102" spans="1:8" x14ac:dyDescent="0.25">
      <c r="A102" s="427">
        <v>40445</v>
      </c>
      <c r="B102" s="428" t="s">
        <v>607</v>
      </c>
      <c r="C102" s="429"/>
      <c r="D102" s="429">
        <v>100</v>
      </c>
      <c r="E102" s="314"/>
      <c r="F102" s="314"/>
      <c r="G102" s="314"/>
    </row>
    <row r="103" spans="1:8" x14ac:dyDescent="0.25">
      <c r="A103" s="427">
        <v>40447</v>
      </c>
      <c r="B103" s="428" t="s">
        <v>608</v>
      </c>
      <c r="C103" s="429"/>
      <c r="D103" s="429">
        <v>50</v>
      </c>
      <c r="E103" s="314"/>
      <c r="F103" s="314"/>
      <c r="G103" s="314"/>
    </row>
    <row r="104" spans="1:8" x14ac:dyDescent="0.25">
      <c r="A104" s="417">
        <v>40422</v>
      </c>
      <c r="B104" s="418" t="s">
        <v>609</v>
      </c>
      <c r="C104" s="419"/>
      <c r="D104" s="419">
        <v>200</v>
      </c>
      <c r="E104" s="314"/>
      <c r="F104" s="314"/>
      <c r="G104" s="314"/>
    </row>
    <row r="105" spans="1:8" x14ac:dyDescent="0.25">
      <c r="A105" s="417">
        <v>40422</v>
      </c>
      <c r="B105" s="418" t="s">
        <v>610</v>
      </c>
      <c r="C105" s="419"/>
      <c r="D105" s="419">
        <v>300</v>
      </c>
      <c r="E105" s="314"/>
      <c r="F105" s="314"/>
      <c r="G105" s="314"/>
    </row>
    <row r="106" spans="1:8" x14ac:dyDescent="0.25">
      <c r="A106" s="417">
        <v>40422</v>
      </c>
      <c r="B106" s="418" t="s">
        <v>605</v>
      </c>
      <c r="C106" s="419"/>
      <c r="D106" s="419">
        <v>560</v>
      </c>
      <c r="E106" s="314"/>
      <c r="F106" s="314"/>
      <c r="G106" s="314"/>
    </row>
    <row r="107" spans="1:8" x14ac:dyDescent="0.25">
      <c r="A107" s="417">
        <v>40422</v>
      </c>
      <c r="B107" s="418" t="s">
        <v>560</v>
      </c>
      <c r="C107" s="419"/>
      <c r="D107" s="419">
        <v>300</v>
      </c>
      <c r="E107" s="314"/>
      <c r="F107" s="314"/>
      <c r="G107" s="314"/>
    </row>
    <row r="108" spans="1:8" x14ac:dyDescent="0.25">
      <c r="A108" s="417">
        <v>40422</v>
      </c>
      <c r="B108" s="418" t="s">
        <v>303</v>
      </c>
      <c r="C108" s="419"/>
      <c r="D108" s="419">
        <v>100</v>
      </c>
      <c r="E108" s="314"/>
      <c r="F108" s="314"/>
      <c r="G108" s="314"/>
    </row>
    <row r="109" spans="1:8" x14ac:dyDescent="0.25">
      <c r="A109" s="417">
        <v>40422</v>
      </c>
      <c r="B109" s="418" t="s">
        <v>542</v>
      </c>
      <c r="C109" s="419"/>
      <c r="D109" s="419">
        <v>100</v>
      </c>
      <c r="E109" s="382" t="s">
        <v>24</v>
      </c>
      <c r="F109" s="314"/>
      <c r="G109" s="314"/>
    </row>
    <row r="110" spans="1:8" x14ac:dyDescent="0.25">
      <c r="A110" s="417">
        <v>40422</v>
      </c>
      <c r="B110" s="418" t="s">
        <v>454</v>
      </c>
      <c r="C110" s="419"/>
      <c r="D110" s="419">
        <v>50</v>
      </c>
      <c r="E110" s="382" t="s">
        <v>312</v>
      </c>
      <c r="F110" s="384">
        <f>COUNTA(A99:A111)</f>
        <v>13</v>
      </c>
      <c r="G110" s="314"/>
    </row>
    <row r="111" spans="1:8" ht="15.75" thickBot="1" x14ac:dyDescent="0.3">
      <c r="A111" s="420">
        <v>40422</v>
      </c>
      <c r="B111" s="421" t="s">
        <v>543</v>
      </c>
      <c r="C111" s="422"/>
      <c r="D111" s="422">
        <v>190</v>
      </c>
      <c r="E111" s="423">
        <f>SUM(C99:C111)</f>
        <v>2800</v>
      </c>
      <c r="F111" s="423">
        <f>SUM(D99:D111)</f>
        <v>2050</v>
      </c>
      <c r="G111" s="423">
        <f>+E111-F111</f>
        <v>750</v>
      </c>
      <c r="H111">
        <f>_SEP10-H4+H98</f>
        <v>-750</v>
      </c>
    </row>
    <row r="112" spans="1:8" x14ac:dyDescent="0.25">
      <c r="A112" s="427">
        <v>40457</v>
      </c>
      <c r="B112" s="428" t="s">
        <v>13</v>
      </c>
      <c r="C112" s="429">
        <v>2500</v>
      </c>
      <c r="D112" s="429"/>
      <c r="E112" s="314"/>
      <c r="F112" s="314"/>
      <c r="G112" s="314"/>
    </row>
    <row r="113" spans="1:8" x14ac:dyDescent="0.25">
      <c r="A113" s="427">
        <v>40467</v>
      </c>
      <c r="B113" s="428" t="s">
        <v>611</v>
      </c>
      <c r="C113" s="429"/>
      <c r="D113" s="429">
        <v>200</v>
      </c>
      <c r="E113" s="314"/>
      <c r="F113" s="314"/>
      <c r="G113" s="314"/>
    </row>
    <row r="114" spans="1:8" x14ac:dyDescent="0.25">
      <c r="A114" s="427">
        <v>40466</v>
      </c>
      <c r="B114" s="428" t="s">
        <v>612</v>
      </c>
      <c r="C114" s="429"/>
      <c r="D114" s="429">
        <v>200</v>
      </c>
      <c r="E114" s="314"/>
      <c r="F114" s="314"/>
      <c r="G114" s="314"/>
    </row>
    <row r="115" spans="1:8" x14ac:dyDescent="0.25">
      <c r="A115" s="427">
        <v>40466</v>
      </c>
      <c r="B115" s="428" t="s">
        <v>613</v>
      </c>
      <c r="C115" s="429"/>
      <c r="D115" s="429">
        <v>100</v>
      </c>
      <c r="E115" s="314"/>
      <c r="F115" s="314"/>
      <c r="G115" s="314"/>
    </row>
    <row r="116" spans="1:8" x14ac:dyDescent="0.25">
      <c r="A116" s="427">
        <v>40461</v>
      </c>
      <c r="B116" s="428" t="s">
        <v>614</v>
      </c>
      <c r="C116" s="429"/>
      <c r="D116" s="429">
        <v>200</v>
      </c>
      <c r="E116" s="314"/>
      <c r="F116" s="314"/>
      <c r="G116" s="314"/>
    </row>
    <row r="117" spans="1:8" x14ac:dyDescent="0.25">
      <c r="A117" s="427">
        <v>40458</v>
      </c>
      <c r="B117" s="428" t="s">
        <v>615</v>
      </c>
      <c r="C117" s="429"/>
      <c r="D117" s="429">
        <v>50</v>
      </c>
      <c r="E117" s="314"/>
      <c r="F117" s="314"/>
      <c r="G117" s="314"/>
    </row>
    <row r="118" spans="1:8" x14ac:dyDescent="0.25">
      <c r="A118" s="417">
        <v>40457</v>
      </c>
      <c r="B118" s="430" t="s">
        <v>616</v>
      </c>
      <c r="C118" s="419"/>
      <c r="D118" s="419">
        <v>100</v>
      </c>
      <c r="E118" s="314"/>
      <c r="F118" s="314"/>
      <c r="G118" s="314"/>
    </row>
    <row r="119" spans="1:8" x14ac:dyDescent="0.25">
      <c r="A119" s="417">
        <v>40457</v>
      </c>
      <c r="B119" s="418" t="s">
        <v>617</v>
      </c>
      <c r="C119" s="419"/>
      <c r="D119" s="419">
        <v>200</v>
      </c>
      <c r="E119" s="314"/>
      <c r="F119" s="314"/>
      <c r="G119" s="314"/>
    </row>
    <row r="120" spans="1:8" x14ac:dyDescent="0.25">
      <c r="A120" s="417">
        <v>40457</v>
      </c>
      <c r="B120" s="418" t="s">
        <v>605</v>
      </c>
      <c r="C120" s="419"/>
      <c r="D120" s="419">
        <v>560</v>
      </c>
      <c r="E120" s="314"/>
      <c r="F120" s="314"/>
      <c r="G120" s="314"/>
    </row>
    <row r="121" spans="1:8" x14ac:dyDescent="0.25">
      <c r="A121" s="417">
        <v>40457</v>
      </c>
      <c r="B121" s="418" t="s">
        <v>560</v>
      </c>
      <c r="C121" s="419"/>
      <c r="D121" s="419">
        <v>240</v>
      </c>
      <c r="E121" s="314"/>
      <c r="F121" s="314"/>
      <c r="G121" s="314"/>
    </row>
    <row r="122" spans="1:8" x14ac:dyDescent="0.25">
      <c r="A122" s="417">
        <v>40457</v>
      </c>
      <c r="B122" s="418" t="s">
        <v>303</v>
      </c>
      <c r="C122" s="419"/>
      <c r="D122" s="419">
        <v>60</v>
      </c>
      <c r="E122" s="314"/>
      <c r="F122" s="314"/>
      <c r="G122" s="314"/>
    </row>
    <row r="123" spans="1:8" x14ac:dyDescent="0.25">
      <c r="A123" s="417">
        <v>40457</v>
      </c>
      <c r="B123" s="418" t="s">
        <v>542</v>
      </c>
      <c r="C123" s="419"/>
      <c r="D123" s="419">
        <v>100</v>
      </c>
      <c r="E123" s="382" t="s">
        <v>25</v>
      </c>
      <c r="F123" s="314"/>
      <c r="G123" s="314"/>
    </row>
    <row r="124" spans="1:8" x14ac:dyDescent="0.25">
      <c r="A124" s="417">
        <v>40457</v>
      </c>
      <c r="B124" s="418" t="s">
        <v>454</v>
      </c>
      <c r="C124" s="419"/>
      <c r="D124" s="419">
        <v>50</v>
      </c>
      <c r="E124" s="382" t="s">
        <v>312</v>
      </c>
      <c r="F124" s="384">
        <f>COUNTA(A112:A125)</f>
        <v>14</v>
      </c>
      <c r="G124" s="314"/>
    </row>
    <row r="125" spans="1:8" ht="15.75" thickBot="1" x14ac:dyDescent="0.3">
      <c r="A125" s="420">
        <v>40457</v>
      </c>
      <c r="B125" s="421" t="s">
        <v>543</v>
      </c>
      <c r="C125" s="422"/>
      <c r="D125" s="422">
        <v>190</v>
      </c>
      <c r="E125" s="423">
        <f>SUM(C112:C125)</f>
        <v>2500</v>
      </c>
      <c r="F125" s="423">
        <f>SUM(D112:D125)</f>
        <v>2250</v>
      </c>
      <c r="G125" s="423">
        <f>E125-F125</f>
        <v>250</v>
      </c>
      <c r="H125">
        <f>_OCT10-H4+H111</f>
        <v>-1000</v>
      </c>
    </row>
    <row r="126" spans="1:8" x14ac:dyDescent="0.25">
      <c r="A126" s="427">
        <v>40488</v>
      </c>
      <c r="B126" s="428" t="s">
        <v>13</v>
      </c>
      <c r="C126" s="429">
        <v>2500</v>
      </c>
      <c r="D126" s="429"/>
      <c r="E126" s="314"/>
      <c r="F126" s="314"/>
      <c r="G126" s="314"/>
    </row>
    <row r="127" spans="1:8" x14ac:dyDescent="0.25">
      <c r="A127" s="427">
        <v>40504</v>
      </c>
      <c r="B127" s="428" t="s">
        <v>618</v>
      </c>
      <c r="C127" s="429"/>
      <c r="D127" s="429">
        <v>600</v>
      </c>
      <c r="E127" s="314"/>
      <c r="F127" s="314"/>
      <c r="G127" s="314"/>
    </row>
    <row r="128" spans="1:8" x14ac:dyDescent="0.25">
      <c r="A128" s="427">
        <v>40495</v>
      </c>
      <c r="B128" s="428" t="s">
        <v>303</v>
      </c>
      <c r="C128" s="429"/>
      <c r="D128" s="429">
        <v>100</v>
      </c>
      <c r="E128" s="314"/>
      <c r="F128" s="314"/>
      <c r="G128" s="314"/>
    </row>
    <row r="129" spans="1:11" x14ac:dyDescent="0.25">
      <c r="A129" s="427">
        <v>40492</v>
      </c>
      <c r="B129" s="428" t="s">
        <v>303</v>
      </c>
      <c r="C129" s="429"/>
      <c r="D129" s="429">
        <v>100</v>
      </c>
      <c r="E129" s="314"/>
      <c r="F129" s="314"/>
      <c r="G129" s="314"/>
    </row>
    <row r="130" spans="1:11" x14ac:dyDescent="0.25">
      <c r="A130" s="427">
        <v>40489</v>
      </c>
      <c r="B130" s="428" t="s">
        <v>619</v>
      </c>
      <c r="C130" s="429"/>
      <c r="D130" s="429">
        <v>100</v>
      </c>
      <c r="E130" s="314"/>
      <c r="F130" s="314"/>
      <c r="G130" s="314"/>
    </row>
    <row r="131" spans="1:11" x14ac:dyDescent="0.25">
      <c r="A131" s="427">
        <v>40489</v>
      </c>
      <c r="B131" s="428" t="s">
        <v>620</v>
      </c>
      <c r="C131" s="429"/>
      <c r="D131" s="429">
        <v>100</v>
      </c>
      <c r="E131" s="314"/>
      <c r="F131" s="314"/>
      <c r="G131" s="314"/>
    </row>
    <row r="132" spans="1:11" x14ac:dyDescent="0.25">
      <c r="A132" s="427">
        <v>40489</v>
      </c>
      <c r="B132" s="428" t="s">
        <v>621</v>
      </c>
      <c r="C132" s="429"/>
      <c r="D132" s="429">
        <v>200</v>
      </c>
      <c r="E132" s="314"/>
      <c r="F132" s="314"/>
      <c r="G132" s="314"/>
    </row>
    <row r="133" spans="1:11" x14ac:dyDescent="0.25">
      <c r="A133" s="427">
        <v>40489</v>
      </c>
      <c r="B133" s="428" t="s">
        <v>303</v>
      </c>
      <c r="C133" s="429"/>
      <c r="D133" s="429">
        <v>200</v>
      </c>
      <c r="E133" s="314"/>
      <c r="F133" s="314"/>
      <c r="G133" s="314"/>
    </row>
    <row r="134" spans="1:11" x14ac:dyDescent="0.25">
      <c r="A134" s="417">
        <v>40488</v>
      </c>
      <c r="B134" s="418" t="s">
        <v>302</v>
      </c>
      <c r="C134" s="419"/>
      <c r="D134" s="419">
        <v>200</v>
      </c>
      <c r="E134" s="314"/>
      <c r="F134" s="314"/>
      <c r="G134" s="314"/>
    </row>
    <row r="135" spans="1:11" x14ac:dyDescent="0.25">
      <c r="A135" s="417">
        <v>40488</v>
      </c>
      <c r="B135" s="418" t="s">
        <v>622</v>
      </c>
      <c r="C135" s="419"/>
      <c r="D135" s="419">
        <v>200</v>
      </c>
      <c r="E135" s="314"/>
      <c r="F135" s="314"/>
      <c r="G135" s="314"/>
      <c r="H135" s="182"/>
    </row>
    <row r="136" spans="1:11" x14ac:dyDescent="0.25">
      <c r="A136" s="417">
        <v>40488</v>
      </c>
      <c r="B136" s="418" t="s">
        <v>623</v>
      </c>
      <c r="C136" s="419"/>
      <c r="D136" s="419">
        <v>100</v>
      </c>
      <c r="E136" s="314"/>
      <c r="F136" s="314"/>
      <c r="G136" s="314"/>
      <c r="J136" s="182"/>
      <c r="K136" s="182"/>
    </row>
    <row r="137" spans="1:11" x14ac:dyDescent="0.25">
      <c r="A137" s="417">
        <v>40488</v>
      </c>
      <c r="B137" s="418" t="s">
        <v>605</v>
      </c>
      <c r="C137" s="419"/>
      <c r="D137" s="419">
        <v>300</v>
      </c>
      <c r="E137" s="314"/>
      <c r="F137" s="314"/>
      <c r="G137" s="314"/>
      <c r="J137" s="182"/>
    </row>
    <row r="138" spans="1:11" x14ac:dyDescent="0.25">
      <c r="A138" s="417">
        <v>40488</v>
      </c>
      <c r="B138" s="418" t="s">
        <v>542</v>
      </c>
      <c r="C138" s="419"/>
      <c r="D138" s="419">
        <v>100</v>
      </c>
      <c r="E138" s="382" t="s">
        <v>26</v>
      </c>
      <c r="F138" s="314"/>
      <c r="G138" s="314"/>
    </row>
    <row r="139" spans="1:11" x14ac:dyDescent="0.25">
      <c r="A139" s="417">
        <v>40488</v>
      </c>
      <c r="B139" s="418" t="s">
        <v>454</v>
      </c>
      <c r="C139" s="419"/>
      <c r="D139" s="419">
        <v>50</v>
      </c>
      <c r="E139" s="382" t="s">
        <v>312</v>
      </c>
      <c r="F139" s="384">
        <f>COUNTA(A126:A140)</f>
        <v>15</v>
      </c>
      <c r="G139" s="314"/>
    </row>
    <row r="140" spans="1:11" ht="15.75" thickBot="1" x14ac:dyDescent="0.3">
      <c r="A140" s="420">
        <v>40488</v>
      </c>
      <c r="B140" s="421" t="s">
        <v>543</v>
      </c>
      <c r="C140" s="422"/>
      <c r="D140" s="422">
        <v>150</v>
      </c>
      <c r="E140" s="423">
        <f>SUM(C126:C140)</f>
        <v>2500</v>
      </c>
      <c r="F140" s="423">
        <f>SUM(D126:D140)</f>
        <v>2500</v>
      </c>
      <c r="G140" s="423">
        <f>E140-F140</f>
        <v>0</v>
      </c>
      <c r="H140">
        <f>_NOV10-H4+H125</f>
        <v>-1500</v>
      </c>
    </row>
    <row r="141" spans="1:11" x14ac:dyDescent="0.25">
      <c r="A141" s="427">
        <v>40515</v>
      </c>
      <c r="B141" s="428" t="s">
        <v>13</v>
      </c>
      <c r="C141" s="429">
        <v>2500</v>
      </c>
      <c r="D141" s="429"/>
      <c r="E141" s="314"/>
      <c r="F141" s="314"/>
      <c r="G141" s="314"/>
    </row>
    <row r="142" spans="1:11" x14ac:dyDescent="0.25">
      <c r="A142" s="417">
        <v>40515</v>
      </c>
      <c r="B142" s="418" t="s">
        <v>624</v>
      </c>
      <c r="C142" s="419">
        <v>1100</v>
      </c>
      <c r="D142" s="419"/>
      <c r="E142" s="314"/>
      <c r="F142" s="314"/>
      <c r="G142" s="314"/>
    </row>
    <row r="143" spans="1:11" x14ac:dyDescent="0.25">
      <c r="A143" s="417">
        <v>40544</v>
      </c>
      <c r="B143" s="418" t="s">
        <v>625</v>
      </c>
      <c r="C143" s="419"/>
      <c r="D143" s="419">
        <v>200</v>
      </c>
      <c r="E143" s="314"/>
      <c r="F143" s="314"/>
      <c r="G143" s="314"/>
    </row>
    <row r="144" spans="1:11" x14ac:dyDescent="0.25">
      <c r="A144" s="417">
        <v>40908</v>
      </c>
      <c r="B144" s="418" t="s">
        <v>626</v>
      </c>
      <c r="C144" s="419"/>
      <c r="D144" s="419">
        <v>100</v>
      </c>
      <c r="E144" s="314"/>
      <c r="F144" s="314"/>
      <c r="G144" s="314"/>
    </row>
    <row r="145" spans="1:12" x14ac:dyDescent="0.25">
      <c r="A145" s="417">
        <v>40536</v>
      </c>
      <c r="B145" s="418" t="s">
        <v>627</v>
      </c>
      <c r="C145" s="419"/>
      <c r="D145" s="419">
        <v>400</v>
      </c>
      <c r="E145" s="314"/>
      <c r="F145" s="314"/>
      <c r="G145" s="314"/>
    </row>
    <row r="146" spans="1:12" x14ac:dyDescent="0.25">
      <c r="A146" s="417">
        <v>40530</v>
      </c>
      <c r="B146" s="418" t="s">
        <v>628</v>
      </c>
      <c r="C146" s="419"/>
      <c r="D146" s="419">
        <v>300</v>
      </c>
      <c r="E146" s="314"/>
      <c r="F146" s="314"/>
      <c r="G146" s="314"/>
    </row>
    <row r="147" spans="1:12" x14ac:dyDescent="0.25">
      <c r="A147" s="417">
        <v>40515</v>
      </c>
      <c r="B147" s="418" t="s">
        <v>629</v>
      </c>
      <c r="C147" s="419"/>
      <c r="D147" s="419">
        <v>400</v>
      </c>
      <c r="E147" s="314"/>
      <c r="F147" s="314"/>
      <c r="G147" s="314"/>
      <c r="L147" s="182"/>
    </row>
    <row r="148" spans="1:12" x14ac:dyDescent="0.25">
      <c r="A148" s="417">
        <v>40517</v>
      </c>
      <c r="B148" s="418" t="s">
        <v>630</v>
      </c>
      <c r="C148" s="419"/>
      <c r="D148" s="419">
        <v>350</v>
      </c>
      <c r="E148" s="314"/>
      <c r="F148" s="314"/>
      <c r="G148" s="314"/>
      <c r="L148" s="182"/>
    </row>
    <row r="149" spans="1:12" x14ac:dyDescent="0.25">
      <c r="A149" s="417">
        <v>40515</v>
      </c>
      <c r="B149" s="418" t="s">
        <v>303</v>
      </c>
      <c r="C149" s="419"/>
      <c r="D149" s="419">
        <v>100</v>
      </c>
      <c r="E149" s="314"/>
      <c r="F149" s="314"/>
      <c r="G149" s="314"/>
    </row>
    <row r="150" spans="1:12" x14ac:dyDescent="0.25">
      <c r="A150" s="417">
        <v>40515</v>
      </c>
      <c r="B150" s="418" t="s">
        <v>631</v>
      </c>
      <c r="C150" s="419"/>
      <c r="D150" s="419">
        <v>100</v>
      </c>
      <c r="E150" s="314"/>
      <c r="F150" s="314"/>
      <c r="G150" s="314"/>
    </row>
    <row r="151" spans="1:12" x14ac:dyDescent="0.25">
      <c r="A151" s="417">
        <v>40515</v>
      </c>
      <c r="B151" s="418" t="s">
        <v>605</v>
      </c>
      <c r="C151" s="419"/>
      <c r="D151" s="419">
        <v>300</v>
      </c>
      <c r="E151" s="314"/>
      <c r="F151" s="314"/>
      <c r="G151" s="314"/>
    </row>
    <row r="152" spans="1:12" x14ac:dyDescent="0.25">
      <c r="A152" s="417">
        <v>40515</v>
      </c>
      <c r="B152" s="418" t="s">
        <v>542</v>
      </c>
      <c r="C152" s="419"/>
      <c r="D152" s="419">
        <v>100</v>
      </c>
      <c r="E152" s="382" t="s">
        <v>27</v>
      </c>
      <c r="F152" s="314"/>
      <c r="G152" s="314"/>
    </row>
    <row r="153" spans="1:12" x14ac:dyDescent="0.25">
      <c r="A153" s="417">
        <v>40515</v>
      </c>
      <c r="B153" s="418" t="s">
        <v>454</v>
      </c>
      <c r="C153" s="419"/>
      <c r="D153" s="419">
        <v>50</v>
      </c>
      <c r="E153" s="382" t="s">
        <v>312</v>
      </c>
      <c r="F153" s="384">
        <f>COUNTA(A141:A154)</f>
        <v>14</v>
      </c>
      <c r="G153" s="314"/>
    </row>
    <row r="154" spans="1:12" ht="15.75" thickBot="1" x14ac:dyDescent="0.3">
      <c r="A154" s="420">
        <v>40515</v>
      </c>
      <c r="B154" s="421" t="s">
        <v>543</v>
      </c>
      <c r="C154" s="422"/>
      <c r="D154" s="422">
        <v>200</v>
      </c>
      <c r="E154" s="423">
        <f>SUM(C141:C154)</f>
        <v>3600</v>
      </c>
      <c r="F154" s="423">
        <f>SUM(D141:D154)</f>
        <v>2600</v>
      </c>
      <c r="G154" s="423">
        <f>E154-F154</f>
        <v>1000</v>
      </c>
      <c r="H154">
        <f>_DIC10-H4+H140</f>
        <v>-1000</v>
      </c>
    </row>
    <row r="155" spans="1:12" x14ac:dyDescent="0.25">
      <c r="C155" s="329"/>
      <c r="D155" s="329"/>
    </row>
    <row r="156" spans="1:12" x14ac:dyDescent="0.25">
      <c r="C156" s="329"/>
      <c r="D156" s="329"/>
    </row>
    <row r="157" spans="1:12" x14ac:dyDescent="0.25">
      <c r="C157" s="329"/>
      <c r="D157" s="329"/>
    </row>
    <row r="158" spans="1:12" x14ac:dyDescent="0.25">
      <c r="C158" s="329"/>
      <c r="D158" s="329"/>
      <c r="H158" s="589" t="s">
        <v>28</v>
      </c>
      <c r="I158" s="590">
        <f>D2</f>
        <v>21930.449999999997</v>
      </c>
      <c r="J158" s="591"/>
    </row>
    <row r="159" spans="1:12" x14ac:dyDescent="0.25">
      <c r="C159" s="329"/>
      <c r="D159" s="329"/>
      <c r="H159" s="589" t="s">
        <v>29</v>
      </c>
      <c r="I159" s="589"/>
      <c r="J159" s="591"/>
    </row>
    <row r="160" spans="1:12" x14ac:dyDescent="0.25">
      <c r="C160" s="329"/>
      <c r="D160" s="329"/>
      <c r="H160" s="592">
        <f>_ENE10</f>
        <v>2000</v>
      </c>
      <c r="I160" s="592"/>
      <c r="J160" s="591"/>
    </row>
    <row r="161" spans="1:13" x14ac:dyDescent="0.25">
      <c r="C161" s="329"/>
      <c r="D161" s="329"/>
      <c r="H161" s="592">
        <f>_FEB10</f>
        <v>100</v>
      </c>
      <c r="I161" s="592"/>
      <c r="J161" s="591"/>
    </row>
    <row r="162" spans="1:13" x14ac:dyDescent="0.25">
      <c r="C162" s="329"/>
      <c r="D162" s="329"/>
      <c r="H162" s="592">
        <f>_MAR10</f>
        <v>200</v>
      </c>
      <c r="I162" s="592"/>
      <c r="J162" s="591"/>
    </row>
    <row r="163" spans="1:13" x14ac:dyDescent="0.25">
      <c r="C163" s="329"/>
      <c r="D163" s="329"/>
      <c r="H163" s="592">
        <f>_ABR10</f>
        <v>200</v>
      </c>
      <c r="I163" s="592"/>
      <c r="J163" s="591"/>
    </row>
    <row r="164" spans="1:13" x14ac:dyDescent="0.25">
      <c r="C164" s="329"/>
      <c r="D164" s="329"/>
      <c r="H164" s="592">
        <f>_MAY10</f>
        <v>200</v>
      </c>
      <c r="I164" s="592"/>
      <c r="J164" s="591"/>
    </row>
    <row r="165" spans="1:13" x14ac:dyDescent="0.25">
      <c r="C165" s="329"/>
      <c r="D165" s="329"/>
      <c r="H165" s="592">
        <f>_JUN10</f>
        <v>200</v>
      </c>
      <c r="I165" s="592"/>
      <c r="J165" s="591"/>
    </row>
    <row r="166" spans="1:13" x14ac:dyDescent="0.25">
      <c r="C166" s="329"/>
      <c r="D166" s="329"/>
      <c r="H166" s="592">
        <f>_JUL10</f>
        <v>900</v>
      </c>
      <c r="I166" s="592"/>
      <c r="J166" s="591"/>
    </row>
    <row r="167" spans="1:13" x14ac:dyDescent="0.25">
      <c r="C167" s="329"/>
      <c r="D167" s="329"/>
      <c r="H167" s="592">
        <f>_AGO10</f>
        <v>-800</v>
      </c>
      <c r="I167" s="592"/>
      <c r="J167" s="591"/>
    </row>
    <row r="168" spans="1:13" x14ac:dyDescent="0.25">
      <c r="C168" s="329"/>
      <c r="D168" s="329"/>
      <c r="H168" s="592">
        <f>_SEP10</f>
        <v>750</v>
      </c>
      <c r="I168" s="592"/>
      <c r="J168" s="591"/>
    </row>
    <row r="169" spans="1:13" x14ac:dyDescent="0.25">
      <c r="C169" s="329"/>
      <c r="D169" s="329"/>
      <c r="H169" s="592">
        <f>_OCT10</f>
        <v>250</v>
      </c>
      <c r="I169" s="592"/>
      <c r="J169" s="591"/>
    </row>
    <row r="170" spans="1:13" x14ac:dyDescent="0.25">
      <c r="C170" s="329"/>
      <c r="D170" s="329"/>
      <c r="H170" s="592">
        <f>_NOV10</f>
        <v>0</v>
      </c>
      <c r="I170" s="592"/>
      <c r="J170" s="591"/>
    </row>
    <row r="171" spans="1:13" x14ac:dyDescent="0.25">
      <c r="C171" s="329"/>
      <c r="D171" s="329"/>
      <c r="H171" s="592">
        <f>_DIC10</f>
        <v>1000</v>
      </c>
      <c r="I171" s="592"/>
      <c r="J171" s="591"/>
    </row>
    <row r="172" spans="1:13" x14ac:dyDescent="0.25">
      <c r="C172" s="329"/>
      <c r="D172" s="329"/>
      <c r="H172" s="592">
        <f>SUM(H160:H171)</f>
        <v>5000</v>
      </c>
      <c r="I172" s="592">
        <f>-SUM(I160:I171)</f>
        <v>0</v>
      </c>
      <c r="J172" s="593">
        <f>H172-I172</f>
        <v>5000</v>
      </c>
    </row>
    <row r="173" spans="1:13" x14ac:dyDescent="0.25">
      <c r="C173" s="329"/>
      <c r="D173" s="329"/>
      <c r="H173" s="23"/>
      <c r="I173" s="23"/>
      <c r="J173" s="15"/>
    </row>
    <row r="174" spans="1:13" x14ac:dyDescent="0.25">
      <c r="C174" s="329"/>
      <c r="D174" s="329"/>
      <c r="E174" s="37"/>
      <c r="F174" s="37"/>
      <c r="G174" s="37"/>
      <c r="H174" s="181"/>
      <c r="I174" s="332"/>
      <c r="J174" s="51"/>
      <c r="K174" s="37"/>
      <c r="L174" s="588"/>
      <c r="M174" s="37"/>
    </row>
    <row r="175" spans="1:13" x14ac:dyDescent="0.25">
      <c r="C175" s="329"/>
      <c r="D175" s="329"/>
      <c r="E175" s="37"/>
      <c r="F175" s="43"/>
      <c r="G175" s="43"/>
      <c r="H175" s="181"/>
      <c r="I175" s="577"/>
      <c r="J175" s="51"/>
      <c r="K175" s="43"/>
      <c r="L175" s="37"/>
      <c r="M175" s="37"/>
    </row>
    <row r="176" spans="1:13" x14ac:dyDescent="0.25">
      <c r="A176" s="391" t="s">
        <v>32</v>
      </c>
      <c r="B176" s="391" t="s">
        <v>33</v>
      </c>
      <c r="E176" s="37"/>
      <c r="F176" s="37"/>
      <c r="G176" s="37"/>
      <c r="H176" s="181"/>
      <c r="I176" s="332"/>
      <c r="J176" s="51"/>
      <c r="K176" s="37"/>
      <c r="L176" s="37"/>
      <c r="M176" s="37"/>
    </row>
    <row r="177" spans="1:13" x14ac:dyDescent="0.25">
      <c r="A177" s="391">
        <f>SUM(C6:C176)</f>
        <v>35000</v>
      </c>
      <c r="B177" s="391">
        <f>SUM(D6:D176)</f>
        <v>30000</v>
      </c>
      <c r="E177" s="37"/>
      <c r="F177" s="37"/>
      <c r="G177" s="37"/>
      <c r="H177" s="332"/>
      <c r="I177" s="332"/>
      <c r="J177" s="51"/>
      <c r="K177" s="37"/>
      <c r="L177" s="37"/>
      <c r="M177" s="37"/>
    </row>
    <row r="178" spans="1:13" x14ac:dyDescent="0.25">
      <c r="C178" s="329"/>
      <c r="D178" s="329"/>
      <c r="E178" s="37"/>
      <c r="F178" s="37"/>
      <c r="G178" s="37"/>
      <c r="H178" s="577"/>
      <c r="I178" s="332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2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2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71" workbookViewId="0">
      <selection activeCell="I187" sqref="I187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08" customWidth="1"/>
    <col min="4" max="4" width="12.7109375" style="408" customWidth="1"/>
    <col min="5" max="5" width="16.42578125" customWidth="1"/>
    <col min="6" max="6" width="11.5703125" customWidth="1"/>
    <col min="7" max="7" width="14.7109375" customWidth="1"/>
    <col min="8" max="8" width="14.85546875" customWidth="1"/>
    <col min="9" max="9" width="10.7109375" customWidth="1"/>
    <col min="10" max="10" width="13.28515625" customWidth="1"/>
    <col min="12" max="12" width="11.85546875" customWidth="1"/>
  </cols>
  <sheetData>
    <row r="1" spans="1:9" ht="12" customHeight="1" x14ac:dyDescent="0.25">
      <c r="A1" s="1188">
        <f ca="1">TODAY()</f>
        <v>44440</v>
      </c>
      <c r="B1" s="1189"/>
      <c r="C1" s="394" t="s">
        <v>0</v>
      </c>
      <c r="D1" s="395">
        <f>COUNTA(A5:A167)</f>
        <v>163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G18+G29+G38+G50+G69+G89+G105+G115+G127+G145+G153+G167</f>
        <v>9000</v>
      </c>
      <c r="C2" s="396" t="s">
        <v>263</v>
      </c>
      <c r="D2" s="397">
        <f>SUM(C4:C167)-SUM(D4:D167)</f>
        <v>16930.449999999997</v>
      </c>
      <c r="E2" s="398" t="s">
        <v>420</v>
      </c>
      <c r="F2" s="397">
        <v>0</v>
      </c>
      <c r="H2">
        <v>800</v>
      </c>
      <c r="I2">
        <f>+I3*12</f>
        <v>0</v>
      </c>
    </row>
    <row r="3" spans="1:9" x14ac:dyDescent="0.25">
      <c r="A3" s="399" t="s">
        <v>7</v>
      </c>
      <c r="B3" s="400" t="s">
        <v>8</v>
      </c>
      <c r="C3" s="401" t="s">
        <v>9</v>
      </c>
      <c r="D3" s="402" t="s">
        <v>64</v>
      </c>
      <c r="E3" s="403" t="s">
        <v>10</v>
      </c>
      <c r="F3" s="397">
        <v>0</v>
      </c>
      <c r="H3">
        <v>800</v>
      </c>
      <c r="I3">
        <f>-(+H2-H3)</f>
        <v>0</v>
      </c>
    </row>
    <row r="4" spans="1:9" x14ac:dyDescent="0.25">
      <c r="A4" s="374"/>
      <c r="B4" s="375" t="s">
        <v>530</v>
      </c>
      <c r="C4" s="376">
        <v>7930.4499999999971</v>
      </c>
      <c r="D4" s="376"/>
    </row>
    <row r="5" spans="1:9" x14ac:dyDescent="0.25">
      <c r="A5" s="377">
        <v>39795</v>
      </c>
      <c r="B5" s="378" t="s">
        <v>531</v>
      </c>
      <c r="C5" s="379"/>
      <c r="D5" s="379">
        <v>1000</v>
      </c>
    </row>
    <row r="6" spans="1:9" x14ac:dyDescent="0.25">
      <c r="A6" s="377">
        <v>39802</v>
      </c>
      <c r="B6" s="378" t="s">
        <v>302</v>
      </c>
      <c r="C6" s="379"/>
      <c r="D6" s="379">
        <v>100</v>
      </c>
    </row>
    <row r="7" spans="1:9" x14ac:dyDescent="0.25">
      <c r="A7" s="377">
        <v>39806</v>
      </c>
      <c r="B7" s="378" t="s">
        <v>19</v>
      </c>
      <c r="C7" s="379">
        <v>1100</v>
      </c>
      <c r="D7" s="379"/>
    </row>
    <row r="8" spans="1:9" x14ac:dyDescent="0.25">
      <c r="A8" s="377">
        <v>39806</v>
      </c>
      <c r="B8" s="378" t="s">
        <v>474</v>
      </c>
      <c r="C8" s="379">
        <v>150</v>
      </c>
      <c r="D8" s="379"/>
      <c r="F8" s="349"/>
      <c r="G8" s="314"/>
    </row>
    <row r="9" spans="1:9" x14ac:dyDescent="0.25">
      <c r="A9" s="377">
        <v>39806</v>
      </c>
      <c r="B9" s="378" t="s">
        <v>532</v>
      </c>
      <c r="C9" s="379">
        <v>150</v>
      </c>
      <c r="D9" s="379"/>
      <c r="F9" s="349"/>
      <c r="G9" s="324"/>
    </row>
    <row r="10" spans="1:9" x14ac:dyDescent="0.25">
      <c r="A10" s="377">
        <v>39821</v>
      </c>
      <c r="B10" s="378" t="s">
        <v>388</v>
      </c>
      <c r="C10" s="379"/>
      <c r="D10" s="379">
        <v>100</v>
      </c>
      <c r="F10" s="349"/>
      <c r="G10" s="324"/>
      <c r="H10" s="313"/>
    </row>
    <row r="11" spans="1:9" x14ac:dyDescent="0.25">
      <c r="A11" s="377">
        <v>39822</v>
      </c>
      <c r="B11" s="378" t="s">
        <v>13</v>
      </c>
      <c r="C11" s="379">
        <v>2200</v>
      </c>
      <c r="D11" s="379"/>
      <c r="F11" s="349"/>
      <c r="G11" s="324"/>
      <c r="H11" s="313"/>
    </row>
    <row r="12" spans="1:9" x14ac:dyDescent="0.25">
      <c r="A12" s="377">
        <v>39822</v>
      </c>
      <c r="B12" s="378" t="s">
        <v>533</v>
      </c>
      <c r="C12" s="379"/>
      <c r="D12" s="379">
        <v>25</v>
      </c>
      <c r="F12" s="349"/>
      <c r="G12" s="324"/>
      <c r="H12" s="313"/>
    </row>
    <row r="13" spans="1:9" x14ac:dyDescent="0.25">
      <c r="A13" s="377">
        <v>39822</v>
      </c>
      <c r="B13" s="378" t="s">
        <v>303</v>
      </c>
      <c r="C13" s="379"/>
      <c r="D13" s="379">
        <v>100</v>
      </c>
      <c r="F13" s="349"/>
      <c r="G13" s="324"/>
      <c r="H13" s="313"/>
    </row>
    <row r="14" spans="1:9" x14ac:dyDescent="0.25">
      <c r="A14" s="377">
        <v>39822</v>
      </c>
      <c r="B14" s="378" t="s">
        <v>399</v>
      </c>
      <c r="C14" s="379"/>
      <c r="D14" s="379">
        <v>350</v>
      </c>
      <c r="F14" s="349"/>
      <c r="G14" s="324"/>
      <c r="H14" s="313"/>
    </row>
    <row r="15" spans="1:9" x14ac:dyDescent="0.25">
      <c r="A15" s="377">
        <v>39822</v>
      </c>
      <c r="B15" s="378" t="s">
        <v>300</v>
      </c>
      <c r="C15" s="379"/>
      <c r="D15" s="379">
        <v>80</v>
      </c>
      <c r="F15" s="349"/>
      <c r="G15" s="324"/>
      <c r="H15" s="313"/>
    </row>
    <row r="16" spans="1:9" x14ac:dyDescent="0.25">
      <c r="A16" s="377">
        <v>39822</v>
      </c>
      <c r="B16" s="378" t="s">
        <v>534</v>
      </c>
      <c r="C16" s="379"/>
      <c r="D16" s="379">
        <v>150</v>
      </c>
      <c r="E16" s="382" t="s">
        <v>11</v>
      </c>
      <c r="F16" s="314"/>
      <c r="G16" s="314"/>
    </row>
    <row r="17" spans="1:10" x14ac:dyDescent="0.25">
      <c r="A17" s="377">
        <v>39822</v>
      </c>
      <c r="B17" s="378" t="s">
        <v>535</v>
      </c>
      <c r="C17" s="379"/>
      <c r="D17" s="379">
        <v>270</v>
      </c>
      <c r="E17" s="383" t="s">
        <v>312</v>
      </c>
      <c r="F17" s="384">
        <f>COUNTA(A5:A18)</f>
        <v>14</v>
      </c>
      <c r="G17" s="314"/>
    </row>
    <row r="18" spans="1:10" x14ac:dyDescent="0.25">
      <c r="A18" s="374">
        <v>39822</v>
      </c>
      <c r="B18" s="375" t="s">
        <v>454</v>
      </c>
      <c r="C18" s="376"/>
      <c r="D18" s="376">
        <v>25</v>
      </c>
      <c r="E18" s="385">
        <f>SUM(C5:C18)</f>
        <v>3600</v>
      </c>
      <c r="F18" s="385">
        <f>SUM(D5:D18)</f>
        <v>2200</v>
      </c>
      <c r="G18" s="385">
        <f>E18-F18</f>
        <v>1400</v>
      </c>
      <c r="H18">
        <f>_ENE09-H3</f>
        <v>600</v>
      </c>
    </row>
    <row r="19" spans="1:10" x14ac:dyDescent="0.25">
      <c r="A19" s="377">
        <v>39850</v>
      </c>
      <c r="B19" s="378" t="s">
        <v>13</v>
      </c>
      <c r="C19" s="379">
        <v>2200</v>
      </c>
      <c r="D19" s="379"/>
      <c r="E19" s="314"/>
      <c r="F19" s="314"/>
      <c r="G19" s="314"/>
    </row>
    <row r="20" spans="1:10" x14ac:dyDescent="0.25">
      <c r="A20" s="377">
        <v>39850</v>
      </c>
      <c r="B20" s="378" t="s">
        <v>399</v>
      </c>
      <c r="C20" s="379"/>
      <c r="D20" s="379">
        <v>350</v>
      </c>
      <c r="E20" s="314"/>
      <c r="F20" s="314"/>
      <c r="G20" s="314"/>
    </row>
    <row r="21" spans="1:10" x14ac:dyDescent="0.25">
      <c r="A21" s="377">
        <v>39850</v>
      </c>
      <c r="B21" s="378" t="s">
        <v>536</v>
      </c>
      <c r="C21" s="379"/>
      <c r="D21" s="379">
        <f>7+27+1</f>
        <v>35</v>
      </c>
      <c r="E21" s="314"/>
      <c r="F21" s="314"/>
      <c r="G21" s="314"/>
    </row>
    <row r="22" spans="1:10" x14ac:dyDescent="0.25">
      <c r="A22" s="377">
        <v>39850</v>
      </c>
      <c r="B22" s="378" t="s">
        <v>492</v>
      </c>
      <c r="C22" s="379"/>
      <c r="D22" s="379">
        <v>216</v>
      </c>
      <c r="E22" s="15"/>
      <c r="F22" s="15"/>
      <c r="G22" s="15"/>
      <c r="H22" s="15"/>
      <c r="I22" s="15"/>
      <c r="J22" s="15"/>
    </row>
    <row r="23" spans="1:10" x14ac:dyDescent="0.25">
      <c r="A23" s="377">
        <v>39850</v>
      </c>
      <c r="B23" s="378" t="s">
        <v>534</v>
      </c>
      <c r="C23" s="379"/>
      <c r="D23" s="379">
        <v>200</v>
      </c>
      <c r="E23" s="15"/>
      <c r="F23" s="15"/>
      <c r="G23" s="15"/>
      <c r="H23" s="15"/>
      <c r="I23" s="15"/>
      <c r="J23" s="15"/>
    </row>
    <row r="24" spans="1:10" x14ac:dyDescent="0.25">
      <c r="A24" s="377">
        <v>39850</v>
      </c>
      <c r="B24" s="378" t="s">
        <v>300</v>
      </c>
      <c r="C24" s="379"/>
      <c r="D24" s="379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77">
        <v>39850</v>
      </c>
      <c r="B25" s="378" t="s">
        <v>310</v>
      </c>
      <c r="C25" s="379"/>
      <c r="D25" s="379">
        <v>10</v>
      </c>
      <c r="E25" s="15"/>
      <c r="F25" s="15"/>
      <c r="G25" s="15"/>
      <c r="H25" s="15"/>
      <c r="I25" s="15"/>
      <c r="J25" s="15"/>
    </row>
    <row r="26" spans="1:10" x14ac:dyDescent="0.25">
      <c r="A26" s="377">
        <v>39850</v>
      </c>
      <c r="B26" s="378" t="s">
        <v>303</v>
      </c>
      <c r="C26" s="379"/>
      <c r="D26" s="379">
        <v>210</v>
      </c>
      <c r="E26" s="15"/>
      <c r="F26" s="15"/>
      <c r="G26" s="15"/>
      <c r="H26" s="15"/>
      <c r="I26" s="15"/>
      <c r="J26" s="15"/>
    </row>
    <row r="27" spans="1:10" x14ac:dyDescent="0.25">
      <c r="A27" s="377">
        <v>39850</v>
      </c>
      <c r="B27" s="378" t="s">
        <v>537</v>
      </c>
      <c r="C27" s="379"/>
      <c r="D27" s="379">
        <v>10</v>
      </c>
      <c r="E27" s="382" t="s">
        <v>16</v>
      </c>
      <c r="F27" s="314"/>
      <c r="G27" s="314"/>
    </row>
    <row r="28" spans="1:10" x14ac:dyDescent="0.25">
      <c r="A28" s="377">
        <v>39850</v>
      </c>
      <c r="B28" s="378" t="s">
        <v>538</v>
      </c>
      <c r="C28" s="379"/>
      <c r="D28" s="379">
        <v>12</v>
      </c>
      <c r="E28" s="383" t="s">
        <v>312</v>
      </c>
      <c r="F28" s="384">
        <f>COUNTA(A19:A29)</f>
        <v>11</v>
      </c>
      <c r="G28" s="314"/>
    </row>
    <row r="29" spans="1:10" x14ac:dyDescent="0.25">
      <c r="A29" s="374">
        <v>39863</v>
      </c>
      <c r="B29" s="375" t="s">
        <v>322</v>
      </c>
      <c r="C29" s="376"/>
      <c r="D29" s="376">
        <v>50</v>
      </c>
      <c r="E29" s="386">
        <f>SUM(C19:C29)</f>
        <v>2200</v>
      </c>
      <c r="F29" s="386">
        <f>SUM(D19:D29)</f>
        <v>1250</v>
      </c>
      <c r="G29" s="386">
        <f>E29-F29</f>
        <v>950</v>
      </c>
      <c r="H29">
        <f>_FEB09-H3+H18</f>
        <v>750</v>
      </c>
    </row>
    <row r="30" spans="1:10" x14ac:dyDescent="0.25">
      <c r="A30" s="377">
        <v>39882</v>
      </c>
      <c r="B30" s="378" t="s">
        <v>13</v>
      </c>
      <c r="C30" s="379">
        <v>2200</v>
      </c>
      <c r="D30" s="379"/>
      <c r="E30" s="314"/>
      <c r="F30" s="314"/>
      <c r="G30" s="314"/>
    </row>
    <row r="31" spans="1:10" x14ac:dyDescent="0.25">
      <c r="A31" s="377">
        <v>39854</v>
      </c>
      <c r="B31" s="378" t="s">
        <v>399</v>
      </c>
      <c r="C31" s="379"/>
      <c r="D31" s="379">
        <v>350</v>
      </c>
      <c r="E31" s="314"/>
      <c r="F31" s="314"/>
      <c r="G31" s="314"/>
    </row>
    <row r="32" spans="1:10" x14ac:dyDescent="0.25">
      <c r="A32" s="377">
        <v>39855</v>
      </c>
      <c r="B32" s="378" t="s">
        <v>531</v>
      </c>
      <c r="C32" s="379"/>
      <c r="D32" s="379">
        <v>300</v>
      </c>
      <c r="E32" s="314"/>
      <c r="F32" s="314"/>
      <c r="G32" s="314"/>
    </row>
    <row r="33" spans="1:8" x14ac:dyDescent="0.25">
      <c r="A33" s="377">
        <v>39900</v>
      </c>
      <c r="B33" s="378" t="s">
        <v>539</v>
      </c>
      <c r="C33" s="379"/>
      <c r="D33" s="379">
        <v>100</v>
      </c>
      <c r="E33" s="314"/>
      <c r="F33" s="314"/>
      <c r="G33" s="314"/>
    </row>
    <row r="34" spans="1:8" x14ac:dyDescent="0.25">
      <c r="A34" s="377">
        <v>39882</v>
      </c>
      <c r="B34" s="378" t="s">
        <v>446</v>
      </c>
      <c r="C34" s="379"/>
      <c r="D34" s="379">
        <v>20</v>
      </c>
      <c r="E34" s="314"/>
      <c r="F34" s="314"/>
      <c r="G34" s="314"/>
    </row>
    <row r="35" spans="1:8" x14ac:dyDescent="0.25">
      <c r="A35" s="377">
        <v>39882</v>
      </c>
      <c r="B35" s="378" t="s">
        <v>303</v>
      </c>
      <c r="C35" s="379"/>
      <c r="D35" s="379">
        <v>220</v>
      </c>
      <c r="E35" s="314"/>
      <c r="F35" s="314"/>
      <c r="G35" s="314"/>
    </row>
    <row r="36" spans="1:8" x14ac:dyDescent="0.25">
      <c r="A36" s="377">
        <v>39882</v>
      </c>
      <c r="B36" s="378" t="s">
        <v>300</v>
      </c>
      <c r="C36" s="379"/>
      <c r="D36" s="379">
        <v>60</v>
      </c>
      <c r="E36" s="382" t="s">
        <v>17</v>
      </c>
      <c r="F36" s="314"/>
      <c r="G36" s="314"/>
    </row>
    <row r="37" spans="1:8" x14ac:dyDescent="0.25">
      <c r="A37" s="377">
        <v>39882</v>
      </c>
      <c r="B37" s="378" t="s">
        <v>534</v>
      </c>
      <c r="C37" s="379"/>
      <c r="D37" s="379">
        <v>250</v>
      </c>
      <c r="E37" s="383" t="s">
        <v>312</v>
      </c>
      <c r="F37" s="384">
        <f>COUNTA(A30:A38)</f>
        <v>9</v>
      </c>
      <c r="G37" s="314"/>
    </row>
    <row r="38" spans="1:8" x14ac:dyDescent="0.25">
      <c r="A38" s="374">
        <v>39882</v>
      </c>
      <c r="B38" s="375" t="s">
        <v>540</v>
      </c>
      <c r="C38" s="376"/>
      <c r="D38" s="376">
        <v>50</v>
      </c>
      <c r="E38" s="385">
        <f>SUM(C30:C38)</f>
        <v>2200</v>
      </c>
      <c r="F38" s="385">
        <f>SUM(D30:D38)</f>
        <v>1350</v>
      </c>
      <c r="G38" s="385">
        <f>E38-F38</f>
        <v>850</v>
      </c>
      <c r="H38">
        <f>_MAR09-H3+H29</f>
        <v>800</v>
      </c>
    </row>
    <row r="39" spans="1:8" x14ac:dyDescent="0.25">
      <c r="A39" s="377">
        <v>39910</v>
      </c>
      <c r="B39" s="378" t="s">
        <v>13</v>
      </c>
      <c r="C39" s="379">
        <v>2200</v>
      </c>
      <c r="D39" s="379"/>
      <c r="E39" s="387"/>
      <c r="F39" s="387"/>
      <c r="G39" s="387"/>
    </row>
    <row r="40" spans="1:8" x14ac:dyDescent="0.25">
      <c r="A40" s="377">
        <v>39910</v>
      </c>
      <c r="B40" s="378" t="s">
        <v>541</v>
      </c>
      <c r="C40" s="379"/>
      <c r="D40" s="379">
        <v>400</v>
      </c>
      <c r="E40" s="387"/>
      <c r="F40" s="387"/>
      <c r="G40" s="387"/>
    </row>
    <row r="41" spans="1:8" x14ac:dyDescent="0.25">
      <c r="A41" s="377">
        <v>39910</v>
      </c>
      <c r="B41" s="378" t="s">
        <v>272</v>
      </c>
      <c r="C41" s="379"/>
      <c r="D41" s="379">
        <v>50</v>
      </c>
      <c r="E41" s="387"/>
      <c r="F41" s="387"/>
      <c r="G41" s="387"/>
    </row>
    <row r="42" spans="1:8" x14ac:dyDescent="0.25">
      <c r="A42" s="377">
        <v>39910</v>
      </c>
      <c r="B42" s="378" t="s">
        <v>542</v>
      </c>
      <c r="C42" s="379"/>
      <c r="D42" s="379">
        <v>50</v>
      </c>
      <c r="E42" s="387"/>
      <c r="F42" s="387"/>
      <c r="G42" s="387"/>
    </row>
    <row r="43" spans="1:8" x14ac:dyDescent="0.25">
      <c r="A43" s="377">
        <v>39910</v>
      </c>
      <c r="B43" s="378" t="s">
        <v>303</v>
      </c>
      <c r="C43" s="379"/>
      <c r="D43" s="379">
        <v>250</v>
      </c>
      <c r="E43" s="387"/>
      <c r="F43" s="387"/>
      <c r="G43" s="387"/>
    </row>
    <row r="44" spans="1:8" x14ac:dyDescent="0.25">
      <c r="A44" s="377">
        <v>39910</v>
      </c>
      <c r="B44" s="378" t="s">
        <v>543</v>
      </c>
      <c r="C44" s="379"/>
      <c r="D44" s="379">
        <v>100</v>
      </c>
      <c r="E44" s="387"/>
      <c r="F44" s="387"/>
      <c r="G44" s="387"/>
    </row>
    <row r="45" spans="1:8" x14ac:dyDescent="0.25">
      <c r="A45" s="377">
        <v>39904</v>
      </c>
      <c r="B45" s="378" t="s">
        <v>369</v>
      </c>
      <c r="C45" s="379"/>
      <c r="D45" s="379">
        <v>350</v>
      </c>
      <c r="E45" s="387"/>
      <c r="F45" s="387"/>
      <c r="G45" s="387"/>
    </row>
    <row r="46" spans="1:8" x14ac:dyDescent="0.25">
      <c r="A46" s="377">
        <v>39915</v>
      </c>
      <c r="B46" s="378" t="s">
        <v>302</v>
      </c>
      <c r="C46" s="379"/>
      <c r="D46" s="379">
        <v>100</v>
      </c>
      <c r="E46" s="387"/>
      <c r="F46" s="387"/>
      <c r="G46" s="387"/>
    </row>
    <row r="47" spans="1:8" x14ac:dyDescent="0.25">
      <c r="A47" s="377">
        <v>39904</v>
      </c>
      <c r="B47" s="378" t="s">
        <v>544</v>
      </c>
      <c r="C47" s="379"/>
      <c r="D47" s="379">
        <v>300</v>
      </c>
      <c r="E47" s="387"/>
      <c r="F47" s="387"/>
      <c r="G47" s="387"/>
    </row>
    <row r="48" spans="1:8" x14ac:dyDescent="0.25">
      <c r="A48" s="377">
        <v>39915</v>
      </c>
      <c r="B48" s="378" t="s">
        <v>545</v>
      </c>
      <c r="C48" s="379"/>
      <c r="D48" s="379">
        <v>100</v>
      </c>
      <c r="E48" s="382" t="s">
        <v>18</v>
      </c>
      <c r="F48" s="314"/>
      <c r="G48" s="314"/>
    </row>
    <row r="49" spans="1:8" x14ac:dyDescent="0.25">
      <c r="A49" s="377">
        <v>39915</v>
      </c>
      <c r="B49" s="378" t="s">
        <v>546</v>
      </c>
      <c r="C49" s="379"/>
      <c r="D49" s="379">
        <v>200</v>
      </c>
      <c r="E49" s="382" t="s">
        <v>312</v>
      </c>
      <c r="F49" s="384">
        <f>COUNTA(A39:A50)</f>
        <v>12</v>
      </c>
      <c r="G49" s="314"/>
    </row>
    <row r="50" spans="1:8" x14ac:dyDescent="0.25">
      <c r="A50" s="374">
        <v>39915</v>
      </c>
      <c r="B50" s="375" t="s">
        <v>477</v>
      </c>
      <c r="C50" s="376"/>
      <c r="D50" s="376">
        <v>100</v>
      </c>
      <c r="E50" s="385">
        <f>SUM(C39:C50)</f>
        <v>2200</v>
      </c>
      <c r="F50" s="385">
        <f>SUM(D39:D50)</f>
        <v>2000</v>
      </c>
      <c r="G50" s="385">
        <f>E50-F50</f>
        <v>200</v>
      </c>
      <c r="H50">
        <f>_ABR09-H3+H38</f>
        <v>200</v>
      </c>
    </row>
    <row r="51" spans="1:8" x14ac:dyDescent="0.25">
      <c r="A51" s="377">
        <v>39941</v>
      </c>
      <c r="B51" s="378" t="s">
        <v>13</v>
      </c>
      <c r="C51" s="379">
        <v>2200</v>
      </c>
      <c r="D51" s="379"/>
      <c r="E51" s="314"/>
      <c r="F51" s="314"/>
      <c r="G51" s="314"/>
    </row>
    <row r="52" spans="1:8" x14ac:dyDescent="0.25">
      <c r="A52" s="377">
        <v>39941</v>
      </c>
      <c r="B52" s="378" t="s">
        <v>543</v>
      </c>
      <c r="C52" s="379"/>
      <c r="D52" s="379">
        <v>190</v>
      </c>
      <c r="E52" s="314"/>
      <c r="F52" s="314"/>
      <c r="G52" s="314"/>
    </row>
    <row r="53" spans="1:8" x14ac:dyDescent="0.25">
      <c r="A53" s="377">
        <v>39941</v>
      </c>
      <c r="B53" s="378" t="s">
        <v>301</v>
      </c>
      <c r="C53" s="379"/>
      <c r="D53" s="379">
        <f>170+200+50+100</f>
        <v>520</v>
      </c>
      <c r="E53" s="314"/>
      <c r="F53" s="314"/>
      <c r="G53" s="314"/>
    </row>
    <row r="54" spans="1:8" x14ac:dyDescent="0.25">
      <c r="A54" s="377">
        <v>39941</v>
      </c>
      <c r="B54" s="378" t="s">
        <v>303</v>
      </c>
      <c r="C54" s="379"/>
      <c r="D54" s="379">
        <v>240</v>
      </c>
      <c r="E54" s="314"/>
      <c r="F54" s="314"/>
      <c r="G54" s="314"/>
    </row>
    <row r="55" spans="1:8" x14ac:dyDescent="0.25">
      <c r="A55" s="377">
        <v>39943</v>
      </c>
      <c r="B55" s="378" t="s">
        <v>547</v>
      </c>
      <c r="C55" s="379">
        <v>300</v>
      </c>
      <c r="D55" s="379"/>
      <c r="E55" s="314"/>
      <c r="F55" s="314"/>
      <c r="G55" s="314"/>
    </row>
    <row r="56" spans="1:8" x14ac:dyDescent="0.25">
      <c r="A56" s="377">
        <v>39943</v>
      </c>
      <c r="B56" s="378" t="s">
        <v>408</v>
      </c>
      <c r="C56" s="379"/>
      <c r="D56" s="379">
        <v>45</v>
      </c>
      <c r="E56" s="314"/>
      <c r="F56" s="314"/>
      <c r="G56" s="314"/>
    </row>
    <row r="57" spans="1:8" x14ac:dyDescent="0.25">
      <c r="A57" s="377">
        <v>39943</v>
      </c>
      <c r="B57" s="378" t="s">
        <v>548</v>
      </c>
      <c r="C57" s="379"/>
      <c r="D57" s="379">
        <v>10</v>
      </c>
      <c r="E57" s="314"/>
      <c r="F57" s="314"/>
      <c r="G57" s="314"/>
    </row>
    <row r="58" spans="1:8" x14ac:dyDescent="0.25">
      <c r="A58" s="377">
        <v>39943</v>
      </c>
      <c r="B58" s="378" t="s">
        <v>549</v>
      </c>
      <c r="C58" s="379"/>
      <c r="D58" s="379">
        <f>6+6+15+8</f>
        <v>35</v>
      </c>
      <c r="E58" s="314"/>
      <c r="F58" s="314"/>
      <c r="G58" s="314"/>
    </row>
    <row r="59" spans="1:8" x14ac:dyDescent="0.25">
      <c r="A59" s="377">
        <v>39943</v>
      </c>
      <c r="B59" s="378" t="s">
        <v>550</v>
      </c>
      <c r="C59" s="379"/>
      <c r="D59" s="379">
        <v>70</v>
      </c>
      <c r="E59" s="314"/>
      <c r="F59" s="314"/>
      <c r="G59" s="314"/>
    </row>
    <row r="60" spans="1:8" x14ac:dyDescent="0.25">
      <c r="A60" s="377">
        <v>39935</v>
      </c>
      <c r="B60" s="378" t="s">
        <v>302</v>
      </c>
      <c r="C60" s="379"/>
      <c r="D60" s="379">
        <v>65</v>
      </c>
      <c r="E60" s="314"/>
      <c r="F60" s="314"/>
      <c r="G60" s="314"/>
    </row>
    <row r="61" spans="1:8" x14ac:dyDescent="0.25">
      <c r="A61" s="377">
        <v>39934</v>
      </c>
      <c r="B61" s="378" t="s">
        <v>551</v>
      </c>
      <c r="C61" s="379"/>
      <c r="D61" s="379">
        <f>5+5+8</f>
        <v>18</v>
      </c>
      <c r="E61" s="314"/>
      <c r="F61" s="314"/>
      <c r="G61" s="314"/>
    </row>
    <row r="62" spans="1:8" x14ac:dyDescent="0.25">
      <c r="A62" s="377">
        <v>39935</v>
      </c>
      <c r="B62" s="378" t="s">
        <v>424</v>
      </c>
      <c r="C62" s="379"/>
      <c r="D62" s="379">
        <v>15</v>
      </c>
      <c r="E62" s="314"/>
      <c r="F62" s="314"/>
      <c r="G62" s="314"/>
    </row>
    <row r="63" spans="1:8" x14ac:dyDescent="0.25">
      <c r="A63" s="377">
        <v>39935</v>
      </c>
      <c r="B63" s="378" t="s">
        <v>346</v>
      </c>
      <c r="C63" s="379"/>
      <c r="D63" s="379">
        <v>800</v>
      </c>
      <c r="E63" s="314"/>
      <c r="F63" s="314"/>
      <c r="G63" s="314"/>
    </row>
    <row r="64" spans="1:8" x14ac:dyDescent="0.25">
      <c r="A64" s="377">
        <v>39950</v>
      </c>
      <c r="B64" s="378" t="s">
        <v>302</v>
      </c>
      <c r="C64" s="379"/>
      <c r="D64" s="379">
        <v>100</v>
      </c>
      <c r="E64" s="314"/>
      <c r="F64" s="314"/>
      <c r="G64" s="314"/>
    </row>
    <row r="65" spans="1:8" x14ac:dyDescent="0.25">
      <c r="A65" s="377">
        <v>39934</v>
      </c>
      <c r="B65" s="378" t="s">
        <v>552</v>
      </c>
      <c r="C65" s="379"/>
      <c r="D65" s="379">
        <v>205</v>
      </c>
      <c r="E65" s="314"/>
      <c r="F65" s="314"/>
      <c r="G65" s="314"/>
    </row>
    <row r="66" spans="1:8" x14ac:dyDescent="0.25">
      <c r="A66" s="377">
        <v>39934</v>
      </c>
      <c r="B66" s="378" t="s">
        <v>302</v>
      </c>
      <c r="C66" s="379"/>
      <c r="D66" s="379">
        <v>45</v>
      </c>
      <c r="E66" s="314"/>
      <c r="F66" s="314"/>
      <c r="G66" s="314"/>
    </row>
    <row r="67" spans="1:8" x14ac:dyDescent="0.25">
      <c r="A67" s="377">
        <v>39934</v>
      </c>
      <c r="B67" s="378" t="s">
        <v>378</v>
      </c>
      <c r="C67" s="379"/>
      <c r="D67" s="379">
        <v>50</v>
      </c>
      <c r="E67" s="382" t="s">
        <v>20</v>
      </c>
      <c r="F67" s="314"/>
      <c r="G67" s="314"/>
    </row>
    <row r="68" spans="1:8" x14ac:dyDescent="0.25">
      <c r="A68" s="377">
        <v>39934</v>
      </c>
      <c r="B68" s="378" t="s">
        <v>454</v>
      </c>
      <c r="C68" s="379"/>
      <c r="D68" s="379">
        <v>392</v>
      </c>
      <c r="E68" s="382" t="s">
        <v>312</v>
      </c>
      <c r="F68" s="384">
        <f>COUNTA(A51:A69)</f>
        <v>19</v>
      </c>
      <c r="G68" s="314"/>
    </row>
    <row r="69" spans="1:8" x14ac:dyDescent="0.25">
      <c r="A69" s="374">
        <v>39934</v>
      </c>
      <c r="B69" s="375" t="s">
        <v>546</v>
      </c>
      <c r="C69" s="376"/>
      <c r="D69" s="376">
        <v>100</v>
      </c>
      <c r="E69" s="385">
        <f>SUM(C51:C69)</f>
        <v>2500</v>
      </c>
      <c r="F69" s="385">
        <f>SUM(D51:D69)</f>
        <v>2900</v>
      </c>
      <c r="G69" s="543">
        <f>E69-F69</f>
        <v>-400</v>
      </c>
      <c r="H69">
        <f>_MAY09-H3+H50</f>
        <v>-1000</v>
      </c>
    </row>
    <row r="70" spans="1:8" x14ac:dyDescent="0.25">
      <c r="A70" s="377">
        <v>39965</v>
      </c>
      <c r="B70" s="378" t="s">
        <v>359</v>
      </c>
      <c r="C70" s="379">
        <v>200</v>
      </c>
      <c r="D70" s="379"/>
      <c r="E70" s="314"/>
      <c r="F70" s="314"/>
      <c r="G70" s="314"/>
    </row>
    <row r="71" spans="1:8" x14ac:dyDescent="0.25">
      <c r="A71" s="377">
        <v>39965</v>
      </c>
      <c r="B71" s="378" t="s">
        <v>378</v>
      </c>
      <c r="C71" s="379"/>
      <c r="D71" s="379">
        <v>50</v>
      </c>
      <c r="E71" s="314"/>
      <c r="F71" s="314"/>
      <c r="G71" s="314"/>
    </row>
    <row r="72" spans="1:8" x14ac:dyDescent="0.25">
      <c r="A72" s="377">
        <v>39965</v>
      </c>
      <c r="B72" s="378" t="s">
        <v>302</v>
      </c>
      <c r="C72" s="379"/>
      <c r="D72" s="379">
        <v>120</v>
      </c>
      <c r="E72" s="314"/>
      <c r="F72" s="314"/>
      <c r="G72" s="314"/>
    </row>
    <row r="73" spans="1:8" x14ac:dyDescent="0.25">
      <c r="A73" s="377">
        <v>39965</v>
      </c>
      <c r="B73" s="378" t="s">
        <v>323</v>
      </c>
      <c r="C73" s="379"/>
      <c r="D73" s="379">
        <v>30</v>
      </c>
      <c r="E73" s="314"/>
      <c r="F73" s="314"/>
      <c r="G73" s="314"/>
    </row>
    <row r="74" spans="1:8" x14ac:dyDescent="0.25">
      <c r="A74" s="377">
        <v>39965</v>
      </c>
      <c r="B74" s="378" t="s">
        <v>553</v>
      </c>
      <c r="C74" s="379">
        <v>300</v>
      </c>
      <c r="D74" s="379"/>
      <c r="E74" s="314"/>
      <c r="F74" s="314"/>
      <c r="G74" s="314"/>
    </row>
    <row r="75" spans="1:8" x14ac:dyDescent="0.25">
      <c r="A75" s="377">
        <v>39965</v>
      </c>
      <c r="B75" s="378" t="s">
        <v>339</v>
      </c>
      <c r="C75" s="379"/>
      <c r="D75" s="379">
        <v>200</v>
      </c>
      <c r="E75" s="314"/>
      <c r="F75" s="314"/>
      <c r="G75" s="314"/>
    </row>
    <row r="76" spans="1:8" x14ac:dyDescent="0.25">
      <c r="A76" s="377">
        <v>39965</v>
      </c>
      <c r="B76" s="378" t="s">
        <v>454</v>
      </c>
      <c r="C76" s="379"/>
      <c r="D76" s="379">
        <v>50</v>
      </c>
      <c r="E76" s="314"/>
      <c r="F76" s="314"/>
      <c r="G76" s="314"/>
    </row>
    <row r="77" spans="1:8" x14ac:dyDescent="0.25">
      <c r="A77" s="377">
        <v>39965</v>
      </c>
      <c r="B77" s="378" t="s">
        <v>554</v>
      </c>
      <c r="C77" s="379"/>
      <c r="D77" s="379">
        <v>50</v>
      </c>
      <c r="E77" s="314"/>
      <c r="F77" s="314"/>
      <c r="G77" s="314"/>
    </row>
    <row r="78" spans="1:8" x14ac:dyDescent="0.25">
      <c r="A78" s="377">
        <v>39965</v>
      </c>
      <c r="B78" s="378" t="s">
        <v>359</v>
      </c>
      <c r="C78" s="379">
        <v>200</v>
      </c>
      <c r="D78" s="379"/>
      <c r="E78" s="314"/>
      <c r="F78" s="314"/>
      <c r="G78" s="314"/>
    </row>
    <row r="79" spans="1:8" x14ac:dyDescent="0.25">
      <c r="A79" s="377">
        <v>39965</v>
      </c>
      <c r="B79" s="378" t="s">
        <v>302</v>
      </c>
      <c r="C79" s="379"/>
      <c r="D79" s="379">
        <v>200</v>
      </c>
      <c r="E79" s="314"/>
      <c r="F79" s="314"/>
      <c r="G79" s="314"/>
    </row>
    <row r="80" spans="1:8" x14ac:dyDescent="0.25">
      <c r="A80" s="377">
        <v>39973</v>
      </c>
      <c r="B80" s="378" t="s">
        <v>339</v>
      </c>
      <c r="C80" s="379"/>
      <c r="D80" s="379">
        <v>200</v>
      </c>
      <c r="E80" s="314"/>
      <c r="F80" s="314"/>
      <c r="G80" s="314"/>
    </row>
    <row r="81" spans="1:8" x14ac:dyDescent="0.25">
      <c r="A81" s="377">
        <v>39973</v>
      </c>
      <c r="B81" s="378" t="s">
        <v>13</v>
      </c>
      <c r="C81" s="379">
        <v>2200</v>
      </c>
      <c r="D81" s="379"/>
      <c r="E81" s="314"/>
      <c r="F81" s="314"/>
      <c r="G81" s="314"/>
    </row>
    <row r="82" spans="1:8" x14ac:dyDescent="0.25">
      <c r="A82" s="377">
        <v>39973</v>
      </c>
      <c r="B82" s="378" t="s">
        <v>303</v>
      </c>
      <c r="C82" s="379"/>
      <c r="D82" s="379">
        <v>200</v>
      </c>
      <c r="E82" s="314"/>
      <c r="F82" s="314"/>
      <c r="G82" s="314"/>
    </row>
    <row r="83" spans="1:8" x14ac:dyDescent="0.25">
      <c r="A83" s="377">
        <v>39973</v>
      </c>
      <c r="B83" s="378" t="s">
        <v>547</v>
      </c>
      <c r="C83" s="379">
        <v>200</v>
      </c>
      <c r="D83" s="379"/>
      <c r="E83" s="314"/>
      <c r="F83" s="314"/>
      <c r="G83" s="314"/>
    </row>
    <row r="84" spans="1:8" x14ac:dyDescent="0.25">
      <c r="A84" s="377">
        <v>39978</v>
      </c>
      <c r="B84" s="378" t="s">
        <v>359</v>
      </c>
      <c r="C84" s="379">
        <v>1200</v>
      </c>
      <c r="D84" s="379"/>
      <c r="E84" s="314"/>
      <c r="F84" s="314"/>
      <c r="G84" s="314"/>
    </row>
    <row r="85" spans="1:8" x14ac:dyDescent="0.25">
      <c r="A85" s="377">
        <v>39978</v>
      </c>
      <c r="B85" s="378" t="s">
        <v>555</v>
      </c>
      <c r="C85" s="379"/>
      <c r="D85" s="379">
        <v>100</v>
      </c>
      <c r="E85" s="314"/>
      <c r="F85" s="314"/>
      <c r="G85" s="314"/>
    </row>
    <row r="86" spans="1:8" x14ac:dyDescent="0.25">
      <c r="A86" s="377">
        <v>39978</v>
      </c>
      <c r="B86" s="378" t="s">
        <v>556</v>
      </c>
      <c r="C86" s="379"/>
      <c r="D86" s="379">
        <v>1550</v>
      </c>
      <c r="E86" s="314"/>
      <c r="F86" s="314"/>
      <c r="G86" s="314"/>
    </row>
    <row r="87" spans="1:8" x14ac:dyDescent="0.25">
      <c r="A87" s="377">
        <v>39973</v>
      </c>
      <c r="B87" s="378" t="s">
        <v>543</v>
      </c>
      <c r="C87" s="379"/>
      <c r="D87" s="379">
        <v>150</v>
      </c>
      <c r="E87" s="382" t="s">
        <v>21</v>
      </c>
      <c r="F87" s="314"/>
      <c r="G87" s="314"/>
    </row>
    <row r="88" spans="1:8" x14ac:dyDescent="0.25">
      <c r="A88" s="377">
        <v>39973</v>
      </c>
      <c r="B88" s="378" t="s">
        <v>454</v>
      </c>
      <c r="C88" s="379"/>
      <c r="D88" s="379">
        <v>200</v>
      </c>
      <c r="E88" s="382" t="s">
        <v>312</v>
      </c>
      <c r="F88" s="384">
        <f>COUNTA(A70:A89)</f>
        <v>20</v>
      </c>
      <c r="G88" s="314"/>
    </row>
    <row r="89" spans="1:8" x14ac:dyDescent="0.25">
      <c r="A89" s="374">
        <v>39973</v>
      </c>
      <c r="B89" s="375" t="s">
        <v>557</v>
      </c>
      <c r="C89" s="376"/>
      <c r="D89" s="376">
        <v>100</v>
      </c>
      <c r="E89" s="385">
        <f>SUM(C70:C89)</f>
        <v>4300</v>
      </c>
      <c r="F89" s="385">
        <f>SUM(D70:D89)</f>
        <v>3200</v>
      </c>
      <c r="G89" s="385">
        <f>E89-F89</f>
        <v>1100</v>
      </c>
      <c r="H89">
        <f>_JUN09-H3+H69</f>
        <v>-700</v>
      </c>
    </row>
    <row r="90" spans="1:8" x14ac:dyDescent="0.25">
      <c r="A90" s="377">
        <v>39995</v>
      </c>
      <c r="B90" s="378" t="s">
        <v>229</v>
      </c>
      <c r="C90" s="379">
        <v>90</v>
      </c>
      <c r="D90" s="379"/>
      <c r="E90" s="314"/>
      <c r="F90" s="314"/>
      <c r="G90" s="314"/>
    </row>
    <row r="91" spans="1:8" x14ac:dyDescent="0.25">
      <c r="A91" s="377">
        <v>39995</v>
      </c>
      <c r="B91" s="378" t="s">
        <v>378</v>
      </c>
      <c r="C91" s="379"/>
      <c r="D91" s="379">
        <v>40</v>
      </c>
      <c r="E91" s="314"/>
      <c r="F91" s="314"/>
      <c r="G91" s="314"/>
    </row>
    <row r="92" spans="1:8" x14ac:dyDescent="0.25">
      <c r="A92" s="377">
        <v>39995</v>
      </c>
      <c r="B92" s="378" t="s">
        <v>323</v>
      </c>
      <c r="C92" s="379"/>
      <c r="D92" s="379">
        <v>50</v>
      </c>
      <c r="E92" s="314"/>
      <c r="F92" s="314"/>
      <c r="G92" s="314"/>
    </row>
    <row r="93" spans="1:8" x14ac:dyDescent="0.25">
      <c r="A93" s="377">
        <v>40004</v>
      </c>
      <c r="B93" s="378" t="s">
        <v>558</v>
      </c>
      <c r="C93" s="379">
        <v>2200</v>
      </c>
      <c r="D93" s="379"/>
      <c r="E93" s="314"/>
      <c r="F93" s="314"/>
      <c r="G93" s="314"/>
    </row>
    <row r="94" spans="1:8" x14ac:dyDescent="0.25">
      <c r="A94" s="377">
        <v>40004</v>
      </c>
      <c r="B94" s="378" t="s">
        <v>338</v>
      </c>
      <c r="C94" s="379"/>
      <c r="D94" s="379">
        <v>120</v>
      </c>
      <c r="E94" s="314"/>
      <c r="F94" s="314"/>
      <c r="G94" s="314"/>
    </row>
    <row r="95" spans="1:8" x14ac:dyDescent="0.25">
      <c r="A95" s="377">
        <v>40004</v>
      </c>
      <c r="B95" s="378" t="s">
        <v>19</v>
      </c>
      <c r="C95" s="379">
        <v>1100</v>
      </c>
      <c r="D95" s="379"/>
      <c r="E95" s="314"/>
      <c r="F95" s="314"/>
      <c r="G95" s="314"/>
    </row>
    <row r="96" spans="1:8" x14ac:dyDescent="0.25">
      <c r="A96" s="377">
        <v>40004</v>
      </c>
      <c r="B96" s="378" t="s">
        <v>559</v>
      </c>
      <c r="C96" s="379"/>
      <c r="D96" s="379">
        <v>1200</v>
      </c>
      <c r="E96" s="314"/>
      <c r="F96" s="314"/>
      <c r="G96" s="314"/>
    </row>
    <row r="97" spans="1:8" x14ac:dyDescent="0.25">
      <c r="A97" s="377">
        <v>40006</v>
      </c>
      <c r="B97" s="378" t="s">
        <v>553</v>
      </c>
      <c r="C97" s="379">
        <v>100</v>
      </c>
      <c r="D97" s="379"/>
      <c r="E97" s="314"/>
      <c r="F97" s="314"/>
      <c r="G97" s="314"/>
    </row>
    <row r="98" spans="1:8" x14ac:dyDescent="0.25">
      <c r="A98" s="377">
        <v>40012</v>
      </c>
      <c r="B98" s="378" t="s">
        <v>394</v>
      </c>
      <c r="C98" s="379"/>
      <c r="D98" s="379">
        <v>14</v>
      </c>
      <c r="E98" s="314"/>
      <c r="F98" s="314"/>
      <c r="G98" s="314"/>
    </row>
    <row r="99" spans="1:8" x14ac:dyDescent="0.25">
      <c r="A99" s="377">
        <v>40017</v>
      </c>
      <c r="B99" s="378" t="s">
        <v>316</v>
      </c>
      <c r="C99" s="379"/>
      <c r="D99" s="379">
        <v>50</v>
      </c>
      <c r="E99" s="314"/>
      <c r="F99" s="314"/>
      <c r="G99" s="314"/>
    </row>
    <row r="100" spans="1:8" x14ac:dyDescent="0.25">
      <c r="A100" s="377">
        <v>40020</v>
      </c>
      <c r="B100" s="378" t="s">
        <v>316</v>
      </c>
      <c r="C100" s="379"/>
      <c r="D100" s="379">
        <v>150</v>
      </c>
      <c r="E100" s="314"/>
      <c r="F100" s="314"/>
      <c r="G100" s="314"/>
    </row>
    <row r="101" spans="1:8" x14ac:dyDescent="0.25">
      <c r="A101" s="377">
        <v>40023</v>
      </c>
      <c r="B101" s="378" t="s">
        <v>316</v>
      </c>
      <c r="C101" s="379"/>
      <c r="D101" s="379">
        <v>100</v>
      </c>
      <c r="E101" s="314"/>
      <c r="F101" s="314"/>
      <c r="G101" s="314"/>
    </row>
    <row r="102" spans="1:8" x14ac:dyDescent="0.25">
      <c r="A102" s="377">
        <v>40011</v>
      </c>
      <c r="B102" s="378" t="s">
        <v>552</v>
      </c>
      <c r="C102" s="379"/>
      <c r="D102" s="379">
        <v>125</v>
      </c>
      <c r="E102" s="314"/>
      <c r="F102" s="314"/>
      <c r="G102" s="314"/>
    </row>
    <row r="103" spans="1:8" x14ac:dyDescent="0.25">
      <c r="A103" s="377">
        <v>40004</v>
      </c>
      <c r="B103" s="378" t="s">
        <v>454</v>
      </c>
      <c r="C103" s="379"/>
      <c r="D103" s="379">
        <v>251</v>
      </c>
      <c r="E103" s="382" t="s">
        <v>22</v>
      </c>
      <c r="F103" s="314"/>
      <c r="G103" s="314"/>
    </row>
    <row r="104" spans="1:8" x14ac:dyDescent="0.25">
      <c r="A104" s="377">
        <v>40004</v>
      </c>
      <c r="B104" s="378" t="s">
        <v>303</v>
      </c>
      <c r="C104" s="379"/>
      <c r="D104" s="379">
        <v>310</v>
      </c>
      <c r="E104" s="382" t="s">
        <v>312</v>
      </c>
      <c r="F104" s="384">
        <f>COUNTA(A90:A105)</f>
        <v>16</v>
      </c>
      <c r="G104" s="314"/>
    </row>
    <row r="105" spans="1:8" x14ac:dyDescent="0.25">
      <c r="A105" s="374">
        <v>40004</v>
      </c>
      <c r="B105" s="375" t="s">
        <v>560</v>
      </c>
      <c r="C105" s="376"/>
      <c r="D105" s="376">
        <v>180</v>
      </c>
      <c r="E105" s="385">
        <f>SUM(C90:C105)</f>
        <v>3490</v>
      </c>
      <c r="F105" s="385">
        <f>SUM(D90:D105)</f>
        <v>2590</v>
      </c>
      <c r="G105" s="385">
        <f>E105-F105</f>
        <v>900</v>
      </c>
      <c r="H105">
        <f>_JUL09-H3+H89</f>
        <v>-600</v>
      </c>
    </row>
    <row r="106" spans="1:8" x14ac:dyDescent="0.25">
      <c r="A106" s="377">
        <v>40037</v>
      </c>
      <c r="B106" s="378" t="s">
        <v>359</v>
      </c>
      <c r="C106" s="379">
        <v>300</v>
      </c>
      <c r="D106" s="379"/>
      <c r="E106" s="314"/>
      <c r="F106" s="314"/>
      <c r="G106" s="314"/>
    </row>
    <row r="107" spans="1:8" x14ac:dyDescent="0.25">
      <c r="A107" s="377">
        <v>40037</v>
      </c>
      <c r="B107" s="378" t="s">
        <v>338</v>
      </c>
      <c r="C107" s="379"/>
      <c r="D107" s="379">
        <v>120</v>
      </c>
      <c r="E107" s="314"/>
      <c r="F107" s="314"/>
      <c r="G107" s="314"/>
    </row>
    <row r="108" spans="1:8" x14ac:dyDescent="0.25">
      <c r="A108" s="377">
        <v>40037</v>
      </c>
      <c r="B108" s="378" t="s">
        <v>560</v>
      </c>
      <c r="C108" s="379"/>
      <c r="D108" s="379">
        <v>180</v>
      </c>
      <c r="E108" s="314"/>
      <c r="F108" s="314"/>
      <c r="G108" s="314"/>
    </row>
    <row r="109" spans="1:8" x14ac:dyDescent="0.25">
      <c r="A109" s="377">
        <v>40038</v>
      </c>
      <c r="B109" s="378" t="s">
        <v>13</v>
      </c>
      <c r="C109" s="379">
        <v>2200</v>
      </c>
      <c r="D109" s="379"/>
      <c r="E109" s="314"/>
      <c r="F109" s="314"/>
      <c r="G109" s="314"/>
    </row>
    <row r="110" spans="1:8" x14ac:dyDescent="0.25">
      <c r="A110" s="377">
        <v>40038</v>
      </c>
      <c r="B110" s="378" t="s">
        <v>559</v>
      </c>
      <c r="C110" s="379"/>
      <c r="D110" s="379">
        <v>300</v>
      </c>
      <c r="E110" s="314"/>
      <c r="F110" s="314"/>
      <c r="G110" s="314"/>
    </row>
    <row r="111" spans="1:8" x14ac:dyDescent="0.25">
      <c r="A111" s="377">
        <v>40038</v>
      </c>
      <c r="B111" s="378" t="s">
        <v>542</v>
      </c>
      <c r="C111" s="379"/>
      <c r="D111" s="379">
        <v>150</v>
      </c>
      <c r="E111" s="314"/>
      <c r="F111" s="314"/>
      <c r="G111" s="314"/>
    </row>
    <row r="112" spans="1:8" x14ac:dyDescent="0.25">
      <c r="A112" s="377">
        <v>40039</v>
      </c>
      <c r="B112" s="378" t="s">
        <v>454</v>
      </c>
      <c r="C112" s="379"/>
      <c r="D112" s="379">
        <v>100</v>
      </c>
      <c r="E112" s="314"/>
      <c r="F112" s="314"/>
      <c r="G112" s="314"/>
    </row>
    <row r="113" spans="1:8" x14ac:dyDescent="0.25">
      <c r="A113" s="377">
        <v>40039</v>
      </c>
      <c r="B113" s="378" t="s">
        <v>303</v>
      </c>
      <c r="C113" s="379"/>
      <c r="D113" s="379">
        <v>250</v>
      </c>
      <c r="E113" s="382" t="s">
        <v>23</v>
      </c>
      <c r="F113" s="314"/>
      <c r="G113" s="314"/>
    </row>
    <row r="114" spans="1:8" x14ac:dyDescent="0.25">
      <c r="A114" s="377">
        <v>40054</v>
      </c>
      <c r="B114" s="378" t="s">
        <v>561</v>
      </c>
      <c r="C114" s="379"/>
      <c r="D114" s="379">
        <v>100</v>
      </c>
      <c r="E114" s="382" t="s">
        <v>312</v>
      </c>
      <c r="F114" s="384">
        <f>COUNTA(A106:A115)</f>
        <v>10</v>
      </c>
      <c r="G114" s="314"/>
    </row>
    <row r="115" spans="1:8" x14ac:dyDescent="0.25">
      <c r="A115" s="374">
        <v>40054</v>
      </c>
      <c r="B115" s="375" t="s">
        <v>323</v>
      </c>
      <c r="C115" s="376"/>
      <c r="D115" s="376">
        <v>100</v>
      </c>
      <c r="E115" s="385">
        <f>SUM(C106:C115)</f>
        <v>2500</v>
      </c>
      <c r="F115" s="385">
        <f>SUM(D106:D115)</f>
        <v>1300</v>
      </c>
      <c r="G115" s="385">
        <f>E115-F115</f>
        <v>1200</v>
      </c>
      <c r="H115">
        <f>_AGO09-H3+H105</f>
        <v>-200</v>
      </c>
    </row>
    <row r="116" spans="1:8" x14ac:dyDescent="0.25">
      <c r="A116" s="377">
        <v>40062</v>
      </c>
      <c r="B116" s="378" t="s">
        <v>302</v>
      </c>
      <c r="C116" s="379"/>
      <c r="D116" s="379">
        <v>100</v>
      </c>
      <c r="E116" s="314"/>
      <c r="F116" s="314"/>
      <c r="G116" s="314"/>
    </row>
    <row r="117" spans="1:8" x14ac:dyDescent="0.25">
      <c r="A117" s="377">
        <v>40063</v>
      </c>
      <c r="B117" s="378" t="s">
        <v>13</v>
      </c>
      <c r="C117" s="379">
        <v>2200</v>
      </c>
      <c r="D117" s="379"/>
      <c r="E117" s="314"/>
      <c r="F117" s="314"/>
      <c r="G117" s="314"/>
    </row>
    <row r="118" spans="1:8" x14ac:dyDescent="0.25">
      <c r="A118" s="377">
        <v>40082</v>
      </c>
      <c r="B118" s="378" t="s">
        <v>302</v>
      </c>
      <c r="C118" s="379"/>
      <c r="D118" s="379">
        <v>100</v>
      </c>
      <c r="E118" s="314"/>
      <c r="F118" s="314"/>
      <c r="G118" s="314"/>
    </row>
    <row r="119" spans="1:8" x14ac:dyDescent="0.25">
      <c r="A119" s="377">
        <v>40068</v>
      </c>
      <c r="B119" s="378" t="s">
        <v>498</v>
      </c>
      <c r="C119" s="379"/>
      <c r="D119" s="379">
        <v>100</v>
      </c>
      <c r="E119" s="314"/>
      <c r="F119" s="314"/>
      <c r="G119" s="314"/>
    </row>
    <row r="120" spans="1:8" x14ac:dyDescent="0.25">
      <c r="A120" s="377">
        <v>40068</v>
      </c>
      <c r="B120" s="378" t="s">
        <v>562</v>
      </c>
      <c r="C120" s="379"/>
      <c r="D120" s="379">
        <v>100</v>
      </c>
      <c r="E120" s="314"/>
      <c r="F120" s="314"/>
      <c r="G120" s="314"/>
    </row>
    <row r="121" spans="1:8" x14ac:dyDescent="0.25">
      <c r="A121" s="377">
        <v>40063</v>
      </c>
      <c r="B121" s="378" t="s">
        <v>563</v>
      </c>
      <c r="C121" s="379"/>
      <c r="D121" s="379">
        <v>200</v>
      </c>
      <c r="E121" s="314"/>
      <c r="F121" s="314"/>
      <c r="G121" s="314"/>
    </row>
    <row r="122" spans="1:8" x14ac:dyDescent="0.25">
      <c r="A122" s="377">
        <v>40063</v>
      </c>
      <c r="B122" s="378" t="s">
        <v>454</v>
      </c>
      <c r="C122" s="379"/>
      <c r="D122" s="379">
        <v>100</v>
      </c>
      <c r="E122" s="314"/>
      <c r="F122" s="314"/>
      <c r="G122" s="314"/>
    </row>
    <row r="123" spans="1:8" x14ac:dyDescent="0.25">
      <c r="A123" s="377">
        <v>40063</v>
      </c>
      <c r="B123" s="378" t="s">
        <v>303</v>
      </c>
      <c r="C123" s="379"/>
      <c r="D123" s="379">
        <v>300</v>
      </c>
      <c r="E123" s="314"/>
      <c r="F123" s="314"/>
      <c r="G123" s="314"/>
    </row>
    <row r="124" spans="1:8" x14ac:dyDescent="0.25">
      <c r="A124" s="377">
        <v>40063</v>
      </c>
      <c r="B124" s="378" t="s">
        <v>505</v>
      </c>
      <c r="C124" s="379"/>
      <c r="D124" s="379">
        <v>50</v>
      </c>
      <c r="E124" s="314"/>
      <c r="F124" s="314"/>
      <c r="G124" s="314"/>
    </row>
    <row r="125" spans="1:8" x14ac:dyDescent="0.25">
      <c r="A125" s="377">
        <v>40063</v>
      </c>
      <c r="B125" s="378" t="s">
        <v>542</v>
      </c>
      <c r="C125" s="379"/>
      <c r="D125" s="379">
        <v>150</v>
      </c>
      <c r="E125" s="382" t="s">
        <v>24</v>
      </c>
      <c r="F125" s="314"/>
      <c r="G125" s="314"/>
    </row>
    <row r="126" spans="1:8" x14ac:dyDescent="0.25">
      <c r="A126" s="377">
        <v>40063</v>
      </c>
      <c r="B126" s="378" t="s">
        <v>560</v>
      </c>
      <c r="C126" s="379"/>
      <c r="D126" s="379">
        <v>180</v>
      </c>
      <c r="E126" s="382" t="s">
        <v>312</v>
      </c>
      <c r="F126" s="384">
        <f>COUNTA(A116:A127)</f>
        <v>12</v>
      </c>
      <c r="G126" s="314"/>
    </row>
    <row r="127" spans="1:8" x14ac:dyDescent="0.25">
      <c r="A127" s="374">
        <v>40063</v>
      </c>
      <c r="B127" s="375" t="s">
        <v>338</v>
      </c>
      <c r="C127" s="376"/>
      <c r="D127" s="376">
        <v>120</v>
      </c>
      <c r="E127" s="385">
        <f>SUM(C116:C127)</f>
        <v>2200</v>
      </c>
      <c r="F127" s="385">
        <f>SUM(D116:D127)</f>
        <v>1500</v>
      </c>
      <c r="G127" s="385">
        <f>+E127-F127</f>
        <v>700</v>
      </c>
      <c r="H127">
        <f>_SEP09-H3+H115</f>
        <v>-300</v>
      </c>
    </row>
    <row r="128" spans="1:8" x14ac:dyDescent="0.25">
      <c r="A128" s="377">
        <v>40095</v>
      </c>
      <c r="B128" s="378" t="s">
        <v>13</v>
      </c>
      <c r="C128" s="379">
        <v>2200</v>
      </c>
      <c r="D128" s="379"/>
      <c r="E128" s="314"/>
      <c r="F128" s="314"/>
      <c r="G128" s="314"/>
    </row>
    <row r="129" spans="1:7" x14ac:dyDescent="0.25">
      <c r="A129" s="377">
        <v>40103</v>
      </c>
      <c r="B129" s="378" t="s">
        <v>553</v>
      </c>
      <c r="C129" s="379">
        <v>100</v>
      </c>
      <c r="D129" s="379"/>
      <c r="E129" s="314"/>
      <c r="F129" s="314"/>
      <c r="G129" s="314"/>
    </row>
    <row r="130" spans="1:7" x14ac:dyDescent="0.25">
      <c r="A130" s="377">
        <v>40109</v>
      </c>
      <c r="B130" s="378" t="s">
        <v>359</v>
      </c>
      <c r="C130" s="379">
        <v>500</v>
      </c>
      <c r="D130" s="379"/>
      <c r="E130" s="314"/>
      <c r="F130" s="314"/>
      <c r="G130" s="314"/>
    </row>
    <row r="131" spans="1:7" x14ac:dyDescent="0.25">
      <c r="A131" s="377">
        <v>40109</v>
      </c>
      <c r="B131" s="378" t="s">
        <v>564</v>
      </c>
      <c r="C131" s="379"/>
      <c r="D131" s="379">
        <v>320</v>
      </c>
      <c r="E131" s="314"/>
      <c r="F131" s="314"/>
      <c r="G131" s="314"/>
    </row>
    <row r="132" spans="1:7" x14ac:dyDescent="0.25">
      <c r="A132" s="377">
        <v>40109</v>
      </c>
      <c r="B132" s="378" t="s">
        <v>323</v>
      </c>
      <c r="C132" s="379"/>
      <c r="D132" s="379">
        <v>30</v>
      </c>
      <c r="E132" s="314"/>
      <c r="F132" s="314"/>
      <c r="G132" s="314"/>
    </row>
    <row r="133" spans="1:7" x14ac:dyDescent="0.25">
      <c r="A133" s="377">
        <v>40111</v>
      </c>
      <c r="B133" s="378" t="s">
        <v>565</v>
      </c>
      <c r="C133" s="379"/>
      <c r="D133" s="379">
        <v>20</v>
      </c>
      <c r="E133" s="314"/>
      <c r="F133" s="314"/>
      <c r="G133" s="314"/>
    </row>
    <row r="134" spans="1:7" x14ac:dyDescent="0.25">
      <c r="A134" s="377">
        <v>40112</v>
      </c>
      <c r="B134" s="378" t="s">
        <v>303</v>
      </c>
      <c r="C134" s="379"/>
      <c r="D134" s="379">
        <v>20</v>
      </c>
      <c r="E134" s="314"/>
      <c r="F134" s="314"/>
      <c r="G134" s="314"/>
    </row>
    <row r="135" spans="1:7" x14ac:dyDescent="0.25">
      <c r="A135" s="377">
        <v>40113</v>
      </c>
      <c r="B135" s="378" t="s">
        <v>566</v>
      </c>
      <c r="C135" s="379">
        <v>260</v>
      </c>
      <c r="D135" s="379"/>
      <c r="E135" s="314"/>
      <c r="F135" s="314"/>
      <c r="G135" s="314"/>
    </row>
    <row r="136" spans="1:7" x14ac:dyDescent="0.25">
      <c r="A136" s="377">
        <v>40113</v>
      </c>
      <c r="B136" s="378" t="s">
        <v>567</v>
      </c>
      <c r="C136" s="379"/>
      <c r="D136" s="379">
        <v>500</v>
      </c>
      <c r="E136" s="314"/>
      <c r="F136" s="314"/>
      <c r="G136" s="314"/>
    </row>
    <row r="137" spans="1:7" x14ac:dyDescent="0.25">
      <c r="A137" s="377">
        <v>40114</v>
      </c>
      <c r="B137" s="378" t="s">
        <v>303</v>
      </c>
      <c r="C137" s="379"/>
      <c r="D137" s="379">
        <v>20</v>
      </c>
      <c r="E137" s="314"/>
      <c r="F137" s="314"/>
      <c r="G137" s="314"/>
    </row>
    <row r="138" spans="1:7" x14ac:dyDescent="0.25">
      <c r="A138" s="377">
        <v>40104</v>
      </c>
      <c r="B138" s="378" t="s">
        <v>323</v>
      </c>
      <c r="C138" s="379"/>
      <c r="D138" s="379">
        <v>50</v>
      </c>
      <c r="E138" s="314"/>
      <c r="F138" s="314"/>
      <c r="G138" s="314"/>
    </row>
    <row r="139" spans="1:7" x14ac:dyDescent="0.25">
      <c r="A139" s="377">
        <v>40095</v>
      </c>
      <c r="B139" s="378" t="s">
        <v>316</v>
      </c>
      <c r="C139" s="379"/>
      <c r="D139" s="379">
        <v>150</v>
      </c>
      <c r="E139" s="314"/>
      <c r="F139" s="314"/>
      <c r="G139" s="314"/>
    </row>
    <row r="140" spans="1:7" x14ac:dyDescent="0.25">
      <c r="A140" s="377">
        <v>40095</v>
      </c>
      <c r="B140" s="378" t="s">
        <v>568</v>
      </c>
      <c r="C140" s="379"/>
      <c r="D140" s="379">
        <v>30</v>
      </c>
      <c r="E140" s="314"/>
      <c r="F140" s="314"/>
      <c r="G140" s="314"/>
    </row>
    <row r="141" spans="1:7" x14ac:dyDescent="0.25">
      <c r="A141" s="377">
        <v>40095</v>
      </c>
      <c r="B141" s="378" t="s">
        <v>303</v>
      </c>
      <c r="C141" s="379"/>
      <c r="D141" s="379">
        <v>200</v>
      </c>
      <c r="E141" s="314"/>
      <c r="F141" s="314"/>
      <c r="G141" s="314"/>
    </row>
    <row r="142" spans="1:7" x14ac:dyDescent="0.25">
      <c r="A142" s="377">
        <v>40095</v>
      </c>
      <c r="B142" s="378" t="s">
        <v>454</v>
      </c>
      <c r="C142" s="379"/>
      <c r="D142" s="379">
        <v>100</v>
      </c>
      <c r="E142" s="314"/>
      <c r="F142" s="314"/>
      <c r="G142" s="314"/>
    </row>
    <row r="143" spans="1:7" x14ac:dyDescent="0.25">
      <c r="A143" s="377">
        <v>40095</v>
      </c>
      <c r="B143" s="378" t="s">
        <v>542</v>
      </c>
      <c r="C143" s="379"/>
      <c r="D143" s="379">
        <v>150</v>
      </c>
      <c r="E143" s="382" t="s">
        <v>25</v>
      </c>
      <c r="F143" s="314"/>
      <c r="G143" s="314"/>
    </row>
    <row r="144" spans="1:7" x14ac:dyDescent="0.25">
      <c r="A144" s="377">
        <v>40095</v>
      </c>
      <c r="B144" s="378" t="s">
        <v>560</v>
      </c>
      <c r="C144" s="379"/>
      <c r="D144" s="379">
        <v>240</v>
      </c>
      <c r="E144" s="382" t="s">
        <v>312</v>
      </c>
      <c r="F144" s="384">
        <f>COUNTA(A128:A145)</f>
        <v>18</v>
      </c>
      <c r="G144" s="314"/>
    </row>
    <row r="145" spans="1:9" x14ac:dyDescent="0.25">
      <c r="A145" s="374">
        <v>40095</v>
      </c>
      <c r="B145" s="375" t="s">
        <v>338</v>
      </c>
      <c r="C145" s="376"/>
      <c r="D145" s="376">
        <v>130</v>
      </c>
      <c r="E145" s="385">
        <f>SUM(C128:C145)</f>
        <v>3060</v>
      </c>
      <c r="F145" s="385">
        <f>SUM(D128:D145)</f>
        <v>1960</v>
      </c>
      <c r="G145" s="385">
        <f>E145-F145</f>
        <v>1100</v>
      </c>
      <c r="H145">
        <f>_OCT09-H3+H127</f>
        <v>0</v>
      </c>
    </row>
    <row r="146" spans="1:9" x14ac:dyDescent="0.25">
      <c r="A146" s="377">
        <v>40122</v>
      </c>
      <c r="B146" s="378" t="s">
        <v>13</v>
      </c>
      <c r="C146" s="379">
        <v>2200</v>
      </c>
      <c r="D146" s="379"/>
      <c r="E146" s="314"/>
      <c r="F146" s="314"/>
      <c r="G146" s="314"/>
    </row>
    <row r="147" spans="1:9" x14ac:dyDescent="0.25">
      <c r="A147" s="377">
        <v>40122</v>
      </c>
      <c r="B147" s="378" t="s">
        <v>338</v>
      </c>
      <c r="C147" s="379"/>
      <c r="D147" s="379">
        <v>120</v>
      </c>
      <c r="E147" s="314"/>
      <c r="F147" s="314"/>
      <c r="G147" s="314"/>
    </row>
    <row r="148" spans="1:9" x14ac:dyDescent="0.25">
      <c r="A148" s="377">
        <v>40122</v>
      </c>
      <c r="B148" s="378" t="s">
        <v>560</v>
      </c>
      <c r="C148" s="379"/>
      <c r="D148" s="379">
        <v>240</v>
      </c>
      <c r="E148" s="314"/>
      <c r="F148" s="314"/>
      <c r="G148" s="314"/>
    </row>
    <row r="149" spans="1:9" x14ac:dyDescent="0.25">
      <c r="A149" s="377">
        <v>40122</v>
      </c>
      <c r="B149" s="378" t="s">
        <v>323</v>
      </c>
      <c r="C149" s="379"/>
      <c r="D149" s="379">
        <v>250</v>
      </c>
      <c r="E149" s="314"/>
      <c r="F149" s="314"/>
      <c r="G149" s="314"/>
    </row>
    <row r="150" spans="1:9" x14ac:dyDescent="0.25">
      <c r="A150" s="377">
        <v>40138</v>
      </c>
      <c r="B150" s="378" t="s">
        <v>302</v>
      </c>
      <c r="C150" s="404"/>
      <c r="D150" s="379">
        <v>200</v>
      </c>
      <c r="E150" s="314"/>
      <c r="F150" s="314"/>
      <c r="G150" s="314"/>
    </row>
    <row r="151" spans="1:9" x14ac:dyDescent="0.25">
      <c r="A151" s="377">
        <v>40122</v>
      </c>
      <c r="B151" s="378" t="s">
        <v>303</v>
      </c>
      <c r="C151" s="404"/>
      <c r="D151" s="379">
        <v>450</v>
      </c>
      <c r="E151" s="382" t="s">
        <v>26</v>
      </c>
      <c r="F151" s="314"/>
      <c r="G151" s="314"/>
    </row>
    <row r="152" spans="1:9" x14ac:dyDescent="0.25">
      <c r="A152" s="377">
        <v>40122</v>
      </c>
      <c r="B152" s="378" t="s">
        <v>568</v>
      </c>
      <c r="C152" s="404"/>
      <c r="D152" s="379">
        <v>40</v>
      </c>
      <c r="E152" s="382" t="s">
        <v>312</v>
      </c>
      <c r="F152" s="384">
        <f>COUNTA(A146:A153)</f>
        <v>8</v>
      </c>
      <c r="G152" s="314"/>
    </row>
    <row r="153" spans="1:9" x14ac:dyDescent="0.25">
      <c r="A153" s="374">
        <v>40122</v>
      </c>
      <c r="B153" s="405" t="s">
        <v>542</v>
      </c>
      <c r="C153" s="406"/>
      <c r="D153" s="376">
        <v>150</v>
      </c>
      <c r="E153" s="385">
        <f>SUM(C146:C153)</f>
        <v>2200</v>
      </c>
      <c r="F153" s="385">
        <f>SUM(D146:D153)</f>
        <v>1450</v>
      </c>
      <c r="G153" s="385">
        <f>E153-F153</f>
        <v>750</v>
      </c>
      <c r="H153">
        <f>_NOV09-H3+H145</f>
        <v>-50</v>
      </c>
    </row>
    <row r="154" spans="1:9" x14ac:dyDescent="0.25">
      <c r="A154" s="377">
        <v>40148</v>
      </c>
      <c r="B154" s="378" t="s">
        <v>323</v>
      </c>
      <c r="C154" s="379"/>
      <c r="D154" s="379">
        <v>100</v>
      </c>
      <c r="E154" s="314"/>
      <c r="F154" s="314"/>
      <c r="G154" s="314"/>
    </row>
    <row r="155" spans="1:9" x14ac:dyDescent="0.25">
      <c r="A155" s="377">
        <v>40148</v>
      </c>
      <c r="B155" s="378" t="s">
        <v>323</v>
      </c>
      <c r="C155" s="379"/>
      <c r="D155" s="379">
        <v>100</v>
      </c>
      <c r="E155" s="314"/>
      <c r="F155" s="314"/>
      <c r="G155" s="314"/>
    </row>
    <row r="156" spans="1:9" x14ac:dyDescent="0.25">
      <c r="A156" s="377">
        <v>40150</v>
      </c>
      <c r="B156" s="378" t="s">
        <v>323</v>
      </c>
      <c r="C156" s="379"/>
      <c r="D156" s="379">
        <v>100</v>
      </c>
      <c r="E156" s="314"/>
      <c r="F156" s="314"/>
      <c r="G156" s="314"/>
    </row>
    <row r="157" spans="1:9" x14ac:dyDescent="0.25">
      <c r="A157" s="377">
        <v>40151</v>
      </c>
      <c r="B157" s="378" t="s">
        <v>13</v>
      </c>
      <c r="C157" s="379">
        <v>2200</v>
      </c>
      <c r="D157" s="379"/>
      <c r="E157" s="314"/>
      <c r="F157" s="314"/>
      <c r="G157" s="314"/>
    </row>
    <row r="158" spans="1:9" x14ac:dyDescent="0.25">
      <c r="A158" s="377">
        <v>40151</v>
      </c>
      <c r="B158" s="378" t="s">
        <v>338</v>
      </c>
      <c r="C158" s="379"/>
      <c r="D158" s="379">
        <v>120</v>
      </c>
      <c r="E158" s="314"/>
      <c r="F158" s="314"/>
      <c r="G158" s="314"/>
      <c r="I158" s="28"/>
    </row>
    <row r="159" spans="1:9" x14ac:dyDescent="0.25">
      <c r="A159" s="377">
        <v>40151</v>
      </c>
      <c r="B159" s="378" t="s">
        <v>560</v>
      </c>
      <c r="C159" s="379"/>
      <c r="D159" s="379">
        <v>300</v>
      </c>
      <c r="E159" s="314"/>
      <c r="F159" s="314"/>
      <c r="G159" s="314"/>
      <c r="I159" s="28"/>
    </row>
    <row r="160" spans="1:9" x14ac:dyDescent="0.25">
      <c r="A160" s="377">
        <v>40151</v>
      </c>
      <c r="B160" s="378" t="s">
        <v>542</v>
      </c>
      <c r="C160" s="379"/>
      <c r="D160" s="379">
        <v>150</v>
      </c>
      <c r="E160" s="314"/>
      <c r="F160" s="314"/>
      <c r="G160" s="314"/>
    </row>
    <row r="161" spans="1:10" x14ac:dyDescent="0.25">
      <c r="A161" s="377">
        <v>40151</v>
      </c>
      <c r="B161" s="378" t="s">
        <v>454</v>
      </c>
      <c r="C161" s="379"/>
      <c r="D161" s="379">
        <v>100</v>
      </c>
      <c r="E161" s="314"/>
      <c r="F161" s="314"/>
      <c r="G161" s="314"/>
    </row>
    <row r="162" spans="1:10" x14ac:dyDescent="0.25">
      <c r="A162" s="377">
        <v>40151</v>
      </c>
      <c r="B162" s="378" t="s">
        <v>303</v>
      </c>
      <c r="C162" s="379"/>
      <c r="D162" s="379">
        <v>300</v>
      </c>
      <c r="E162" s="314"/>
      <c r="F162" s="314"/>
      <c r="G162" s="314"/>
    </row>
    <row r="163" spans="1:10" x14ac:dyDescent="0.25">
      <c r="A163" s="377">
        <v>40153</v>
      </c>
      <c r="B163" s="378" t="s">
        <v>553</v>
      </c>
      <c r="C163" s="379">
        <v>100</v>
      </c>
      <c r="D163" s="379"/>
      <c r="E163" s="314"/>
      <c r="F163" s="314"/>
      <c r="G163" s="314"/>
    </row>
    <row r="164" spans="1:10" x14ac:dyDescent="0.25">
      <c r="A164" s="377">
        <v>40153</v>
      </c>
      <c r="B164" s="378" t="s">
        <v>323</v>
      </c>
      <c r="C164" s="404"/>
      <c r="D164" s="379">
        <v>100</v>
      </c>
      <c r="E164" s="314"/>
      <c r="F164" s="314"/>
      <c r="G164" s="314"/>
    </row>
    <row r="165" spans="1:10" x14ac:dyDescent="0.25">
      <c r="A165" s="377">
        <v>40151</v>
      </c>
      <c r="B165" s="378" t="s">
        <v>568</v>
      </c>
      <c r="C165" s="404"/>
      <c r="D165" s="379">
        <v>30</v>
      </c>
      <c r="E165" s="382" t="s">
        <v>27</v>
      </c>
      <c r="F165" s="314"/>
      <c r="G165" s="314"/>
    </row>
    <row r="166" spans="1:10" x14ac:dyDescent="0.25">
      <c r="A166" s="377">
        <v>40151</v>
      </c>
      <c r="B166" s="378" t="s">
        <v>323</v>
      </c>
      <c r="C166" s="404"/>
      <c r="D166" s="379">
        <v>200</v>
      </c>
      <c r="E166" s="382" t="s">
        <v>312</v>
      </c>
      <c r="F166" s="384">
        <f>COUNTA(A154:A167)</f>
        <v>14</v>
      </c>
      <c r="G166" s="314"/>
    </row>
    <row r="167" spans="1:10" x14ac:dyDescent="0.25">
      <c r="A167" s="388">
        <v>40148</v>
      </c>
      <c r="B167" s="375" t="s">
        <v>569</v>
      </c>
      <c r="C167" s="407"/>
      <c r="D167" s="389">
        <v>450</v>
      </c>
      <c r="E167" s="385">
        <f>SUM(C154:C167)</f>
        <v>2300</v>
      </c>
      <c r="F167" s="385">
        <f>SUM(D154:D167)</f>
        <v>2050</v>
      </c>
      <c r="G167" s="385">
        <f>E167-F167</f>
        <v>250</v>
      </c>
      <c r="H167">
        <f>_DIC09-H3+H153</f>
        <v>-600</v>
      </c>
    </row>
    <row r="168" spans="1:10" x14ac:dyDescent="0.25">
      <c r="C168" s="329"/>
      <c r="D168" s="329"/>
    </row>
    <row r="169" spans="1:10" x14ac:dyDescent="0.25">
      <c r="C169" s="329"/>
      <c r="D169" s="329"/>
    </row>
    <row r="170" spans="1:10" x14ac:dyDescent="0.25">
      <c r="C170" s="329"/>
      <c r="D170" s="329"/>
    </row>
    <row r="171" spans="1:10" x14ac:dyDescent="0.25">
      <c r="C171" s="329"/>
      <c r="D171" s="329"/>
      <c r="H171" s="565" t="s">
        <v>28</v>
      </c>
      <c r="I171" s="580">
        <f>D2</f>
        <v>16930.449999999997</v>
      </c>
      <c r="J171" s="567"/>
    </row>
    <row r="172" spans="1:10" x14ac:dyDescent="0.25">
      <c r="C172" s="329"/>
      <c r="D172" s="329"/>
      <c r="H172" s="565" t="s">
        <v>29</v>
      </c>
      <c r="I172" s="566"/>
      <c r="J172" s="567"/>
    </row>
    <row r="173" spans="1:10" x14ac:dyDescent="0.25">
      <c r="C173" s="329"/>
      <c r="D173" s="329"/>
      <c r="H173" s="568">
        <f>_ENE09</f>
        <v>1400</v>
      </c>
      <c r="I173" s="569"/>
      <c r="J173" s="567"/>
    </row>
    <row r="174" spans="1:10" x14ac:dyDescent="0.25">
      <c r="C174" s="329"/>
      <c r="D174" s="329"/>
      <c r="H174" s="568">
        <f>_FEB09</f>
        <v>950</v>
      </c>
      <c r="I174" s="569"/>
      <c r="J174" s="567"/>
    </row>
    <row r="175" spans="1:10" x14ac:dyDescent="0.25">
      <c r="C175" s="329"/>
      <c r="D175" s="329"/>
      <c r="H175" s="568">
        <f>_MAR09</f>
        <v>850</v>
      </c>
      <c r="I175" s="569"/>
      <c r="J175" s="567"/>
    </row>
    <row r="176" spans="1:10" x14ac:dyDescent="0.25">
      <c r="C176" s="329"/>
      <c r="D176" s="329"/>
      <c r="H176" s="568">
        <f>_ABR09</f>
        <v>200</v>
      </c>
      <c r="I176" s="569"/>
      <c r="J176" s="567"/>
    </row>
    <row r="177" spans="1:14" x14ac:dyDescent="0.25">
      <c r="C177" s="329"/>
      <c r="D177" s="329"/>
      <c r="H177" s="568">
        <f>_MAY09</f>
        <v>-400</v>
      </c>
      <c r="I177" s="569"/>
      <c r="J177" s="567"/>
    </row>
    <row r="178" spans="1:14" x14ac:dyDescent="0.25">
      <c r="C178" s="329"/>
      <c r="D178" s="329"/>
      <c r="H178" s="568">
        <f>_JUN09</f>
        <v>1100</v>
      </c>
      <c r="I178" s="569"/>
      <c r="J178" s="567"/>
    </row>
    <row r="179" spans="1:14" x14ac:dyDescent="0.25">
      <c r="C179" s="329"/>
      <c r="D179" s="329"/>
      <c r="H179" s="568">
        <f>_JUL09</f>
        <v>900</v>
      </c>
      <c r="I179" s="569"/>
      <c r="J179" s="567"/>
    </row>
    <row r="180" spans="1:14" x14ac:dyDescent="0.25">
      <c r="C180" s="329"/>
      <c r="D180" s="329"/>
      <c r="H180" s="568">
        <f>_AGO09</f>
        <v>1200</v>
      </c>
      <c r="I180" s="569"/>
      <c r="J180" s="567"/>
    </row>
    <row r="181" spans="1:14" x14ac:dyDescent="0.25">
      <c r="C181" s="329"/>
      <c r="D181" s="329"/>
      <c r="H181" s="568">
        <f>_SEP09</f>
        <v>700</v>
      </c>
      <c r="I181" s="569"/>
      <c r="J181" s="567"/>
    </row>
    <row r="182" spans="1:14" x14ac:dyDescent="0.25">
      <c r="C182" s="329"/>
      <c r="D182" s="329"/>
      <c r="H182" s="568">
        <f>_OCT09</f>
        <v>1100</v>
      </c>
      <c r="I182" s="569"/>
      <c r="J182" s="567"/>
    </row>
    <row r="183" spans="1:14" x14ac:dyDescent="0.25">
      <c r="C183" s="329"/>
      <c r="D183" s="329"/>
      <c r="H183" s="568">
        <f>_NOV09</f>
        <v>750</v>
      </c>
      <c r="I183" s="569"/>
      <c r="J183" s="567"/>
    </row>
    <row r="184" spans="1:14" x14ac:dyDescent="0.25">
      <c r="C184" s="329"/>
      <c r="D184" s="329"/>
      <c r="H184" s="568">
        <f>_DIC09</f>
        <v>250</v>
      </c>
      <c r="I184" s="569"/>
      <c r="J184" s="567"/>
    </row>
    <row r="185" spans="1:14" x14ac:dyDescent="0.25">
      <c r="C185" s="329"/>
      <c r="D185" s="329"/>
      <c r="H185" s="570">
        <f>SUM(H173:H184)</f>
        <v>9000</v>
      </c>
      <c r="I185" s="571">
        <f>-SUM(I173:I184)</f>
        <v>0</v>
      </c>
      <c r="J185" s="572">
        <f>H185-I185</f>
        <v>9000</v>
      </c>
    </row>
    <row r="186" spans="1:14" x14ac:dyDescent="0.25">
      <c r="C186" s="329"/>
      <c r="D186" s="329"/>
      <c r="H186" s="23"/>
      <c r="I186" s="23"/>
      <c r="J186" s="15"/>
    </row>
    <row r="187" spans="1:14" x14ac:dyDescent="0.25">
      <c r="C187" s="329"/>
      <c r="D187" s="329"/>
      <c r="E187" s="37"/>
      <c r="F187" s="37"/>
      <c r="G187" s="37"/>
      <c r="H187" s="181"/>
      <c r="I187" s="332"/>
      <c r="J187" s="51"/>
      <c r="K187" s="37"/>
      <c r="L187" s="588"/>
      <c r="M187" s="37"/>
      <c r="N187" s="37"/>
    </row>
    <row r="188" spans="1:14" x14ac:dyDescent="0.25">
      <c r="C188" s="329"/>
      <c r="D188" s="329"/>
      <c r="E188" s="37"/>
      <c r="F188" s="37"/>
      <c r="G188" s="37"/>
      <c r="H188" s="181"/>
      <c r="I188" s="577"/>
      <c r="J188" s="51"/>
      <c r="K188" s="43"/>
      <c r="L188" s="37"/>
      <c r="M188" s="37"/>
      <c r="N188" s="37"/>
    </row>
    <row r="189" spans="1:14" x14ac:dyDescent="0.25">
      <c r="A189" s="391" t="s">
        <v>32</v>
      </c>
      <c r="B189" s="391" t="s">
        <v>33</v>
      </c>
      <c r="E189" s="37"/>
      <c r="F189" s="37"/>
      <c r="G189" s="37"/>
      <c r="H189" s="181"/>
      <c r="I189" s="332"/>
      <c r="J189" s="51"/>
      <c r="K189" s="37"/>
      <c r="L189" s="37"/>
      <c r="M189" s="37"/>
      <c r="N189" s="37"/>
    </row>
    <row r="190" spans="1:14" x14ac:dyDescent="0.25">
      <c r="A190" s="391">
        <f>SUM(C5:C189)</f>
        <v>32750</v>
      </c>
      <c r="B190" s="391">
        <f>SUM(D5:D189)</f>
        <v>23750</v>
      </c>
      <c r="E190" s="37"/>
      <c r="F190" s="37"/>
      <c r="G190" s="37"/>
      <c r="H190" s="332"/>
      <c r="I190" s="332"/>
      <c r="J190" s="51"/>
      <c r="K190" s="37"/>
      <c r="L190" s="37"/>
      <c r="M190" s="37"/>
      <c r="N190" s="37"/>
    </row>
    <row r="191" spans="1:14" x14ac:dyDescent="0.25">
      <c r="C191" s="329"/>
      <c r="D191" s="329"/>
      <c r="E191" s="37"/>
      <c r="F191" s="37"/>
      <c r="G191" s="37"/>
      <c r="H191" s="577"/>
      <c r="I191" s="332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2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2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2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4"/>
      <c r="D211" s="584"/>
      <c r="E211" s="584"/>
      <c r="F211" s="584"/>
      <c r="G211" s="584"/>
      <c r="H211" s="584"/>
      <c r="I211" s="584"/>
      <c r="J211" s="584"/>
      <c r="K211" s="584"/>
      <c r="L211" s="582"/>
      <c r="M211" s="584"/>
      <c r="N211" s="582"/>
      <c r="O211" s="37"/>
    </row>
    <row r="212" spans="2:15" x14ac:dyDescent="0.25"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37"/>
    </row>
    <row r="213" spans="2:15" x14ac:dyDescent="0.25">
      <c r="C213" s="54"/>
      <c r="D213" s="53"/>
      <c r="E213" s="54"/>
      <c r="F213" s="53"/>
      <c r="G213" s="54"/>
      <c r="H213" s="581"/>
      <c r="I213" s="54"/>
      <c r="J213" s="581"/>
      <c r="K213" s="54"/>
      <c r="L213" s="581"/>
      <c r="M213" s="54"/>
      <c r="N213" s="581"/>
      <c r="O213" s="37"/>
    </row>
    <row r="214" spans="2:15" x14ac:dyDescent="0.25">
      <c r="C214" s="582"/>
      <c r="D214" s="582"/>
      <c r="E214" s="582"/>
      <c r="F214" s="582"/>
      <c r="G214" s="582"/>
      <c r="H214" s="582"/>
      <c r="I214" s="582"/>
      <c r="J214" s="582"/>
      <c r="K214" s="582"/>
      <c r="L214" s="582"/>
      <c r="M214" s="582"/>
      <c r="N214" s="582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2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2"/>
      <c r="M216" s="53"/>
      <c r="N216" s="582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2"/>
      <c r="M217" s="53"/>
      <c r="N217" s="582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2"/>
      <c r="M218" s="53"/>
      <c r="N218" s="582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2"/>
      <c r="M219" s="53"/>
      <c r="N219" s="582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2"/>
      <c r="M220" s="53"/>
      <c r="N220" s="582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2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5"/>
      <c r="M222" s="55"/>
      <c r="N222" s="585"/>
      <c r="O222" s="37"/>
    </row>
    <row r="223" spans="2:15" x14ac:dyDescent="0.25">
      <c r="C223" s="364"/>
      <c r="D223" s="55"/>
      <c r="E223" s="364"/>
      <c r="F223" s="55"/>
      <c r="G223" s="364"/>
      <c r="H223" s="55"/>
      <c r="I223" s="364"/>
      <c r="J223" s="55"/>
      <c r="K223" s="364"/>
      <c r="L223" s="586"/>
      <c r="M223" s="364"/>
      <c r="N223" s="586"/>
      <c r="O223" s="37"/>
    </row>
    <row r="224" spans="2:15" x14ac:dyDescent="0.25">
      <c r="B224" s="55"/>
      <c r="C224" s="364"/>
      <c r="D224" s="364"/>
      <c r="E224" s="364"/>
      <c r="F224" s="364"/>
      <c r="G224" s="364"/>
      <c r="H224" s="364"/>
      <c r="I224" s="364"/>
      <c r="J224" s="364"/>
      <c r="K224" s="364"/>
      <c r="L224" s="585"/>
      <c r="M224" s="585"/>
      <c r="N224" s="585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37"/>
    </row>
    <row r="229" spans="3:15" x14ac:dyDescent="0.25">
      <c r="C229" s="583"/>
      <c r="D229" s="582"/>
      <c r="E229" s="583"/>
      <c r="F229" s="582"/>
      <c r="G229" s="583"/>
      <c r="H229" s="582"/>
      <c r="I229" s="583"/>
      <c r="J229" s="582"/>
      <c r="K229" s="583"/>
      <c r="L229" s="582"/>
      <c r="M229" s="583"/>
      <c r="N229" s="582"/>
      <c r="O229" s="37"/>
    </row>
    <row r="230" spans="3:15" x14ac:dyDescent="0.25">
      <c r="C230" s="583"/>
      <c r="D230" s="582"/>
      <c r="E230" s="583"/>
      <c r="F230" s="582"/>
      <c r="G230" s="587"/>
      <c r="H230" s="582"/>
      <c r="I230" s="583"/>
      <c r="J230" s="582"/>
      <c r="K230" s="583"/>
      <c r="L230" s="582"/>
      <c r="M230" s="583"/>
      <c r="N230" s="582"/>
      <c r="O230" s="37"/>
    </row>
    <row r="231" spans="3:15" x14ac:dyDescent="0.25">
      <c r="C231" s="583"/>
      <c r="D231" s="582"/>
      <c r="E231" s="583"/>
      <c r="F231" s="582"/>
      <c r="G231" s="583"/>
      <c r="H231" s="582"/>
      <c r="I231" s="583"/>
      <c r="J231" s="582"/>
      <c r="K231" s="583"/>
      <c r="L231" s="582"/>
      <c r="M231" s="583"/>
      <c r="N231" s="582"/>
      <c r="O231" s="37"/>
    </row>
    <row r="232" spans="3:15" x14ac:dyDescent="0.25">
      <c r="C232" s="584"/>
      <c r="D232" s="582"/>
      <c r="E232" s="584"/>
      <c r="F232" s="582"/>
      <c r="G232" s="584"/>
      <c r="H232" s="582"/>
      <c r="I232" s="584"/>
      <c r="J232" s="582"/>
      <c r="K232" s="584"/>
      <c r="L232" s="582"/>
      <c r="M232" s="584"/>
      <c r="N232" s="582"/>
      <c r="O232" s="37"/>
    </row>
    <row r="233" spans="3:15" x14ac:dyDescent="0.25">
      <c r="C233" s="584"/>
      <c r="D233" s="582"/>
      <c r="E233" s="584"/>
      <c r="F233" s="582"/>
      <c r="G233" s="584"/>
      <c r="H233" s="582"/>
      <c r="I233" s="584"/>
      <c r="J233" s="582"/>
      <c r="K233" s="584"/>
      <c r="L233" s="582"/>
      <c r="M233" s="584"/>
      <c r="N233" s="582"/>
      <c r="O233" s="37"/>
    </row>
    <row r="234" spans="3:15" x14ac:dyDescent="0.25">
      <c r="C234" s="584"/>
      <c r="D234" s="582"/>
      <c r="E234" s="584"/>
      <c r="F234" s="582"/>
      <c r="G234" s="584"/>
      <c r="H234" s="582"/>
      <c r="I234" s="584"/>
      <c r="J234" s="582"/>
      <c r="K234" s="584"/>
      <c r="L234" s="582"/>
      <c r="M234" s="584"/>
      <c r="N234" s="582"/>
      <c r="O234" s="37"/>
    </row>
    <row r="235" spans="3:15" x14ac:dyDescent="0.25"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37"/>
    </row>
    <row r="236" spans="3:15" x14ac:dyDescent="0.25">
      <c r="C236" s="584"/>
      <c r="D236" s="582"/>
      <c r="E236" s="584"/>
      <c r="F236" s="582"/>
      <c r="G236" s="584"/>
      <c r="H236" s="582"/>
      <c r="I236" s="584"/>
      <c r="J236" s="582"/>
      <c r="K236" s="584"/>
      <c r="L236" s="582"/>
      <c r="M236" s="584"/>
      <c r="N236" s="582"/>
      <c r="O236" s="37"/>
    </row>
    <row r="237" spans="3:15" x14ac:dyDescent="0.25">
      <c r="C237" s="584"/>
      <c r="D237" s="582"/>
      <c r="E237" s="584"/>
      <c r="F237" s="582"/>
      <c r="G237" s="584"/>
      <c r="H237" s="582"/>
      <c r="I237" s="584"/>
      <c r="J237" s="582"/>
      <c r="K237" s="584"/>
      <c r="L237" s="582"/>
      <c r="M237" s="584"/>
      <c r="N237" s="582"/>
      <c r="O237" s="37"/>
    </row>
    <row r="238" spans="3:15" x14ac:dyDescent="0.25"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37"/>
    </row>
    <row r="239" spans="3:15" x14ac:dyDescent="0.25">
      <c r="C239" s="54"/>
      <c r="D239" s="581"/>
      <c r="E239" s="54"/>
      <c r="F239" s="581"/>
      <c r="G239" s="54"/>
      <c r="H239" s="581"/>
      <c r="I239" s="54"/>
      <c r="J239" s="581"/>
      <c r="K239" s="54"/>
      <c r="L239" s="581"/>
      <c r="M239" s="54"/>
      <c r="N239" s="582"/>
      <c r="O239" s="37"/>
    </row>
    <row r="240" spans="3:15" x14ac:dyDescent="0.25"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2"/>
      <c r="O241" s="37"/>
    </row>
    <row r="242" spans="3:15" x14ac:dyDescent="0.25">
      <c r="C242" s="53"/>
      <c r="D242" s="582"/>
      <c r="E242" s="53"/>
      <c r="F242" s="582"/>
      <c r="G242" s="53"/>
      <c r="H242" s="582"/>
      <c r="I242" s="53"/>
      <c r="J242" s="582"/>
      <c r="K242" s="53"/>
      <c r="L242" s="582"/>
      <c r="M242" s="53"/>
      <c r="N242" s="582"/>
      <c r="O242" s="37"/>
    </row>
    <row r="243" spans="3:15" x14ac:dyDescent="0.25">
      <c r="C243" s="53"/>
      <c r="D243" s="582"/>
      <c r="E243" s="53"/>
      <c r="F243" s="582"/>
      <c r="G243" s="53"/>
      <c r="H243" s="582"/>
      <c r="I243" s="53"/>
      <c r="J243" s="582"/>
      <c r="K243" s="53"/>
      <c r="L243" s="582"/>
      <c r="M243" s="53"/>
      <c r="N243" s="582"/>
      <c r="O243" s="37"/>
    </row>
    <row r="244" spans="3:15" x14ac:dyDescent="0.25">
      <c r="C244" s="53"/>
      <c r="D244" s="582"/>
      <c r="E244" s="53"/>
      <c r="F244" s="582"/>
      <c r="G244" s="53"/>
      <c r="H244" s="582"/>
      <c r="I244" s="53"/>
      <c r="J244" s="582"/>
      <c r="K244" s="53"/>
      <c r="L244" s="582"/>
      <c r="M244" s="53"/>
      <c r="N244" s="582"/>
      <c r="O244" s="37"/>
    </row>
    <row r="245" spans="3:15" x14ac:dyDescent="0.25">
      <c r="C245" s="53"/>
      <c r="D245" s="582"/>
      <c r="E245" s="53"/>
      <c r="F245" s="582"/>
      <c r="G245" s="53"/>
      <c r="H245" s="582"/>
      <c r="I245" s="53"/>
      <c r="J245" s="582"/>
      <c r="K245" s="53"/>
      <c r="L245" s="582"/>
      <c r="M245" s="53"/>
      <c r="N245" s="582"/>
      <c r="O245" s="37"/>
    </row>
    <row r="246" spans="3:15" x14ac:dyDescent="0.25">
      <c r="C246" s="53"/>
      <c r="D246" s="582"/>
      <c r="E246" s="53"/>
      <c r="F246" s="582"/>
      <c r="G246" s="53"/>
      <c r="H246" s="582"/>
      <c r="I246" s="53"/>
      <c r="J246" s="582"/>
      <c r="K246" s="53"/>
      <c r="L246" s="582"/>
      <c r="M246" s="53"/>
      <c r="N246" s="582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2"/>
      <c r="O247" s="37"/>
    </row>
    <row r="248" spans="3:15" x14ac:dyDescent="0.25">
      <c r="C248" s="55"/>
      <c r="D248" s="585"/>
      <c r="E248" s="55"/>
      <c r="F248" s="585"/>
      <c r="G248" s="55"/>
      <c r="H248" s="585"/>
      <c r="I248" s="55"/>
      <c r="J248" s="585"/>
      <c r="K248" s="55"/>
      <c r="L248" s="585"/>
      <c r="M248" s="55"/>
      <c r="N248" s="585"/>
      <c r="O248" s="37"/>
    </row>
    <row r="249" spans="3:15" x14ac:dyDescent="0.25">
      <c r="C249" s="364"/>
      <c r="D249" s="55"/>
      <c r="E249" s="364"/>
      <c r="F249" s="586"/>
      <c r="G249" s="364"/>
      <c r="H249" s="586"/>
      <c r="I249" s="364"/>
      <c r="J249" s="586"/>
      <c r="K249" s="364"/>
      <c r="L249" s="586"/>
      <c r="M249" s="364"/>
      <c r="N249" s="585"/>
      <c r="O249" s="37"/>
    </row>
    <row r="250" spans="3:15" x14ac:dyDescent="0.25">
      <c r="C250" s="585"/>
      <c r="D250" s="585"/>
      <c r="E250" s="585"/>
      <c r="F250" s="585"/>
      <c r="G250" s="37"/>
      <c r="H250" s="37"/>
      <c r="I250" s="37"/>
      <c r="J250" s="37"/>
      <c r="K250" s="585"/>
      <c r="L250" s="585"/>
      <c r="M250" s="585"/>
      <c r="N250" s="585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9" workbookViewId="0">
      <selection activeCell="I315" sqref="I315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2" customWidth="1"/>
    <col min="4" max="4" width="12.7109375" style="392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190">
        <f ca="1">TODAY()</f>
        <v>44440</v>
      </c>
      <c r="B1" s="1191"/>
      <c r="C1" s="365" t="s">
        <v>0</v>
      </c>
      <c r="D1" s="366">
        <f>COUNTA(A5:A295)</f>
        <v>291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G28+G73+G111+G136+G168+G191+G219+G235+G254+G268+G279+G295</f>
        <v>5435.45</v>
      </c>
      <c r="C2" s="369" t="s">
        <v>263</v>
      </c>
      <c r="D2" s="370">
        <f>SUM(C4:C345)-SUM(D4:D345)</f>
        <v>7930.4499999999971</v>
      </c>
      <c r="E2" s="371" t="s">
        <v>420</v>
      </c>
      <c r="F2" s="372">
        <v>0</v>
      </c>
      <c r="H2">
        <v>800</v>
      </c>
      <c r="I2">
        <f>+I3*12</f>
        <v>-4164</v>
      </c>
    </row>
    <row r="3" spans="1:9" x14ac:dyDescent="0.25">
      <c r="A3" s="338" t="s">
        <v>7</v>
      </c>
      <c r="B3" s="339" t="s">
        <v>8</v>
      </c>
      <c r="C3" s="340" t="s">
        <v>9</v>
      </c>
      <c r="D3" s="341" t="s">
        <v>64</v>
      </c>
      <c r="E3" s="373" t="s">
        <v>10</v>
      </c>
      <c r="F3" s="372">
        <v>0</v>
      </c>
      <c r="H3">
        <v>453</v>
      </c>
      <c r="I3">
        <f>-(+H2-H3)</f>
        <v>-347</v>
      </c>
    </row>
    <row r="4" spans="1:9" x14ac:dyDescent="0.25">
      <c r="A4" s="374"/>
      <c r="B4" s="375" t="s">
        <v>421</v>
      </c>
      <c r="C4" s="376">
        <v>2495</v>
      </c>
      <c r="D4" s="376"/>
    </row>
    <row r="5" spans="1:9" x14ac:dyDescent="0.25">
      <c r="A5" s="377">
        <v>39449</v>
      </c>
      <c r="B5" s="378" t="s">
        <v>13</v>
      </c>
      <c r="C5" s="379">
        <v>1400</v>
      </c>
      <c r="D5" s="379"/>
    </row>
    <row r="6" spans="1:9" x14ac:dyDescent="0.25">
      <c r="A6" s="377">
        <v>39449</v>
      </c>
      <c r="B6" s="378" t="s">
        <v>422</v>
      </c>
      <c r="C6" s="379"/>
      <c r="D6" s="379">
        <v>30</v>
      </c>
    </row>
    <row r="7" spans="1:9" x14ac:dyDescent="0.25">
      <c r="A7" s="377">
        <v>39449</v>
      </c>
      <c r="B7" s="378" t="s">
        <v>268</v>
      </c>
      <c r="C7" s="379">
        <v>50</v>
      </c>
      <c r="D7" s="379"/>
    </row>
    <row r="8" spans="1:9" x14ac:dyDescent="0.25">
      <c r="A8" s="377">
        <v>39450</v>
      </c>
      <c r="B8" s="378" t="s">
        <v>19</v>
      </c>
      <c r="C8" s="379">
        <v>700</v>
      </c>
      <c r="D8" s="379"/>
      <c r="F8" s="349"/>
      <c r="G8" s="314"/>
    </row>
    <row r="9" spans="1:9" x14ac:dyDescent="0.25">
      <c r="A9" s="377">
        <v>39451</v>
      </c>
      <c r="B9" s="378" t="s">
        <v>399</v>
      </c>
      <c r="C9" s="379"/>
      <c r="D9" s="379">
        <v>300</v>
      </c>
      <c r="F9" s="349"/>
      <c r="G9" s="324"/>
    </row>
    <row r="10" spans="1:9" x14ac:dyDescent="0.25">
      <c r="A10" s="377">
        <v>39452</v>
      </c>
      <c r="B10" s="378" t="s">
        <v>303</v>
      </c>
      <c r="C10" s="379"/>
      <c r="D10" s="379">
        <f>128+54-0.35-7</f>
        <v>174.65</v>
      </c>
      <c r="F10" s="349"/>
      <c r="G10" s="324"/>
      <c r="H10" s="313"/>
    </row>
    <row r="11" spans="1:9" x14ac:dyDescent="0.25">
      <c r="A11" s="377">
        <v>39453</v>
      </c>
      <c r="B11" s="378" t="s">
        <v>423</v>
      </c>
      <c r="C11" s="379">
        <v>46</v>
      </c>
      <c r="D11" s="379"/>
      <c r="F11" s="380"/>
      <c r="G11" s="324"/>
      <c r="H11" s="313"/>
    </row>
    <row r="12" spans="1:9" x14ac:dyDescent="0.25">
      <c r="A12" s="377">
        <v>39455</v>
      </c>
      <c r="B12" s="378" t="s">
        <v>424</v>
      </c>
      <c r="C12" s="379"/>
      <c r="D12" s="379">
        <v>20</v>
      </c>
    </row>
    <row r="13" spans="1:9" x14ac:dyDescent="0.25">
      <c r="A13" s="377">
        <v>39456</v>
      </c>
      <c r="B13" s="378" t="s">
        <v>425</v>
      </c>
      <c r="C13" s="379"/>
      <c r="D13" s="379">
        <v>30</v>
      </c>
      <c r="F13" s="182"/>
      <c r="G13" s="42"/>
    </row>
    <row r="14" spans="1:9" x14ac:dyDescent="0.25">
      <c r="A14" s="377">
        <v>39456</v>
      </c>
      <c r="B14" s="378" t="s">
        <v>426</v>
      </c>
      <c r="C14" s="379"/>
      <c r="D14" s="379">
        <v>5</v>
      </c>
    </row>
    <row r="15" spans="1:9" x14ac:dyDescent="0.25">
      <c r="A15" s="377">
        <v>39456</v>
      </c>
      <c r="B15" s="378" t="s">
        <v>427</v>
      </c>
      <c r="C15" s="379"/>
      <c r="D15" s="379">
        <v>5</v>
      </c>
      <c r="E15" s="314"/>
      <c r="F15" s="15"/>
      <c r="G15" s="314"/>
    </row>
    <row r="16" spans="1:9" x14ac:dyDescent="0.25">
      <c r="A16" s="377">
        <v>39458</v>
      </c>
      <c r="B16" s="378" t="s">
        <v>428</v>
      </c>
      <c r="C16" s="379"/>
      <c r="D16" s="379">
        <f>105</f>
        <v>105</v>
      </c>
      <c r="E16" s="314"/>
      <c r="F16" s="381"/>
      <c r="G16" s="314"/>
    </row>
    <row r="17" spans="1:10" x14ac:dyDescent="0.25">
      <c r="A17" s="377">
        <v>39458</v>
      </c>
      <c r="B17" s="378" t="s">
        <v>429</v>
      </c>
      <c r="C17" s="379"/>
      <c r="D17" s="379">
        <v>35</v>
      </c>
      <c r="E17" s="314"/>
      <c r="F17" s="314"/>
      <c r="G17" s="314"/>
    </row>
    <row r="18" spans="1:10" x14ac:dyDescent="0.25">
      <c r="A18" s="377">
        <v>39458</v>
      </c>
      <c r="B18" s="378" t="s">
        <v>430</v>
      </c>
      <c r="C18" s="379"/>
      <c r="D18" s="379">
        <v>20</v>
      </c>
      <c r="E18" s="314"/>
      <c r="F18" s="314"/>
      <c r="G18" s="314"/>
    </row>
    <row r="19" spans="1:10" x14ac:dyDescent="0.25">
      <c r="A19" s="377">
        <v>39458</v>
      </c>
      <c r="B19" s="378" t="s">
        <v>303</v>
      </c>
      <c r="C19" s="379"/>
      <c r="D19" s="379">
        <v>14.6</v>
      </c>
      <c r="E19" s="314"/>
      <c r="F19" s="314"/>
      <c r="G19" s="314"/>
    </row>
    <row r="20" spans="1:10" x14ac:dyDescent="0.25">
      <c r="A20" s="377">
        <v>39459</v>
      </c>
      <c r="B20" s="378" t="s">
        <v>431</v>
      </c>
      <c r="C20" s="379"/>
      <c r="D20" s="379">
        <v>8</v>
      </c>
      <c r="E20" s="314"/>
      <c r="F20" s="314"/>
      <c r="G20" s="314"/>
    </row>
    <row r="21" spans="1:10" x14ac:dyDescent="0.25">
      <c r="A21" s="377">
        <v>39459</v>
      </c>
      <c r="B21" s="378" t="s">
        <v>432</v>
      </c>
      <c r="C21" s="379"/>
      <c r="D21" s="379">
        <v>100</v>
      </c>
      <c r="E21" s="314"/>
      <c r="F21" s="314"/>
      <c r="G21" s="314"/>
    </row>
    <row r="22" spans="1:10" x14ac:dyDescent="0.25">
      <c r="A22" s="377">
        <v>39460</v>
      </c>
      <c r="B22" s="378" t="s">
        <v>410</v>
      </c>
      <c r="C22" s="379"/>
      <c r="D22" s="379">
        <v>8.5</v>
      </c>
      <c r="E22" s="314"/>
      <c r="F22" s="314"/>
      <c r="G22" s="314"/>
    </row>
    <row r="23" spans="1:10" x14ac:dyDescent="0.25">
      <c r="A23" s="377">
        <v>39468</v>
      </c>
      <c r="B23" s="378" t="s">
        <v>378</v>
      </c>
      <c r="C23" s="379"/>
      <c r="D23" s="379">
        <f>27.5/2</f>
        <v>13.75</v>
      </c>
      <c r="E23" s="314"/>
      <c r="F23" s="314"/>
      <c r="G23" s="314"/>
    </row>
    <row r="24" spans="1:10" x14ac:dyDescent="0.25">
      <c r="A24" s="377">
        <v>39471</v>
      </c>
      <c r="B24" s="378" t="s">
        <v>303</v>
      </c>
      <c r="C24" s="379"/>
      <c r="D24" s="379">
        <v>4.5</v>
      </c>
      <c r="E24" s="314"/>
      <c r="F24" s="314"/>
      <c r="G24" s="314"/>
    </row>
    <row r="25" spans="1:10" x14ac:dyDescent="0.25">
      <c r="A25" s="377">
        <v>39473</v>
      </c>
      <c r="B25" s="378" t="s">
        <v>349</v>
      </c>
      <c r="C25" s="379"/>
      <c r="D25" s="379">
        <v>2</v>
      </c>
      <c r="E25" s="314"/>
      <c r="F25" s="314"/>
      <c r="G25" s="314"/>
    </row>
    <row r="26" spans="1:10" x14ac:dyDescent="0.25">
      <c r="A26" s="377">
        <v>39478</v>
      </c>
      <c r="B26" s="378" t="s">
        <v>433</v>
      </c>
      <c r="C26" s="379"/>
      <c r="D26" s="379">
        <v>16.25</v>
      </c>
      <c r="E26" s="382" t="s">
        <v>11</v>
      </c>
      <c r="F26" s="314"/>
      <c r="G26" s="314"/>
    </row>
    <row r="27" spans="1:10" x14ac:dyDescent="0.25">
      <c r="A27" s="377">
        <v>39478</v>
      </c>
      <c r="B27" s="378" t="s">
        <v>434</v>
      </c>
      <c r="C27" s="379"/>
      <c r="D27" s="379">
        <v>10</v>
      </c>
      <c r="E27" s="383" t="s">
        <v>312</v>
      </c>
      <c r="F27" s="384">
        <f>COUNTA(A5:A28)</f>
        <v>24</v>
      </c>
      <c r="G27" s="314"/>
    </row>
    <row r="28" spans="1:10" x14ac:dyDescent="0.25">
      <c r="A28" s="374">
        <v>39478</v>
      </c>
      <c r="B28" s="375" t="s">
        <v>435</v>
      </c>
      <c r="C28" s="376"/>
      <c r="D28" s="376">
        <v>71</v>
      </c>
      <c r="E28" s="385">
        <f>SUM(C5:C28)</f>
        <v>2196</v>
      </c>
      <c r="F28" s="385">
        <f>SUM(D5:D28)</f>
        <v>973.25</v>
      </c>
      <c r="G28" s="385">
        <f>E28-F28</f>
        <v>1222.75</v>
      </c>
      <c r="H28">
        <f>_ENE08-H3</f>
        <v>769.75</v>
      </c>
    </row>
    <row r="29" spans="1:10" x14ac:dyDescent="0.25">
      <c r="A29" s="377">
        <v>39479</v>
      </c>
      <c r="B29" s="378" t="s">
        <v>303</v>
      </c>
      <c r="C29" s="379"/>
      <c r="D29" s="379">
        <v>4</v>
      </c>
      <c r="E29" s="314"/>
      <c r="F29" s="314"/>
      <c r="G29" s="314"/>
    </row>
    <row r="30" spans="1:10" x14ac:dyDescent="0.25">
      <c r="A30" s="377">
        <v>39479</v>
      </c>
      <c r="B30" s="378" t="s">
        <v>436</v>
      </c>
      <c r="C30" s="379"/>
      <c r="D30" s="379">
        <v>4.95</v>
      </c>
      <c r="E30" s="314"/>
      <c r="F30" s="314"/>
      <c r="G30" s="314"/>
    </row>
    <row r="31" spans="1:10" x14ac:dyDescent="0.25">
      <c r="A31" s="377">
        <v>39483</v>
      </c>
      <c r="B31" s="378" t="s">
        <v>437</v>
      </c>
      <c r="C31" s="379"/>
      <c r="D31" s="379">
        <v>0.7</v>
      </c>
      <c r="E31" s="314"/>
      <c r="F31" s="314"/>
      <c r="G31" s="314"/>
    </row>
    <row r="32" spans="1:10" x14ac:dyDescent="0.25">
      <c r="A32" s="377">
        <v>39484</v>
      </c>
      <c r="B32" s="378" t="s">
        <v>303</v>
      </c>
      <c r="C32" s="379"/>
      <c r="D32" s="379">
        <v>4.5</v>
      </c>
      <c r="E32" s="15"/>
      <c r="F32" s="15"/>
      <c r="G32" s="15"/>
      <c r="H32" s="15"/>
      <c r="I32" s="15"/>
      <c r="J32" s="15"/>
    </row>
    <row r="33" spans="1:10" x14ac:dyDescent="0.25">
      <c r="A33" s="377">
        <v>39484</v>
      </c>
      <c r="B33" s="378" t="s">
        <v>410</v>
      </c>
      <c r="C33" s="379"/>
      <c r="D33" s="379">
        <v>6</v>
      </c>
      <c r="E33" s="15"/>
      <c r="F33" s="15"/>
      <c r="G33" s="15"/>
      <c r="H33" s="15"/>
      <c r="I33" s="15"/>
      <c r="J33" s="15"/>
    </row>
    <row r="34" spans="1:10" x14ac:dyDescent="0.25">
      <c r="A34" s="377">
        <v>39484</v>
      </c>
      <c r="B34" s="378" t="s">
        <v>310</v>
      </c>
      <c r="C34" s="379"/>
      <c r="D34" s="379">
        <v>10</v>
      </c>
      <c r="E34" s="15"/>
      <c r="F34" s="15"/>
      <c r="G34" s="15"/>
      <c r="H34" s="15"/>
      <c r="I34" s="15"/>
      <c r="J34" s="15"/>
    </row>
    <row r="35" spans="1:10" x14ac:dyDescent="0.25">
      <c r="A35" s="377">
        <v>39485</v>
      </c>
      <c r="B35" s="378" t="s">
        <v>438</v>
      </c>
      <c r="C35" s="379"/>
      <c r="D35" s="379">
        <v>390</v>
      </c>
      <c r="E35" s="15"/>
      <c r="F35" s="15"/>
      <c r="G35" s="15"/>
      <c r="H35" s="15"/>
      <c r="I35" s="15"/>
      <c r="J35" s="15"/>
    </row>
    <row r="36" spans="1:10" x14ac:dyDescent="0.25">
      <c r="A36" s="377">
        <v>39486</v>
      </c>
      <c r="B36" s="378" t="s">
        <v>437</v>
      </c>
      <c r="C36" s="379"/>
      <c r="D36" s="379">
        <v>0.5</v>
      </c>
      <c r="E36" s="15"/>
      <c r="F36" s="15"/>
      <c r="G36" s="15"/>
      <c r="H36" s="15"/>
      <c r="I36" s="15"/>
      <c r="J36" s="15"/>
    </row>
    <row r="37" spans="1:10" x14ac:dyDescent="0.25">
      <c r="A37" s="377">
        <v>39486</v>
      </c>
      <c r="B37" s="378" t="s">
        <v>439</v>
      </c>
      <c r="C37" s="379">
        <v>300</v>
      </c>
      <c r="D37" s="379"/>
      <c r="E37" s="15"/>
      <c r="F37" s="15"/>
      <c r="G37" s="15"/>
      <c r="H37" s="15"/>
      <c r="I37" s="15"/>
      <c r="J37" s="15"/>
    </row>
    <row r="38" spans="1:10" x14ac:dyDescent="0.25">
      <c r="A38" s="377">
        <v>39486</v>
      </c>
      <c r="B38" s="378" t="s">
        <v>423</v>
      </c>
      <c r="C38" s="379"/>
      <c r="D38" s="379">
        <v>1.25</v>
      </c>
      <c r="E38" s="15"/>
      <c r="F38" s="15"/>
      <c r="G38" s="15"/>
      <c r="H38" s="15"/>
      <c r="I38" s="15"/>
      <c r="J38" s="15"/>
    </row>
    <row r="39" spans="1:10" x14ac:dyDescent="0.25">
      <c r="A39" s="377">
        <v>39486</v>
      </c>
      <c r="B39" s="378" t="s">
        <v>13</v>
      </c>
      <c r="C39" s="379">
        <v>1700</v>
      </c>
      <c r="D39" s="379"/>
      <c r="E39" s="15"/>
      <c r="F39" s="15"/>
      <c r="G39" s="15"/>
      <c r="H39" s="15"/>
      <c r="I39" s="15"/>
      <c r="J39" s="15"/>
    </row>
    <row r="40" spans="1:10" x14ac:dyDescent="0.25">
      <c r="A40" s="377">
        <v>39486</v>
      </c>
      <c r="B40" s="378" t="s">
        <v>399</v>
      </c>
      <c r="C40" s="379"/>
      <c r="D40" s="379">
        <v>300</v>
      </c>
      <c r="E40" s="15"/>
      <c r="F40" s="15"/>
      <c r="G40" s="15"/>
      <c r="H40" s="15"/>
      <c r="I40" s="15"/>
      <c r="J40" s="15"/>
    </row>
    <row r="41" spans="1:10" x14ac:dyDescent="0.25">
      <c r="A41" s="377">
        <v>39486</v>
      </c>
      <c r="B41" s="378" t="s">
        <v>350</v>
      </c>
      <c r="C41" s="379"/>
      <c r="D41" s="379">
        <v>22</v>
      </c>
      <c r="E41" s="15"/>
      <c r="F41" s="15"/>
      <c r="G41" s="15"/>
      <c r="H41" s="15"/>
      <c r="I41" s="15"/>
      <c r="J41" s="15"/>
    </row>
    <row r="42" spans="1:10" x14ac:dyDescent="0.25">
      <c r="A42" s="377">
        <v>39486</v>
      </c>
      <c r="B42" s="378" t="s">
        <v>440</v>
      </c>
      <c r="C42" s="379"/>
      <c r="D42" s="379">
        <v>20</v>
      </c>
      <c r="E42" s="15"/>
      <c r="F42" s="15"/>
      <c r="G42" s="15"/>
      <c r="H42" s="15"/>
      <c r="I42" s="15"/>
      <c r="J42" s="15"/>
    </row>
    <row r="43" spans="1:10" x14ac:dyDescent="0.25">
      <c r="A43" s="377">
        <v>39486</v>
      </c>
      <c r="B43" s="378" t="s">
        <v>349</v>
      </c>
      <c r="C43" s="379"/>
      <c r="D43" s="379">
        <v>15</v>
      </c>
      <c r="E43" s="15"/>
      <c r="F43" s="15"/>
      <c r="G43" s="15"/>
      <c r="H43" s="15"/>
      <c r="I43" s="15"/>
      <c r="J43" s="15"/>
    </row>
    <row r="44" spans="1:10" x14ac:dyDescent="0.25">
      <c r="A44" s="377">
        <v>39486</v>
      </c>
      <c r="B44" s="378" t="s">
        <v>303</v>
      </c>
      <c r="C44" s="379"/>
      <c r="D44" s="379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77">
        <v>39486</v>
      </c>
      <c r="B45" s="378" t="s">
        <v>441</v>
      </c>
      <c r="C45" s="379"/>
      <c r="D45" s="379">
        <v>105</v>
      </c>
      <c r="E45" s="15"/>
      <c r="F45" s="15"/>
      <c r="G45" s="15"/>
      <c r="H45" s="15"/>
      <c r="I45" s="15"/>
      <c r="J45" s="15"/>
    </row>
    <row r="46" spans="1:10" x14ac:dyDescent="0.25">
      <c r="A46" s="377">
        <v>39486</v>
      </c>
      <c r="B46" s="378" t="s">
        <v>437</v>
      </c>
      <c r="C46" s="379"/>
      <c r="D46" s="379">
        <v>0.45</v>
      </c>
      <c r="E46" s="15"/>
      <c r="F46" s="15"/>
      <c r="G46" s="15"/>
      <c r="H46" s="15"/>
      <c r="I46" s="15"/>
      <c r="J46" s="15"/>
    </row>
    <row r="47" spans="1:10" x14ac:dyDescent="0.25">
      <c r="A47" s="377">
        <v>39487</v>
      </c>
      <c r="B47" s="378" t="s">
        <v>442</v>
      </c>
      <c r="C47" s="379"/>
      <c r="D47" s="379">
        <v>2</v>
      </c>
      <c r="E47" s="15"/>
      <c r="F47" s="15"/>
      <c r="G47" s="15"/>
      <c r="H47" s="15"/>
      <c r="I47" s="15"/>
      <c r="J47" s="15"/>
    </row>
    <row r="48" spans="1:10" x14ac:dyDescent="0.25">
      <c r="A48" s="377">
        <v>39488</v>
      </c>
      <c r="B48" s="378" t="s">
        <v>302</v>
      </c>
      <c r="C48" s="379"/>
      <c r="D48" s="379">
        <v>11.2</v>
      </c>
      <c r="E48" s="15"/>
      <c r="F48" s="15"/>
      <c r="G48" s="15"/>
      <c r="H48" s="15"/>
      <c r="I48" s="15"/>
      <c r="J48" s="15"/>
    </row>
    <row r="49" spans="1:10" x14ac:dyDescent="0.25">
      <c r="A49" s="377">
        <v>39488</v>
      </c>
      <c r="B49" s="378" t="s">
        <v>410</v>
      </c>
      <c r="C49" s="379"/>
      <c r="D49" s="379">
        <v>1.7</v>
      </c>
      <c r="E49" s="15"/>
      <c r="F49" s="15"/>
      <c r="G49" s="15"/>
      <c r="H49" s="15"/>
      <c r="I49" s="15"/>
      <c r="J49" s="15"/>
    </row>
    <row r="50" spans="1:10" x14ac:dyDescent="0.25">
      <c r="A50" s="377">
        <v>39488</v>
      </c>
      <c r="B50" s="378" t="s">
        <v>443</v>
      </c>
      <c r="C50" s="379"/>
      <c r="D50" s="379">
        <v>20</v>
      </c>
      <c r="E50" s="15"/>
      <c r="F50" s="15"/>
      <c r="G50" s="15"/>
      <c r="H50" s="15"/>
      <c r="I50" s="15"/>
      <c r="J50" s="15"/>
    </row>
    <row r="51" spans="1:10" x14ac:dyDescent="0.25">
      <c r="A51" s="377">
        <v>39489</v>
      </c>
      <c r="B51" s="378" t="s">
        <v>378</v>
      </c>
      <c r="C51" s="379"/>
      <c r="D51" s="379">
        <v>15</v>
      </c>
      <c r="E51" s="15"/>
      <c r="F51" s="15"/>
      <c r="G51" s="15"/>
      <c r="H51" s="15"/>
      <c r="I51" s="15"/>
      <c r="J51" s="15"/>
    </row>
    <row r="52" spans="1:10" x14ac:dyDescent="0.25">
      <c r="A52" s="377">
        <v>39489</v>
      </c>
      <c r="B52" s="378" t="s">
        <v>303</v>
      </c>
      <c r="C52" s="379"/>
      <c r="D52" s="379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77">
        <v>39492</v>
      </c>
      <c r="B53" s="378" t="s">
        <v>310</v>
      </c>
      <c r="C53" s="379"/>
      <c r="D53" s="379">
        <v>9</v>
      </c>
      <c r="E53" s="15"/>
      <c r="F53" s="15"/>
      <c r="G53" s="15"/>
      <c r="H53" s="15"/>
      <c r="I53" s="15"/>
      <c r="J53" s="15"/>
    </row>
    <row r="54" spans="1:10" x14ac:dyDescent="0.25">
      <c r="A54" s="377">
        <v>39492</v>
      </c>
      <c r="B54" s="378" t="s">
        <v>444</v>
      </c>
      <c r="C54" s="379"/>
      <c r="D54" s="379">
        <v>10</v>
      </c>
      <c r="E54" s="15"/>
      <c r="F54" s="15"/>
      <c r="G54" s="15"/>
      <c r="H54" s="15"/>
      <c r="I54" s="15"/>
      <c r="J54" s="15"/>
    </row>
    <row r="55" spans="1:10" x14ac:dyDescent="0.25">
      <c r="A55" s="377">
        <v>39492</v>
      </c>
      <c r="B55" s="378" t="s">
        <v>445</v>
      </c>
      <c r="C55" s="379"/>
      <c r="D55" s="379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77">
        <v>39492</v>
      </c>
      <c r="B56" s="378" t="s">
        <v>410</v>
      </c>
      <c r="C56" s="379"/>
      <c r="D56" s="379">
        <v>4.5</v>
      </c>
      <c r="E56" s="15"/>
      <c r="F56" s="15"/>
      <c r="G56" s="15"/>
      <c r="H56" s="15"/>
      <c r="I56" s="15"/>
      <c r="J56" s="15"/>
    </row>
    <row r="57" spans="1:10" x14ac:dyDescent="0.25">
      <c r="A57" s="377">
        <v>39492</v>
      </c>
      <c r="B57" s="378" t="s">
        <v>446</v>
      </c>
      <c r="C57" s="379"/>
      <c r="D57" s="379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77">
        <v>39494</v>
      </c>
      <c r="B58" s="378" t="s">
        <v>447</v>
      </c>
      <c r="C58" s="379"/>
      <c r="D58" s="379">
        <v>6.5</v>
      </c>
      <c r="E58" s="15"/>
      <c r="F58" s="15"/>
      <c r="G58" s="15"/>
      <c r="H58" s="15"/>
      <c r="I58" s="15"/>
      <c r="J58" s="15"/>
    </row>
    <row r="59" spans="1:10" x14ac:dyDescent="0.25">
      <c r="A59" s="377">
        <v>39494</v>
      </c>
      <c r="B59" s="378" t="s">
        <v>448</v>
      </c>
      <c r="C59" s="379"/>
      <c r="D59" s="379">
        <v>7</v>
      </c>
      <c r="E59" s="15"/>
      <c r="F59" s="15"/>
      <c r="G59" s="15"/>
      <c r="H59" s="15"/>
      <c r="I59" s="15"/>
      <c r="J59" s="15"/>
    </row>
    <row r="60" spans="1:10" x14ac:dyDescent="0.25">
      <c r="A60" s="377">
        <v>39494</v>
      </c>
      <c r="B60" s="378" t="s">
        <v>449</v>
      </c>
      <c r="C60" s="379"/>
      <c r="D60" s="379">
        <v>4.5</v>
      </c>
      <c r="E60" s="15"/>
      <c r="F60" s="15"/>
      <c r="G60" s="15"/>
      <c r="H60" s="15"/>
      <c r="I60" s="15"/>
      <c r="J60" s="15"/>
    </row>
    <row r="61" spans="1:10" x14ac:dyDescent="0.25">
      <c r="A61" s="377">
        <v>39494</v>
      </c>
      <c r="B61" s="378" t="s">
        <v>268</v>
      </c>
      <c r="C61" s="379">
        <v>14</v>
      </c>
      <c r="D61" s="379"/>
      <c r="E61" s="15"/>
      <c r="F61" s="15"/>
      <c r="G61" s="15"/>
      <c r="H61" s="15"/>
      <c r="I61" s="15"/>
      <c r="J61" s="15"/>
    </row>
    <row r="62" spans="1:10" x14ac:dyDescent="0.25">
      <c r="A62" s="377">
        <v>39495</v>
      </c>
      <c r="B62" s="378" t="s">
        <v>411</v>
      </c>
      <c r="C62" s="379"/>
      <c r="D62" s="379">
        <v>10</v>
      </c>
      <c r="E62" s="15"/>
      <c r="F62" s="15"/>
      <c r="G62" s="15"/>
      <c r="H62" s="15"/>
      <c r="I62" s="15"/>
      <c r="J62" s="15"/>
    </row>
    <row r="63" spans="1:10" x14ac:dyDescent="0.25">
      <c r="A63" s="377">
        <v>39497</v>
      </c>
      <c r="B63" s="378" t="s">
        <v>303</v>
      </c>
      <c r="C63" s="379"/>
      <c r="D63" s="379">
        <f>1.1+1.85+1.7+1.7+1.75+2.2+5.4</f>
        <v>15.700000000000001</v>
      </c>
      <c r="E63" s="15"/>
      <c r="F63" s="15"/>
      <c r="G63" s="15"/>
      <c r="H63" s="15"/>
      <c r="I63" s="15"/>
      <c r="J63" s="15"/>
    </row>
    <row r="64" spans="1:10" x14ac:dyDescent="0.25">
      <c r="A64" s="377">
        <v>39497</v>
      </c>
      <c r="B64" s="378" t="s">
        <v>302</v>
      </c>
      <c r="C64" s="379"/>
      <c r="D64" s="379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77">
        <v>39498</v>
      </c>
      <c r="B65" s="378" t="s">
        <v>450</v>
      </c>
      <c r="C65" s="379"/>
      <c r="D65" s="379">
        <v>2</v>
      </c>
      <c r="E65" s="15"/>
      <c r="F65" s="15"/>
      <c r="G65" s="15"/>
      <c r="H65" s="15"/>
      <c r="I65" s="15"/>
      <c r="J65" s="15"/>
    </row>
    <row r="66" spans="1:10" x14ac:dyDescent="0.25">
      <c r="A66" s="377">
        <v>39501</v>
      </c>
      <c r="B66" s="378" t="s">
        <v>440</v>
      </c>
      <c r="C66" s="379"/>
      <c r="D66" s="379">
        <v>37.25</v>
      </c>
      <c r="E66" s="15"/>
      <c r="F66" s="15"/>
      <c r="G66" s="15"/>
      <c r="H66" s="15"/>
      <c r="I66" s="15"/>
      <c r="J66" s="15"/>
    </row>
    <row r="67" spans="1:10" x14ac:dyDescent="0.25">
      <c r="A67" s="377">
        <v>39501</v>
      </c>
      <c r="B67" s="378" t="s">
        <v>346</v>
      </c>
      <c r="C67" s="379"/>
      <c r="D67" s="379">
        <v>35</v>
      </c>
      <c r="E67" s="15"/>
      <c r="F67" s="15"/>
      <c r="G67" s="15"/>
      <c r="H67" s="15"/>
      <c r="I67" s="15"/>
      <c r="J67" s="15"/>
    </row>
    <row r="68" spans="1:10" x14ac:dyDescent="0.25">
      <c r="A68" s="377">
        <v>39501</v>
      </c>
      <c r="B68" s="378" t="s">
        <v>451</v>
      </c>
      <c r="C68" s="379"/>
      <c r="D68" s="379">
        <v>3.5</v>
      </c>
      <c r="E68" s="15"/>
      <c r="F68" s="15"/>
      <c r="G68" s="15"/>
      <c r="H68" s="15"/>
      <c r="I68" s="15"/>
      <c r="J68" s="15"/>
    </row>
    <row r="69" spans="1:10" x14ac:dyDescent="0.25">
      <c r="A69" s="377">
        <v>39502</v>
      </c>
      <c r="B69" s="378" t="s">
        <v>452</v>
      </c>
      <c r="C69" s="379"/>
      <c r="D69" s="379">
        <v>2.35</v>
      </c>
      <c r="E69" s="15"/>
      <c r="F69" s="15"/>
      <c r="G69" s="15"/>
      <c r="H69" s="15"/>
      <c r="I69" s="15"/>
      <c r="J69" s="15"/>
    </row>
    <row r="70" spans="1:10" x14ac:dyDescent="0.25">
      <c r="A70" s="377">
        <v>39503</v>
      </c>
      <c r="B70" s="378" t="s">
        <v>303</v>
      </c>
      <c r="C70" s="379"/>
      <c r="D70" s="379">
        <v>6</v>
      </c>
      <c r="E70" s="15"/>
      <c r="F70" s="15"/>
      <c r="G70" s="15"/>
      <c r="H70" s="15"/>
      <c r="I70" s="15"/>
      <c r="J70" s="15"/>
    </row>
    <row r="71" spans="1:10" x14ac:dyDescent="0.25">
      <c r="A71" s="377">
        <v>39504</v>
      </c>
      <c r="B71" s="378" t="s">
        <v>453</v>
      </c>
      <c r="C71" s="379"/>
      <c r="D71" s="379">
        <v>4.7</v>
      </c>
      <c r="E71" s="382" t="s">
        <v>16</v>
      </c>
      <c r="F71" s="314"/>
      <c r="G71" s="314"/>
    </row>
    <row r="72" spans="1:10" x14ac:dyDescent="0.25">
      <c r="A72" s="377">
        <v>39507</v>
      </c>
      <c r="B72" s="378" t="s">
        <v>454</v>
      </c>
      <c r="C72" s="379"/>
      <c r="D72" s="379">
        <v>0</v>
      </c>
      <c r="E72" s="383" t="s">
        <v>312</v>
      </c>
      <c r="F72" s="384">
        <f>COUNTA(A29:A73)</f>
        <v>45</v>
      </c>
      <c r="G72" s="314"/>
    </row>
    <row r="73" spans="1:10" x14ac:dyDescent="0.25">
      <c r="A73" s="374">
        <v>39507</v>
      </c>
      <c r="B73" s="375" t="s">
        <v>435</v>
      </c>
      <c r="C73" s="376"/>
      <c r="D73" s="376">
        <v>50.3</v>
      </c>
      <c r="E73" s="386">
        <f>SUM(C29:C73)</f>
        <v>2014</v>
      </c>
      <c r="F73" s="386">
        <f>SUM(D29:D73)</f>
        <v>1443.5500000000002</v>
      </c>
      <c r="G73" s="386">
        <f>E73-F73</f>
        <v>570.44999999999982</v>
      </c>
      <c r="H73">
        <f>_FEB08-H3+H28</f>
        <v>887.19999999999982</v>
      </c>
    </row>
    <row r="74" spans="1:10" x14ac:dyDescent="0.25">
      <c r="A74" s="377">
        <v>39509</v>
      </c>
      <c r="B74" s="378" t="s">
        <v>455</v>
      </c>
      <c r="C74" s="379"/>
      <c r="D74" s="379">
        <v>7</v>
      </c>
      <c r="E74" s="314"/>
      <c r="F74" s="314"/>
      <c r="G74" s="314"/>
    </row>
    <row r="75" spans="1:10" x14ac:dyDescent="0.25">
      <c r="A75" s="377">
        <v>39509</v>
      </c>
      <c r="B75" s="378" t="s">
        <v>456</v>
      </c>
      <c r="C75" s="379"/>
      <c r="D75" s="379">
        <v>4</v>
      </c>
      <c r="E75" s="314"/>
      <c r="F75" s="314"/>
      <c r="G75" s="314"/>
    </row>
    <row r="76" spans="1:10" x14ac:dyDescent="0.25">
      <c r="A76" s="377">
        <v>39509</v>
      </c>
      <c r="B76" s="378" t="s">
        <v>457</v>
      </c>
      <c r="C76" s="379"/>
      <c r="D76" s="379">
        <v>25</v>
      </c>
      <c r="E76" s="314"/>
      <c r="F76" s="314"/>
      <c r="G76" s="314"/>
    </row>
    <row r="77" spans="1:10" x14ac:dyDescent="0.25">
      <c r="A77" s="377">
        <v>39509</v>
      </c>
      <c r="B77" s="378" t="s">
        <v>453</v>
      </c>
      <c r="C77" s="379"/>
      <c r="D77" s="379">
        <v>2</v>
      </c>
      <c r="E77" s="314"/>
      <c r="F77" s="314"/>
      <c r="G77" s="314"/>
    </row>
    <row r="78" spans="1:10" x14ac:dyDescent="0.25">
      <c r="A78" s="377">
        <v>39509</v>
      </c>
      <c r="B78" s="378" t="s">
        <v>458</v>
      </c>
      <c r="C78" s="379"/>
      <c r="D78" s="379">
        <v>1.2</v>
      </c>
      <c r="E78" s="314"/>
      <c r="F78" s="314"/>
      <c r="G78" s="314"/>
    </row>
    <row r="79" spans="1:10" x14ac:dyDescent="0.25">
      <c r="A79" s="377">
        <v>39511</v>
      </c>
      <c r="B79" s="378" t="s">
        <v>459</v>
      </c>
      <c r="C79" s="379"/>
      <c r="D79" s="379">
        <v>10</v>
      </c>
      <c r="E79" s="314"/>
      <c r="F79" s="314"/>
      <c r="G79" s="314"/>
    </row>
    <row r="80" spans="1:10" x14ac:dyDescent="0.25">
      <c r="A80" s="377">
        <v>39511</v>
      </c>
      <c r="B80" s="378" t="s">
        <v>460</v>
      </c>
      <c r="C80" s="379"/>
      <c r="D80" s="379">
        <v>15</v>
      </c>
      <c r="E80" s="314"/>
      <c r="F80" s="314"/>
      <c r="G80" s="314"/>
    </row>
    <row r="81" spans="1:7" x14ac:dyDescent="0.25">
      <c r="A81" s="377">
        <v>39511</v>
      </c>
      <c r="B81" s="378" t="s">
        <v>303</v>
      </c>
      <c r="C81" s="379"/>
      <c r="D81" s="379">
        <v>3</v>
      </c>
      <c r="E81" s="314"/>
      <c r="F81" s="314"/>
      <c r="G81" s="314"/>
    </row>
    <row r="82" spans="1:7" x14ac:dyDescent="0.25">
      <c r="A82" s="377">
        <v>39514</v>
      </c>
      <c r="B82" s="378" t="s">
        <v>306</v>
      </c>
      <c r="C82" s="379"/>
      <c r="D82" s="379">
        <v>28</v>
      </c>
      <c r="E82" s="314"/>
      <c r="F82" s="314"/>
      <c r="G82" s="314"/>
    </row>
    <row r="83" spans="1:7" x14ac:dyDescent="0.25">
      <c r="A83" s="377">
        <v>39515</v>
      </c>
      <c r="B83" s="378" t="s">
        <v>461</v>
      </c>
      <c r="C83" s="379"/>
      <c r="D83" s="379">
        <v>3</v>
      </c>
      <c r="E83" s="314"/>
      <c r="F83" s="314"/>
      <c r="G83" s="314"/>
    </row>
    <row r="84" spans="1:7" x14ac:dyDescent="0.25">
      <c r="A84" s="377">
        <v>39515</v>
      </c>
      <c r="B84" s="378" t="s">
        <v>462</v>
      </c>
      <c r="C84" s="379"/>
      <c r="D84" s="379">
        <v>5</v>
      </c>
      <c r="E84" s="314"/>
      <c r="F84" s="314"/>
      <c r="G84" s="314"/>
    </row>
    <row r="85" spans="1:7" x14ac:dyDescent="0.25">
      <c r="A85" s="377">
        <v>39515</v>
      </c>
      <c r="B85" s="378" t="s">
        <v>463</v>
      </c>
      <c r="C85" s="379"/>
      <c r="D85" s="379">
        <v>23</v>
      </c>
      <c r="E85" s="314"/>
      <c r="F85" s="314"/>
      <c r="G85" s="314"/>
    </row>
    <row r="86" spans="1:7" x14ac:dyDescent="0.25">
      <c r="A86" s="377">
        <v>39516</v>
      </c>
      <c r="B86" s="378" t="s">
        <v>464</v>
      </c>
      <c r="C86" s="379"/>
      <c r="D86" s="379">
        <v>50</v>
      </c>
      <c r="E86" s="314"/>
      <c r="F86" s="314"/>
      <c r="G86" s="314"/>
    </row>
    <row r="87" spans="1:7" x14ac:dyDescent="0.25">
      <c r="A87" s="377">
        <v>39516</v>
      </c>
      <c r="B87" s="378" t="s">
        <v>465</v>
      </c>
      <c r="C87" s="379"/>
      <c r="D87" s="379">
        <f>136.5+2.2+7.2+7.3</f>
        <v>153.19999999999999</v>
      </c>
      <c r="E87" s="314"/>
      <c r="F87" s="314"/>
      <c r="G87" s="314"/>
    </row>
    <row r="88" spans="1:7" x14ac:dyDescent="0.25">
      <c r="A88" s="377">
        <v>39516</v>
      </c>
      <c r="B88" s="378" t="s">
        <v>350</v>
      </c>
      <c r="C88" s="379"/>
      <c r="D88" s="379">
        <v>6</v>
      </c>
      <c r="E88" s="314"/>
      <c r="F88" s="314"/>
      <c r="G88" s="314"/>
    </row>
    <row r="89" spans="1:7" x14ac:dyDescent="0.25">
      <c r="A89" s="377">
        <v>39516</v>
      </c>
      <c r="B89" s="378" t="s">
        <v>349</v>
      </c>
      <c r="C89" s="379"/>
      <c r="D89" s="379">
        <v>15</v>
      </c>
      <c r="E89" s="314"/>
      <c r="F89" s="314"/>
      <c r="G89" s="314"/>
    </row>
    <row r="90" spans="1:7" x14ac:dyDescent="0.25">
      <c r="A90" s="377">
        <v>39517</v>
      </c>
      <c r="B90" s="378" t="s">
        <v>13</v>
      </c>
      <c r="C90" s="379">
        <v>1700</v>
      </c>
      <c r="D90" s="379"/>
      <c r="E90" s="314"/>
      <c r="F90" s="314"/>
      <c r="G90" s="314"/>
    </row>
    <row r="91" spans="1:7" x14ac:dyDescent="0.25">
      <c r="A91" s="377">
        <v>39517</v>
      </c>
      <c r="B91" s="378" t="s">
        <v>399</v>
      </c>
      <c r="C91" s="379"/>
      <c r="D91" s="379">
        <v>300</v>
      </c>
      <c r="E91" s="314"/>
      <c r="F91" s="314"/>
      <c r="G91" s="314"/>
    </row>
    <row r="92" spans="1:7" x14ac:dyDescent="0.25">
      <c r="A92" s="377">
        <v>39517</v>
      </c>
      <c r="B92" s="378" t="s">
        <v>466</v>
      </c>
      <c r="C92" s="379"/>
      <c r="D92" s="379">
        <v>120</v>
      </c>
      <c r="E92" s="314"/>
      <c r="F92" s="314"/>
      <c r="G92" s="314"/>
    </row>
    <row r="93" spans="1:7" x14ac:dyDescent="0.25">
      <c r="A93" s="377">
        <v>39517</v>
      </c>
      <c r="B93" s="378" t="s">
        <v>467</v>
      </c>
      <c r="C93" s="379"/>
      <c r="D93" s="379">
        <f>140+5</f>
        <v>145</v>
      </c>
      <c r="E93" s="314"/>
      <c r="F93" s="314"/>
      <c r="G93" s="314"/>
    </row>
    <row r="94" spans="1:7" x14ac:dyDescent="0.25">
      <c r="A94" s="377">
        <v>39517</v>
      </c>
      <c r="B94" s="378" t="s">
        <v>378</v>
      </c>
      <c r="C94" s="379"/>
      <c r="D94" s="379">
        <v>15</v>
      </c>
      <c r="E94" s="314"/>
      <c r="F94" s="314"/>
      <c r="G94" s="314"/>
    </row>
    <row r="95" spans="1:7" x14ac:dyDescent="0.25">
      <c r="A95" s="377">
        <v>39519</v>
      </c>
      <c r="B95" s="378" t="s">
        <v>327</v>
      </c>
      <c r="C95" s="379"/>
      <c r="D95" s="379">
        <v>5.9</v>
      </c>
      <c r="E95" s="314"/>
      <c r="F95" s="314"/>
      <c r="G95" s="314"/>
    </row>
    <row r="96" spans="1:7" x14ac:dyDescent="0.25">
      <c r="A96" s="377">
        <v>39524</v>
      </c>
      <c r="B96" s="378" t="s">
        <v>352</v>
      </c>
      <c r="C96" s="379"/>
      <c r="D96" s="379">
        <v>1.6</v>
      </c>
      <c r="E96" s="314"/>
      <c r="F96" s="314"/>
      <c r="G96" s="314"/>
    </row>
    <row r="97" spans="1:8" x14ac:dyDescent="0.25">
      <c r="A97" s="377">
        <v>39524</v>
      </c>
      <c r="B97" s="378" t="s">
        <v>337</v>
      </c>
      <c r="C97" s="379"/>
      <c r="D97" s="379">
        <v>2.35</v>
      </c>
      <c r="E97" s="314"/>
      <c r="F97" s="314"/>
      <c r="G97" s="314"/>
    </row>
    <row r="98" spans="1:8" x14ac:dyDescent="0.25">
      <c r="A98" s="377">
        <v>39526</v>
      </c>
      <c r="B98" s="378" t="s">
        <v>369</v>
      </c>
      <c r="C98" s="379"/>
      <c r="D98" s="379">
        <v>490</v>
      </c>
      <c r="E98" s="314"/>
      <c r="F98" s="314"/>
      <c r="G98" s="314"/>
    </row>
    <row r="99" spans="1:8" x14ac:dyDescent="0.25">
      <c r="A99" s="377">
        <v>39527</v>
      </c>
      <c r="B99" s="378" t="s">
        <v>468</v>
      </c>
      <c r="C99" s="379"/>
      <c r="D99" s="379">
        <v>4</v>
      </c>
      <c r="E99" s="314"/>
      <c r="F99" s="314"/>
      <c r="G99" s="314"/>
    </row>
    <row r="100" spans="1:8" x14ac:dyDescent="0.25">
      <c r="A100" s="377">
        <v>39527</v>
      </c>
      <c r="B100" s="378" t="s">
        <v>469</v>
      </c>
      <c r="C100" s="379"/>
      <c r="D100" s="379">
        <v>5</v>
      </c>
      <c r="E100" s="314"/>
      <c r="F100" s="314"/>
      <c r="G100" s="314"/>
    </row>
    <row r="101" spans="1:8" x14ac:dyDescent="0.25">
      <c r="A101" s="377">
        <v>39527</v>
      </c>
      <c r="B101" s="378" t="s">
        <v>470</v>
      </c>
      <c r="C101" s="379"/>
      <c r="D101" s="379">
        <v>3.75</v>
      </c>
      <c r="E101" s="314"/>
      <c r="F101" s="314"/>
      <c r="G101" s="314"/>
    </row>
    <row r="102" spans="1:8" x14ac:dyDescent="0.25">
      <c r="A102" s="377">
        <v>39527</v>
      </c>
      <c r="B102" s="378" t="s">
        <v>310</v>
      </c>
      <c r="C102" s="379"/>
      <c r="D102" s="379">
        <v>18</v>
      </c>
      <c r="E102" s="314"/>
      <c r="F102" s="314"/>
      <c r="G102" s="314"/>
    </row>
    <row r="103" spans="1:8" x14ac:dyDescent="0.25">
      <c r="A103" s="377">
        <v>39527</v>
      </c>
      <c r="B103" s="378" t="s">
        <v>446</v>
      </c>
      <c r="C103" s="379"/>
      <c r="D103" s="379">
        <v>12</v>
      </c>
      <c r="E103" s="314"/>
      <c r="F103" s="314"/>
      <c r="G103" s="314"/>
    </row>
    <row r="104" spans="1:8" x14ac:dyDescent="0.25">
      <c r="A104" s="377">
        <v>39527</v>
      </c>
      <c r="B104" s="378" t="s">
        <v>453</v>
      </c>
      <c r="C104" s="379"/>
      <c r="D104" s="379">
        <v>2.4</v>
      </c>
      <c r="E104" s="314"/>
      <c r="F104" s="314"/>
      <c r="G104" s="314"/>
    </row>
    <row r="105" spans="1:8" x14ac:dyDescent="0.25">
      <c r="A105" s="377">
        <v>39529</v>
      </c>
      <c r="B105" s="378" t="s">
        <v>468</v>
      </c>
      <c r="C105" s="379"/>
      <c r="D105" s="379">
        <v>8</v>
      </c>
      <c r="E105" s="314"/>
      <c r="F105" s="314"/>
      <c r="G105" s="314"/>
    </row>
    <row r="106" spans="1:8" x14ac:dyDescent="0.25">
      <c r="A106" s="377">
        <v>39539</v>
      </c>
      <c r="B106" s="378" t="s">
        <v>378</v>
      </c>
      <c r="C106" s="379"/>
      <c r="D106" s="379">
        <v>15</v>
      </c>
      <c r="E106" s="314"/>
      <c r="F106" s="314"/>
      <c r="G106" s="314"/>
    </row>
    <row r="107" spans="1:8" x14ac:dyDescent="0.25">
      <c r="A107" s="377">
        <v>39542</v>
      </c>
      <c r="B107" s="378" t="s">
        <v>303</v>
      </c>
      <c r="C107" s="379"/>
      <c r="D107" s="379">
        <v>14</v>
      </c>
      <c r="E107" s="314"/>
      <c r="F107" s="314"/>
      <c r="G107" s="314"/>
    </row>
    <row r="108" spans="1:8" x14ac:dyDescent="0.25">
      <c r="A108" s="377">
        <v>39537</v>
      </c>
      <c r="B108" s="378" t="s">
        <v>471</v>
      </c>
      <c r="C108" s="379"/>
      <c r="D108" s="379">
        <v>13.1</v>
      </c>
      <c r="E108" s="314"/>
      <c r="F108" s="314"/>
      <c r="G108" s="314"/>
    </row>
    <row r="109" spans="1:8" x14ac:dyDescent="0.25">
      <c r="A109" s="377">
        <v>39538</v>
      </c>
      <c r="B109" s="378" t="s">
        <v>472</v>
      </c>
      <c r="C109" s="379"/>
      <c r="D109" s="379">
        <v>10</v>
      </c>
      <c r="E109" s="382" t="s">
        <v>17</v>
      </c>
      <c r="F109" s="314"/>
      <c r="G109" s="314"/>
    </row>
    <row r="110" spans="1:8" x14ac:dyDescent="0.25">
      <c r="A110" s="377">
        <v>39538</v>
      </c>
      <c r="B110" s="378" t="s">
        <v>454</v>
      </c>
      <c r="C110" s="379"/>
      <c r="D110" s="379">
        <v>10</v>
      </c>
      <c r="E110" s="383" t="s">
        <v>312</v>
      </c>
      <c r="F110" s="384">
        <f>COUNTA(A74:A111)</f>
        <v>38</v>
      </c>
      <c r="G110" s="314"/>
    </row>
    <row r="111" spans="1:8" x14ac:dyDescent="0.25">
      <c r="A111" s="374">
        <v>39538</v>
      </c>
      <c r="B111" s="375" t="s">
        <v>473</v>
      </c>
      <c r="C111" s="376"/>
      <c r="D111" s="376">
        <f>53.05+2-1.2</f>
        <v>53.849999999999994</v>
      </c>
      <c r="E111" s="385">
        <f>SUM(C74:C111)</f>
        <v>1700</v>
      </c>
      <c r="F111" s="385">
        <f>SUM(D74:D111)</f>
        <v>1599.35</v>
      </c>
      <c r="G111" s="385">
        <f>E111-F111</f>
        <v>100.65000000000009</v>
      </c>
      <c r="H111">
        <f>_MAR08-H3+H73</f>
        <v>534.84999999999991</v>
      </c>
    </row>
    <row r="112" spans="1:8" x14ac:dyDescent="0.25">
      <c r="A112" s="377">
        <v>39544</v>
      </c>
      <c r="B112" s="378" t="s">
        <v>474</v>
      </c>
      <c r="C112" s="379">
        <v>100</v>
      </c>
      <c r="D112" s="379"/>
      <c r="E112" s="387"/>
      <c r="F112" s="387"/>
      <c r="G112" s="387"/>
    </row>
    <row r="113" spans="1:8" x14ac:dyDescent="0.25">
      <c r="A113" s="377">
        <v>39546</v>
      </c>
      <c r="B113" s="378" t="s">
        <v>475</v>
      </c>
      <c r="C113" s="379"/>
      <c r="D113" s="379">
        <v>150</v>
      </c>
      <c r="E113" s="387"/>
      <c r="F113" s="387"/>
      <c r="G113" s="387"/>
    </row>
    <row r="114" spans="1:8" x14ac:dyDescent="0.25">
      <c r="A114" s="377">
        <v>39547</v>
      </c>
      <c r="B114" s="378" t="s">
        <v>446</v>
      </c>
      <c r="C114" s="379"/>
      <c r="D114" s="379">
        <v>12</v>
      </c>
      <c r="E114" s="387"/>
      <c r="F114" s="387"/>
      <c r="G114" s="387"/>
    </row>
    <row r="115" spans="1:8" x14ac:dyDescent="0.25">
      <c r="A115" s="377">
        <v>39548</v>
      </c>
      <c r="B115" s="378" t="s">
        <v>466</v>
      </c>
      <c r="C115" s="379"/>
      <c r="D115" s="379">
        <v>120</v>
      </c>
      <c r="E115" s="387"/>
      <c r="F115" s="387"/>
      <c r="G115" s="387"/>
    </row>
    <row r="116" spans="1:8" x14ac:dyDescent="0.25">
      <c r="A116" s="377">
        <v>39548</v>
      </c>
      <c r="B116" s="378" t="s">
        <v>466</v>
      </c>
      <c r="C116" s="379"/>
      <c r="D116" s="379">
        <v>100</v>
      </c>
      <c r="E116" s="387"/>
      <c r="F116" s="387"/>
      <c r="G116" s="387"/>
    </row>
    <row r="117" spans="1:8" x14ac:dyDescent="0.25">
      <c r="A117" s="377">
        <v>39549</v>
      </c>
      <c r="B117" s="378" t="s">
        <v>13</v>
      </c>
      <c r="C117" s="379">
        <v>1900</v>
      </c>
      <c r="D117" s="379"/>
      <c r="E117" s="387"/>
      <c r="F117" s="387"/>
      <c r="G117" s="387"/>
    </row>
    <row r="118" spans="1:8" x14ac:dyDescent="0.25">
      <c r="A118" s="377">
        <v>39549</v>
      </c>
      <c r="B118" s="378" t="s">
        <v>399</v>
      </c>
      <c r="C118" s="379"/>
      <c r="D118" s="379">
        <v>300</v>
      </c>
      <c r="E118" s="387"/>
      <c r="F118" s="387"/>
      <c r="G118" s="387"/>
    </row>
    <row r="119" spans="1:8" x14ac:dyDescent="0.25">
      <c r="A119" s="377">
        <v>39549</v>
      </c>
      <c r="B119" s="378" t="s">
        <v>303</v>
      </c>
      <c r="C119" s="379"/>
      <c r="D119" s="379">
        <f>144.8+3.5</f>
        <v>148.30000000000001</v>
      </c>
      <c r="E119" s="387"/>
      <c r="F119" s="387"/>
      <c r="G119" s="387"/>
    </row>
    <row r="120" spans="1:8" x14ac:dyDescent="0.25">
      <c r="A120" s="377">
        <v>39549</v>
      </c>
      <c r="B120" s="378" t="s">
        <v>440</v>
      </c>
      <c r="C120" s="379"/>
      <c r="D120" s="379">
        <v>20</v>
      </c>
      <c r="E120" s="387"/>
      <c r="F120" s="387"/>
      <c r="G120" s="387"/>
    </row>
    <row r="121" spans="1:8" x14ac:dyDescent="0.25">
      <c r="A121" s="377">
        <v>39549</v>
      </c>
      <c r="B121" s="378" t="s">
        <v>350</v>
      </c>
      <c r="C121" s="379"/>
      <c r="D121" s="379">
        <v>15</v>
      </c>
      <c r="E121" s="387"/>
      <c r="F121" s="387"/>
      <c r="G121" s="387"/>
    </row>
    <row r="122" spans="1:8" x14ac:dyDescent="0.25">
      <c r="A122" s="377">
        <v>39549</v>
      </c>
      <c r="B122" s="378" t="s">
        <v>349</v>
      </c>
      <c r="C122" s="379"/>
      <c r="D122" s="379">
        <v>15</v>
      </c>
      <c r="E122" s="387"/>
      <c r="F122" s="387"/>
      <c r="G122" s="387"/>
    </row>
    <row r="123" spans="1:8" x14ac:dyDescent="0.25">
      <c r="A123" s="377">
        <v>39549</v>
      </c>
      <c r="B123" s="378" t="s">
        <v>476</v>
      </c>
      <c r="C123" s="379"/>
      <c r="D123" s="379">
        <v>300</v>
      </c>
      <c r="E123" s="387"/>
      <c r="F123" s="387"/>
      <c r="G123" s="387"/>
    </row>
    <row r="124" spans="1:8" x14ac:dyDescent="0.25">
      <c r="A124" s="377">
        <v>39550</v>
      </c>
      <c r="B124" s="378" t="s">
        <v>477</v>
      </c>
      <c r="C124" s="379"/>
      <c r="D124" s="379">
        <v>24.3</v>
      </c>
      <c r="E124" s="387"/>
      <c r="F124" s="387"/>
      <c r="G124" s="387"/>
    </row>
    <row r="125" spans="1:8" x14ac:dyDescent="0.25">
      <c r="A125" s="377">
        <v>39553</v>
      </c>
      <c r="B125" s="378" t="s">
        <v>303</v>
      </c>
      <c r="C125" s="379"/>
      <c r="D125" s="379">
        <v>6.45</v>
      </c>
      <c r="E125" s="387"/>
      <c r="F125" s="387"/>
      <c r="G125" s="387"/>
      <c r="H125" s="182"/>
    </row>
    <row r="126" spans="1:8" x14ac:dyDescent="0.25">
      <c r="A126" s="377">
        <v>39553</v>
      </c>
      <c r="B126" s="378" t="s">
        <v>268</v>
      </c>
      <c r="C126" s="379">
        <v>50</v>
      </c>
      <c r="D126" s="379"/>
      <c r="E126" s="387"/>
      <c r="F126" s="387"/>
      <c r="G126" s="387"/>
    </row>
    <row r="127" spans="1:8" x14ac:dyDescent="0.25">
      <c r="A127" s="377">
        <v>39554</v>
      </c>
      <c r="B127" s="378" t="s">
        <v>478</v>
      </c>
      <c r="C127" s="379"/>
      <c r="D127" s="379">
        <v>50</v>
      </c>
      <c r="E127" s="387"/>
      <c r="F127" s="387"/>
      <c r="G127" s="387"/>
    </row>
    <row r="128" spans="1:8" x14ac:dyDescent="0.25">
      <c r="A128" s="377">
        <v>39555</v>
      </c>
      <c r="B128" s="378" t="s">
        <v>401</v>
      </c>
      <c r="C128" s="379"/>
      <c r="D128" s="379">
        <v>2</v>
      </c>
      <c r="E128" s="387"/>
      <c r="F128" s="387"/>
      <c r="G128" s="387"/>
      <c r="H128" s="182"/>
    </row>
    <row r="129" spans="1:8" x14ac:dyDescent="0.25">
      <c r="A129" s="377">
        <v>39559</v>
      </c>
      <c r="B129" s="378" t="s">
        <v>303</v>
      </c>
      <c r="C129" s="379"/>
      <c r="D129" s="379">
        <v>5</v>
      </c>
      <c r="E129" s="387"/>
      <c r="F129" s="387"/>
      <c r="G129" s="387"/>
    </row>
    <row r="130" spans="1:8" x14ac:dyDescent="0.25">
      <c r="A130" s="377">
        <v>39561</v>
      </c>
      <c r="B130" s="378" t="s">
        <v>479</v>
      </c>
      <c r="C130" s="379"/>
      <c r="D130" s="379">
        <v>100</v>
      </c>
      <c r="E130" s="387"/>
      <c r="F130" s="387"/>
      <c r="G130" s="387"/>
    </row>
    <row r="131" spans="1:8" x14ac:dyDescent="0.25">
      <c r="A131" s="377">
        <v>39562</v>
      </c>
      <c r="B131" s="378" t="s">
        <v>352</v>
      </c>
      <c r="C131" s="379"/>
      <c r="D131" s="379">
        <v>5</v>
      </c>
      <c r="E131" s="387"/>
      <c r="F131" s="387"/>
      <c r="G131" s="387"/>
    </row>
    <row r="132" spans="1:8" x14ac:dyDescent="0.25">
      <c r="A132" s="377">
        <v>39562</v>
      </c>
      <c r="B132" s="378" t="s">
        <v>480</v>
      </c>
      <c r="C132" s="379"/>
      <c r="D132" s="379">
        <v>36</v>
      </c>
      <c r="E132" s="387"/>
      <c r="F132" s="387"/>
      <c r="G132" s="387"/>
    </row>
    <row r="133" spans="1:8" x14ac:dyDescent="0.25">
      <c r="A133" s="377">
        <v>39568</v>
      </c>
      <c r="B133" s="378" t="s">
        <v>369</v>
      </c>
      <c r="C133" s="379"/>
      <c r="D133" s="379">
        <v>500</v>
      </c>
      <c r="E133" s="314"/>
      <c r="F133" s="314"/>
      <c r="G133" s="314"/>
    </row>
    <row r="134" spans="1:8" x14ac:dyDescent="0.25">
      <c r="A134" s="377">
        <v>39568</v>
      </c>
      <c r="B134" s="378" t="s">
        <v>472</v>
      </c>
      <c r="C134" s="379"/>
      <c r="D134" s="379">
        <v>8</v>
      </c>
      <c r="E134" s="382" t="s">
        <v>18</v>
      </c>
      <c r="F134" s="314"/>
      <c r="G134" s="314"/>
    </row>
    <row r="135" spans="1:8" x14ac:dyDescent="0.25">
      <c r="A135" s="377">
        <v>39568</v>
      </c>
      <c r="B135" s="378" t="s">
        <v>454</v>
      </c>
      <c r="C135" s="379"/>
      <c r="D135" s="379">
        <v>17</v>
      </c>
      <c r="E135" s="382" t="s">
        <v>312</v>
      </c>
      <c r="F135" s="384">
        <f>COUNTA(A112:A136)</f>
        <v>25</v>
      </c>
      <c r="G135" s="314"/>
    </row>
    <row r="136" spans="1:8" x14ac:dyDescent="0.25">
      <c r="A136" s="374">
        <v>39568</v>
      </c>
      <c r="B136" s="375" t="s">
        <v>473</v>
      </c>
      <c r="C136" s="376"/>
      <c r="D136" s="376">
        <v>84</v>
      </c>
      <c r="E136" s="385">
        <f>SUM(C112:C136)</f>
        <v>2050</v>
      </c>
      <c r="F136" s="385">
        <f>SUM(D112:D136)</f>
        <v>2018.05</v>
      </c>
      <c r="G136" s="385">
        <f>E136-F136</f>
        <v>31.950000000000045</v>
      </c>
      <c r="H136">
        <f>_ABR08-H3+H111</f>
        <v>113.79999999999995</v>
      </c>
    </row>
    <row r="137" spans="1:8" x14ac:dyDescent="0.25">
      <c r="A137" s="377">
        <v>39577</v>
      </c>
      <c r="B137" s="378" t="s">
        <v>13</v>
      </c>
      <c r="C137" s="379">
        <f>500+1400</f>
        <v>1900</v>
      </c>
      <c r="D137" s="379"/>
      <c r="E137" s="314"/>
      <c r="F137" s="314"/>
      <c r="G137" s="314"/>
    </row>
    <row r="138" spans="1:8" x14ac:dyDescent="0.25">
      <c r="A138" s="377">
        <v>39557</v>
      </c>
      <c r="B138" s="378" t="s">
        <v>303</v>
      </c>
      <c r="C138" s="379"/>
      <c r="D138" s="379">
        <f>30+2.6-9</f>
        <v>23.6</v>
      </c>
      <c r="E138" s="387"/>
      <c r="F138" s="387"/>
      <c r="G138" s="387"/>
    </row>
    <row r="139" spans="1:8" x14ac:dyDescent="0.25">
      <c r="A139" s="377">
        <v>39561</v>
      </c>
      <c r="B139" s="378" t="s">
        <v>310</v>
      </c>
      <c r="C139" s="379"/>
      <c r="D139" s="379">
        <v>10</v>
      </c>
      <c r="E139" s="314"/>
      <c r="F139" s="314"/>
      <c r="G139" s="314"/>
    </row>
    <row r="140" spans="1:8" x14ac:dyDescent="0.25">
      <c r="A140" s="377">
        <v>39561</v>
      </c>
      <c r="B140" s="378" t="s">
        <v>446</v>
      </c>
      <c r="C140" s="379"/>
      <c r="D140" s="379">
        <v>15</v>
      </c>
      <c r="E140" s="314"/>
      <c r="F140" s="314"/>
      <c r="G140" s="314"/>
    </row>
    <row r="141" spans="1:8" x14ac:dyDescent="0.25">
      <c r="A141" s="377">
        <v>39561</v>
      </c>
      <c r="B141" s="378" t="s">
        <v>352</v>
      </c>
      <c r="C141" s="379"/>
      <c r="D141" s="379">
        <v>3.5</v>
      </c>
      <c r="E141" s="314"/>
      <c r="F141" s="314"/>
      <c r="G141" s="314"/>
    </row>
    <row r="142" spans="1:8" x14ac:dyDescent="0.25">
      <c r="A142" s="377">
        <v>39562</v>
      </c>
      <c r="B142" s="378" t="s">
        <v>303</v>
      </c>
      <c r="C142" s="379"/>
      <c r="D142" s="379">
        <v>3</v>
      </c>
      <c r="E142" s="314"/>
      <c r="F142" s="314"/>
      <c r="G142" s="314"/>
    </row>
    <row r="143" spans="1:8" x14ac:dyDescent="0.25">
      <c r="A143" s="377">
        <v>39562</v>
      </c>
      <c r="B143" s="378" t="s">
        <v>427</v>
      </c>
      <c r="C143" s="379"/>
      <c r="D143" s="379">
        <v>11</v>
      </c>
      <c r="E143" s="314"/>
      <c r="F143" s="314"/>
      <c r="G143" s="314"/>
    </row>
    <row r="144" spans="1:8" x14ac:dyDescent="0.25">
      <c r="A144" s="377">
        <v>39577</v>
      </c>
      <c r="B144" s="378" t="s">
        <v>399</v>
      </c>
      <c r="C144" s="379"/>
      <c r="D144" s="379">
        <v>300</v>
      </c>
      <c r="E144" s="314"/>
      <c r="F144" s="314"/>
      <c r="G144" s="314"/>
    </row>
    <row r="145" spans="1:7" x14ac:dyDescent="0.25">
      <c r="A145" s="377">
        <v>39577</v>
      </c>
      <c r="B145" s="378" t="s">
        <v>303</v>
      </c>
      <c r="C145" s="379"/>
      <c r="D145" s="379">
        <v>150</v>
      </c>
      <c r="E145" s="314"/>
      <c r="F145" s="314"/>
      <c r="G145" s="314"/>
    </row>
    <row r="146" spans="1:7" x14ac:dyDescent="0.25">
      <c r="A146" s="377">
        <v>39577</v>
      </c>
      <c r="B146" s="378" t="s">
        <v>481</v>
      </c>
      <c r="C146" s="379"/>
      <c r="D146" s="379">
        <v>10</v>
      </c>
      <c r="E146" s="314"/>
      <c r="F146" s="314"/>
      <c r="G146" s="314"/>
    </row>
    <row r="147" spans="1:7" x14ac:dyDescent="0.25">
      <c r="A147" s="377">
        <v>39577</v>
      </c>
      <c r="B147" s="378" t="s">
        <v>301</v>
      </c>
      <c r="C147" s="379"/>
      <c r="D147" s="379">
        <v>235.35</v>
      </c>
      <c r="E147" s="314"/>
      <c r="F147" s="314"/>
      <c r="G147" s="314"/>
    </row>
    <row r="148" spans="1:7" x14ac:dyDescent="0.25">
      <c r="A148" s="377">
        <v>39579</v>
      </c>
      <c r="B148" s="378" t="s">
        <v>482</v>
      </c>
      <c r="C148" s="379"/>
      <c r="D148" s="379">
        <v>12.5</v>
      </c>
      <c r="E148" s="314"/>
      <c r="F148" s="314"/>
      <c r="G148" s="314"/>
    </row>
    <row r="149" spans="1:7" x14ac:dyDescent="0.25">
      <c r="A149" s="377">
        <v>39580</v>
      </c>
      <c r="B149" s="378" t="s">
        <v>369</v>
      </c>
      <c r="C149" s="379"/>
      <c r="D149" s="379">
        <v>500</v>
      </c>
      <c r="E149" s="314"/>
      <c r="F149" s="314"/>
      <c r="G149" s="314"/>
    </row>
    <row r="150" spans="1:7" x14ac:dyDescent="0.25">
      <c r="A150" s="377">
        <v>39580</v>
      </c>
      <c r="B150" s="378" t="s">
        <v>303</v>
      </c>
      <c r="C150" s="379"/>
      <c r="D150" s="379">
        <v>12</v>
      </c>
      <c r="E150" s="314"/>
      <c r="F150" s="314"/>
      <c r="G150" s="314"/>
    </row>
    <row r="151" spans="1:7" x14ac:dyDescent="0.25">
      <c r="A151" s="377">
        <v>39580</v>
      </c>
      <c r="B151" s="378" t="s">
        <v>483</v>
      </c>
      <c r="C151" s="379"/>
      <c r="D151" s="379">
        <v>30</v>
      </c>
      <c r="E151" s="314"/>
      <c r="F151" s="314"/>
      <c r="G151" s="314"/>
    </row>
    <row r="152" spans="1:7" x14ac:dyDescent="0.25">
      <c r="A152" s="377">
        <v>39582</v>
      </c>
      <c r="B152" s="378" t="s">
        <v>484</v>
      </c>
      <c r="C152" s="379"/>
      <c r="D152" s="379">
        <v>1.25</v>
      </c>
      <c r="E152" s="314"/>
      <c r="F152" s="314"/>
      <c r="G152" s="314"/>
    </row>
    <row r="153" spans="1:7" x14ac:dyDescent="0.25">
      <c r="A153" s="377">
        <v>39584</v>
      </c>
      <c r="B153" s="378" t="s">
        <v>485</v>
      </c>
      <c r="C153" s="379"/>
      <c r="D153" s="379">
        <v>65</v>
      </c>
      <c r="E153" s="314"/>
      <c r="F153" s="314"/>
      <c r="G153" s="314"/>
    </row>
    <row r="154" spans="1:7" x14ac:dyDescent="0.25">
      <c r="A154" s="377">
        <v>39584</v>
      </c>
      <c r="B154" s="378" t="s">
        <v>303</v>
      </c>
      <c r="C154" s="379"/>
      <c r="D154" s="379">
        <v>5</v>
      </c>
      <c r="E154" s="314"/>
      <c r="F154" s="314"/>
      <c r="G154" s="314"/>
    </row>
    <row r="155" spans="1:7" x14ac:dyDescent="0.25">
      <c r="A155" s="377">
        <v>39586</v>
      </c>
      <c r="B155" s="378" t="s">
        <v>486</v>
      </c>
      <c r="C155" s="379">
        <v>50</v>
      </c>
      <c r="D155" s="379"/>
      <c r="E155" s="314"/>
      <c r="F155" s="314"/>
      <c r="G155" s="314"/>
    </row>
    <row r="156" spans="1:7" x14ac:dyDescent="0.25">
      <c r="A156" s="377">
        <v>39586</v>
      </c>
      <c r="B156" s="378" t="s">
        <v>487</v>
      </c>
      <c r="C156" s="379">
        <v>158</v>
      </c>
      <c r="D156" s="379"/>
      <c r="E156" s="314"/>
      <c r="F156" s="314"/>
      <c r="G156" s="314"/>
    </row>
    <row r="157" spans="1:7" x14ac:dyDescent="0.25">
      <c r="A157" s="377">
        <v>39586</v>
      </c>
      <c r="B157" s="378" t="s">
        <v>440</v>
      </c>
      <c r="C157" s="379"/>
      <c r="D157" s="379">
        <v>100</v>
      </c>
      <c r="E157" s="314"/>
      <c r="F157" s="314"/>
      <c r="G157" s="314"/>
    </row>
    <row r="158" spans="1:7" x14ac:dyDescent="0.25">
      <c r="A158" s="377">
        <v>39587</v>
      </c>
      <c r="B158" s="378" t="s">
        <v>327</v>
      </c>
      <c r="C158" s="379"/>
      <c r="D158" s="379">
        <v>7.6</v>
      </c>
      <c r="E158" s="314"/>
      <c r="F158" s="314"/>
      <c r="G158" s="314"/>
    </row>
    <row r="159" spans="1:7" x14ac:dyDescent="0.25">
      <c r="A159" s="377">
        <v>39589</v>
      </c>
      <c r="B159" s="378" t="s">
        <v>488</v>
      </c>
      <c r="C159" s="379"/>
      <c r="D159" s="379">
        <v>54</v>
      </c>
      <c r="E159" s="314"/>
      <c r="F159" s="314"/>
      <c r="G159" s="314"/>
    </row>
    <row r="160" spans="1:7" x14ac:dyDescent="0.25">
      <c r="A160" s="377">
        <v>39590</v>
      </c>
      <c r="B160" s="378" t="s">
        <v>350</v>
      </c>
      <c r="C160" s="379"/>
      <c r="D160" s="379">
        <v>2</v>
      </c>
      <c r="E160" s="314"/>
      <c r="F160" s="314"/>
      <c r="G160" s="314"/>
    </row>
    <row r="161" spans="1:8" x14ac:dyDescent="0.25">
      <c r="A161" s="377">
        <v>39592</v>
      </c>
      <c r="B161" s="378" t="s">
        <v>310</v>
      </c>
      <c r="C161" s="379"/>
      <c r="D161" s="379">
        <f>18*2</f>
        <v>36</v>
      </c>
      <c r="E161" s="314"/>
      <c r="F161" s="314"/>
      <c r="G161" s="314"/>
    </row>
    <row r="162" spans="1:8" x14ac:dyDescent="0.25">
      <c r="A162" s="377">
        <v>39593</v>
      </c>
      <c r="B162" s="378" t="s">
        <v>301</v>
      </c>
      <c r="C162" s="379"/>
      <c r="D162" s="379">
        <v>15</v>
      </c>
      <c r="E162" s="314"/>
      <c r="F162" s="314"/>
      <c r="G162" s="314"/>
    </row>
    <row r="163" spans="1:8" x14ac:dyDescent="0.25">
      <c r="A163" s="377">
        <v>39593</v>
      </c>
      <c r="B163" s="378" t="s">
        <v>327</v>
      </c>
      <c r="C163" s="379"/>
      <c r="D163" s="379">
        <v>4</v>
      </c>
      <c r="E163" s="314"/>
      <c r="F163" s="314"/>
      <c r="G163" s="314"/>
    </row>
    <row r="164" spans="1:8" x14ac:dyDescent="0.25">
      <c r="A164" s="377">
        <v>39595</v>
      </c>
      <c r="B164" s="378" t="s">
        <v>489</v>
      </c>
      <c r="C164" s="379"/>
      <c r="D164" s="379">
        <v>14</v>
      </c>
      <c r="E164" s="314"/>
      <c r="F164" s="314"/>
      <c r="G164" s="314"/>
    </row>
    <row r="165" spans="1:8" x14ac:dyDescent="0.25">
      <c r="A165" s="377">
        <v>39598</v>
      </c>
      <c r="B165" s="378" t="s">
        <v>419</v>
      </c>
      <c r="C165" s="379"/>
      <c r="D165" s="379">
        <v>80</v>
      </c>
      <c r="E165" s="314"/>
      <c r="F165" s="314"/>
      <c r="G165" s="314"/>
    </row>
    <row r="166" spans="1:8" x14ac:dyDescent="0.25">
      <c r="A166" s="377">
        <v>39599</v>
      </c>
      <c r="B166" s="378" t="s">
        <v>490</v>
      </c>
      <c r="C166" s="379"/>
      <c r="D166" s="379">
        <v>10</v>
      </c>
      <c r="E166" s="382" t="s">
        <v>20</v>
      </c>
      <c r="F166" s="314"/>
      <c r="G166" s="314"/>
    </row>
    <row r="167" spans="1:8" x14ac:dyDescent="0.25">
      <c r="A167" s="377">
        <v>39599</v>
      </c>
      <c r="B167" s="378" t="s">
        <v>454</v>
      </c>
      <c r="C167" s="379"/>
      <c r="D167" s="379">
        <v>15</v>
      </c>
      <c r="E167" s="382" t="s">
        <v>312</v>
      </c>
      <c r="F167" s="384">
        <f>COUNTA(A137:A168)</f>
        <v>32</v>
      </c>
      <c r="G167" s="314"/>
    </row>
    <row r="168" spans="1:8" x14ac:dyDescent="0.25">
      <c r="A168" s="374">
        <v>39599</v>
      </c>
      <c r="B168" s="375" t="s">
        <v>473</v>
      </c>
      <c r="C168" s="376"/>
      <c r="D168" s="376">
        <f>24.25+50+0.65+0.5+0.75+1.6+0.3+0.5+25</f>
        <v>103.55</v>
      </c>
      <c r="E168" s="385">
        <f>SUM(C137:C168)</f>
        <v>2108</v>
      </c>
      <c r="F168" s="385">
        <f>SUM(D137:D168)</f>
        <v>1828.35</v>
      </c>
      <c r="G168" s="385">
        <f>E168-F168</f>
        <v>279.65000000000009</v>
      </c>
      <c r="H168">
        <f>_MAY08-H3+H136</f>
        <v>-59.549999999999955</v>
      </c>
    </row>
    <row r="169" spans="1:8" x14ac:dyDescent="0.25">
      <c r="A169" s="377">
        <v>39604</v>
      </c>
      <c r="B169" s="378" t="s">
        <v>491</v>
      </c>
      <c r="C169" s="379"/>
      <c r="D169" s="379">
        <v>5</v>
      </c>
      <c r="E169" s="314"/>
      <c r="F169" s="314"/>
      <c r="G169" s="314"/>
    </row>
    <row r="170" spans="1:8" x14ac:dyDescent="0.25">
      <c r="A170" s="377">
        <v>39604</v>
      </c>
      <c r="B170" s="378" t="s">
        <v>13</v>
      </c>
      <c r="C170" s="379">
        <v>1900</v>
      </c>
      <c r="D170" s="379"/>
      <c r="E170" s="314"/>
      <c r="F170" s="314"/>
      <c r="G170" s="314"/>
    </row>
    <row r="171" spans="1:8" x14ac:dyDescent="0.25">
      <c r="A171" s="377">
        <v>39604</v>
      </c>
      <c r="B171" s="378" t="s">
        <v>492</v>
      </c>
      <c r="C171" s="379"/>
      <c r="D171" s="379">
        <v>205.4</v>
      </c>
      <c r="E171" s="314"/>
      <c r="F171" s="314"/>
      <c r="G171" s="314"/>
    </row>
    <row r="172" spans="1:8" x14ac:dyDescent="0.25">
      <c r="A172" s="377">
        <v>39604</v>
      </c>
      <c r="B172" s="378" t="s">
        <v>378</v>
      </c>
      <c r="C172" s="379"/>
      <c r="D172" s="379">
        <v>15</v>
      </c>
      <c r="E172" s="314"/>
      <c r="F172" s="314"/>
      <c r="G172" s="314"/>
    </row>
    <row r="173" spans="1:8" x14ac:dyDescent="0.25">
      <c r="A173" s="377">
        <v>39604</v>
      </c>
      <c r="B173" s="378" t="s">
        <v>493</v>
      </c>
      <c r="C173" s="379"/>
      <c r="D173" s="379">
        <v>19.95</v>
      </c>
      <c r="E173" s="314"/>
      <c r="F173" s="314"/>
      <c r="G173" s="314"/>
    </row>
    <row r="174" spans="1:8" x14ac:dyDescent="0.25">
      <c r="A174" s="377">
        <v>39607</v>
      </c>
      <c r="B174" s="378" t="s">
        <v>303</v>
      </c>
      <c r="C174" s="379"/>
      <c r="D174" s="379">
        <f>-13.85+127.8+6+11.8</f>
        <v>131.75</v>
      </c>
      <c r="E174" s="314"/>
      <c r="F174" s="314"/>
      <c r="G174" s="314"/>
    </row>
    <row r="175" spans="1:8" x14ac:dyDescent="0.25">
      <c r="A175" s="377">
        <v>39607</v>
      </c>
      <c r="B175" s="378" t="s">
        <v>310</v>
      </c>
      <c r="C175" s="379"/>
      <c r="D175" s="379">
        <v>40</v>
      </c>
      <c r="E175" s="314"/>
      <c r="F175" s="314"/>
      <c r="G175" s="314"/>
    </row>
    <row r="176" spans="1:8" x14ac:dyDescent="0.25">
      <c r="A176" s="377">
        <v>39608</v>
      </c>
      <c r="B176" s="378" t="s">
        <v>327</v>
      </c>
      <c r="C176" s="379"/>
      <c r="D176" s="379">
        <v>5.5</v>
      </c>
      <c r="E176" s="314"/>
      <c r="F176" s="314"/>
      <c r="G176" s="314"/>
    </row>
    <row r="177" spans="1:8" x14ac:dyDescent="0.25">
      <c r="A177" s="377">
        <v>39609</v>
      </c>
      <c r="B177" s="378" t="s">
        <v>400</v>
      </c>
      <c r="C177" s="379"/>
      <c r="D177" s="379">
        <v>3.8</v>
      </c>
      <c r="E177" s="314"/>
      <c r="F177" s="314"/>
      <c r="G177" s="314"/>
    </row>
    <row r="178" spans="1:8" x14ac:dyDescent="0.25">
      <c r="A178" s="377">
        <v>39610</v>
      </c>
      <c r="B178" s="378" t="s">
        <v>494</v>
      </c>
      <c r="C178" s="379"/>
      <c r="D178" s="379">
        <v>4</v>
      </c>
      <c r="E178" s="314"/>
      <c r="F178" s="314"/>
      <c r="G178" s="314"/>
    </row>
    <row r="179" spans="1:8" x14ac:dyDescent="0.25">
      <c r="A179" s="377">
        <v>39611</v>
      </c>
      <c r="B179" s="378" t="s">
        <v>495</v>
      </c>
      <c r="C179" s="379"/>
      <c r="D179" s="379">
        <v>9.5</v>
      </c>
      <c r="E179" s="314"/>
      <c r="F179" s="314"/>
      <c r="G179" s="314"/>
    </row>
    <row r="180" spans="1:8" x14ac:dyDescent="0.25">
      <c r="A180" s="377">
        <v>39613</v>
      </c>
      <c r="B180" s="378" t="s">
        <v>352</v>
      </c>
      <c r="C180" s="379"/>
      <c r="D180" s="379">
        <f>4.8+2.7</f>
        <v>7.5</v>
      </c>
      <c r="E180" s="314"/>
      <c r="F180" s="314"/>
      <c r="G180" s="314"/>
    </row>
    <row r="181" spans="1:8" x14ac:dyDescent="0.25">
      <c r="A181" s="377">
        <v>39615</v>
      </c>
      <c r="B181" s="378" t="s">
        <v>424</v>
      </c>
      <c r="C181" s="379"/>
      <c r="D181" s="379">
        <v>2</v>
      </c>
      <c r="E181" s="314"/>
      <c r="F181" s="314"/>
      <c r="G181" s="314"/>
    </row>
    <row r="182" spans="1:8" x14ac:dyDescent="0.25">
      <c r="A182" s="377">
        <v>39616</v>
      </c>
      <c r="B182" s="378" t="s">
        <v>496</v>
      </c>
      <c r="C182" s="379"/>
      <c r="D182" s="379">
        <v>17</v>
      </c>
      <c r="E182" s="314"/>
      <c r="F182" s="314"/>
      <c r="G182" s="314"/>
    </row>
    <row r="183" spans="1:8" x14ac:dyDescent="0.25">
      <c r="A183" s="377">
        <v>39618</v>
      </c>
      <c r="B183" s="378" t="s">
        <v>310</v>
      </c>
      <c r="C183" s="379"/>
      <c r="D183" s="379">
        <v>20</v>
      </c>
      <c r="E183" s="314"/>
      <c r="F183" s="314"/>
      <c r="G183" s="314"/>
    </row>
    <row r="184" spans="1:8" x14ac:dyDescent="0.25">
      <c r="A184" s="377">
        <v>39620</v>
      </c>
      <c r="B184" s="378" t="s">
        <v>497</v>
      </c>
      <c r="C184" s="379"/>
      <c r="D184" s="379">
        <v>20</v>
      </c>
      <c r="E184" s="314"/>
      <c r="F184" s="314"/>
      <c r="G184" s="314"/>
    </row>
    <row r="185" spans="1:8" x14ac:dyDescent="0.25">
      <c r="A185" s="377">
        <v>39620</v>
      </c>
      <c r="B185" s="378" t="s">
        <v>419</v>
      </c>
      <c r="C185" s="379"/>
      <c r="D185" s="379">
        <v>125</v>
      </c>
      <c r="E185" s="314"/>
      <c r="F185" s="314"/>
      <c r="G185" s="314"/>
    </row>
    <row r="186" spans="1:8" x14ac:dyDescent="0.25">
      <c r="A186" s="377">
        <v>39622</v>
      </c>
      <c r="B186" s="378" t="s">
        <v>498</v>
      </c>
      <c r="C186" s="379"/>
      <c r="D186" s="379">
        <v>6</v>
      </c>
      <c r="E186" s="314"/>
      <c r="F186" s="314"/>
      <c r="G186" s="314"/>
    </row>
    <row r="187" spans="1:8" x14ac:dyDescent="0.25">
      <c r="A187" s="377">
        <v>39622</v>
      </c>
      <c r="B187" s="378" t="s">
        <v>303</v>
      </c>
      <c r="C187" s="379"/>
      <c r="D187" s="379">
        <v>7.5</v>
      </c>
      <c r="E187" s="314"/>
      <c r="F187" s="314"/>
      <c r="G187" s="314"/>
    </row>
    <row r="188" spans="1:8" x14ac:dyDescent="0.25">
      <c r="A188" s="377">
        <v>39623</v>
      </c>
      <c r="B188" s="378" t="s">
        <v>303</v>
      </c>
      <c r="C188" s="379"/>
      <c r="D188" s="379">
        <v>5</v>
      </c>
      <c r="E188" s="314"/>
      <c r="F188" s="314"/>
      <c r="G188" s="314"/>
    </row>
    <row r="189" spans="1:8" x14ac:dyDescent="0.25">
      <c r="A189" s="377">
        <v>39609</v>
      </c>
      <c r="B189" s="378" t="s">
        <v>499</v>
      </c>
      <c r="C189" s="379"/>
      <c r="D189" s="379">
        <v>320</v>
      </c>
      <c r="E189" s="382" t="s">
        <v>21</v>
      </c>
      <c r="F189" s="314"/>
      <c r="G189" s="314"/>
    </row>
    <row r="190" spans="1:8" x14ac:dyDescent="0.25">
      <c r="A190" s="377">
        <v>39629</v>
      </c>
      <c r="B190" s="378" t="s">
        <v>454</v>
      </c>
      <c r="C190" s="379"/>
      <c r="D190" s="379">
        <v>30</v>
      </c>
      <c r="E190" s="382" t="s">
        <v>312</v>
      </c>
      <c r="F190" s="384">
        <f>COUNTA(A169:A191)</f>
        <v>23</v>
      </c>
      <c r="G190" s="314"/>
    </row>
    <row r="191" spans="1:8" x14ac:dyDescent="0.25">
      <c r="A191" s="374">
        <v>39629</v>
      </c>
      <c r="B191" s="375" t="s">
        <v>473</v>
      </c>
      <c r="C191" s="376"/>
      <c r="D191" s="376">
        <f>100+0.05+0.6+0.05+0.7+0.2+6+0.5-5+0.2+0.3+10-10+2.5+15-1</f>
        <v>120.1</v>
      </c>
      <c r="E191" s="385">
        <f>SUM(C169:C191)</f>
        <v>1900</v>
      </c>
      <c r="F191" s="385">
        <f>SUM(D169:D191)</f>
        <v>1120</v>
      </c>
      <c r="G191" s="385">
        <f>E191-F191</f>
        <v>780</v>
      </c>
      <c r="H191">
        <f>_JUN08-H3+H168</f>
        <v>267.45000000000005</v>
      </c>
    </row>
    <row r="192" spans="1:8" x14ac:dyDescent="0.25">
      <c r="A192" s="377">
        <v>39630</v>
      </c>
      <c r="B192" s="378" t="s">
        <v>13</v>
      </c>
      <c r="C192" s="379">
        <v>1900</v>
      </c>
      <c r="D192" s="379"/>
      <c r="E192" s="314"/>
      <c r="F192" s="314"/>
      <c r="G192" s="314"/>
    </row>
    <row r="193" spans="1:7" x14ac:dyDescent="0.25">
      <c r="A193" s="377">
        <v>39630</v>
      </c>
      <c r="B193" s="378" t="s">
        <v>399</v>
      </c>
      <c r="C193" s="379"/>
      <c r="D193" s="379">
        <v>322</v>
      </c>
      <c r="E193" s="314"/>
      <c r="F193" s="314"/>
      <c r="G193" s="314"/>
    </row>
    <row r="194" spans="1:7" x14ac:dyDescent="0.25">
      <c r="A194" s="377">
        <v>39630</v>
      </c>
      <c r="B194" s="378" t="s">
        <v>303</v>
      </c>
      <c r="C194" s="379"/>
      <c r="D194" s="379">
        <v>150</v>
      </c>
      <c r="E194" s="314"/>
      <c r="F194" s="314"/>
      <c r="G194" s="314"/>
    </row>
    <row r="195" spans="1:7" x14ac:dyDescent="0.25">
      <c r="A195" s="377">
        <v>39630</v>
      </c>
      <c r="B195" s="378" t="s">
        <v>492</v>
      </c>
      <c r="C195" s="379"/>
      <c r="D195" s="379">
        <v>205</v>
      </c>
      <c r="E195" s="314"/>
      <c r="F195" s="314"/>
      <c r="G195" s="314"/>
    </row>
    <row r="196" spans="1:7" x14ac:dyDescent="0.25">
      <c r="A196" s="377">
        <v>39630</v>
      </c>
      <c r="B196" s="378" t="s">
        <v>378</v>
      </c>
      <c r="C196" s="379"/>
      <c r="D196" s="379">
        <v>5</v>
      </c>
      <c r="E196" s="314"/>
      <c r="F196" s="314"/>
      <c r="G196" s="314"/>
    </row>
    <row r="197" spans="1:7" x14ac:dyDescent="0.25">
      <c r="A197" s="377">
        <v>39630</v>
      </c>
      <c r="B197" s="378" t="s">
        <v>401</v>
      </c>
      <c r="C197" s="379"/>
      <c r="D197" s="379">
        <v>3</v>
      </c>
      <c r="E197" s="314"/>
      <c r="F197" s="314"/>
      <c r="G197" s="314"/>
    </row>
    <row r="198" spans="1:7" x14ac:dyDescent="0.25">
      <c r="A198" s="377">
        <v>39630</v>
      </c>
      <c r="B198" s="378" t="s">
        <v>500</v>
      </c>
      <c r="C198" s="379"/>
      <c r="D198" s="379">
        <v>3</v>
      </c>
      <c r="E198" s="314"/>
      <c r="F198" s="314"/>
      <c r="G198" s="314"/>
    </row>
    <row r="199" spans="1:7" x14ac:dyDescent="0.25">
      <c r="A199" s="377">
        <v>39630</v>
      </c>
      <c r="B199" s="378" t="s">
        <v>501</v>
      </c>
      <c r="C199" s="379"/>
      <c r="D199" s="379">
        <v>202</v>
      </c>
      <c r="E199" s="314"/>
      <c r="F199" s="314"/>
      <c r="G199" s="314"/>
    </row>
    <row r="200" spans="1:7" x14ac:dyDescent="0.25">
      <c r="A200" s="377">
        <v>39630</v>
      </c>
      <c r="B200" s="378" t="s">
        <v>497</v>
      </c>
      <c r="C200" s="379"/>
      <c r="D200" s="379">
        <v>20</v>
      </c>
      <c r="E200" s="314"/>
      <c r="F200" s="314"/>
      <c r="G200" s="314"/>
    </row>
    <row r="201" spans="1:7" x14ac:dyDescent="0.25">
      <c r="A201" s="377">
        <v>39630</v>
      </c>
      <c r="B201" s="378" t="s">
        <v>502</v>
      </c>
      <c r="C201" s="379"/>
      <c r="D201" s="379">
        <v>10</v>
      </c>
      <c r="E201" s="314"/>
      <c r="F201" s="314"/>
      <c r="G201" s="314"/>
    </row>
    <row r="202" spans="1:7" x14ac:dyDescent="0.25">
      <c r="A202" s="377">
        <v>39630</v>
      </c>
      <c r="B202" s="378" t="s">
        <v>327</v>
      </c>
      <c r="C202" s="379"/>
      <c r="D202" s="379">
        <v>5</v>
      </c>
      <c r="E202" s="314"/>
      <c r="F202" s="314"/>
      <c r="G202" s="314"/>
    </row>
    <row r="203" spans="1:7" x14ac:dyDescent="0.25">
      <c r="A203" s="377">
        <v>39630</v>
      </c>
      <c r="B203" s="378" t="s">
        <v>503</v>
      </c>
      <c r="C203" s="379">
        <v>100</v>
      </c>
      <c r="D203" s="379"/>
      <c r="E203" s="314"/>
      <c r="F203" s="314"/>
      <c r="G203" s="314"/>
    </row>
    <row r="204" spans="1:7" x14ac:dyDescent="0.25">
      <c r="A204" s="377">
        <v>39631</v>
      </c>
      <c r="B204" s="378" t="s">
        <v>504</v>
      </c>
      <c r="C204" s="379">
        <v>50</v>
      </c>
      <c r="D204" s="379"/>
      <c r="E204" s="314"/>
      <c r="F204" s="314"/>
      <c r="G204" s="314"/>
    </row>
    <row r="205" spans="1:7" x14ac:dyDescent="0.25">
      <c r="A205" s="377">
        <v>39631</v>
      </c>
      <c r="B205" s="378" t="s">
        <v>496</v>
      </c>
      <c r="C205" s="379"/>
      <c r="D205" s="379">
        <v>15</v>
      </c>
      <c r="E205" s="314"/>
      <c r="F205" s="314"/>
      <c r="G205" s="314"/>
    </row>
    <row r="206" spans="1:7" x14ac:dyDescent="0.25">
      <c r="A206" s="377">
        <v>39631</v>
      </c>
      <c r="B206" s="378" t="s">
        <v>310</v>
      </c>
      <c r="C206" s="379"/>
      <c r="D206" s="379">
        <v>10</v>
      </c>
      <c r="E206" s="314"/>
      <c r="F206" s="314"/>
      <c r="G206" s="314"/>
    </row>
    <row r="207" spans="1:7" x14ac:dyDescent="0.25">
      <c r="A207" s="377">
        <v>39631</v>
      </c>
      <c r="B207" s="378" t="s">
        <v>327</v>
      </c>
      <c r="C207" s="379"/>
      <c r="D207" s="379">
        <v>5</v>
      </c>
      <c r="E207" s="314"/>
      <c r="F207" s="314"/>
      <c r="G207" s="314"/>
    </row>
    <row r="208" spans="1:7" x14ac:dyDescent="0.25">
      <c r="A208" s="377">
        <v>39631</v>
      </c>
      <c r="B208" s="378" t="s">
        <v>505</v>
      </c>
      <c r="C208" s="379"/>
      <c r="D208" s="379">
        <v>40</v>
      </c>
      <c r="E208" s="314"/>
      <c r="F208" s="314"/>
      <c r="G208" s="314"/>
    </row>
    <row r="209" spans="1:8" x14ac:dyDescent="0.25">
      <c r="A209" s="377">
        <v>39633</v>
      </c>
      <c r="B209" s="378" t="s">
        <v>302</v>
      </c>
      <c r="C209" s="379"/>
      <c r="D209" s="379">
        <v>100</v>
      </c>
      <c r="E209" s="314"/>
      <c r="F209" s="314"/>
      <c r="G209" s="314"/>
    </row>
    <row r="210" spans="1:8" x14ac:dyDescent="0.25">
      <c r="A210" s="377">
        <v>39633</v>
      </c>
      <c r="B210" s="378" t="s">
        <v>19</v>
      </c>
      <c r="C210" s="379">
        <v>950</v>
      </c>
      <c r="D210" s="379"/>
      <c r="E210" s="314"/>
      <c r="F210" s="314"/>
      <c r="G210" s="314"/>
    </row>
    <row r="211" spans="1:8" x14ac:dyDescent="0.25">
      <c r="A211" s="377">
        <v>39633</v>
      </c>
      <c r="B211" s="378" t="s">
        <v>506</v>
      </c>
      <c r="C211" s="379"/>
      <c r="D211" s="379">
        <v>850</v>
      </c>
      <c r="E211" s="314"/>
      <c r="F211" s="314"/>
      <c r="G211" s="314"/>
    </row>
    <row r="212" spans="1:8" x14ac:dyDescent="0.25">
      <c r="A212" s="377">
        <v>39633</v>
      </c>
      <c r="B212" s="378" t="s">
        <v>507</v>
      </c>
      <c r="C212" s="379">
        <v>50</v>
      </c>
      <c r="D212" s="379"/>
      <c r="E212" s="314"/>
      <c r="F212" s="314"/>
      <c r="G212" s="314"/>
    </row>
    <row r="213" spans="1:8" x14ac:dyDescent="0.25">
      <c r="A213" s="377">
        <v>39635</v>
      </c>
      <c r="B213" s="378" t="s">
        <v>508</v>
      </c>
      <c r="C213" s="379"/>
      <c r="D213" s="379">
        <v>50</v>
      </c>
      <c r="E213" s="314"/>
      <c r="F213" s="314"/>
      <c r="G213" s="314"/>
    </row>
    <row r="214" spans="1:8" x14ac:dyDescent="0.25">
      <c r="A214" s="377">
        <v>39640</v>
      </c>
      <c r="B214" s="378" t="s">
        <v>302</v>
      </c>
      <c r="C214" s="379"/>
      <c r="D214" s="379">
        <v>30</v>
      </c>
      <c r="E214" s="314"/>
      <c r="F214" s="314"/>
      <c r="G214" s="314"/>
    </row>
    <row r="215" spans="1:8" x14ac:dyDescent="0.25">
      <c r="A215" s="377">
        <v>39649</v>
      </c>
      <c r="B215" s="378" t="s">
        <v>509</v>
      </c>
      <c r="C215" s="379"/>
      <c r="D215" s="379">
        <v>50</v>
      </c>
      <c r="E215" s="314"/>
      <c r="F215" s="314"/>
      <c r="G215" s="314"/>
    </row>
    <row r="216" spans="1:8" x14ac:dyDescent="0.25">
      <c r="A216" s="377">
        <v>39653</v>
      </c>
      <c r="B216" s="378" t="s">
        <v>510</v>
      </c>
      <c r="C216" s="379">
        <v>17</v>
      </c>
      <c r="D216" s="379"/>
      <c r="E216" s="314"/>
      <c r="F216" s="314"/>
      <c r="G216" s="314"/>
    </row>
    <row r="217" spans="1:8" x14ac:dyDescent="0.25">
      <c r="A217" s="377">
        <v>39653</v>
      </c>
      <c r="B217" s="378" t="s">
        <v>303</v>
      </c>
      <c r="C217" s="379"/>
      <c r="D217" s="379">
        <v>10</v>
      </c>
      <c r="E217" s="382" t="s">
        <v>22</v>
      </c>
      <c r="F217" s="314"/>
      <c r="G217" s="314"/>
    </row>
    <row r="218" spans="1:8" x14ac:dyDescent="0.25">
      <c r="A218" s="377">
        <v>39660</v>
      </c>
      <c r="B218" s="378" t="s">
        <v>454</v>
      </c>
      <c r="C218" s="379"/>
      <c r="D218" s="379">
        <v>25</v>
      </c>
      <c r="E218" s="382" t="s">
        <v>312</v>
      </c>
      <c r="F218" s="384">
        <f>COUNTA(A192:A219)</f>
        <v>28</v>
      </c>
      <c r="G218" s="314"/>
    </row>
    <row r="219" spans="1:8" x14ac:dyDescent="0.25">
      <c r="A219" s="374">
        <v>39660</v>
      </c>
      <c r="B219" s="375" t="s">
        <v>473</v>
      </c>
      <c r="C219" s="376"/>
      <c r="D219" s="376">
        <f>50+52+5</f>
        <v>107</v>
      </c>
      <c r="E219" s="385">
        <f>SUM(C192:C219)</f>
        <v>3067</v>
      </c>
      <c r="F219" s="385">
        <f>SUM(D192:D219)</f>
        <v>2217</v>
      </c>
      <c r="G219" s="385">
        <f>E219-F219</f>
        <v>850</v>
      </c>
      <c r="H219">
        <f>_JUL08-H3+H191</f>
        <v>664.45</v>
      </c>
    </row>
    <row r="220" spans="1:8" x14ac:dyDescent="0.25">
      <c r="A220" s="377">
        <v>39661</v>
      </c>
      <c r="B220" s="378" t="s">
        <v>511</v>
      </c>
      <c r="C220" s="379"/>
      <c r="D220" s="379">
        <v>100</v>
      </c>
      <c r="E220" s="314"/>
      <c r="F220" s="314"/>
      <c r="G220" s="314"/>
    </row>
    <row r="221" spans="1:8" x14ac:dyDescent="0.25">
      <c r="A221" s="377">
        <v>39668</v>
      </c>
      <c r="B221" s="378" t="s">
        <v>13</v>
      </c>
      <c r="C221" s="379">
        <v>1900</v>
      </c>
      <c r="D221" s="379"/>
      <c r="E221" s="314"/>
      <c r="F221" s="314"/>
      <c r="G221" s="314"/>
    </row>
    <row r="222" spans="1:8" x14ac:dyDescent="0.25">
      <c r="A222" s="377">
        <v>39668</v>
      </c>
      <c r="B222" s="378" t="s">
        <v>399</v>
      </c>
      <c r="C222" s="379"/>
      <c r="D222" s="379">
        <v>300</v>
      </c>
      <c r="E222" s="314"/>
      <c r="F222" s="314"/>
      <c r="G222" s="314"/>
    </row>
    <row r="223" spans="1:8" x14ac:dyDescent="0.25">
      <c r="A223" s="377">
        <v>39668</v>
      </c>
      <c r="B223" s="378" t="s">
        <v>303</v>
      </c>
      <c r="C223" s="379"/>
      <c r="D223" s="379">
        <v>200</v>
      </c>
      <c r="E223" s="314"/>
      <c r="F223" s="314"/>
      <c r="G223" s="314"/>
    </row>
    <row r="224" spans="1:8" x14ac:dyDescent="0.25">
      <c r="A224" s="377">
        <v>39668</v>
      </c>
      <c r="B224" s="378" t="s">
        <v>440</v>
      </c>
      <c r="C224" s="379"/>
      <c r="D224" s="379">
        <v>50</v>
      </c>
      <c r="E224" s="314"/>
      <c r="F224" s="314"/>
      <c r="G224" s="314"/>
    </row>
    <row r="225" spans="1:8" x14ac:dyDescent="0.25">
      <c r="A225" s="377">
        <v>39668</v>
      </c>
      <c r="B225" s="378" t="s">
        <v>512</v>
      </c>
      <c r="C225" s="379"/>
      <c r="D225" s="379">
        <v>100</v>
      </c>
      <c r="E225" s="314"/>
      <c r="F225" s="314"/>
      <c r="G225" s="314"/>
    </row>
    <row r="226" spans="1:8" x14ac:dyDescent="0.25">
      <c r="A226" s="377">
        <v>39668</v>
      </c>
      <c r="B226" s="378" t="s">
        <v>492</v>
      </c>
      <c r="C226" s="379"/>
      <c r="D226" s="379">
        <v>205</v>
      </c>
      <c r="E226" s="314"/>
      <c r="F226" s="314"/>
      <c r="G226" s="314"/>
    </row>
    <row r="227" spans="1:8" x14ac:dyDescent="0.25">
      <c r="A227" s="377">
        <v>39668</v>
      </c>
      <c r="B227" s="378" t="s">
        <v>511</v>
      </c>
      <c r="C227" s="379"/>
      <c r="D227" s="379">
        <f>200-8</f>
        <v>192</v>
      </c>
      <c r="E227" s="314"/>
      <c r="F227" s="314"/>
      <c r="G227" s="314"/>
    </row>
    <row r="228" spans="1:8" x14ac:dyDescent="0.25">
      <c r="A228" s="377">
        <v>39668</v>
      </c>
      <c r="B228" s="378" t="s">
        <v>513</v>
      </c>
      <c r="C228" s="379"/>
      <c r="D228" s="379">
        <v>160</v>
      </c>
      <c r="E228" s="314"/>
      <c r="F228" s="314"/>
      <c r="G228" s="314"/>
    </row>
    <row r="229" spans="1:8" x14ac:dyDescent="0.25">
      <c r="A229" s="377">
        <v>39669</v>
      </c>
      <c r="B229" s="378" t="s">
        <v>310</v>
      </c>
      <c r="C229" s="379"/>
      <c r="D229" s="379">
        <v>10</v>
      </c>
      <c r="E229" s="314"/>
      <c r="F229" s="314"/>
      <c r="G229" s="314"/>
    </row>
    <row r="230" spans="1:8" x14ac:dyDescent="0.25">
      <c r="A230" s="377">
        <v>39670</v>
      </c>
      <c r="B230" s="378" t="s">
        <v>494</v>
      </c>
      <c r="C230" s="379"/>
      <c r="D230" s="379">
        <v>38</v>
      </c>
      <c r="E230" s="314"/>
      <c r="F230" s="314"/>
      <c r="G230" s="314"/>
    </row>
    <row r="231" spans="1:8" x14ac:dyDescent="0.25">
      <c r="A231" s="377">
        <v>39671</v>
      </c>
      <c r="B231" s="378" t="s">
        <v>514</v>
      </c>
      <c r="C231" s="379"/>
      <c r="D231" s="379">
        <v>400</v>
      </c>
      <c r="E231" s="314"/>
      <c r="F231" s="314"/>
      <c r="G231" s="314"/>
    </row>
    <row r="232" spans="1:8" x14ac:dyDescent="0.25">
      <c r="A232" s="377">
        <v>39684</v>
      </c>
      <c r="B232" s="378" t="s">
        <v>257</v>
      </c>
      <c r="C232" s="379">
        <v>50</v>
      </c>
      <c r="D232" s="379"/>
      <c r="E232" s="314"/>
      <c r="F232" s="314"/>
      <c r="G232" s="314"/>
    </row>
    <row r="233" spans="1:8" x14ac:dyDescent="0.25">
      <c r="A233" s="377">
        <v>39688</v>
      </c>
      <c r="B233" s="378" t="s">
        <v>515</v>
      </c>
      <c r="C233" s="379"/>
      <c r="D233" s="379">
        <v>10</v>
      </c>
      <c r="E233" s="382" t="s">
        <v>23</v>
      </c>
      <c r="F233" s="314"/>
      <c r="G233" s="314"/>
    </row>
    <row r="234" spans="1:8" x14ac:dyDescent="0.25">
      <c r="A234" s="377">
        <v>39668</v>
      </c>
      <c r="B234" s="378" t="s">
        <v>454</v>
      </c>
      <c r="C234" s="379"/>
      <c r="D234" s="379">
        <f>8+7+25</f>
        <v>40</v>
      </c>
      <c r="E234" s="382" t="s">
        <v>312</v>
      </c>
      <c r="F234" s="384">
        <f>COUNTA(A220:A235)</f>
        <v>16</v>
      </c>
      <c r="G234" s="314"/>
    </row>
    <row r="235" spans="1:8" x14ac:dyDescent="0.25">
      <c r="A235" s="374">
        <v>39691</v>
      </c>
      <c r="B235" s="375" t="s">
        <v>473</v>
      </c>
      <c r="C235" s="376"/>
      <c r="D235" s="376">
        <f>55+10+10+20</f>
        <v>95</v>
      </c>
      <c r="E235" s="385">
        <f>SUM(C220:C235)</f>
        <v>1950</v>
      </c>
      <c r="F235" s="385">
        <f>SUM(D220:D235)</f>
        <v>1900</v>
      </c>
      <c r="G235" s="385">
        <f>E235-F235</f>
        <v>50</v>
      </c>
      <c r="H235">
        <f>_AGO08-H3+H219</f>
        <v>261.45000000000005</v>
      </c>
    </row>
    <row r="236" spans="1:8" x14ac:dyDescent="0.25">
      <c r="A236" s="377">
        <v>39694</v>
      </c>
      <c r="B236" s="378" t="s">
        <v>13</v>
      </c>
      <c r="C236" s="379">
        <v>1900</v>
      </c>
      <c r="D236" s="379"/>
      <c r="E236" s="314"/>
      <c r="F236" s="314"/>
      <c r="G236" s="314"/>
    </row>
    <row r="237" spans="1:8" x14ac:dyDescent="0.25">
      <c r="A237" s="377">
        <v>39694</v>
      </c>
      <c r="B237" s="378" t="s">
        <v>399</v>
      </c>
      <c r="C237" s="379"/>
      <c r="D237" s="379">
        <v>300</v>
      </c>
      <c r="E237" s="314"/>
      <c r="F237" s="314"/>
      <c r="G237" s="314"/>
    </row>
    <row r="238" spans="1:8" x14ac:dyDescent="0.25">
      <c r="A238" s="377">
        <v>39694</v>
      </c>
      <c r="B238" s="378" t="s">
        <v>513</v>
      </c>
      <c r="C238" s="379"/>
      <c r="D238" s="379">
        <v>260</v>
      </c>
      <c r="E238" s="314"/>
      <c r="F238" s="314"/>
      <c r="G238" s="314"/>
    </row>
    <row r="239" spans="1:8" x14ac:dyDescent="0.25">
      <c r="A239" s="377">
        <v>39694</v>
      </c>
      <c r="B239" s="378" t="s">
        <v>303</v>
      </c>
      <c r="C239" s="379"/>
      <c r="D239" s="379">
        <f>163+10</f>
        <v>173</v>
      </c>
      <c r="E239" s="314"/>
      <c r="F239" s="314"/>
      <c r="G239" s="314"/>
    </row>
    <row r="240" spans="1:8" x14ac:dyDescent="0.25">
      <c r="A240" s="377">
        <v>39694</v>
      </c>
      <c r="B240" s="378" t="s">
        <v>492</v>
      </c>
      <c r="C240" s="379"/>
      <c r="D240" s="379">
        <v>205</v>
      </c>
      <c r="E240" s="314"/>
      <c r="F240" s="314"/>
      <c r="G240" s="314"/>
    </row>
    <row r="241" spans="1:8" x14ac:dyDescent="0.25">
      <c r="A241" s="377">
        <v>39694</v>
      </c>
      <c r="B241" s="378" t="s">
        <v>466</v>
      </c>
      <c r="C241" s="379"/>
      <c r="D241" s="379">
        <v>300</v>
      </c>
      <c r="E241" s="314"/>
      <c r="F241" s="314"/>
      <c r="G241" s="314"/>
    </row>
    <row r="242" spans="1:8" x14ac:dyDescent="0.25">
      <c r="A242" s="377">
        <v>39694</v>
      </c>
      <c r="B242" s="378" t="s">
        <v>514</v>
      </c>
      <c r="C242" s="379"/>
      <c r="D242" s="379">
        <v>130</v>
      </c>
      <c r="E242" s="314"/>
      <c r="F242" s="314"/>
      <c r="G242" s="314"/>
    </row>
    <row r="243" spans="1:8" x14ac:dyDescent="0.25">
      <c r="A243" s="377">
        <v>39694</v>
      </c>
      <c r="B243" s="378" t="s">
        <v>511</v>
      </c>
      <c r="C243" s="379"/>
      <c r="D243" s="379">
        <v>50</v>
      </c>
      <c r="E243" s="314"/>
      <c r="F243" s="314"/>
      <c r="G243" s="314"/>
    </row>
    <row r="244" spans="1:8" x14ac:dyDescent="0.25">
      <c r="A244" s="377">
        <v>39711</v>
      </c>
      <c r="B244" s="378" t="s">
        <v>403</v>
      </c>
      <c r="C244" s="379"/>
      <c r="D244" s="379">
        <v>31</v>
      </c>
      <c r="E244" s="314"/>
      <c r="F244" s="314"/>
      <c r="G244" s="314"/>
    </row>
    <row r="245" spans="1:8" x14ac:dyDescent="0.25">
      <c r="A245" s="377">
        <v>39711</v>
      </c>
      <c r="B245" s="378" t="s">
        <v>516</v>
      </c>
      <c r="C245" s="379"/>
      <c r="D245" s="379">
        <v>70</v>
      </c>
      <c r="E245" s="314"/>
      <c r="F245" s="314"/>
      <c r="G245" s="314"/>
    </row>
    <row r="246" spans="1:8" x14ac:dyDescent="0.25">
      <c r="A246" s="377">
        <v>39711</v>
      </c>
      <c r="B246" s="378" t="s">
        <v>410</v>
      </c>
      <c r="C246" s="379"/>
      <c r="D246" s="379">
        <v>5</v>
      </c>
      <c r="E246" s="314"/>
      <c r="F246" s="314"/>
      <c r="G246" s="314"/>
    </row>
    <row r="247" spans="1:8" x14ac:dyDescent="0.25">
      <c r="A247" s="377">
        <v>39711</v>
      </c>
      <c r="B247" s="378" t="s">
        <v>517</v>
      </c>
      <c r="C247" s="379"/>
      <c r="D247" s="379">
        <v>24</v>
      </c>
      <c r="E247" s="314"/>
      <c r="F247" s="314"/>
      <c r="G247" s="314"/>
    </row>
    <row r="248" spans="1:8" x14ac:dyDescent="0.25">
      <c r="A248" s="377">
        <v>39712</v>
      </c>
      <c r="B248" s="378" t="s">
        <v>316</v>
      </c>
      <c r="C248" s="379"/>
      <c r="D248" s="379">
        <v>20</v>
      </c>
      <c r="E248" s="314"/>
      <c r="F248" s="314"/>
      <c r="G248" s="314"/>
    </row>
    <row r="249" spans="1:8" x14ac:dyDescent="0.25">
      <c r="A249" s="377">
        <v>39716</v>
      </c>
      <c r="B249" s="378" t="s">
        <v>310</v>
      </c>
      <c r="C249" s="379"/>
      <c r="D249" s="379">
        <v>10</v>
      </c>
      <c r="E249" s="314"/>
      <c r="F249" s="314"/>
      <c r="G249" s="314"/>
    </row>
    <row r="250" spans="1:8" x14ac:dyDescent="0.25">
      <c r="A250" s="377">
        <v>39717</v>
      </c>
      <c r="B250" s="378" t="s">
        <v>303</v>
      </c>
      <c r="C250" s="379"/>
      <c r="D250" s="379">
        <v>10</v>
      </c>
      <c r="E250" s="314"/>
      <c r="F250" s="314"/>
      <c r="G250" s="314"/>
    </row>
    <row r="251" spans="1:8" x14ac:dyDescent="0.25">
      <c r="A251" s="377">
        <v>39717</v>
      </c>
      <c r="B251" s="378" t="s">
        <v>518</v>
      </c>
      <c r="C251" s="379"/>
      <c r="D251" s="379">
        <v>12</v>
      </c>
      <c r="E251" s="314"/>
      <c r="F251" s="314"/>
      <c r="G251" s="314"/>
    </row>
    <row r="252" spans="1:8" x14ac:dyDescent="0.25">
      <c r="A252" s="377">
        <v>39720</v>
      </c>
      <c r="B252" s="378" t="s">
        <v>519</v>
      </c>
      <c r="C252" s="379"/>
      <c r="D252" s="379">
        <v>50</v>
      </c>
      <c r="E252" s="382" t="s">
        <v>24</v>
      </c>
      <c r="F252" s="314"/>
      <c r="G252" s="314"/>
    </row>
    <row r="253" spans="1:8" x14ac:dyDescent="0.25">
      <c r="A253" s="377">
        <v>39721</v>
      </c>
      <c r="B253" s="378" t="s">
        <v>454</v>
      </c>
      <c r="C253" s="379"/>
      <c r="D253" s="379">
        <v>25</v>
      </c>
      <c r="E253" s="382" t="s">
        <v>312</v>
      </c>
      <c r="F253" s="384">
        <f>COUNTA(A236:A254)</f>
        <v>19</v>
      </c>
      <c r="G253" s="314"/>
    </row>
    <row r="254" spans="1:8" x14ac:dyDescent="0.25">
      <c r="A254" s="374">
        <v>39721</v>
      </c>
      <c r="B254" s="375" t="s">
        <v>473</v>
      </c>
      <c r="C254" s="376"/>
      <c r="D254" s="376">
        <f>32+25+10+8</f>
        <v>75</v>
      </c>
      <c r="E254" s="385">
        <f>SUM(C236:C254)</f>
        <v>1900</v>
      </c>
      <c r="F254" s="385">
        <f>SUM(D236:D254)</f>
        <v>1750</v>
      </c>
      <c r="G254" s="385">
        <f>E254-F254</f>
        <v>150</v>
      </c>
      <c r="H254">
        <f>_SEP08-H3+H235</f>
        <v>-41.549999999999955</v>
      </c>
    </row>
    <row r="255" spans="1:8" x14ac:dyDescent="0.25">
      <c r="A255" s="377">
        <v>39722</v>
      </c>
      <c r="B255" s="378" t="s">
        <v>520</v>
      </c>
      <c r="C255" s="379">
        <v>50</v>
      </c>
      <c r="D255" s="379"/>
      <c r="E255" s="314"/>
      <c r="F255" s="314"/>
      <c r="G255" s="314"/>
    </row>
    <row r="256" spans="1:8" x14ac:dyDescent="0.25">
      <c r="A256" s="377">
        <v>39722</v>
      </c>
      <c r="B256" s="378" t="s">
        <v>516</v>
      </c>
      <c r="C256" s="379"/>
      <c r="D256" s="379">
        <v>50</v>
      </c>
      <c r="E256" s="314"/>
      <c r="F256" s="314"/>
      <c r="G256" s="314"/>
    </row>
    <row r="257" spans="1:8" x14ac:dyDescent="0.25">
      <c r="A257" s="377">
        <v>39732</v>
      </c>
      <c r="B257" s="378" t="s">
        <v>399</v>
      </c>
      <c r="C257" s="379"/>
      <c r="D257" s="379">
        <v>300</v>
      </c>
      <c r="E257" s="314"/>
      <c r="F257" s="314"/>
      <c r="G257" s="314"/>
    </row>
    <row r="258" spans="1:8" x14ac:dyDescent="0.25">
      <c r="A258" s="377">
        <v>39735</v>
      </c>
      <c r="B258" s="378" t="s">
        <v>13</v>
      </c>
      <c r="C258" s="379">
        <v>1500</v>
      </c>
      <c r="D258" s="379"/>
      <c r="E258" s="314"/>
      <c r="F258" s="314"/>
      <c r="G258" s="314"/>
    </row>
    <row r="259" spans="1:8" x14ac:dyDescent="0.25">
      <c r="A259" s="377">
        <v>39735</v>
      </c>
      <c r="B259" s="378" t="s">
        <v>513</v>
      </c>
      <c r="C259" s="379"/>
      <c r="D259" s="379">
        <v>254</v>
      </c>
      <c r="E259" s="314"/>
      <c r="F259" s="314"/>
      <c r="G259" s="314"/>
    </row>
    <row r="260" spans="1:8" x14ac:dyDescent="0.25">
      <c r="A260" s="377">
        <v>39735</v>
      </c>
      <c r="B260" s="378" t="s">
        <v>303</v>
      </c>
      <c r="C260" s="379"/>
      <c r="D260" s="379">
        <v>391</v>
      </c>
      <c r="E260" s="314"/>
      <c r="F260" s="314"/>
      <c r="G260" s="314"/>
    </row>
    <row r="261" spans="1:8" x14ac:dyDescent="0.25">
      <c r="A261" s="377">
        <v>39735</v>
      </c>
      <c r="B261" s="378" t="s">
        <v>492</v>
      </c>
      <c r="C261" s="379"/>
      <c r="D261" s="379">
        <v>210</v>
      </c>
      <c r="E261" s="314"/>
      <c r="F261" s="314"/>
      <c r="G261" s="314"/>
    </row>
    <row r="262" spans="1:8" x14ac:dyDescent="0.25">
      <c r="A262" s="377">
        <v>39735</v>
      </c>
      <c r="B262" s="378" t="s">
        <v>466</v>
      </c>
      <c r="C262" s="379"/>
      <c r="D262" s="379">
        <v>300</v>
      </c>
      <c r="E262" s="314"/>
      <c r="F262" s="314"/>
      <c r="G262" s="314"/>
    </row>
    <row r="263" spans="1:8" x14ac:dyDescent="0.25">
      <c r="A263" s="377">
        <v>39740</v>
      </c>
      <c r="B263" s="378" t="s">
        <v>440</v>
      </c>
      <c r="C263" s="379"/>
      <c r="D263" s="379">
        <v>130</v>
      </c>
      <c r="E263" s="314"/>
      <c r="F263" s="314"/>
      <c r="G263" s="314"/>
    </row>
    <row r="264" spans="1:8" x14ac:dyDescent="0.25">
      <c r="A264" s="377">
        <v>39745</v>
      </c>
      <c r="B264" s="378" t="s">
        <v>521</v>
      </c>
      <c r="C264" s="379">
        <v>700</v>
      </c>
      <c r="D264" s="379"/>
      <c r="E264" s="314"/>
      <c r="F264" s="314"/>
      <c r="G264" s="314"/>
    </row>
    <row r="265" spans="1:8" x14ac:dyDescent="0.25">
      <c r="A265" s="377">
        <v>39748</v>
      </c>
      <c r="B265" s="378" t="s">
        <v>522</v>
      </c>
      <c r="C265" s="379">
        <v>1000</v>
      </c>
      <c r="D265" s="379"/>
      <c r="E265" s="314"/>
      <c r="F265" s="314"/>
      <c r="G265" s="314"/>
    </row>
    <row r="266" spans="1:8" x14ac:dyDescent="0.25">
      <c r="A266" s="377">
        <v>39748</v>
      </c>
      <c r="B266" s="378" t="s">
        <v>492</v>
      </c>
      <c r="C266" s="379"/>
      <c r="D266" s="379">
        <v>1030</v>
      </c>
      <c r="E266" s="382" t="s">
        <v>25</v>
      </c>
      <c r="F266" s="314"/>
      <c r="G266" s="314"/>
    </row>
    <row r="267" spans="1:8" x14ac:dyDescent="0.25">
      <c r="A267" s="377">
        <v>39752</v>
      </c>
      <c r="B267" s="378" t="s">
        <v>454</v>
      </c>
      <c r="C267" s="379"/>
      <c r="D267" s="379">
        <v>26</v>
      </c>
      <c r="E267" s="382" t="s">
        <v>312</v>
      </c>
      <c r="F267" s="384">
        <f>COUNTA(A255:A268)</f>
        <v>14</v>
      </c>
      <c r="G267" s="314"/>
    </row>
    <row r="268" spans="1:8" x14ac:dyDescent="0.25">
      <c r="A268" s="374">
        <v>39752</v>
      </c>
      <c r="B268" s="375" t="s">
        <v>473</v>
      </c>
      <c r="C268" s="376"/>
      <c r="D268" s="376">
        <v>79</v>
      </c>
      <c r="E268" s="385">
        <f>SUM(C255:C268)</f>
        <v>3250</v>
      </c>
      <c r="F268" s="385">
        <f>SUM(D255:D268)</f>
        <v>2770</v>
      </c>
      <c r="G268" s="385">
        <f>E268-F268</f>
        <v>480</v>
      </c>
      <c r="H268">
        <f>_OCT08-H3+H254</f>
        <v>-14.549999999999955</v>
      </c>
    </row>
    <row r="269" spans="1:8" x14ac:dyDescent="0.25">
      <c r="A269" s="377">
        <v>39762</v>
      </c>
      <c r="B269" s="378" t="s">
        <v>399</v>
      </c>
      <c r="C269" s="379"/>
      <c r="D269" s="379">
        <v>300</v>
      </c>
      <c r="E269" s="314"/>
      <c r="F269" s="314"/>
      <c r="G269" s="314"/>
    </row>
    <row r="270" spans="1:8" x14ac:dyDescent="0.25">
      <c r="A270" s="377">
        <v>39764</v>
      </c>
      <c r="B270" s="378" t="s">
        <v>13</v>
      </c>
      <c r="C270" s="379">
        <v>2200</v>
      </c>
      <c r="D270" s="379"/>
      <c r="E270" s="314"/>
      <c r="F270" s="314"/>
      <c r="G270" s="314"/>
    </row>
    <row r="271" spans="1:8" x14ac:dyDescent="0.25">
      <c r="A271" s="377">
        <v>39764</v>
      </c>
      <c r="B271" s="378" t="s">
        <v>466</v>
      </c>
      <c r="C271" s="379"/>
      <c r="D271" s="379">
        <v>300</v>
      </c>
      <c r="E271" s="314"/>
      <c r="F271" s="314"/>
      <c r="G271" s="314"/>
    </row>
    <row r="272" spans="1:8" x14ac:dyDescent="0.25">
      <c r="A272" s="377">
        <v>39764</v>
      </c>
      <c r="B272" s="378" t="s">
        <v>303</v>
      </c>
      <c r="C272" s="379"/>
      <c r="D272" s="379">
        <v>255</v>
      </c>
      <c r="E272" s="314"/>
      <c r="F272" s="314"/>
      <c r="G272" s="314"/>
    </row>
    <row r="273" spans="1:8" x14ac:dyDescent="0.25">
      <c r="A273" s="377">
        <v>39764</v>
      </c>
      <c r="B273" s="378" t="s">
        <v>513</v>
      </c>
      <c r="C273" s="379"/>
      <c r="D273" s="379">
        <v>255</v>
      </c>
      <c r="E273" s="314"/>
      <c r="F273" s="314"/>
      <c r="G273" s="314"/>
    </row>
    <row r="274" spans="1:8" x14ac:dyDescent="0.25">
      <c r="A274" s="377">
        <v>39764</v>
      </c>
      <c r="B274" s="378" t="s">
        <v>310</v>
      </c>
      <c r="C274" s="379"/>
      <c r="D274" s="379">
        <v>13</v>
      </c>
      <c r="E274" s="314"/>
      <c r="F274" s="314"/>
      <c r="G274" s="314"/>
    </row>
    <row r="275" spans="1:8" x14ac:dyDescent="0.25">
      <c r="A275" s="377">
        <v>39767</v>
      </c>
      <c r="B275" s="378" t="s">
        <v>302</v>
      </c>
      <c r="C275" s="379"/>
      <c r="D275" s="379">
        <v>71</v>
      </c>
      <c r="E275" s="314"/>
      <c r="F275" s="314"/>
      <c r="G275" s="314"/>
    </row>
    <row r="276" spans="1:8" x14ac:dyDescent="0.25">
      <c r="A276" s="377">
        <v>39774</v>
      </c>
      <c r="B276" s="378" t="s">
        <v>302</v>
      </c>
      <c r="C276" s="379"/>
      <c r="D276" s="379">
        <v>100</v>
      </c>
      <c r="E276" s="314"/>
      <c r="F276" s="314"/>
      <c r="G276" s="314"/>
    </row>
    <row r="277" spans="1:8" x14ac:dyDescent="0.25">
      <c r="A277" s="377">
        <v>39781</v>
      </c>
      <c r="B277" s="378" t="s">
        <v>523</v>
      </c>
      <c r="C277" s="379"/>
      <c r="D277" s="379">
        <v>20</v>
      </c>
      <c r="E277" s="382" t="s">
        <v>26</v>
      </c>
      <c r="F277" s="314"/>
      <c r="G277" s="314"/>
    </row>
    <row r="278" spans="1:8" x14ac:dyDescent="0.25">
      <c r="A278" s="377">
        <v>39762</v>
      </c>
      <c r="B278" s="378" t="s">
        <v>454</v>
      </c>
      <c r="C278" s="379"/>
      <c r="D278" s="379">
        <v>24</v>
      </c>
      <c r="E278" s="382" t="s">
        <v>312</v>
      </c>
      <c r="F278" s="384">
        <f>COUNTA(A268:A279)</f>
        <v>12</v>
      </c>
      <c r="G278" s="314"/>
    </row>
    <row r="279" spans="1:8" x14ac:dyDescent="0.25">
      <c r="A279" s="374">
        <v>39782</v>
      </c>
      <c r="B279" s="375" t="s">
        <v>473</v>
      </c>
      <c r="C279" s="376"/>
      <c r="D279" s="376">
        <f>12+50</f>
        <v>62</v>
      </c>
      <c r="E279" s="385">
        <f>SUM(C269:C279)</f>
        <v>2200</v>
      </c>
      <c r="F279" s="385">
        <f>SUM(D269:D279)</f>
        <v>1400</v>
      </c>
      <c r="G279" s="385">
        <f>E279-F279</f>
        <v>800</v>
      </c>
      <c r="H279">
        <f>_NOV08-H3+H268</f>
        <v>332.45000000000005</v>
      </c>
    </row>
    <row r="280" spans="1:8" x14ac:dyDescent="0.25">
      <c r="A280" s="377">
        <v>39783</v>
      </c>
      <c r="B280" s="378" t="s">
        <v>399</v>
      </c>
      <c r="C280" s="379"/>
      <c r="D280" s="379">
        <v>350</v>
      </c>
      <c r="E280" s="314"/>
      <c r="F280" s="314"/>
      <c r="G280" s="314"/>
    </row>
    <row r="281" spans="1:8" x14ac:dyDescent="0.25">
      <c r="A281" s="377">
        <v>39783</v>
      </c>
      <c r="B281" s="378" t="s">
        <v>466</v>
      </c>
      <c r="C281" s="379"/>
      <c r="D281" s="379">
        <v>300</v>
      </c>
      <c r="E281" s="314"/>
      <c r="F281" s="314"/>
      <c r="G281" s="314"/>
    </row>
    <row r="282" spans="1:8" x14ac:dyDescent="0.25">
      <c r="A282" s="377">
        <v>39785</v>
      </c>
      <c r="B282" s="378" t="s">
        <v>524</v>
      </c>
      <c r="C282" s="379"/>
      <c r="D282" s="379">
        <v>100</v>
      </c>
      <c r="E282" s="314"/>
      <c r="F282" s="314"/>
      <c r="G282" s="314"/>
    </row>
    <row r="283" spans="1:8" x14ac:dyDescent="0.25">
      <c r="A283" s="377">
        <v>39785</v>
      </c>
      <c r="B283" s="378" t="s">
        <v>525</v>
      </c>
      <c r="C283" s="379"/>
      <c r="D283" s="379">
        <v>200</v>
      </c>
      <c r="E283" s="314"/>
      <c r="F283" s="314"/>
      <c r="G283" s="314"/>
    </row>
    <row r="284" spans="1:8" x14ac:dyDescent="0.25">
      <c r="A284" s="377">
        <v>39785</v>
      </c>
      <c r="B284" s="378" t="s">
        <v>474</v>
      </c>
      <c r="C284" s="379">
        <v>150</v>
      </c>
      <c r="D284" s="379"/>
      <c r="E284" s="314"/>
      <c r="F284" s="314"/>
      <c r="G284" s="314"/>
    </row>
    <row r="285" spans="1:8" x14ac:dyDescent="0.25">
      <c r="A285" s="377">
        <v>39785</v>
      </c>
      <c r="B285" s="378" t="s">
        <v>369</v>
      </c>
      <c r="C285" s="379"/>
      <c r="D285" s="379">
        <v>160</v>
      </c>
      <c r="E285" s="314"/>
      <c r="F285" s="314"/>
      <c r="G285" s="314"/>
    </row>
    <row r="286" spans="1:8" x14ac:dyDescent="0.25">
      <c r="A286" s="377">
        <v>39785</v>
      </c>
      <c r="B286" s="378" t="s">
        <v>526</v>
      </c>
      <c r="C286" s="379"/>
      <c r="D286" s="379">
        <v>110</v>
      </c>
      <c r="E286" s="314"/>
      <c r="F286" s="314"/>
      <c r="G286" s="314"/>
    </row>
    <row r="287" spans="1:8" x14ac:dyDescent="0.25">
      <c r="A287" s="377">
        <v>39785</v>
      </c>
      <c r="B287" s="378" t="s">
        <v>527</v>
      </c>
      <c r="C287" s="379"/>
      <c r="D287" s="379">
        <v>150</v>
      </c>
      <c r="E287" s="314"/>
      <c r="F287" s="314"/>
      <c r="G287" s="314"/>
    </row>
    <row r="288" spans="1:8" x14ac:dyDescent="0.25">
      <c r="A288" s="377">
        <v>39785</v>
      </c>
      <c r="B288" s="378" t="s">
        <v>436</v>
      </c>
      <c r="C288" s="379"/>
      <c r="D288" s="379">
        <v>103</v>
      </c>
      <c r="E288" s="314"/>
      <c r="F288" s="314"/>
      <c r="G288" s="314"/>
    </row>
    <row r="289" spans="1:10" x14ac:dyDescent="0.25">
      <c r="A289" s="377">
        <v>39785</v>
      </c>
      <c r="B289" s="378" t="s">
        <v>528</v>
      </c>
      <c r="C289" s="379"/>
      <c r="D289" s="379">
        <v>42</v>
      </c>
      <c r="E289" s="314"/>
      <c r="F289" s="314"/>
      <c r="G289" s="314"/>
    </row>
    <row r="290" spans="1:10" x14ac:dyDescent="0.25">
      <c r="A290" s="377">
        <v>39787</v>
      </c>
      <c r="B290" s="378" t="s">
        <v>13</v>
      </c>
      <c r="C290" s="379">
        <v>2200</v>
      </c>
      <c r="D290" s="379"/>
      <c r="E290" s="314"/>
      <c r="F290" s="314"/>
      <c r="G290" s="314"/>
    </row>
    <row r="291" spans="1:10" x14ac:dyDescent="0.25">
      <c r="A291" s="377">
        <v>39787</v>
      </c>
      <c r="B291" s="378" t="s">
        <v>303</v>
      </c>
      <c r="C291" s="379"/>
      <c r="D291" s="379">
        <v>200</v>
      </c>
      <c r="E291" s="314"/>
      <c r="F291" s="314"/>
      <c r="G291" s="314"/>
    </row>
    <row r="292" spans="1:10" x14ac:dyDescent="0.25">
      <c r="A292" s="377">
        <v>39787</v>
      </c>
      <c r="B292" s="378" t="s">
        <v>513</v>
      </c>
      <c r="C292" s="379"/>
      <c r="D292" s="379">
        <v>160</v>
      </c>
      <c r="E292" s="314"/>
      <c r="F292" s="314"/>
      <c r="G292" s="314"/>
    </row>
    <row r="293" spans="1:10" x14ac:dyDescent="0.25">
      <c r="A293" s="377">
        <v>39790</v>
      </c>
      <c r="B293" s="378" t="s">
        <v>529</v>
      </c>
      <c r="C293" s="379"/>
      <c r="D293" s="379">
        <v>200</v>
      </c>
      <c r="E293" s="382" t="s">
        <v>27</v>
      </c>
      <c r="F293" s="314"/>
      <c r="G293" s="314"/>
    </row>
    <row r="294" spans="1:10" x14ac:dyDescent="0.25">
      <c r="A294" s="377">
        <v>39785</v>
      </c>
      <c r="B294" s="378" t="s">
        <v>454</v>
      </c>
      <c r="C294" s="379"/>
      <c r="D294" s="379">
        <f>24+7+34</f>
        <v>65</v>
      </c>
      <c r="E294" s="382" t="s">
        <v>312</v>
      </c>
      <c r="F294" s="384">
        <f>COUNTA(A280:A295)</f>
        <v>16</v>
      </c>
      <c r="G294" s="314"/>
    </row>
    <row r="295" spans="1:10" x14ac:dyDescent="0.25">
      <c r="A295" s="388">
        <v>39813</v>
      </c>
      <c r="B295" s="375" t="s">
        <v>473</v>
      </c>
      <c r="C295" s="389"/>
      <c r="D295" s="389">
        <v>90</v>
      </c>
      <c r="E295" s="385">
        <f>SUM(C280:C295)</f>
        <v>2350</v>
      </c>
      <c r="F295" s="385">
        <f>SUM(D280:D295)</f>
        <v>2230</v>
      </c>
      <c r="G295" s="385">
        <f>E295-F295</f>
        <v>120</v>
      </c>
      <c r="H295">
        <f>_DIC08-H3+H279</f>
        <v>-0.54999999999995453</v>
      </c>
    </row>
    <row r="296" spans="1:10" x14ac:dyDescent="0.25">
      <c r="C296" s="390"/>
      <c r="D296" s="390"/>
    </row>
    <row r="297" spans="1:10" x14ac:dyDescent="0.25">
      <c r="C297" s="390"/>
      <c r="D297" s="390"/>
    </row>
    <row r="298" spans="1:10" x14ac:dyDescent="0.25">
      <c r="C298" s="390"/>
      <c r="D298" s="390"/>
    </row>
    <row r="299" spans="1:10" x14ac:dyDescent="0.25">
      <c r="C299" s="390"/>
      <c r="D299" s="390"/>
      <c r="H299" s="565" t="s">
        <v>28</v>
      </c>
      <c r="I299" s="580">
        <f>D2</f>
        <v>7930.4499999999971</v>
      </c>
      <c r="J299" s="567"/>
    </row>
    <row r="300" spans="1:10" x14ac:dyDescent="0.25">
      <c r="C300" s="390"/>
      <c r="D300" s="390"/>
      <c r="H300" s="565" t="s">
        <v>29</v>
      </c>
      <c r="I300" s="566"/>
      <c r="J300" s="567"/>
    </row>
    <row r="301" spans="1:10" x14ac:dyDescent="0.25">
      <c r="C301" s="390"/>
      <c r="D301" s="390"/>
      <c r="H301" s="568">
        <f>_ENE08</f>
        <v>1222.75</v>
      </c>
      <c r="I301" s="569"/>
      <c r="J301" s="567"/>
    </row>
    <row r="302" spans="1:10" x14ac:dyDescent="0.25">
      <c r="C302" s="390"/>
      <c r="D302" s="390"/>
      <c r="H302" s="568">
        <f>_FEB08</f>
        <v>570.44999999999982</v>
      </c>
      <c r="I302" s="569"/>
      <c r="J302" s="567"/>
    </row>
    <row r="303" spans="1:10" x14ac:dyDescent="0.25">
      <c r="C303" s="390"/>
      <c r="D303" s="390"/>
      <c r="H303" s="568">
        <f>_MAR08</f>
        <v>100.65000000000009</v>
      </c>
      <c r="I303" s="569"/>
      <c r="J303" s="567"/>
    </row>
    <row r="304" spans="1:10" x14ac:dyDescent="0.25">
      <c r="C304" s="390"/>
      <c r="D304" s="390"/>
      <c r="H304" s="568">
        <f>_ABR08</f>
        <v>31.950000000000045</v>
      </c>
      <c r="I304" s="569"/>
      <c r="J304" s="567"/>
    </row>
    <row r="305" spans="1:12" x14ac:dyDescent="0.25">
      <c r="C305" s="390"/>
      <c r="D305" s="390"/>
      <c r="H305" s="568">
        <f>_MAY08</f>
        <v>279.65000000000009</v>
      </c>
      <c r="I305" s="569"/>
      <c r="J305" s="567"/>
    </row>
    <row r="306" spans="1:12" x14ac:dyDescent="0.25">
      <c r="C306" s="390"/>
      <c r="D306" s="390"/>
      <c r="H306" s="568">
        <f>_JUN08</f>
        <v>780</v>
      </c>
      <c r="I306" s="569"/>
      <c r="J306" s="567"/>
    </row>
    <row r="307" spans="1:12" x14ac:dyDescent="0.25">
      <c r="C307" s="390"/>
      <c r="D307" s="390"/>
      <c r="H307" s="568">
        <f>_JUL08</f>
        <v>850</v>
      </c>
      <c r="I307" s="569"/>
      <c r="J307" s="567"/>
    </row>
    <row r="308" spans="1:12" x14ac:dyDescent="0.25">
      <c r="C308" s="390"/>
      <c r="D308" s="390"/>
      <c r="H308" s="568">
        <f>_AGO08</f>
        <v>50</v>
      </c>
      <c r="I308" s="569"/>
      <c r="J308" s="567"/>
    </row>
    <row r="309" spans="1:12" x14ac:dyDescent="0.25">
      <c r="C309" s="390"/>
      <c r="D309" s="390"/>
      <c r="H309" s="568">
        <f>_SEP08</f>
        <v>150</v>
      </c>
      <c r="I309" s="569"/>
      <c r="J309" s="567"/>
    </row>
    <row r="310" spans="1:12" x14ac:dyDescent="0.25">
      <c r="C310" s="390"/>
      <c r="D310" s="390"/>
      <c r="H310" s="568">
        <f>_OCT08</f>
        <v>480</v>
      </c>
      <c r="I310" s="569"/>
      <c r="J310" s="567"/>
    </row>
    <row r="311" spans="1:12" x14ac:dyDescent="0.25">
      <c r="C311" s="390"/>
      <c r="D311" s="390"/>
      <c r="H311" s="568">
        <f>_NOV08</f>
        <v>800</v>
      </c>
      <c r="I311" s="569"/>
      <c r="J311" s="567"/>
    </row>
    <row r="312" spans="1:12" x14ac:dyDescent="0.25">
      <c r="C312" s="390"/>
      <c r="D312" s="390"/>
      <c r="H312" s="568">
        <f>_DIC08</f>
        <v>120</v>
      </c>
      <c r="I312" s="569"/>
      <c r="J312" s="567"/>
    </row>
    <row r="313" spans="1:12" x14ac:dyDescent="0.25">
      <c r="C313" s="390"/>
      <c r="D313" s="390"/>
      <c r="H313" s="570">
        <f>SUM(H301:H312)</f>
        <v>5435.45</v>
      </c>
      <c r="I313" s="571">
        <f>-SUM(I301:I312)</f>
        <v>0</v>
      </c>
      <c r="J313" s="572">
        <f>H313-I313</f>
        <v>5435.45</v>
      </c>
    </row>
    <row r="314" spans="1:12" x14ac:dyDescent="0.25">
      <c r="C314" s="390"/>
      <c r="D314" s="390"/>
      <c r="H314" s="23"/>
      <c r="I314" s="23"/>
      <c r="J314" s="15"/>
    </row>
    <row r="315" spans="1:12" x14ac:dyDescent="0.25">
      <c r="C315" s="390"/>
      <c r="D315" s="390"/>
      <c r="H315" s="24"/>
      <c r="I315" s="23"/>
      <c r="J315" s="15"/>
      <c r="L315" s="180"/>
    </row>
    <row r="316" spans="1:12" x14ac:dyDescent="0.25">
      <c r="C316" s="390"/>
      <c r="D316" s="390"/>
      <c r="F316" s="28"/>
      <c r="G316" s="28"/>
      <c r="H316" s="181"/>
      <c r="I316" s="577"/>
      <c r="J316" s="51"/>
      <c r="K316" s="43"/>
    </row>
    <row r="317" spans="1:12" x14ac:dyDescent="0.25">
      <c r="C317" s="390"/>
      <c r="D317" s="390"/>
      <c r="H317" s="181"/>
      <c r="I317" s="332"/>
      <c r="J317" s="51"/>
      <c r="K317" s="37"/>
    </row>
    <row r="318" spans="1:12" x14ac:dyDescent="0.25">
      <c r="A318" s="391" t="s">
        <v>32</v>
      </c>
      <c r="B318" s="391" t="s">
        <v>33</v>
      </c>
      <c r="H318" s="332"/>
      <c r="I318" s="332"/>
      <c r="J318" s="51"/>
      <c r="K318" s="37"/>
    </row>
    <row r="319" spans="1:12" x14ac:dyDescent="0.25">
      <c r="A319" s="393">
        <f>SUM(C5:C318)</f>
        <v>26685</v>
      </c>
      <c r="B319" s="393">
        <f>SUM(D5:D318)</f>
        <v>21249.550000000003</v>
      </c>
      <c r="E319" s="182"/>
      <c r="H319" s="577"/>
      <c r="I319" s="332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Z111"/>
  <sheetViews>
    <sheetView workbookViewId="0">
      <pane ySplit="1" topLeftCell="A65" activePane="bottomLeft" state="frozen"/>
      <selection activeCell="E1" sqref="E1"/>
      <selection pane="bottomLeft" activeCell="G73" sqref="G73"/>
    </sheetView>
  </sheetViews>
  <sheetFormatPr baseColWidth="10" defaultColWidth="11.42578125" defaultRowHeight="15" x14ac:dyDescent="0.25"/>
  <cols>
    <col min="1" max="1" width="8.28515625" style="229" bestFit="1" customWidth="1"/>
    <col min="2" max="2" width="11.5703125" style="229" customWidth="1"/>
    <col min="3" max="3" width="11.28515625" style="225" bestFit="1" customWidth="1"/>
    <col min="4" max="4" width="12.5703125" style="1029" bestFit="1" customWidth="1"/>
    <col min="5" max="5" width="11.5703125" style="643" customWidth="1"/>
    <col min="6" max="6" width="11.28515625" style="229" bestFit="1" customWidth="1"/>
    <col min="7" max="7" width="12.28515625" style="225" customWidth="1"/>
    <col min="8" max="8" width="6.42578125" style="225" customWidth="1"/>
    <col min="9" max="9" width="11.5703125" style="225" customWidth="1"/>
    <col min="10" max="10" width="6.7109375" style="225" bestFit="1" customWidth="1"/>
    <col min="11" max="11" width="9.140625" style="225" bestFit="1" customWidth="1"/>
    <col min="12" max="12" width="9.42578125" style="225" bestFit="1" customWidth="1"/>
    <col min="13" max="13" width="11.5703125" style="225" bestFit="1" customWidth="1"/>
    <col min="14" max="14" width="10.7109375" style="225" customWidth="1"/>
    <col min="15" max="15" width="11.5703125" style="225" bestFit="1" customWidth="1"/>
    <col min="16" max="16" width="10.28515625" style="225" customWidth="1"/>
    <col min="17" max="17" width="10.5703125" style="225" bestFit="1" customWidth="1"/>
    <col min="18" max="18" width="15.5703125" style="225" bestFit="1" customWidth="1"/>
    <col min="19" max="19" width="17.28515625" style="225" bestFit="1" customWidth="1"/>
    <col min="20" max="20" width="11.5703125" style="225" customWidth="1"/>
    <col min="21" max="21" width="11.85546875" style="225" customWidth="1"/>
    <col min="22" max="22" width="14.140625" style="225" customWidth="1"/>
    <col min="23" max="24" width="11.42578125" style="225"/>
    <col min="25" max="25" width="12" style="225" bestFit="1" customWidth="1"/>
    <col min="26" max="26" width="14.5703125" style="225" bestFit="1" customWidth="1"/>
    <col min="27" max="16384" width="11.42578125" style="225"/>
  </cols>
  <sheetData>
    <row r="1" spans="1:23" x14ac:dyDescent="0.25">
      <c r="A1" s="998" t="s">
        <v>149</v>
      </c>
      <c r="B1" s="998"/>
      <c r="C1" s="998" t="s">
        <v>67</v>
      </c>
      <c r="D1" s="1021" t="s">
        <v>755</v>
      </c>
      <c r="E1" s="998"/>
      <c r="F1" s="998" t="s">
        <v>756</v>
      </c>
      <c r="G1" s="998" t="s">
        <v>68</v>
      </c>
      <c r="H1" s="998" t="s">
        <v>110</v>
      </c>
      <c r="I1" s="998" t="s">
        <v>111</v>
      </c>
      <c r="J1" s="998" t="s">
        <v>824</v>
      </c>
      <c r="K1" s="998" t="s">
        <v>825</v>
      </c>
      <c r="L1" s="998" t="s">
        <v>115</v>
      </c>
      <c r="M1" s="998" t="s">
        <v>1</v>
      </c>
      <c r="N1" s="998" t="s">
        <v>112</v>
      </c>
      <c r="O1" s="998" t="s">
        <v>34</v>
      </c>
      <c r="P1" s="999" t="s">
        <v>113</v>
      </c>
      <c r="Q1" s="997" t="s">
        <v>157</v>
      </c>
      <c r="R1" s="994">
        <f ca="1">SUMIF(A2:A111,"=PLAZO S",Q2:Q111)</f>
        <v>0</v>
      </c>
      <c r="S1" s="1131">
        <f ca="1">SUMIF(A2:A111,"=PLAZO G",Q2:Q111)</f>
        <v>0</v>
      </c>
      <c r="T1" s="995">
        <f ca="1">SUMIF(A2:A111,"=PLAZO R",Q2:Q111)</f>
        <v>0</v>
      </c>
      <c r="U1" s="996">
        <f ca="1">+Brubank_Total+Santander_Total+Rebank_Total</f>
        <v>0</v>
      </c>
    </row>
    <row r="2" spans="1:23" x14ac:dyDescent="0.25">
      <c r="A2" s="1000" t="s">
        <v>150</v>
      </c>
      <c r="B2" s="1000" t="str">
        <f>UPPER(TEXT(C2,"dddd"))</f>
        <v>LUNES</v>
      </c>
      <c r="C2" s="1001">
        <v>42380</v>
      </c>
      <c r="D2" s="1022">
        <v>30</v>
      </c>
      <c r="E2" s="1000" t="str">
        <f>UPPER(TEXT(F2,"dddd"))</f>
        <v>MIÉRCOLES</v>
      </c>
      <c r="F2" s="1001">
        <v>42410</v>
      </c>
      <c r="G2" s="1002">
        <v>640</v>
      </c>
      <c r="H2" s="1002">
        <v>14.13</v>
      </c>
      <c r="I2" s="1002">
        <f t="shared" ref="I2:I38" si="0">+G2/H2</f>
        <v>45.293701344656753</v>
      </c>
      <c r="J2" s="1002">
        <v>25</v>
      </c>
      <c r="K2" s="1002">
        <v>2.0499999999999998</v>
      </c>
      <c r="L2" s="1002">
        <v>13.15</v>
      </c>
      <c r="M2" s="1002">
        <f t="shared" ref="M2:M38" si="1">+L2+G2</f>
        <v>653.15</v>
      </c>
      <c r="N2" s="1002">
        <v>14.07</v>
      </c>
      <c r="O2" s="1002">
        <f>+I2*N2</f>
        <v>637.28237791932054</v>
      </c>
      <c r="P2" s="1002">
        <f t="shared" ref="P2:P36" si="2">+M2-O2</f>
        <v>15.867622080679439</v>
      </c>
      <c r="Q2" s="1002">
        <f t="shared" ref="Q2:Q33" ca="1" si="3">IF(TODAY()&lt;F2,IF(TODAY()&gt;=C2,M2,0),0)</f>
        <v>0</v>
      </c>
      <c r="R2" s="222"/>
      <c r="S2" s="222"/>
      <c r="T2" s="642"/>
    </row>
    <row r="3" spans="1:23" x14ac:dyDescent="0.25">
      <c r="A3" s="1000" t="s">
        <v>150</v>
      </c>
      <c r="B3" s="1000" t="str">
        <f t="shared" ref="B3:B39" si="4">UPPER(TEXT(C3,"dddd"))</f>
        <v>MARTES</v>
      </c>
      <c r="C3" s="1001">
        <v>42395</v>
      </c>
      <c r="D3" s="1022">
        <v>34</v>
      </c>
      <c r="E3" s="1000" t="str">
        <f t="shared" ref="E3:E47" si="5">UPPER(TEXT(F3,"dddd"))</f>
        <v>LUNES</v>
      </c>
      <c r="F3" s="1001">
        <v>42429</v>
      </c>
      <c r="G3" s="1002">
        <v>11606.76</v>
      </c>
      <c r="H3" s="1002">
        <v>14.07</v>
      </c>
      <c r="I3" s="1002">
        <f t="shared" si="0"/>
        <v>824.92963752665241</v>
      </c>
      <c r="J3" s="1002">
        <v>26</v>
      </c>
      <c r="K3" s="1002">
        <v>2.42</v>
      </c>
      <c r="L3" s="1002">
        <v>281.11</v>
      </c>
      <c r="M3" s="1002">
        <f t="shared" si="1"/>
        <v>11887.87</v>
      </c>
      <c r="N3" s="1002">
        <v>15.29</v>
      </c>
      <c r="O3" s="1002">
        <f>+I3*N3</f>
        <v>12613.174157782514</v>
      </c>
      <c r="P3" s="1002">
        <f t="shared" si="2"/>
        <v>-725.30415778251336</v>
      </c>
      <c r="Q3" s="1002">
        <f t="shared" ca="1" si="3"/>
        <v>0</v>
      </c>
      <c r="R3" s="223"/>
      <c r="S3" s="223"/>
      <c r="T3" s="223"/>
      <c r="U3" s="224"/>
    </row>
    <row r="4" spans="1:23" x14ac:dyDescent="0.25">
      <c r="A4" s="1000" t="s">
        <v>150</v>
      </c>
      <c r="B4" s="1000" t="str">
        <f t="shared" si="4"/>
        <v>LUNES</v>
      </c>
      <c r="C4" s="1001">
        <v>42429</v>
      </c>
      <c r="D4" s="1022">
        <v>45</v>
      </c>
      <c r="E4" s="1000" t="str">
        <f t="shared" si="5"/>
        <v>JUEVES</v>
      </c>
      <c r="F4" s="1001">
        <v>42474</v>
      </c>
      <c r="G4" s="1002">
        <v>22717</v>
      </c>
      <c r="H4" s="1002">
        <v>15.84</v>
      </c>
      <c r="I4" s="1002">
        <f t="shared" si="0"/>
        <v>1434.1540404040404</v>
      </c>
      <c r="J4" s="1002">
        <v>25.6</v>
      </c>
      <c r="K4" s="1002">
        <f>3.16</f>
        <v>3.16</v>
      </c>
      <c r="L4" s="1002">
        <f>717.99</f>
        <v>717.99</v>
      </c>
      <c r="M4" s="1002">
        <f t="shared" si="1"/>
        <v>23434.99</v>
      </c>
      <c r="N4" s="1002">
        <v>14.11</v>
      </c>
      <c r="O4" s="1002">
        <f>+I4*N4</f>
        <v>20235.913510101011</v>
      </c>
      <c r="P4" s="1002">
        <f t="shared" si="2"/>
        <v>3199.076489898991</v>
      </c>
      <c r="Q4" s="1002">
        <f t="shared" ca="1" si="3"/>
        <v>0</v>
      </c>
      <c r="R4" s="223"/>
      <c r="S4" s="223"/>
      <c r="T4" s="223"/>
      <c r="U4" s="224"/>
      <c r="V4" s="224"/>
    </row>
    <row r="5" spans="1:23" x14ac:dyDescent="0.25">
      <c r="A5" s="1000" t="s">
        <v>150</v>
      </c>
      <c r="B5" s="1000" t="str">
        <f t="shared" si="4"/>
        <v>LUNES</v>
      </c>
      <c r="C5" s="1001">
        <v>42576</v>
      </c>
      <c r="D5" s="1022">
        <v>57</v>
      </c>
      <c r="E5" s="1000" t="str">
        <f t="shared" si="5"/>
        <v>MARTES</v>
      </c>
      <c r="F5" s="1001">
        <v>42633</v>
      </c>
      <c r="G5" s="1002">
        <v>30871</v>
      </c>
      <c r="H5" s="1002">
        <v>15.15</v>
      </c>
      <c r="I5" s="1002">
        <f t="shared" si="0"/>
        <v>2037.6897689768975</v>
      </c>
      <c r="J5" s="1002">
        <v>23.5</v>
      </c>
      <c r="K5" s="1002">
        <v>3.67</v>
      </c>
      <c r="L5" s="1002">
        <v>1132.92</v>
      </c>
      <c r="M5" s="1002">
        <f t="shared" si="1"/>
        <v>32003.919999999998</v>
      </c>
      <c r="N5" s="1002">
        <v>15.1</v>
      </c>
      <c r="O5" s="1002">
        <f>+N5*I5</f>
        <v>30769.115511551154</v>
      </c>
      <c r="P5" s="1002">
        <f t="shared" si="2"/>
        <v>1234.8044884488445</v>
      </c>
      <c r="Q5" s="1002">
        <f t="shared" ca="1" si="3"/>
        <v>0</v>
      </c>
      <c r="R5" s="223"/>
      <c r="S5" s="223"/>
      <c r="T5" s="223"/>
      <c r="V5" s="224"/>
      <c r="W5" s="224"/>
    </row>
    <row r="6" spans="1:23" x14ac:dyDescent="0.25">
      <c r="A6" s="1000" t="s">
        <v>150</v>
      </c>
      <c r="B6" s="1000" t="str">
        <f t="shared" si="4"/>
        <v>VIERNES</v>
      </c>
      <c r="C6" s="1001">
        <v>42587</v>
      </c>
      <c r="D6" s="1022">
        <v>47</v>
      </c>
      <c r="E6" s="1000" t="str">
        <f t="shared" si="5"/>
        <v>MIÉRCOLES</v>
      </c>
      <c r="F6" s="1001">
        <v>42634</v>
      </c>
      <c r="G6" s="1002">
        <v>4900.34</v>
      </c>
      <c r="H6" s="1002">
        <v>15.1</v>
      </c>
      <c r="I6" s="1002">
        <f t="shared" si="0"/>
        <v>324.52582781456954</v>
      </c>
      <c r="J6" s="1002">
        <v>23</v>
      </c>
      <c r="K6" s="1002">
        <v>2.96</v>
      </c>
      <c r="L6" s="1002">
        <v>145.13</v>
      </c>
      <c r="M6" s="1002">
        <f t="shared" si="1"/>
        <v>5045.47</v>
      </c>
      <c r="N6" s="1002">
        <v>15.05</v>
      </c>
      <c r="O6" s="1002">
        <f t="shared" ref="O6:O36" si="6">+I6*N6</f>
        <v>4884.1137086092722</v>
      </c>
      <c r="P6" s="1002">
        <f t="shared" si="2"/>
        <v>161.35629139072807</v>
      </c>
      <c r="Q6" s="1002">
        <f t="shared" ca="1" si="3"/>
        <v>0</v>
      </c>
      <c r="R6" s="223"/>
      <c r="S6" s="223"/>
      <c r="T6" s="223"/>
      <c r="V6" s="224"/>
      <c r="W6" s="224"/>
    </row>
    <row r="7" spans="1:23" x14ac:dyDescent="0.25">
      <c r="A7" s="1000" t="s">
        <v>150</v>
      </c>
      <c r="B7" s="1000" t="str">
        <f t="shared" si="4"/>
        <v>MIÉRCOLES</v>
      </c>
      <c r="C7" s="1001">
        <v>42599</v>
      </c>
      <c r="D7" s="1022">
        <v>35</v>
      </c>
      <c r="E7" s="1000" t="str">
        <f t="shared" si="5"/>
        <v>MIÉRCOLES</v>
      </c>
      <c r="F7" s="1001">
        <v>42634</v>
      </c>
      <c r="G7" s="1002">
        <v>557.91</v>
      </c>
      <c r="H7" s="1002">
        <v>15.05</v>
      </c>
      <c r="I7" s="1002">
        <f t="shared" si="0"/>
        <v>37.070431893687704</v>
      </c>
      <c r="J7" s="1002">
        <v>22</v>
      </c>
      <c r="K7" s="1002">
        <v>2.11</v>
      </c>
      <c r="L7" s="1002">
        <v>11.77</v>
      </c>
      <c r="M7" s="1002">
        <f t="shared" si="1"/>
        <v>569.67999999999995</v>
      </c>
      <c r="N7" s="1002">
        <v>15.05</v>
      </c>
      <c r="O7" s="1002">
        <f t="shared" si="6"/>
        <v>557.91</v>
      </c>
      <c r="P7" s="1002">
        <f t="shared" si="2"/>
        <v>11.769999999999982</v>
      </c>
      <c r="Q7" s="1002">
        <f t="shared" ca="1" si="3"/>
        <v>0</v>
      </c>
      <c r="R7" s="223"/>
      <c r="S7" s="223"/>
      <c r="T7" s="223"/>
      <c r="V7" s="224"/>
    </row>
    <row r="8" spans="1:23" x14ac:dyDescent="0.25">
      <c r="A8" s="1000" t="s">
        <v>150</v>
      </c>
      <c r="B8" s="1000" t="str">
        <f t="shared" si="4"/>
        <v>MIÉRCOLES</v>
      </c>
      <c r="C8" s="1001">
        <v>42634</v>
      </c>
      <c r="D8" s="1022">
        <v>61</v>
      </c>
      <c r="E8" s="1000" t="str">
        <f t="shared" si="5"/>
        <v>LUNES</v>
      </c>
      <c r="F8" s="1001">
        <v>42695</v>
      </c>
      <c r="G8" s="1002">
        <f>50536.08</f>
        <v>50536.08</v>
      </c>
      <c r="H8" s="1002">
        <v>15.4</v>
      </c>
      <c r="I8" s="1002">
        <f t="shared" si="0"/>
        <v>3281.5636363636363</v>
      </c>
      <c r="J8" s="1002">
        <v>20.25</v>
      </c>
      <c r="K8" s="1002">
        <v>3.38</v>
      </c>
      <c r="L8" s="1002">
        <v>1710.27</v>
      </c>
      <c r="M8" s="1002">
        <f t="shared" si="1"/>
        <v>52246.35</v>
      </c>
      <c r="N8" s="1002">
        <v>15.3</v>
      </c>
      <c r="O8" s="1002">
        <f t="shared" si="6"/>
        <v>50207.923636363637</v>
      </c>
      <c r="P8" s="1002">
        <f t="shared" si="2"/>
        <v>2038.4263636363612</v>
      </c>
      <c r="Q8" s="1002">
        <f t="shared" ca="1" si="3"/>
        <v>0</v>
      </c>
      <c r="R8" s="223"/>
      <c r="S8" s="223"/>
      <c r="T8" s="223"/>
      <c r="V8" s="224"/>
    </row>
    <row r="9" spans="1:23" x14ac:dyDescent="0.25">
      <c r="A9" s="1000" t="s">
        <v>150</v>
      </c>
      <c r="B9" s="1000" t="str">
        <f t="shared" si="4"/>
        <v>JUEVES</v>
      </c>
      <c r="C9" s="1001">
        <v>42649</v>
      </c>
      <c r="D9" s="1022">
        <v>46</v>
      </c>
      <c r="E9" s="1000" t="str">
        <f t="shared" si="5"/>
        <v>LUNES</v>
      </c>
      <c r="F9" s="1001">
        <v>42695</v>
      </c>
      <c r="G9" s="1002">
        <v>9057</v>
      </c>
      <c r="H9" s="1002">
        <v>15.45</v>
      </c>
      <c r="I9" s="1002">
        <f t="shared" si="0"/>
        <v>586.21359223300976</v>
      </c>
      <c r="J9" s="1002">
        <v>20</v>
      </c>
      <c r="K9" s="1002">
        <v>2.52</v>
      </c>
      <c r="L9" s="1002">
        <v>228.29</v>
      </c>
      <c r="M9" s="1002">
        <f t="shared" si="1"/>
        <v>9285.2900000000009</v>
      </c>
      <c r="N9" s="1002">
        <v>15.3</v>
      </c>
      <c r="O9" s="1002">
        <f t="shared" si="6"/>
        <v>8969.0679611650503</v>
      </c>
      <c r="P9" s="1002">
        <f t="shared" si="2"/>
        <v>316.22203883495058</v>
      </c>
      <c r="Q9" s="1002">
        <f t="shared" ca="1" si="3"/>
        <v>0</v>
      </c>
      <c r="R9" s="223"/>
      <c r="S9" s="223"/>
      <c r="T9" s="223"/>
      <c r="V9" s="224"/>
    </row>
    <row r="10" spans="1:23" x14ac:dyDescent="0.25">
      <c r="A10" s="1000" t="s">
        <v>150</v>
      </c>
      <c r="B10" s="1000" t="str">
        <f t="shared" si="4"/>
        <v>LUNES</v>
      </c>
      <c r="C10" s="1001">
        <f>+F9</f>
        <v>42695</v>
      </c>
      <c r="D10" s="1022">
        <v>70</v>
      </c>
      <c r="E10" s="1000" t="str">
        <f t="shared" si="5"/>
        <v>LUNES</v>
      </c>
      <c r="F10" s="1001">
        <f t="shared" ref="F10:F35" si="7">+C10+D10</f>
        <v>42765</v>
      </c>
      <c r="G10" s="1002">
        <v>77406.070000000007</v>
      </c>
      <c r="H10" s="1002">
        <v>15.8</v>
      </c>
      <c r="I10" s="1002">
        <f t="shared" si="0"/>
        <v>4899.1183544303804</v>
      </c>
      <c r="J10" s="1002">
        <v>18.5</v>
      </c>
      <c r="K10" s="1002">
        <v>3.55</v>
      </c>
      <c r="L10" s="1002">
        <v>2746.32</v>
      </c>
      <c r="M10" s="1002">
        <f t="shared" si="1"/>
        <v>80152.390000000014</v>
      </c>
      <c r="N10" s="1002">
        <v>15.85</v>
      </c>
      <c r="O10" s="1002">
        <f t="shared" si="6"/>
        <v>77651.025917721534</v>
      </c>
      <c r="P10" s="1002">
        <f t="shared" si="2"/>
        <v>2501.3640822784801</v>
      </c>
      <c r="Q10" s="1002">
        <f t="shared" ca="1" si="3"/>
        <v>0</v>
      </c>
      <c r="R10" s="223"/>
      <c r="S10" s="223"/>
      <c r="T10" s="223"/>
      <c r="V10" s="224"/>
    </row>
    <row r="11" spans="1:23" x14ac:dyDescent="0.25">
      <c r="A11" s="1000" t="s">
        <v>150</v>
      </c>
      <c r="B11" s="1000" t="str">
        <f t="shared" si="4"/>
        <v>LUNES</v>
      </c>
      <c r="C11" s="1001">
        <v>42716</v>
      </c>
      <c r="D11" s="1022">
        <v>67</v>
      </c>
      <c r="E11" s="1000" t="str">
        <f t="shared" si="5"/>
        <v>VIERNES</v>
      </c>
      <c r="F11" s="1001">
        <f t="shared" si="7"/>
        <v>42783</v>
      </c>
      <c r="G11" s="1002">
        <v>3724</v>
      </c>
      <c r="H11" s="1002">
        <v>16.25</v>
      </c>
      <c r="I11" s="1002">
        <f t="shared" si="0"/>
        <v>229.16923076923078</v>
      </c>
      <c r="J11" s="1002">
        <v>17</v>
      </c>
      <c r="K11" s="1002">
        <v>3.12</v>
      </c>
      <c r="L11" s="1002">
        <v>116.21</v>
      </c>
      <c r="M11" s="1002">
        <f t="shared" si="1"/>
        <v>3840.21</v>
      </c>
      <c r="N11" s="1002">
        <v>15.5</v>
      </c>
      <c r="O11" s="1002">
        <f t="shared" si="6"/>
        <v>3552.123076923077</v>
      </c>
      <c r="P11" s="1002">
        <f t="shared" si="2"/>
        <v>288.08692307692309</v>
      </c>
      <c r="Q11" s="1002">
        <f t="shared" ca="1" si="3"/>
        <v>0</v>
      </c>
      <c r="R11" s="655">
        <f>+R12/12</f>
        <v>594.61749999999995</v>
      </c>
      <c r="S11" s="655"/>
      <c r="T11" s="655"/>
      <c r="U11" s="226"/>
      <c r="V11" s="224"/>
    </row>
    <row r="12" spans="1:23" x14ac:dyDescent="0.25">
      <c r="A12" s="1000" t="s">
        <v>150</v>
      </c>
      <c r="B12" s="1000" t="str">
        <f t="shared" si="4"/>
        <v>MARTES</v>
      </c>
      <c r="C12" s="1001">
        <v>42724</v>
      </c>
      <c r="D12" s="1022">
        <v>55</v>
      </c>
      <c r="E12" s="1000" t="str">
        <f t="shared" si="5"/>
        <v>LUNES</v>
      </c>
      <c r="F12" s="1001">
        <f t="shared" si="7"/>
        <v>42779</v>
      </c>
      <c r="G12" s="1002">
        <v>1259.01</v>
      </c>
      <c r="H12" s="1002">
        <v>16.100000000000001</v>
      </c>
      <c r="I12" s="1002">
        <f t="shared" si="0"/>
        <v>78.19937888198757</v>
      </c>
      <c r="J12" s="1002">
        <v>17</v>
      </c>
      <c r="K12" s="1002">
        <v>2.56</v>
      </c>
      <c r="L12" s="1002">
        <v>32.25</v>
      </c>
      <c r="M12" s="1002">
        <f t="shared" si="1"/>
        <v>1291.26</v>
      </c>
      <c r="N12" s="1002">
        <v>15.55</v>
      </c>
      <c r="O12" s="1002">
        <f t="shared" si="6"/>
        <v>1216.0003416149068</v>
      </c>
      <c r="P12" s="1002">
        <f t="shared" si="2"/>
        <v>75.259658385093189</v>
      </c>
      <c r="Q12" s="1002">
        <f t="shared" ca="1" si="3"/>
        <v>0</v>
      </c>
      <c r="R12" s="655">
        <f>+L10+L9+L8+L7+L6+L5+L4+L3+L2+L11+L12</f>
        <v>7135.41</v>
      </c>
      <c r="S12" s="655">
        <f>COUNTA(D2:D12)</f>
        <v>11</v>
      </c>
      <c r="T12" s="655"/>
      <c r="V12" s="224"/>
    </row>
    <row r="13" spans="1:23" x14ac:dyDescent="0.25">
      <c r="A13" s="1000" t="s">
        <v>150</v>
      </c>
      <c r="B13" s="1000" t="str">
        <f t="shared" si="4"/>
        <v>MIÉRCOLES</v>
      </c>
      <c r="C13" s="1001">
        <v>42739</v>
      </c>
      <c r="D13" s="1022">
        <v>49</v>
      </c>
      <c r="E13" s="1000" t="str">
        <f t="shared" si="5"/>
        <v>MIÉRCOLES</v>
      </c>
      <c r="F13" s="1001">
        <f t="shared" si="7"/>
        <v>42788</v>
      </c>
      <c r="G13" s="1002">
        <v>4350</v>
      </c>
      <c r="H13" s="1002">
        <v>16.3</v>
      </c>
      <c r="I13" s="1002">
        <f t="shared" si="0"/>
        <v>266.87116564417175</v>
      </c>
      <c r="J13" s="1002">
        <v>17</v>
      </c>
      <c r="K13" s="1002">
        <v>2.2799999999999998</v>
      </c>
      <c r="L13" s="1002">
        <v>99.28</v>
      </c>
      <c r="M13" s="1002">
        <f t="shared" si="1"/>
        <v>4449.28</v>
      </c>
      <c r="N13" s="1002">
        <v>15.6</v>
      </c>
      <c r="O13" s="1002">
        <f t="shared" si="6"/>
        <v>4163.1901840490791</v>
      </c>
      <c r="P13" s="1002">
        <f t="shared" si="2"/>
        <v>286.08981595092064</v>
      </c>
      <c r="Q13" s="1002">
        <f t="shared" ca="1" si="3"/>
        <v>0</v>
      </c>
      <c r="R13" s="223"/>
      <c r="S13" s="223"/>
      <c r="T13" s="223"/>
      <c r="V13" s="224"/>
    </row>
    <row r="14" spans="1:23" x14ac:dyDescent="0.25">
      <c r="A14" s="1000" t="s">
        <v>150</v>
      </c>
      <c r="B14" s="1000" t="str">
        <f t="shared" si="4"/>
        <v>MARTES</v>
      </c>
      <c r="C14" s="1001">
        <v>42745</v>
      </c>
      <c r="D14" s="1022">
        <v>43</v>
      </c>
      <c r="E14" s="1000" t="str">
        <f t="shared" si="5"/>
        <v>MIÉRCOLES</v>
      </c>
      <c r="F14" s="1001">
        <f t="shared" si="7"/>
        <v>42788</v>
      </c>
      <c r="G14" s="1002">
        <v>3300.01</v>
      </c>
      <c r="H14" s="1002">
        <v>16.149999999999999</v>
      </c>
      <c r="I14" s="1002">
        <f t="shared" si="0"/>
        <v>204.33498452012387</v>
      </c>
      <c r="J14" s="1002">
        <v>17</v>
      </c>
      <c r="K14" s="1002">
        <v>2</v>
      </c>
      <c r="L14" s="1002">
        <v>66.09</v>
      </c>
      <c r="M14" s="1002">
        <f t="shared" si="1"/>
        <v>3366.1000000000004</v>
      </c>
      <c r="N14" s="1002">
        <v>15.6</v>
      </c>
      <c r="O14" s="1002">
        <f t="shared" si="6"/>
        <v>3187.6257585139324</v>
      </c>
      <c r="P14" s="1002">
        <f t="shared" si="2"/>
        <v>178.47424148606797</v>
      </c>
      <c r="Q14" s="1002">
        <f t="shared" ca="1" si="3"/>
        <v>0</v>
      </c>
      <c r="R14" s="223"/>
      <c r="S14" s="223"/>
      <c r="T14" s="223"/>
      <c r="V14" s="224"/>
    </row>
    <row r="15" spans="1:23" x14ac:dyDescent="0.25">
      <c r="A15" s="1000" t="s">
        <v>150</v>
      </c>
      <c r="B15" s="1000" t="str">
        <f t="shared" si="4"/>
        <v>MARTES</v>
      </c>
      <c r="C15" s="1001">
        <v>42745</v>
      </c>
      <c r="D15" s="1022">
        <v>43</v>
      </c>
      <c r="E15" s="1000" t="str">
        <f t="shared" si="5"/>
        <v>MIÉRCOLES</v>
      </c>
      <c r="F15" s="1001">
        <f t="shared" si="7"/>
        <v>42788</v>
      </c>
      <c r="G15" s="1002">
        <v>1400</v>
      </c>
      <c r="H15" s="1002">
        <v>16.149999999999999</v>
      </c>
      <c r="I15" s="1002">
        <f t="shared" si="0"/>
        <v>86.687306501547994</v>
      </c>
      <c r="J15" s="1002">
        <v>17</v>
      </c>
      <c r="K15" s="1002">
        <v>2</v>
      </c>
      <c r="L15" s="1002">
        <v>28.04</v>
      </c>
      <c r="M15" s="1002">
        <f t="shared" si="1"/>
        <v>1428.04</v>
      </c>
      <c r="N15" s="1002">
        <v>15.6</v>
      </c>
      <c r="O15" s="1002">
        <f t="shared" si="6"/>
        <v>1352.3219814241486</v>
      </c>
      <c r="P15" s="1002">
        <f t="shared" si="2"/>
        <v>75.718018575851374</v>
      </c>
      <c r="Q15" s="1002">
        <f t="shared" ca="1" si="3"/>
        <v>0</v>
      </c>
      <c r="R15" s="223"/>
      <c r="S15" s="223"/>
      <c r="T15" s="223"/>
      <c r="V15" s="224"/>
    </row>
    <row r="16" spans="1:23" x14ac:dyDescent="0.25">
      <c r="A16" s="1000" t="s">
        <v>150</v>
      </c>
      <c r="B16" s="1000" t="str">
        <f t="shared" si="4"/>
        <v>LUNES</v>
      </c>
      <c r="C16" s="1001">
        <v>42751</v>
      </c>
      <c r="D16" s="1022">
        <v>37</v>
      </c>
      <c r="E16" s="1000" t="str">
        <f t="shared" si="5"/>
        <v>MIÉRCOLES</v>
      </c>
      <c r="F16" s="1001">
        <f t="shared" si="7"/>
        <v>42788</v>
      </c>
      <c r="G16" s="1002">
        <v>2350</v>
      </c>
      <c r="H16" s="1002">
        <v>16.100000000000001</v>
      </c>
      <c r="I16" s="1002">
        <f t="shared" si="0"/>
        <v>145.96273291925465</v>
      </c>
      <c r="J16" s="1002">
        <v>17</v>
      </c>
      <c r="K16" s="1002">
        <v>1.72</v>
      </c>
      <c r="L16" s="1002">
        <v>40.5</v>
      </c>
      <c r="M16" s="1002">
        <f t="shared" si="1"/>
        <v>2390.5</v>
      </c>
      <c r="N16" s="1002">
        <v>15.6</v>
      </c>
      <c r="O16" s="1002">
        <f t="shared" si="6"/>
        <v>2277.0186335403723</v>
      </c>
      <c r="P16" s="1002">
        <f t="shared" si="2"/>
        <v>113.48136645962768</v>
      </c>
      <c r="Q16" s="1002">
        <f t="shared" ca="1" si="3"/>
        <v>0</v>
      </c>
      <c r="R16" s="227"/>
      <c r="S16" s="223"/>
      <c r="T16" s="223"/>
      <c r="V16" s="224"/>
    </row>
    <row r="17" spans="1:24" x14ac:dyDescent="0.25">
      <c r="A17" s="1000" t="s">
        <v>150</v>
      </c>
      <c r="B17" s="1000" t="str">
        <f t="shared" si="4"/>
        <v>MIÉRCOLES</v>
      </c>
      <c r="C17" s="1001">
        <v>42753</v>
      </c>
      <c r="D17" s="1022">
        <v>35</v>
      </c>
      <c r="E17" s="1000" t="str">
        <f t="shared" si="5"/>
        <v>MIÉRCOLES</v>
      </c>
      <c r="F17" s="1001">
        <f t="shared" si="7"/>
        <v>42788</v>
      </c>
      <c r="G17" s="1002">
        <v>3600</v>
      </c>
      <c r="H17" s="1002">
        <v>16.149999999999999</v>
      </c>
      <c r="I17" s="1002">
        <f t="shared" si="0"/>
        <v>222.91021671826627</v>
      </c>
      <c r="J17" s="1002">
        <v>17</v>
      </c>
      <c r="K17" s="1002">
        <v>1.63</v>
      </c>
      <c r="L17" s="1002">
        <v>58.68</v>
      </c>
      <c r="M17" s="1002">
        <f t="shared" si="1"/>
        <v>3658.68</v>
      </c>
      <c r="N17" s="1002">
        <v>15.6</v>
      </c>
      <c r="O17" s="1002">
        <f t="shared" si="6"/>
        <v>3477.3993808049536</v>
      </c>
      <c r="P17" s="1002">
        <f t="shared" si="2"/>
        <v>181.28061919504626</v>
      </c>
      <c r="Q17" s="1002">
        <f t="shared" ca="1" si="3"/>
        <v>0</v>
      </c>
      <c r="R17" s="227"/>
      <c r="S17" s="223"/>
      <c r="T17" s="223"/>
      <c r="V17" s="224"/>
    </row>
    <row r="18" spans="1:24" x14ac:dyDescent="0.25">
      <c r="A18" s="1000" t="s">
        <v>150</v>
      </c>
      <c r="B18" s="1000" t="str">
        <f t="shared" si="4"/>
        <v>LUNES</v>
      </c>
      <c r="C18" s="1001">
        <v>42765</v>
      </c>
      <c r="D18" s="1022">
        <v>77</v>
      </c>
      <c r="E18" s="1000" t="str">
        <f t="shared" si="5"/>
        <v>LUNES</v>
      </c>
      <c r="F18" s="1001">
        <f t="shared" si="7"/>
        <v>42842</v>
      </c>
      <c r="G18" s="1002">
        <v>1400</v>
      </c>
      <c r="H18" s="1002">
        <v>16.149999999999999</v>
      </c>
      <c r="I18" s="1002">
        <f t="shared" si="0"/>
        <v>86.687306501547994</v>
      </c>
      <c r="J18" s="1002">
        <v>17</v>
      </c>
      <c r="K18" s="1002">
        <v>3.59</v>
      </c>
      <c r="L18" s="1002">
        <v>50.21</v>
      </c>
      <c r="M18" s="1002">
        <f t="shared" si="1"/>
        <v>1450.21</v>
      </c>
      <c r="N18" s="1002">
        <v>15.15</v>
      </c>
      <c r="O18" s="1002">
        <f t="shared" si="6"/>
        <v>1313.3126934984521</v>
      </c>
      <c r="P18" s="1002">
        <f t="shared" si="2"/>
        <v>136.89730650154797</v>
      </c>
      <c r="Q18" s="1002">
        <f t="shared" ca="1" si="3"/>
        <v>0</v>
      </c>
      <c r="R18" s="227"/>
      <c r="S18" s="223"/>
      <c r="T18" s="223"/>
      <c r="U18" s="228"/>
      <c r="V18" s="224"/>
    </row>
    <row r="19" spans="1:24" x14ac:dyDescent="0.25">
      <c r="A19" s="1000" t="s">
        <v>150</v>
      </c>
      <c r="B19" s="1000" t="str">
        <f t="shared" si="4"/>
        <v>LUNES</v>
      </c>
      <c r="C19" s="1001">
        <v>42765</v>
      </c>
      <c r="D19" s="1022">
        <v>84</v>
      </c>
      <c r="E19" s="1000" t="str">
        <f t="shared" si="5"/>
        <v>LUNES</v>
      </c>
      <c r="F19" s="1001">
        <f t="shared" si="7"/>
        <v>42849</v>
      </c>
      <c r="G19" s="1002">
        <f>80000</f>
        <v>80000</v>
      </c>
      <c r="H19" s="1002">
        <v>16.149999999999999</v>
      </c>
      <c r="I19" s="1002">
        <f t="shared" si="0"/>
        <v>4953.5603715170282</v>
      </c>
      <c r="J19" s="1002">
        <v>17</v>
      </c>
      <c r="K19" s="1002">
        <v>3.91</v>
      </c>
      <c r="L19" s="1002">
        <v>3129.86</v>
      </c>
      <c r="M19" s="1002">
        <f t="shared" si="1"/>
        <v>83129.86</v>
      </c>
      <c r="N19" s="1002">
        <f>15.4</f>
        <v>15.4</v>
      </c>
      <c r="O19" s="1002">
        <f t="shared" si="6"/>
        <v>76284.829721362243</v>
      </c>
      <c r="P19" s="1002">
        <f t="shared" si="2"/>
        <v>6845.0302786377579</v>
      </c>
      <c r="Q19" s="1002">
        <f t="shared" ca="1" si="3"/>
        <v>0</v>
      </c>
      <c r="R19" s="222"/>
      <c r="S19" s="223"/>
      <c r="T19" s="223"/>
      <c r="U19" s="228"/>
      <c r="V19" s="224"/>
    </row>
    <row r="20" spans="1:24" x14ac:dyDescent="0.25">
      <c r="A20" s="1000" t="s">
        <v>150</v>
      </c>
      <c r="B20" s="1000" t="str">
        <f t="shared" si="4"/>
        <v>MIÉRCOLES</v>
      </c>
      <c r="C20" s="1001">
        <v>42767</v>
      </c>
      <c r="D20" s="1022">
        <v>82</v>
      </c>
      <c r="E20" s="1000" t="str">
        <f t="shared" si="5"/>
        <v>LUNES</v>
      </c>
      <c r="F20" s="1001">
        <f t="shared" si="7"/>
        <v>42849</v>
      </c>
      <c r="G20" s="1002">
        <f>1176</f>
        <v>1176</v>
      </c>
      <c r="H20" s="1002">
        <v>16.149999999999999</v>
      </c>
      <c r="I20" s="1002">
        <f t="shared" si="0"/>
        <v>72.817337461300312</v>
      </c>
      <c r="J20" s="1002">
        <v>17</v>
      </c>
      <c r="K20" s="1002">
        <v>3.82</v>
      </c>
      <c r="L20" s="1002">
        <v>44.91</v>
      </c>
      <c r="M20" s="1002">
        <f t="shared" si="1"/>
        <v>1220.9100000000001</v>
      </c>
      <c r="N20" s="1002">
        <v>15.4</v>
      </c>
      <c r="O20" s="1002">
        <f t="shared" si="6"/>
        <v>1121.3869969040247</v>
      </c>
      <c r="P20" s="1002">
        <f t="shared" si="2"/>
        <v>99.523003095975355</v>
      </c>
      <c r="Q20" s="1002">
        <f t="shared" ca="1" si="3"/>
        <v>0</v>
      </c>
      <c r="R20" s="222"/>
      <c r="S20" s="223"/>
      <c r="T20" s="223"/>
      <c r="V20" s="224"/>
    </row>
    <row r="21" spans="1:24" x14ac:dyDescent="0.25">
      <c r="A21" s="1000" t="s">
        <v>150</v>
      </c>
      <c r="B21" s="1000" t="str">
        <f t="shared" si="4"/>
        <v>MARTES</v>
      </c>
      <c r="C21" s="1001">
        <v>42773</v>
      </c>
      <c r="D21" s="1022">
        <v>76</v>
      </c>
      <c r="E21" s="1000" t="str">
        <f t="shared" si="5"/>
        <v>LUNES</v>
      </c>
      <c r="F21" s="1001">
        <f t="shared" si="7"/>
        <v>42849</v>
      </c>
      <c r="G21" s="1002">
        <v>5000</v>
      </c>
      <c r="H21" s="1002">
        <v>16.05</v>
      </c>
      <c r="I21" s="1002">
        <f t="shared" si="0"/>
        <v>311.52647975077878</v>
      </c>
      <c r="J21" s="1002">
        <v>17</v>
      </c>
      <c r="K21" s="1002">
        <v>3.54</v>
      </c>
      <c r="L21" s="1002">
        <v>176.99</v>
      </c>
      <c r="M21" s="1002">
        <f t="shared" si="1"/>
        <v>5176.99</v>
      </c>
      <c r="N21" s="1002">
        <v>15.4</v>
      </c>
      <c r="O21" s="1002">
        <f t="shared" si="6"/>
        <v>4797.5077881619936</v>
      </c>
      <c r="P21" s="1002">
        <f t="shared" si="2"/>
        <v>379.48221183800615</v>
      </c>
      <c r="Q21" s="1002">
        <f t="shared" ca="1" si="3"/>
        <v>0</v>
      </c>
      <c r="R21" s="222"/>
      <c r="S21" s="223"/>
      <c r="T21" s="223"/>
      <c r="U21" s="228"/>
      <c r="V21" s="224"/>
    </row>
    <row r="22" spans="1:24" x14ac:dyDescent="0.25">
      <c r="A22" s="1000" t="s">
        <v>150</v>
      </c>
      <c r="B22" s="1000" t="str">
        <f t="shared" si="4"/>
        <v>LUNES</v>
      </c>
      <c r="C22" s="1001">
        <v>42779</v>
      </c>
      <c r="D22" s="1022">
        <v>70</v>
      </c>
      <c r="E22" s="1000" t="str">
        <f t="shared" si="5"/>
        <v>LUNES</v>
      </c>
      <c r="F22" s="1001">
        <f t="shared" si="7"/>
        <v>42849</v>
      </c>
      <c r="G22" s="1002">
        <f>3300</f>
        <v>3300</v>
      </c>
      <c r="H22" s="1002">
        <v>15.95</v>
      </c>
      <c r="I22" s="1002">
        <f t="shared" si="0"/>
        <v>206.89655172413794</v>
      </c>
      <c r="J22" s="1002">
        <v>17</v>
      </c>
      <c r="K22" s="1002">
        <v>3.26</v>
      </c>
      <c r="L22" s="1002">
        <v>107.59</v>
      </c>
      <c r="M22" s="1002">
        <f t="shared" si="1"/>
        <v>3407.59</v>
      </c>
      <c r="N22" s="1002">
        <v>15.4</v>
      </c>
      <c r="O22" s="1002">
        <f t="shared" si="6"/>
        <v>3186.2068965517242</v>
      </c>
      <c r="P22" s="1002">
        <f t="shared" si="2"/>
        <v>221.38310344827596</v>
      </c>
      <c r="Q22" s="1002">
        <f t="shared" ca="1" si="3"/>
        <v>0</v>
      </c>
      <c r="R22" s="222"/>
      <c r="S22" s="223"/>
      <c r="T22" s="223"/>
      <c r="U22" s="228"/>
      <c r="V22" s="224"/>
    </row>
    <row r="23" spans="1:24" x14ac:dyDescent="0.25">
      <c r="A23" s="1000" t="s">
        <v>150</v>
      </c>
      <c r="B23" s="1000" t="str">
        <f t="shared" si="4"/>
        <v>VIERNES</v>
      </c>
      <c r="C23" s="1001">
        <v>42783</v>
      </c>
      <c r="D23" s="1022">
        <v>66</v>
      </c>
      <c r="E23" s="1000" t="str">
        <f t="shared" si="5"/>
        <v>LUNES</v>
      </c>
      <c r="F23" s="1001">
        <f t="shared" si="7"/>
        <v>42849</v>
      </c>
      <c r="G23" s="1002">
        <v>4000</v>
      </c>
      <c r="H23" s="1002">
        <v>15.9</v>
      </c>
      <c r="I23" s="1002">
        <f t="shared" si="0"/>
        <v>251.57232704402514</v>
      </c>
      <c r="J23" s="1002">
        <v>17</v>
      </c>
      <c r="K23" s="1002">
        <v>3.07</v>
      </c>
      <c r="L23" s="1002">
        <v>122.96</v>
      </c>
      <c r="M23" s="1002">
        <f t="shared" si="1"/>
        <v>4122.96</v>
      </c>
      <c r="N23" s="1002">
        <v>15.4</v>
      </c>
      <c r="O23" s="1002">
        <f t="shared" si="6"/>
        <v>3874.2138364779871</v>
      </c>
      <c r="P23" s="1002">
        <f t="shared" si="2"/>
        <v>248.74616352201292</v>
      </c>
      <c r="Q23" s="1002">
        <f t="shared" ca="1" si="3"/>
        <v>0</v>
      </c>
      <c r="R23" s="222"/>
      <c r="S23" s="223"/>
      <c r="T23" s="223"/>
      <c r="U23" s="228"/>
      <c r="V23" s="224"/>
    </row>
    <row r="24" spans="1:24" x14ac:dyDescent="0.25">
      <c r="A24" s="1000" t="s">
        <v>150</v>
      </c>
      <c r="B24" s="1000" t="str">
        <f t="shared" si="4"/>
        <v>MIÉRCOLES</v>
      </c>
      <c r="C24" s="1001">
        <v>42788</v>
      </c>
      <c r="D24" s="1022">
        <v>61</v>
      </c>
      <c r="E24" s="1000" t="str">
        <f t="shared" si="5"/>
        <v>LUNES</v>
      </c>
      <c r="F24" s="1001">
        <f t="shared" si="7"/>
        <v>42849</v>
      </c>
      <c r="G24" s="1002">
        <v>13209.4</v>
      </c>
      <c r="H24" s="1002">
        <v>16</v>
      </c>
      <c r="I24" s="1002">
        <f t="shared" si="0"/>
        <v>825.58749999999998</v>
      </c>
      <c r="J24" s="1002">
        <v>17</v>
      </c>
      <c r="K24" s="1002">
        <v>2.84</v>
      </c>
      <c r="L24" s="1002">
        <v>375.29</v>
      </c>
      <c r="M24" s="1002">
        <f t="shared" si="1"/>
        <v>13584.69</v>
      </c>
      <c r="N24" s="1002">
        <v>15.4</v>
      </c>
      <c r="O24" s="1002">
        <f t="shared" si="6"/>
        <v>12714.047500000001</v>
      </c>
      <c r="P24" s="1002">
        <f t="shared" si="2"/>
        <v>870.64249999999993</v>
      </c>
      <c r="Q24" s="1002">
        <f t="shared" ca="1" si="3"/>
        <v>0</v>
      </c>
      <c r="R24" s="223"/>
      <c r="S24" s="223"/>
      <c r="T24" s="223"/>
      <c r="U24" s="224"/>
      <c r="V24" s="224"/>
      <c r="W24" s="224"/>
    </row>
    <row r="25" spans="1:24" x14ac:dyDescent="0.25">
      <c r="A25" s="1000" t="s">
        <v>150</v>
      </c>
      <c r="B25" s="1000" t="str">
        <f t="shared" si="4"/>
        <v>LUNES</v>
      </c>
      <c r="C25" s="1001">
        <v>42800</v>
      </c>
      <c r="D25" s="1022">
        <v>49</v>
      </c>
      <c r="E25" s="1000" t="str">
        <f t="shared" si="5"/>
        <v>LUNES</v>
      </c>
      <c r="F25" s="1001">
        <f t="shared" si="7"/>
        <v>42849</v>
      </c>
      <c r="G25" s="1002">
        <v>2200</v>
      </c>
      <c r="H25" s="1002">
        <v>15.8</v>
      </c>
      <c r="I25" s="1002">
        <f t="shared" si="0"/>
        <v>139.24050632911391</v>
      </c>
      <c r="J25" s="1002">
        <v>17</v>
      </c>
      <c r="K25" s="1002">
        <v>2.2799999999999998</v>
      </c>
      <c r="L25" s="1002">
        <v>50.21</v>
      </c>
      <c r="M25" s="1002">
        <f t="shared" si="1"/>
        <v>2250.21</v>
      </c>
      <c r="N25" s="1002">
        <v>15.4</v>
      </c>
      <c r="O25" s="1002">
        <f t="shared" si="6"/>
        <v>2144.3037974683543</v>
      </c>
      <c r="P25" s="1002">
        <f t="shared" si="2"/>
        <v>105.9062025316457</v>
      </c>
      <c r="Q25" s="1002">
        <f t="shared" ca="1" si="3"/>
        <v>0</v>
      </c>
      <c r="R25" s="223"/>
      <c r="S25" s="223"/>
      <c r="T25" s="223"/>
      <c r="U25" s="229"/>
      <c r="V25" s="224"/>
    </row>
    <row r="26" spans="1:24" x14ac:dyDescent="0.25">
      <c r="A26" s="1000" t="s">
        <v>150</v>
      </c>
      <c r="B26" s="1000" t="str">
        <f t="shared" si="4"/>
        <v>LUNES</v>
      </c>
      <c r="C26" s="1001">
        <v>42807</v>
      </c>
      <c r="D26" s="1022">
        <v>42</v>
      </c>
      <c r="E26" s="1000" t="str">
        <f t="shared" si="5"/>
        <v>LUNES</v>
      </c>
      <c r="F26" s="1001">
        <f t="shared" si="7"/>
        <v>42849</v>
      </c>
      <c r="G26" s="1002">
        <v>3700</v>
      </c>
      <c r="H26" s="1002">
        <v>15.9</v>
      </c>
      <c r="I26" s="1002">
        <f t="shared" si="0"/>
        <v>232.70440251572327</v>
      </c>
      <c r="J26" s="1002">
        <v>17</v>
      </c>
      <c r="K26" s="1002">
        <v>1.96</v>
      </c>
      <c r="L26" s="1002">
        <v>72.38</v>
      </c>
      <c r="M26" s="1002">
        <f t="shared" si="1"/>
        <v>3772.38</v>
      </c>
      <c r="N26" s="1002">
        <v>15.4</v>
      </c>
      <c r="O26" s="1002">
        <f t="shared" si="6"/>
        <v>3583.6477987421385</v>
      </c>
      <c r="P26" s="1002">
        <f t="shared" si="2"/>
        <v>188.73220125786156</v>
      </c>
      <c r="Q26" s="1002">
        <f t="shared" ca="1" si="3"/>
        <v>0</v>
      </c>
      <c r="R26" s="223"/>
      <c r="S26" s="222"/>
      <c r="T26" s="642"/>
      <c r="U26" s="224"/>
      <c r="V26" s="224"/>
    </row>
    <row r="27" spans="1:24" x14ac:dyDescent="0.25">
      <c r="A27" s="1000" t="s">
        <v>150</v>
      </c>
      <c r="B27" s="1000" t="str">
        <f t="shared" si="4"/>
        <v>LUNES</v>
      </c>
      <c r="C27" s="1001">
        <v>42849</v>
      </c>
      <c r="D27" s="1022">
        <v>94</v>
      </c>
      <c r="E27" s="1000" t="str">
        <f t="shared" si="5"/>
        <v>JUEVES</v>
      </c>
      <c r="F27" s="1001">
        <f t="shared" si="7"/>
        <v>42943</v>
      </c>
      <c r="G27" s="1002">
        <v>113000</v>
      </c>
      <c r="H27" s="1002">
        <v>15.85</v>
      </c>
      <c r="I27" s="1002">
        <f t="shared" si="0"/>
        <v>7129.3375394321765</v>
      </c>
      <c r="J27" s="1002">
        <v>16.5</v>
      </c>
      <c r="K27" s="1002">
        <f>(+J27/365)*D27</f>
        <v>4.2493150684931509</v>
      </c>
      <c r="L27" s="1002">
        <v>4801.7299999999996</v>
      </c>
      <c r="M27" s="1002">
        <f t="shared" si="1"/>
        <v>117801.73</v>
      </c>
      <c r="N27" s="1002">
        <v>17.3</v>
      </c>
      <c r="O27" s="1002">
        <f t="shared" si="6"/>
        <v>123337.53943217667</v>
      </c>
      <c r="P27" s="1002">
        <f t="shared" si="2"/>
        <v>-5535.8094321766694</v>
      </c>
      <c r="Q27" s="1002">
        <f t="shared" ca="1" si="3"/>
        <v>0</v>
      </c>
      <c r="R27" s="223"/>
      <c r="S27" s="223"/>
      <c r="T27" s="223"/>
      <c r="U27" s="224"/>
      <c r="V27" s="224"/>
    </row>
    <row r="28" spans="1:24" x14ac:dyDescent="0.25">
      <c r="A28" s="1000" t="s">
        <v>150</v>
      </c>
      <c r="B28" s="1000" t="str">
        <f t="shared" si="4"/>
        <v>LUNES</v>
      </c>
      <c r="C28" s="1001">
        <v>42842</v>
      </c>
      <c r="D28" s="1022">
        <v>101</v>
      </c>
      <c r="E28" s="1000" t="str">
        <f t="shared" si="5"/>
        <v>JUEVES</v>
      </c>
      <c r="F28" s="1001">
        <f t="shared" si="7"/>
        <v>42943</v>
      </c>
      <c r="G28" s="1002">
        <v>3400</v>
      </c>
      <c r="H28" s="1002">
        <v>15.65</v>
      </c>
      <c r="I28" s="1002">
        <f t="shared" si="0"/>
        <v>217.25239616613419</v>
      </c>
      <c r="J28" s="1002">
        <v>16.5</v>
      </c>
      <c r="K28" s="1002">
        <v>4.57</v>
      </c>
      <c r="L28" s="1002">
        <v>155.24</v>
      </c>
      <c r="M28" s="1002">
        <f t="shared" si="1"/>
        <v>3555.24</v>
      </c>
      <c r="N28" s="1002">
        <v>17.3</v>
      </c>
      <c r="O28" s="1002">
        <f t="shared" si="6"/>
        <v>3758.4664536741216</v>
      </c>
      <c r="P28" s="1002">
        <f t="shared" si="2"/>
        <v>-203.22645367412179</v>
      </c>
      <c r="Q28" s="1002">
        <f t="shared" ca="1" si="3"/>
        <v>0</v>
      </c>
      <c r="R28" s="223"/>
      <c r="S28" s="223"/>
      <c r="T28" s="223"/>
      <c r="U28" s="224"/>
      <c r="V28" s="224"/>
      <c r="W28" s="224"/>
      <c r="X28" s="224"/>
    </row>
    <row r="29" spans="1:24" x14ac:dyDescent="0.25">
      <c r="A29" s="1000" t="s">
        <v>150</v>
      </c>
      <c r="B29" s="1000" t="str">
        <f t="shared" si="4"/>
        <v>LUNES</v>
      </c>
      <c r="C29" s="1001">
        <v>42870</v>
      </c>
      <c r="D29" s="1022">
        <v>73</v>
      </c>
      <c r="E29" s="1000" t="str">
        <f t="shared" si="5"/>
        <v>JUEVES</v>
      </c>
      <c r="F29" s="1001">
        <f t="shared" si="7"/>
        <v>42943</v>
      </c>
      <c r="G29" s="1002">
        <v>8500</v>
      </c>
      <c r="H29" s="1002">
        <v>15.85</v>
      </c>
      <c r="I29" s="1002">
        <f t="shared" si="0"/>
        <v>536.27760252365931</v>
      </c>
      <c r="J29" s="1002">
        <v>16.5</v>
      </c>
      <c r="K29" s="1002">
        <v>3.3</v>
      </c>
      <c r="L29" s="1002">
        <v>280.5</v>
      </c>
      <c r="M29" s="1002">
        <f t="shared" si="1"/>
        <v>8780.5</v>
      </c>
      <c r="N29" s="1002">
        <v>17.3</v>
      </c>
      <c r="O29" s="1002">
        <f t="shared" si="6"/>
        <v>9277.6025236593068</v>
      </c>
      <c r="P29" s="1002">
        <f t="shared" si="2"/>
        <v>-497.10252365930683</v>
      </c>
      <c r="Q29" s="1002">
        <f t="shared" ca="1" si="3"/>
        <v>0</v>
      </c>
      <c r="R29" s="223"/>
      <c r="S29" s="223"/>
      <c r="T29" s="223"/>
      <c r="U29" s="224"/>
      <c r="V29" s="224"/>
    </row>
    <row r="30" spans="1:24" x14ac:dyDescent="0.25">
      <c r="A30" s="1000" t="s">
        <v>150</v>
      </c>
      <c r="B30" s="1000" t="str">
        <f t="shared" si="4"/>
        <v>VIERNES</v>
      </c>
      <c r="C30" s="1001">
        <v>42895</v>
      </c>
      <c r="D30" s="1022">
        <v>48</v>
      </c>
      <c r="E30" s="1000" t="str">
        <f t="shared" si="5"/>
        <v>JUEVES</v>
      </c>
      <c r="F30" s="1001">
        <f t="shared" si="7"/>
        <v>42943</v>
      </c>
      <c r="G30" s="1002">
        <v>3000</v>
      </c>
      <c r="H30" s="1002">
        <v>16.25</v>
      </c>
      <c r="I30" s="1002">
        <f t="shared" si="0"/>
        <v>184.61538461538461</v>
      </c>
      <c r="J30" s="1002">
        <v>16.5</v>
      </c>
      <c r="K30" s="1002">
        <v>2.17</v>
      </c>
      <c r="L30" s="1002">
        <v>65.099999999999994</v>
      </c>
      <c r="M30" s="1002">
        <f t="shared" si="1"/>
        <v>3065.1</v>
      </c>
      <c r="N30" s="1002">
        <v>17.3</v>
      </c>
      <c r="O30" s="1002">
        <f t="shared" si="6"/>
        <v>3193.8461538461538</v>
      </c>
      <c r="P30" s="1002">
        <f t="shared" si="2"/>
        <v>-128.7461538461539</v>
      </c>
      <c r="Q30" s="1002">
        <f t="shared" ca="1" si="3"/>
        <v>0</v>
      </c>
      <c r="R30" s="223"/>
      <c r="S30" s="223"/>
      <c r="T30" s="223"/>
      <c r="U30" s="230"/>
      <c r="V30" s="224"/>
    </row>
    <row r="31" spans="1:24" x14ac:dyDescent="0.25">
      <c r="A31" s="1000" t="s">
        <v>150</v>
      </c>
      <c r="B31" s="1000" t="str">
        <f t="shared" si="4"/>
        <v>MARTES</v>
      </c>
      <c r="C31" s="1001">
        <v>42899</v>
      </c>
      <c r="D31" s="1022">
        <v>44</v>
      </c>
      <c r="E31" s="1000" t="str">
        <f t="shared" si="5"/>
        <v>JUEVES</v>
      </c>
      <c r="F31" s="1001">
        <f t="shared" si="7"/>
        <v>42943</v>
      </c>
      <c r="G31" s="1002">
        <v>2000</v>
      </c>
      <c r="H31" s="1002">
        <v>16.2</v>
      </c>
      <c r="I31" s="1002">
        <f t="shared" si="0"/>
        <v>123.4567901234568</v>
      </c>
      <c r="J31" s="1002">
        <v>16.5</v>
      </c>
      <c r="K31" s="1002">
        <v>1.99</v>
      </c>
      <c r="L31" s="1002">
        <v>39.78</v>
      </c>
      <c r="M31" s="1002">
        <f t="shared" si="1"/>
        <v>2039.78</v>
      </c>
      <c r="N31" s="1002">
        <v>17.3</v>
      </c>
      <c r="O31" s="1002">
        <f t="shared" si="6"/>
        <v>2135.8024691358028</v>
      </c>
      <c r="P31" s="1002">
        <f t="shared" si="2"/>
        <v>-96.022469135802794</v>
      </c>
      <c r="Q31" s="1002">
        <f t="shared" ca="1" si="3"/>
        <v>0</v>
      </c>
      <c r="R31" s="223"/>
      <c r="S31" s="223"/>
      <c r="T31" s="223"/>
      <c r="U31" s="230"/>
      <c r="V31" s="224"/>
    </row>
    <row r="32" spans="1:24" x14ac:dyDescent="0.25">
      <c r="A32" s="1000" t="s">
        <v>150</v>
      </c>
      <c r="B32" s="1000" t="str">
        <f t="shared" si="4"/>
        <v>MIÉRCOLES</v>
      </c>
      <c r="C32" s="1001">
        <v>42900</v>
      </c>
      <c r="D32" s="1022">
        <v>43</v>
      </c>
      <c r="E32" s="1000" t="str">
        <f t="shared" si="5"/>
        <v>JUEVES</v>
      </c>
      <c r="F32" s="1001">
        <f t="shared" si="7"/>
        <v>42943</v>
      </c>
      <c r="G32" s="1002">
        <v>2000</v>
      </c>
      <c r="H32" s="1002">
        <v>16.3</v>
      </c>
      <c r="I32" s="1002">
        <f>+G32/H32</f>
        <v>122.69938650306747</v>
      </c>
      <c r="J32" s="1002">
        <v>16.5</v>
      </c>
      <c r="K32" s="1002">
        <f>(+J32/365)*D32</f>
        <v>1.9438356164383563</v>
      </c>
      <c r="L32" s="1002">
        <f>G32*(K32/100)</f>
        <v>38.876712328767127</v>
      </c>
      <c r="M32" s="1002">
        <f>+L32+G32</f>
        <v>2038.8767123287671</v>
      </c>
      <c r="N32" s="1002">
        <v>17.3</v>
      </c>
      <c r="O32" s="1002">
        <f>+I32*N32</f>
        <v>2122.6993865030672</v>
      </c>
      <c r="P32" s="1002">
        <f>+M32-O32</f>
        <v>-83.822674174300118</v>
      </c>
      <c r="Q32" s="1002">
        <f t="shared" ca="1" si="3"/>
        <v>0</v>
      </c>
      <c r="R32" s="223"/>
      <c r="S32" s="223"/>
      <c r="T32" s="223"/>
      <c r="U32" s="231"/>
      <c r="V32" s="226"/>
    </row>
    <row r="33" spans="1:24" x14ac:dyDescent="0.25">
      <c r="A33" s="1000" t="s">
        <v>150</v>
      </c>
      <c r="B33" s="1000" t="str">
        <f t="shared" si="4"/>
        <v>JUEVES</v>
      </c>
      <c r="C33" s="1001">
        <v>42908</v>
      </c>
      <c r="D33" s="1022">
        <v>35</v>
      </c>
      <c r="E33" s="1000" t="str">
        <f t="shared" si="5"/>
        <v>JUEVES</v>
      </c>
      <c r="F33" s="1001">
        <f t="shared" si="7"/>
        <v>42943</v>
      </c>
      <c r="G33" s="1002">
        <v>1200</v>
      </c>
      <c r="H33" s="1002">
        <v>16.45</v>
      </c>
      <c r="I33" s="1002">
        <f>+G33/H33</f>
        <v>72.948328267477208</v>
      </c>
      <c r="J33" s="1002">
        <v>17</v>
      </c>
      <c r="K33" s="1002">
        <v>1.63</v>
      </c>
      <c r="L33" s="1002">
        <v>19.559999999999999</v>
      </c>
      <c r="M33" s="1002">
        <f>+L33+G33</f>
        <v>1219.56</v>
      </c>
      <c r="N33" s="1002">
        <v>17.3</v>
      </c>
      <c r="O33" s="1002">
        <f>+I33*N33</f>
        <v>1262.0060790273558</v>
      </c>
      <c r="P33" s="1002">
        <f>+M33-O33</f>
        <v>-42.446079027355836</v>
      </c>
      <c r="Q33" s="1002">
        <f t="shared" ca="1" si="3"/>
        <v>0</v>
      </c>
      <c r="R33" s="223"/>
      <c r="S33" s="223"/>
      <c r="T33" s="223"/>
      <c r="U33" s="231"/>
      <c r="V33" s="226"/>
    </row>
    <row r="34" spans="1:24" x14ac:dyDescent="0.25">
      <c r="A34" s="1000" t="s">
        <v>150</v>
      </c>
      <c r="B34" s="1000" t="str">
        <f t="shared" si="4"/>
        <v>JUEVES</v>
      </c>
      <c r="C34" s="1001">
        <v>42908</v>
      </c>
      <c r="D34" s="1022">
        <v>35</v>
      </c>
      <c r="E34" s="1000" t="str">
        <f t="shared" si="5"/>
        <v>JUEVES</v>
      </c>
      <c r="F34" s="1001">
        <f t="shared" si="7"/>
        <v>42943</v>
      </c>
      <c r="G34" s="1002">
        <v>500</v>
      </c>
      <c r="H34" s="1002">
        <v>16.45</v>
      </c>
      <c r="I34" s="1002">
        <f>+G34/H34</f>
        <v>30.395136778115504</v>
      </c>
      <c r="J34" s="1002">
        <v>17</v>
      </c>
      <c r="K34" s="1002">
        <v>1.63</v>
      </c>
      <c r="L34" s="1002">
        <v>8.15</v>
      </c>
      <c r="M34" s="1002">
        <f>+L34+G34</f>
        <v>508.15</v>
      </c>
      <c r="N34" s="1002">
        <v>17.3</v>
      </c>
      <c r="O34" s="1002">
        <f>+I34*N34</f>
        <v>525.83586626139822</v>
      </c>
      <c r="P34" s="1002">
        <f>+M34-O34</f>
        <v>-17.685866261398246</v>
      </c>
      <c r="Q34" s="1002">
        <f t="shared" ref="Q34:Q70" ca="1" si="8">IF(TODAY()&lt;F34,IF(TODAY()&gt;=C34,M34,0),0)</f>
        <v>0</v>
      </c>
      <c r="R34" s="223"/>
      <c r="S34" s="223"/>
      <c r="T34" s="223"/>
      <c r="U34" s="229"/>
      <c r="V34" s="224"/>
    </row>
    <row r="35" spans="1:24" x14ac:dyDescent="0.25">
      <c r="A35" s="1000" t="s">
        <v>205</v>
      </c>
      <c r="B35" s="1000" t="str">
        <f t="shared" si="4"/>
        <v>MIÉRCOLES</v>
      </c>
      <c r="C35" s="1001">
        <v>42963</v>
      </c>
      <c r="D35" s="1022">
        <v>154</v>
      </c>
      <c r="E35" s="1000" t="str">
        <f t="shared" si="5"/>
        <v>MIÉRCOLES</v>
      </c>
      <c r="F35" s="1001">
        <f t="shared" si="7"/>
        <v>43117</v>
      </c>
      <c r="G35" s="1002">
        <f>95000-L35</f>
        <v>85527.55</v>
      </c>
      <c r="H35" s="1002">
        <v>17.399999999999999</v>
      </c>
      <c r="I35" s="1002">
        <f t="shared" si="0"/>
        <v>4915.3764367816102</v>
      </c>
      <c r="J35" s="1002">
        <v>23.65</v>
      </c>
      <c r="K35" s="1002">
        <v>9.98</v>
      </c>
      <c r="L35" s="1002">
        <v>9472.4500000000007</v>
      </c>
      <c r="M35" s="1002">
        <f t="shared" si="1"/>
        <v>95000</v>
      </c>
      <c r="N35" s="1002">
        <v>18.5</v>
      </c>
      <c r="O35" s="1002">
        <f t="shared" si="6"/>
        <v>90934.464080459788</v>
      </c>
      <c r="P35" s="1002">
        <f t="shared" si="2"/>
        <v>4065.5359195402125</v>
      </c>
      <c r="Q35" s="1002">
        <f t="shared" ca="1" si="8"/>
        <v>0</v>
      </c>
      <c r="R35" s="655">
        <f>+R36/12</f>
        <v>1651.8488926940643</v>
      </c>
      <c r="S35" s="657"/>
      <c r="T35" s="657"/>
      <c r="U35" s="224"/>
      <c r="V35" s="224"/>
    </row>
    <row r="36" spans="1:24" x14ac:dyDescent="0.25">
      <c r="A36" s="1000" t="s">
        <v>150</v>
      </c>
      <c r="B36" s="1000" t="str">
        <f t="shared" si="4"/>
        <v>MIÉRCOLES</v>
      </c>
      <c r="C36" s="1001">
        <v>42963</v>
      </c>
      <c r="D36" s="1022">
        <v>120</v>
      </c>
      <c r="E36" s="1000" t="str">
        <f t="shared" si="5"/>
        <v>JUEVES</v>
      </c>
      <c r="F36" s="1001">
        <v>43083</v>
      </c>
      <c r="G36" s="1002">
        <v>9000</v>
      </c>
      <c r="H36" s="1002">
        <v>17.399999999999999</v>
      </c>
      <c r="I36" s="1002">
        <f t="shared" si="0"/>
        <v>517.24137931034488</v>
      </c>
      <c r="J36" s="1002">
        <v>17.5</v>
      </c>
      <c r="K36" s="1002">
        <v>5.75</v>
      </c>
      <c r="L36" s="1002">
        <v>517.80999999999995</v>
      </c>
      <c r="M36" s="1002">
        <f t="shared" si="1"/>
        <v>9517.81</v>
      </c>
      <c r="N36" s="1002">
        <v>17.3</v>
      </c>
      <c r="O36" s="1002">
        <f t="shared" si="6"/>
        <v>8948.2758620689674</v>
      </c>
      <c r="P36" s="1002">
        <f t="shared" si="2"/>
        <v>569.53413793103209</v>
      </c>
      <c r="Q36" s="1002">
        <f t="shared" ca="1" si="8"/>
        <v>0</v>
      </c>
      <c r="R36" s="655">
        <f>SUM(L13:L36)</f>
        <v>19822.18671232877</v>
      </c>
      <c r="S36" s="655">
        <f>COUNTA(D13:D36)</f>
        <v>24</v>
      </c>
      <c r="T36" s="655"/>
      <c r="U36" s="228"/>
      <c r="V36" s="224"/>
      <c r="W36" s="224"/>
      <c r="X36" s="224"/>
    </row>
    <row r="37" spans="1:24" x14ac:dyDescent="0.25">
      <c r="A37" s="1003" t="s">
        <v>150</v>
      </c>
      <c r="B37" s="1000" t="str">
        <f t="shared" si="4"/>
        <v>JUEVES</v>
      </c>
      <c r="C37" s="1004">
        <v>43118</v>
      </c>
      <c r="D37" s="1023">
        <v>32</v>
      </c>
      <c r="E37" s="1000" t="str">
        <f t="shared" si="5"/>
        <v>LUNES</v>
      </c>
      <c r="F37" s="1004">
        <f t="shared" ref="F37:F73" si="9">+C37+D37</f>
        <v>43150</v>
      </c>
      <c r="G37" s="1005">
        <v>74600</v>
      </c>
      <c r="H37" s="1005">
        <v>19.2</v>
      </c>
      <c r="I37" s="1005">
        <f t="shared" si="0"/>
        <v>3885.416666666667</v>
      </c>
      <c r="J37" s="1005">
        <v>22</v>
      </c>
      <c r="K37" s="1005">
        <v>1.93</v>
      </c>
      <c r="L37" s="1005">
        <v>1438.86</v>
      </c>
      <c r="M37" s="1005">
        <f t="shared" si="1"/>
        <v>76038.86</v>
      </c>
      <c r="N37" s="1005">
        <v>20.3</v>
      </c>
      <c r="O37" s="1005">
        <f>+N37*I37</f>
        <v>78873.958333333343</v>
      </c>
      <c r="P37" s="1005">
        <f t="shared" ref="P37:P43" si="10">+M37-O37</f>
        <v>-2835.0983333333425</v>
      </c>
      <c r="Q37" s="1005">
        <f t="shared" ca="1" si="8"/>
        <v>0</v>
      </c>
      <c r="R37" s="222"/>
      <c r="S37" s="222"/>
      <c r="T37" s="642"/>
      <c r="U37" s="228"/>
      <c r="V37" s="224"/>
    </row>
    <row r="38" spans="1:24" x14ac:dyDescent="0.25">
      <c r="A38" s="1003" t="s">
        <v>150</v>
      </c>
      <c r="B38" s="1000" t="str">
        <f t="shared" si="4"/>
        <v>LUNES</v>
      </c>
      <c r="C38" s="1004">
        <v>43157</v>
      </c>
      <c r="D38" s="1023">
        <v>42</v>
      </c>
      <c r="E38" s="1000" t="str">
        <f t="shared" si="5"/>
        <v>LUNES</v>
      </c>
      <c r="F38" s="1004">
        <f t="shared" si="9"/>
        <v>43199</v>
      </c>
      <c r="G38" s="1005">
        <v>50000</v>
      </c>
      <c r="H38" s="1005">
        <v>20.3</v>
      </c>
      <c r="I38" s="1005">
        <f t="shared" si="0"/>
        <v>2463.0541871921182</v>
      </c>
      <c r="J38" s="1005">
        <v>22.438400000000001</v>
      </c>
      <c r="K38" s="1005">
        <v>2.59</v>
      </c>
      <c r="L38" s="1005">
        <v>1294.52</v>
      </c>
      <c r="M38" s="1005">
        <f t="shared" si="1"/>
        <v>51294.52</v>
      </c>
      <c r="N38" s="1005">
        <v>20.3</v>
      </c>
      <c r="O38" s="1005">
        <f>+I38*N38</f>
        <v>50000</v>
      </c>
      <c r="P38" s="1005">
        <f t="shared" si="10"/>
        <v>1294.5199999999968</v>
      </c>
      <c r="Q38" s="1005">
        <f t="shared" ca="1" si="8"/>
        <v>0</v>
      </c>
      <c r="R38" s="222"/>
      <c r="S38" s="222"/>
      <c r="T38" s="642"/>
      <c r="U38" s="228"/>
      <c r="V38" s="224"/>
    </row>
    <row r="39" spans="1:24" x14ac:dyDescent="0.25">
      <c r="A39" s="1006" t="s">
        <v>150</v>
      </c>
      <c r="B39" s="1000" t="str">
        <f t="shared" si="4"/>
        <v>VIERNES</v>
      </c>
      <c r="C39" s="1007">
        <v>43168</v>
      </c>
      <c r="D39" s="1024">
        <v>31</v>
      </c>
      <c r="E39" s="1000" t="str">
        <f t="shared" si="5"/>
        <v>LUNES</v>
      </c>
      <c r="F39" s="1007">
        <f t="shared" si="9"/>
        <v>43199</v>
      </c>
      <c r="G39" s="1008">
        <v>5282.24</v>
      </c>
      <c r="H39" s="1008">
        <v>20.55</v>
      </c>
      <c r="I39" s="1008">
        <f t="shared" ref="I39:I47" si="11">+G39/H39</f>
        <v>257.04330900243309</v>
      </c>
      <c r="J39" s="1008">
        <v>22.5</v>
      </c>
      <c r="K39" s="1008">
        <v>1.91</v>
      </c>
      <c r="L39" s="1008">
        <v>100.94</v>
      </c>
      <c r="M39" s="1008">
        <f t="shared" ref="M39:M47" si="12">+L39+G39</f>
        <v>5383.1799999999994</v>
      </c>
      <c r="N39" s="1005">
        <v>20.3</v>
      </c>
      <c r="O39" s="1008">
        <f t="shared" ref="O39:O59" si="13">+N39*I39</f>
        <v>5217.9791727493921</v>
      </c>
      <c r="P39" s="1005">
        <f t="shared" si="10"/>
        <v>165.20082725060729</v>
      </c>
      <c r="Q39" s="1008">
        <f t="shared" ca="1" si="8"/>
        <v>0</v>
      </c>
      <c r="R39" s="223"/>
      <c r="S39" s="223"/>
      <c r="T39" s="223"/>
      <c r="U39" s="224"/>
    </row>
    <row r="40" spans="1:24" x14ac:dyDescent="0.25">
      <c r="A40" s="1009" t="s">
        <v>150</v>
      </c>
      <c r="B40" s="1000" t="str">
        <f t="shared" ref="B40:B50" si="14">UPPER(TEXT(C40,"dddd"))</f>
        <v>LUNES</v>
      </c>
      <c r="C40" s="1010">
        <v>43199</v>
      </c>
      <c r="D40" s="1025">
        <v>36</v>
      </c>
      <c r="E40" s="1000" t="str">
        <f t="shared" si="5"/>
        <v>MARTES</v>
      </c>
      <c r="F40" s="1010">
        <f t="shared" si="9"/>
        <v>43235</v>
      </c>
      <c r="G40" s="1011">
        <f>+M38+M39+2022.3</f>
        <v>58700</v>
      </c>
      <c r="H40" s="1011">
        <v>20.25</v>
      </c>
      <c r="I40" s="1011">
        <f t="shared" si="11"/>
        <v>2898.7654320987654</v>
      </c>
      <c r="J40" s="1011">
        <v>22.5</v>
      </c>
      <c r="K40" s="1011">
        <v>2.2200000000000002</v>
      </c>
      <c r="L40" s="1011">
        <v>1302.6600000000001</v>
      </c>
      <c r="M40" s="1008">
        <f t="shared" si="12"/>
        <v>60002.66</v>
      </c>
      <c r="N40" s="1011">
        <v>23</v>
      </c>
      <c r="O40" s="1011">
        <f t="shared" si="13"/>
        <v>66671.604938271601</v>
      </c>
      <c r="P40" s="1011">
        <f t="shared" si="10"/>
        <v>-6668.9449382715975</v>
      </c>
      <c r="Q40" s="1011">
        <f t="shared" ca="1" si="8"/>
        <v>0</v>
      </c>
      <c r="R40" s="227"/>
      <c r="S40" s="223"/>
      <c r="T40" s="223"/>
      <c r="U40" s="224"/>
    </row>
    <row r="41" spans="1:24" x14ac:dyDescent="0.25">
      <c r="A41" s="1003" t="s">
        <v>150</v>
      </c>
      <c r="B41" s="1003" t="str">
        <f t="shared" si="14"/>
        <v>MARTES</v>
      </c>
      <c r="C41" s="1004">
        <v>43235</v>
      </c>
      <c r="D41" s="1023">
        <v>66</v>
      </c>
      <c r="E41" s="1000" t="str">
        <f t="shared" si="5"/>
        <v>VIERNES</v>
      </c>
      <c r="F41" s="1004">
        <f t="shared" si="9"/>
        <v>43301</v>
      </c>
      <c r="G41" s="1005">
        <v>64550</v>
      </c>
      <c r="H41" s="1005">
        <v>25.5</v>
      </c>
      <c r="I41" s="1005">
        <f>+G41/H41</f>
        <v>2531.372549019608</v>
      </c>
      <c r="J41" s="1005">
        <v>28</v>
      </c>
      <c r="K41" s="1005">
        <v>5.0599999999999996</v>
      </c>
      <c r="L41" s="1005">
        <v>3268.18</v>
      </c>
      <c r="M41" s="1005">
        <f>+L41+G41</f>
        <v>67818.179999999993</v>
      </c>
      <c r="N41" s="1005">
        <v>27.3</v>
      </c>
      <c r="O41" s="1008">
        <f t="shared" si="13"/>
        <v>69106.470588235301</v>
      </c>
      <c r="P41" s="1005">
        <f t="shared" si="10"/>
        <v>-1288.290588235308</v>
      </c>
      <c r="Q41" s="1005">
        <f t="shared" ca="1" si="8"/>
        <v>0</v>
      </c>
      <c r="R41" s="227"/>
      <c r="S41" s="223"/>
      <c r="T41" s="223"/>
      <c r="U41" s="224"/>
    </row>
    <row r="42" spans="1:24" x14ac:dyDescent="0.25">
      <c r="A42" s="1003" t="s">
        <v>150</v>
      </c>
      <c r="B42" s="1003" t="str">
        <f t="shared" si="14"/>
        <v>VIERNES</v>
      </c>
      <c r="C42" s="1004">
        <v>43252</v>
      </c>
      <c r="D42" s="1023">
        <v>49</v>
      </c>
      <c r="E42" s="1000" t="str">
        <f t="shared" si="5"/>
        <v>VIERNES</v>
      </c>
      <c r="F42" s="1004">
        <f t="shared" si="9"/>
        <v>43301</v>
      </c>
      <c r="G42" s="1005">
        <v>3000</v>
      </c>
      <c r="H42" s="1005">
        <v>25.6</v>
      </c>
      <c r="I42" s="1005">
        <f t="shared" si="11"/>
        <v>117.1875</v>
      </c>
      <c r="J42" s="1005">
        <v>28</v>
      </c>
      <c r="K42" s="1005">
        <v>3.76</v>
      </c>
      <c r="L42" s="1005">
        <v>112.77</v>
      </c>
      <c r="M42" s="1005">
        <f t="shared" si="12"/>
        <v>3112.77</v>
      </c>
      <c r="N42" s="1005">
        <v>27.3</v>
      </c>
      <c r="O42" s="1005">
        <f t="shared" si="13"/>
        <v>3199.21875</v>
      </c>
      <c r="P42" s="1005">
        <f t="shared" si="10"/>
        <v>-86.448750000000018</v>
      </c>
      <c r="Q42" s="1005">
        <f t="shared" ca="1" si="8"/>
        <v>0</v>
      </c>
      <c r="U42" s="224"/>
      <c r="V42" s="224"/>
    </row>
    <row r="43" spans="1:24" x14ac:dyDescent="0.25">
      <c r="A43" s="1012" t="s">
        <v>150</v>
      </c>
      <c r="B43" s="1012" t="str">
        <f t="shared" si="14"/>
        <v>VIERNES</v>
      </c>
      <c r="C43" s="1013">
        <v>43301</v>
      </c>
      <c r="D43" s="1026">
        <v>151</v>
      </c>
      <c r="E43" s="1000" t="str">
        <f t="shared" si="5"/>
        <v>MARTES</v>
      </c>
      <c r="F43" s="1013">
        <f t="shared" si="9"/>
        <v>43452</v>
      </c>
      <c r="G43" s="1014">
        <v>70000</v>
      </c>
      <c r="H43" s="1014">
        <v>28.4</v>
      </c>
      <c r="I43" s="1014">
        <f>+G43/H43</f>
        <v>2464.7887323943664</v>
      </c>
      <c r="J43" s="1014">
        <v>35</v>
      </c>
      <c r="K43" s="1014">
        <v>14.48</v>
      </c>
      <c r="L43" s="1014">
        <v>10135.620000000001</v>
      </c>
      <c r="M43" s="1014">
        <f>+L43+G43</f>
        <v>80135.62</v>
      </c>
      <c r="N43" s="1014">
        <v>30.4</v>
      </c>
      <c r="O43" s="1014">
        <f t="shared" si="13"/>
        <v>74929.57746478873</v>
      </c>
      <c r="P43" s="1014">
        <f t="shared" si="10"/>
        <v>5206.0425352112652</v>
      </c>
      <c r="Q43" s="1014">
        <f t="shared" ca="1" si="8"/>
        <v>0</v>
      </c>
      <c r="U43" s="224"/>
      <c r="V43" s="224"/>
    </row>
    <row r="44" spans="1:24" x14ac:dyDescent="0.25">
      <c r="A44" s="1003" t="s">
        <v>150</v>
      </c>
      <c r="B44" s="1003" t="str">
        <f t="shared" si="14"/>
        <v>VIERNES</v>
      </c>
      <c r="C44" s="1004">
        <v>43308</v>
      </c>
      <c r="D44" s="1023">
        <v>144</v>
      </c>
      <c r="E44" s="1000" t="str">
        <f t="shared" si="5"/>
        <v>MARTES</v>
      </c>
      <c r="F44" s="1004">
        <f t="shared" si="9"/>
        <v>43452</v>
      </c>
      <c r="G44" s="1005">
        <v>1700</v>
      </c>
      <c r="H44" s="1005">
        <v>28</v>
      </c>
      <c r="I44" s="1005">
        <f t="shared" si="11"/>
        <v>60.714285714285715</v>
      </c>
      <c r="J44" s="1005">
        <v>35</v>
      </c>
      <c r="K44" s="1005">
        <v>13.81</v>
      </c>
      <c r="L44" s="1005">
        <v>234.74</v>
      </c>
      <c r="M44" s="1005">
        <f t="shared" si="12"/>
        <v>1934.74</v>
      </c>
      <c r="N44" s="1014">
        <v>30.4</v>
      </c>
      <c r="O44" s="1005">
        <f t="shared" si="13"/>
        <v>1845.7142857142856</v>
      </c>
      <c r="P44" s="1005">
        <f t="shared" ref="P44:P59" si="15">+M44-O44</f>
        <v>89.025714285714457</v>
      </c>
      <c r="Q44" s="1005">
        <f t="shared" ca="1" si="8"/>
        <v>0</v>
      </c>
      <c r="U44" s="224"/>
    </row>
    <row r="45" spans="1:24" x14ac:dyDescent="0.25">
      <c r="A45" s="1003" t="s">
        <v>150</v>
      </c>
      <c r="B45" s="1003" t="str">
        <f>UPPER(TEXT(C45,"dddd"))</f>
        <v>JUEVES</v>
      </c>
      <c r="C45" s="1004">
        <v>43314</v>
      </c>
      <c r="D45" s="1023">
        <v>138</v>
      </c>
      <c r="E45" s="1000" t="str">
        <f t="shared" si="5"/>
        <v>MARTES</v>
      </c>
      <c r="F45" s="1004">
        <f t="shared" si="9"/>
        <v>43452</v>
      </c>
      <c r="G45" s="1005">
        <v>7100</v>
      </c>
      <c r="H45" s="1005">
        <v>28.35</v>
      </c>
      <c r="I45" s="1005">
        <f>+G45/H45</f>
        <v>250.44091710758377</v>
      </c>
      <c r="J45" s="1005">
        <v>35</v>
      </c>
      <c r="K45" s="1005">
        <v>13.23</v>
      </c>
      <c r="L45" s="1005">
        <v>939.53</v>
      </c>
      <c r="M45" s="1005">
        <f>+L45+G45</f>
        <v>8039.53</v>
      </c>
      <c r="N45" s="1014">
        <v>30.4</v>
      </c>
      <c r="O45" s="1005">
        <f t="shared" si="13"/>
        <v>7613.4038800705466</v>
      </c>
      <c r="P45" s="1005">
        <f t="shared" si="15"/>
        <v>426.12611992945313</v>
      </c>
      <c r="Q45" s="1005">
        <f t="shared" ca="1" si="8"/>
        <v>0</v>
      </c>
      <c r="U45" s="224"/>
    </row>
    <row r="46" spans="1:24" x14ac:dyDescent="0.25">
      <c r="A46" s="1003" t="s">
        <v>150</v>
      </c>
      <c r="B46" s="1003" t="str">
        <f>UPPER(TEXT(C46,"dddd"))</f>
        <v>JUEVES</v>
      </c>
      <c r="C46" s="1004">
        <v>43321</v>
      </c>
      <c r="D46" s="1023">
        <v>131</v>
      </c>
      <c r="E46" s="1000" t="str">
        <f t="shared" si="5"/>
        <v>MARTES</v>
      </c>
      <c r="F46" s="1004">
        <f t="shared" si="9"/>
        <v>43452</v>
      </c>
      <c r="G46" s="1005">
        <v>1700</v>
      </c>
      <c r="H46" s="1005">
        <v>28.65</v>
      </c>
      <c r="I46" s="1005">
        <f>+G46/H46</f>
        <v>59.336823734729499</v>
      </c>
      <c r="J46" s="1005">
        <v>35</v>
      </c>
      <c r="K46" s="1005">
        <v>12.56</v>
      </c>
      <c r="L46" s="1005">
        <v>213.55</v>
      </c>
      <c r="M46" s="1005">
        <f>+L46+G46</f>
        <v>1913.55</v>
      </c>
      <c r="N46" s="1014">
        <v>30.4</v>
      </c>
      <c r="O46" s="1005">
        <f t="shared" si="13"/>
        <v>1803.8394415357766</v>
      </c>
      <c r="P46" s="1005">
        <f t="shared" si="15"/>
        <v>109.71055846422337</v>
      </c>
      <c r="Q46" s="1005">
        <f t="shared" ca="1" si="8"/>
        <v>0</v>
      </c>
      <c r="R46" s="655">
        <f>+R47/12</f>
        <v>1586.7808333333335</v>
      </c>
      <c r="S46" s="655"/>
      <c r="T46" s="655"/>
      <c r="V46" s="224"/>
    </row>
    <row r="47" spans="1:24" x14ac:dyDescent="0.25">
      <c r="A47" s="1006" t="s">
        <v>150</v>
      </c>
      <c r="B47" s="1006" t="str">
        <f t="shared" si="14"/>
        <v>MARTES</v>
      </c>
      <c r="C47" s="1007">
        <v>43452</v>
      </c>
      <c r="D47" s="1024">
        <v>0</v>
      </c>
      <c r="E47" s="1000" t="str">
        <f t="shared" si="5"/>
        <v>MARTES</v>
      </c>
      <c r="F47" s="1007">
        <f t="shared" si="9"/>
        <v>43452</v>
      </c>
      <c r="G47" s="1008">
        <v>0</v>
      </c>
      <c r="H47" s="1008">
        <v>28.65</v>
      </c>
      <c r="I47" s="1008">
        <f t="shared" si="11"/>
        <v>0</v>
      </c>
      <c r="J47" s="1008">
        <v>45</v>
      </c>
      <c r="K47" s="1008">
        <v>0</v>
      </c>
      <c r="L47" s="1008">
        <v>0</v>
      </c>
      <c r="M47" s="1008">
        <f t="shared" si="12"/>
        <v>0</v>
      </c>
      <c r="N47" s="1008">
        <v>30.4</v>
      </c>
      <c r="O47" s="1008">
        <f t="shared" si="13"/>
        <v>0</v>
      </c>
      <c r="P47" s="1008">
        <f t="shared" si="15"/>
        <v>0</v>
      </c>
      <c r="Q47" s="1008">
        <f t="shared" ca="1" si="8"/>
        <v>0</v>
      </c>
      <c r="R47" s="656">
        <f>SUM(L37:L47)</f>
        <v>19041.370000000003</v>
      </c>
      <c r="S47" s="655">
        <f>COUNTA(D37:D47)</f>
        <v>11</v>
      </c>
      <c r="T47" s="655"/>
      <c r="U47" s="224"/>
      <c r="X47" s="224"/>
    </row>
    <row r="48" spans="1:24" x14ac:dyDescent="0.25">
      <c r="A48" s="1015" t="s">
        <v>150</v>
      </c>
      <c r="B48" s="1015" t="str">
        <f t="shared" si="14"/>
        <v>MARTES</v>
      </c>
      <c r="C48" s="1016">
        <v>43627</v>
      </c>
      <c r="D48" s="1027">
        <v>30</v>
      </c>
      <c r="E48" s="1015" t="str">
        <f t="shared" ref="E48:E53" si="16">UPPER(TEXT(F48,"dddd"))</f>
        <v>JUEVES</v>
      </c>
      <c r="F48" s="1016">
        <f t="shared" si="9"/>
        <v>43657</v>
      </c>
      <c r="G48" s="1017">
        <v>5500</v>
      </c>
      <c r="H48" s="1017">
        <v>46.2</v>
      </c>
      <c r="I48" s="1017">
        <f t="shared" ref="I48:I59" si="17">+G48/H48</f>
        <v>119.04761904761904</v>
      </c>
      <c r="J48" s="1017">
        <v>46</v>
      </c>
      <c r="K48" s="1017">
        <v>3.78</v>
      </c>
      <c r="L48" s="1017">
        <v>207.95</v>
      </c>
      <c r="M48" s="1017">
        <f t="shared" ref="M48:M59" si="18">+L48+G48</f>
        <v>5707.95</v>
      </c>
      <c r="N48" s="1017">
        <v>40.5</v>
      </c>
      <c r="O48" s="1017">
        <f t="shared" si="13"/>
        <v>4821.4285714285706</v>
      </c>
      <c r="P48" s="1017">
        <f t="shared" si="15"/>
        <v>886.52142857142917</v>
      </c>
      <c r="Q48" s="1017">
        <f t="shared" ca="1" si="8"/>
        <v>0</v>
      </c>
      <c r="U48" s="224"/>
      <c r="V48" s="224"/>
      <c r="W48" s="224"/>
      <c r="X48" s="224"/>
    </row>
    <row r="49" spans="1:24" x14ac:dyDescent="0.25">
      <c r="A49" s="1015" t="s">
        <v>150</v>
      </c>
      <c r="B49" s="1015" t="str">
        <f t="shared" si="14"/>
        <v>MIÉRCOLES</v>
      </c>
      <c r="C49" s="1016">
        <v>43628</v>
      </c>
      <c r="D49" s="1027">
        <v>30</v>
      </c>
      <c r="E49" s="1015" t="str">
        <f t="shared" si="16"/>
        <v>VIERNES</v>
      </c>
      <c r="F49" s="1016">
        <f t="shared" si="9"/>
        <v>43658</v>
      </c>
      <c r="G49" s="1017">
        <v>100000</v>
      </c>
      <c r="H49" s="1017">
        <v>42.6</v>
      </c>
      <c r="I49" s="1017">
        <f t="shared" si="17"/>
        <v>2347.4178403755868</v>
      </c>
      <c r="J49" s="1017">
        <v>46</v>
      </c>
      <c r="K49" s="1017">
        <v>3.78</v>
      </c>
      <c r="L49" s="1017">
        <v>3780.82</v>
      </c>
      <c r="M49" s="1017">
        <f t="shared" si="18"/>
        <v>103780.82</v>
      </c>
      <c r="N49" s="1017">
        <v>40.5</v>
      </c>
      <c r="O49" s="1017">
        <f t="shared" si="13"/>
        <v>95070.42253521127</v>
      </c>
      <c r="P49" s="1017">
        <f t="shared" si="15"/>
        <v>8710.3974647887371</v>
      </c>
      <c r="Q49" s="1017">
        <f t="shared" ca="1" si="8"/>
        <v>0</v>
      </c>
      <c r="U49" s="224"/>
      <c r="V49" s="224"/>
      <c r="W49" s="224"/>
      <c r="X49" s="224"/>
    </row>
    <row r="50" spans="1:24" x14ac:dyDescent="0.25">
      <c r="A50" s="1015" t="s">
        <v>150</v>
      </c>
      <c r="B50" s="1015" t="str">
        <f t="shared" si="14"/>
        <v>VIERNES</v>
      </c>
      <c r="C50" s="1016">
        <v>43658</v>
      </c>
      <c r="D50" s="1027">
        <v>35</v>
      </c>
      <c r="E50" s="1015" t="str">
        <f t="shared" si="16"/>
        <v>VIERNES</v>
      </c>
      <c r="F50" s="1016">
        <f t="shared" si="9"/>
        <v>43693</v>
      </c>
      <c r="G50" s="1017">
        <v>85600</v>
      </c>
      <c r="H50" s="1017">
        <v>48</v>
      </c>
      <c r="I50" s="1017">
        <f t="shared" si="17"/>
        <v>1783.3333333333333</v>
      </c>
      <c r="J50" s="1017">
        <v>45</v>
      </c>
      <c r="K50" s="1017">
        <v>4.32</v>
      </c>
      <c r="L50" s="1017">
        <v>3693.7</v>
      </c>
      <c r="M50" s="1017">
        <f t="shared" si="18"/>
        <v>89293.7</v>
      </c>
      <c r="N50" s="1017">
        <v>53</v>
      </c>
      <c r="O50" s="1017">
        <f t="shared" si="13"/>
        <v>94516.666666666657</v>
      </c>
      <c r="P50" s="1017">
        <f t="shared" si="15"/>
        <v>-5222.9666666666599</v>
      </c>
      <c r="Q50" s="1017">
        <f t="shared" ca="1" si="8"/>
        <v>0</v>
      </c>
      <c r="R50" s="227"/>
      <c r="S50" s="223"/>
      <c r="T50" s="223"/>
      <c r="U50" s="224"/>
      <c r="V50" s="224"/>
      <c r="W50" s="224"/>
      <c r="X50" s="224"/>
    </row>
    <row r="51" spans="1:24" x14ac:dyDescent="0.25">
      <c r="A51" s="1015" t="s">
        <v>150</v>
      </c>
      <c r="B51" s="1015" t="str">
        <f t="shared" ref="B51:B59" si="19">UPPER(TEXT(C51,"dddd"))</f>
        <v>LUNES</v>
      </c>
      <c r="C51" s="1016">
        <v>43661</v>
      </c>
      <c r="D51" s="1027">
        <v>30</v>
      </c>
      <c r="E51" s="1015" t="str">
        <f t="shared" si="16"/>
        <v>MIÉRCOLES</v>
      </c>
      <c r="F51" s="1016">
        <f>+C51+D51</f>
        <v>43691</v>
      </c>
      <c r="G51" s="1017">
        <v>4120</v>
      </c>
      <c r="H51" s="1017">
        <v>48</v>
      </c>
      <c r="I51" s="1017">
        <f t="shared" si="17"/>
        <v>85.833333333333329</v>
      </c>
      <c r="J51" s="1017">
        <v>45</v>
      </c>
      <c r="K51" s="1017">
        <v>3.7</v>
      </c>
      <c r="L51" s="1017">
        <v>152.38</v>
      </c>
      <c r="M51" s="1017">
        <f t="shared" si="18"/>
        <v>4272.38</v>
      </c>
      <c r="N51" s="1017">
        <v>53</v>
      </c>
      <c r="O51" s="1017">
        <f t="shared" si="13"/>
        <v>4549.1666666666661</v>
      </c>
      <c r="P51" s="1017">
        <f t="shared" si="15"/>
        <v>-276.78666666666595</v>
      </c>
      <c r="Q51" s="1017">
        <f ca="1">IF(TODAY()&lt;F51,IF(TODAY()&gt;=C51,M51,0),0)</f>
        <v>0</v>
      </c>
      <c r="R51" s="227"/>
      <c r="S51" s="223"/>
      <c r="T51" s="223"/>
      <c r="U51" s="224"/>
      <c r="V51" s="224"/>
      <c r="W51" s="224"/>
      <c r="X51" s="224"/>
    </row>
    <row r="52" spans="1:24" x14ac:dyDescent="0.25">
      <c r="A52" s="1015" t="s">
        <v>150</v>
      </c>
      <c r="B52" s="1015" t="str">
        <f t="shared" si="19"/>
        <v>VIERNES</v>
      </c>
      <c r="C52" s="1016">
        <f>+F50</f>
        <v>43693</v>
      </c>
      <c r="D52" s="1027">
        <v>32</v>
      </c>
      <c r="E52" s="1015" t="str">
        <f t="shared" si="16"/>
        <v>MARTES</v>
      </c>
      <c r="F52" s="1016">
        <f t="shared" si="9"/>
        <v>43725</v>
      </c>
      <c r="G52" s="1017">
        <v>97000</v>
      </c>
      <c r="H52" s="1017">
        <v>58</v>
      </c>
      <c r="I52" s="1017">
        <f t="shared" si="17"/>
        <v>1672.4137931034484</v>
      </c>
      <c r="J52" s="1017">
        <v>54</v>
      </c>
      <c r="K52" s="1017">
        <v>4.7300000000000004</v>
      </c>
      <c r="L52" s="1017">
        <v>4592.22</v>
      </c>
      <c r="M52" s="1017">
        <f t="shared" si="18"/>
        <v>101592.22</v>
      </c>
      <c r="N52" s="1017">
        <v>54</v>
      </c>
      <c r="O52" s="1017">
        <f t="shared" si="13"/>
        <v>90310.344827586217</v>
      </c>
      <c r="P52" s="1017">
        <f t="shared" si="15"/>
        <v>11281.875172413784</v>
      </c>
      <c r="Q52" s="1017">
        <f t="shared" ca="1" si="8"/>
        <v>0</v>
      </c>
      <c r="R52" s="655">
        <f>+R53/12</f>
        <v>1441.1241666666665</v>
      </c>
      <c r="S52" s="655"/>
      <c r="T52" s="655"/>
      <c r="U52" s="224"/>
      <c r="V52" s="224"/>
      <c r="W52" s="224"/>
      <c r="X52" s="224"/>
    </row>
    <row r="53" spans="1:24" x14ac:dyDescent="0.25">
      <c r="A53" s="1015" t="s">
        <v>150</v>
      </c>
      <c r="B53" s="1015" t="str">
        <f t="shared" si="19"/>
        <v>MARTES</v>
      </c>
      <c r="C53" s="1016">
        <f>+F52</f>
        <v>43725</v>
      </c>
      <c r="D53" s="1027">
        <v>37</v>
      </c>
      <c r="E53" s="1015" t="str">
        <f t="shared" si="16"/>
        <v>JUEVES</v>
      </c>
      <c r="F53" s="1016">
        <f t="shared" si="9"/>
        <v>43762</v>
      </c>
      <c r="G53" s="1017">
        <v>82770</v>
      </c>
      <c r="H53" s="1017">
        <v>59</v>
      </c>
      <c r="I53" s="1017">
        <f t="shared" si="17"/>
        <v>1402.8813559322034</v>
      </c>
      <c r="J53" s="1017">
        <v>58</v>
      </c>
      <c r="K53" s="1017">
        <v>5.88</v>
      </c>
      <c r="L53" s="1017">
        <v>4866.42</v>
      </c>
      <c r="M53" s="1017">
        <f t="shared" si="18"/>
        <v>87636.42</v>
      </c>
      <c r="N53" s="1017">
        <v>57</v>
      </c>
      <c r="O53" s="1017">
        <f t="shared" si="13"/>
        <v>79964.237288135599</v>
      </c>
      <c r="P53" s="1017">
        <f t="shared" si="15"/>
        <v>7672.1827118643996</v>
      </c>
      <c r="Q53" s="1017">
        <f t="shared" ca="1" si="8"/>
        <v>0</v>
      </c>
      <c r="R53" s="655">
        <f>SUM(L48:L53)</f>
        <v>17293.489999999998</v>
      </c>
      <c r="S53" s="655">
        <f>COUNTA(D48:D53)</f>
        <v>6</v>
      </c>
      <c r="T53" s="655"/>
      <c r="U53" s="224"/>
      <c r="V53" s="224"/>
      <c r="W53" s="224"/>
      <c r="X53" s="224"/>
    </row>
    <row r="54" spans="1:24" x14ac:dyDescent="0.25">
      <c r="A54" s="1015" t="s">
        <v>819</v>
      </c>
      <c r="B54" s="1015" t="str">
        <f t="shared" si="19"/>
        <v>VIERNES</v>
      </c>
      <c r="C54" s="1016">
        <v>43812</v>
      </c>
      <c r="D54" s="1027">
        <v>103</v>
      </c>
      <c r="E54" s="1015" t="str">
        <f t="shared" ref="E54:E111" si="20">UPPER(TEXT(F54,"dddd"))</f>
        <v>MIÉRCOLES</v>
      </c>
      <c r="F54" s="1016">
        <f t="shared" si="9"/>
        <v>43915</v>
      </c>
      <c r="G54" s="1017">
        <v>1300</v>
      </c>
      <c r="H54" s="1017">
        <v>63</v>
      </c>
      <c r="I54" s="1017">
        <f t="shared" si="17"/>
        <v>20.634920634920636</v>
      </c>
      <c r="J54" s="1017">
        <v>41</v>
      </c>
      <c r="K54" s="1017">
        <v>11.57</v>
      </c>
      <c r="L54" s="1017">
        <v>150.41</v>
      </c>
      <c r="M54" s="1017">
        <f t="shared" si="18"/>
        <v>1450.41</v>
      </c>
      <c r="N54" s="1017">
        <v>60</v>
      </c>
      <c r="O54" s="1017">
        <f t="shared" si="13"/>
        <v>1238.0952380952381</v>
      </c>
      <c r="P54" s="1017">
        <f t="shared" si="15"/>
        <v>212.31476190476201</v>
      </c>
      <c r="Q54" s="1017">
        <f t="shared" ca="1" si="8"/>
        <v>0</v>
      </c>
      <c r="U54" s="224"/>
      <c r="V54" s="224"/>
      <c r="W54" s="224"/>
      <c r="X54" s="224"/>
    </row>
    <row r="55" spans="1:24" x14ac:dyDescent="0.25">
      <c r="A55" s="1015" t="s">
        <v>819</v>
      </c>
      <c r="B55" s="1015" t="str">
        <f t="shared" si="19"/>
        <v>VIERNES</v>
      </c>
      <c r="C55" s="1016">
        <v>43833</v>
      </c>
      <c r="D55" s="1027">
        <v>112</v>
      </c>
      <c r="E55" s="1015" t="str">
        <f t="shared" si="20"/>
        <v>VIERNES</v>
      </c>
      <c r="F55" s="1016">
        <f t="shared" si="9"/>
        <v>43945</v>
      </c>
      <c r="G55" s="1017">
        <v>1400</v>
      </c>
      <c r="H55" s="1017">
        <v>63</v>
      </c>
      <c r="I55" s="1017">
        <f t="shared" si="17"/>
        <v>22.222222222222221</v>
      </c>
      <c r="J55" s="1017">
        <v>38</v>
      </c>
      <c r="K55" s="1017">
        <v>11.66</v>
      </c>
      <c r="L55" s="1017">
        <v>163.24</v>
      </c>
      <c r="M55" s="1017">
        <f t="shared" si="18"/>
        <v>1563.24</v>
      </c>
      <c r="N55" s="1017">
        <v>63.5</v>
      </c>
      <c r="O55" s="1017">
        <f t="shared" si="13"/>
        <v>1411.1111111111111</v>
      </c>
      <c r="P55" s="1017">
        <f t="shared" si="15"/>
        <v>152.12888888888892</v>
      </c>
      <c r="Q55" s="1017">
        <f t="shared" ca="1" si="8"/>
        <v>0</v>
      </c>
      <c r="U55" s="224"/>
      <c r="V55" s="224"/>
      <c r="W55" s="224"/>
      <c r="X55" s="224"/>
    </row>
    <row r="56" spans="1:24" x14ac:dyDescent="0.25">
      <c r="A56" s="1015" t="s">
        <v>819</v>
      </c>
      <c r="B56" s="1015" t="str">
        <f t="shared" si="19"/>
        <v>VIERNES</v>
      </c>
      <c r="C56" s="1016">
        <v>43833</v>
      </c>
      <c r="D56" s="1027">
        <v>144</v>
      </c>
      <c r="E56" s="1015" t="str">
        <f t="shared" si="20"/>
        <v>MARTES</v>
      </c>
      <c r="F56" s="1016">
        <f t="shared" si="9"/>
        <v>43977</v>
      </c>
      <c r="G56" s="1017">
        <v>1400</v>
      </c>
      <c r="H56" s="1017">
        <v>82</v>
      </c>
      <c r="I56" s="1017">
        <f t="shared" si="17"/>
        <v>17.073170731707318</v>
      </c>
      <c r="J56" s="1017">
        <v>38</v>
      </c>
      <c r="K56" s="1017">
        <v>14.99</v>
      </c>
      <c r="L56" s="1017">
        <v>209.88</v>
      </c>
      <c r="M56" s="1017">
        <f t="shared" si="18"/>
        <v>1609.88</v>
      </c>
      <c r="N56" s="1017">
        <v>65</v>
      </c>
      <c r="O56" s="1017">
        <f t="shared" si="13"/>
        <v>1109.7560975609756</v>
      </c>
      <c r="P56" s="1017">
        <f t="shared" si="15"/>
        <v>500.1239024390245</v>
      </c>
      <c r="Q56" s="1017">
        <f t="shared" ca="1" si="8"/>
        <v>0</v>
      </c>
      <c r="R56" s="227"/>
      <c r="S56" s="223"/>
      <c r="T56" s="223"/>
      <c r="U56" s="224"/>
      <c r="V56" s="224"/>
      <c r="W56" s="224"/>
      <c r="X56" s="224"/>
    </row>
    <row r="57" spans="1:24" x14ac:dyDescent="0.25">
      <c r="A57" s="1015" t="s">
        <v>819</v>
      </c>
      <c r="B57" s="1015" t="str">
        <f t="shared" si="19"/>
        <v>VIERNES</v>
      </c>
      <c r="C57" s="1016">
        <v>43833</v>
      </c>
      <c r="D57" s="1027">
        <v>172</v>
      </c>
      <c r="E57" s="1015" t="str">
        <f t="shared" si="20"/>
        <v>MARTES</v>
      </c>
      <c r="F57" s="1016">
        <f t="shared" si="9"/>
        <v>44005</v>
      </c>
      <c r="G57" s="1017">
        <v>1400</v>
      </c>
      <c r="H57" s="1017">
        <v>82</v>
      </c>
      <c r="I57" s="1017">
        <f t="shared" si="17"/>
        <v>17.073170731707318</v>
      </c>
      <c r="J57" s="1017">
        <v>38</v>
      </c>
      <c r="K57" s="1017">
        <v>17.91</v>
      </c>
      <c r="L57" s="1017">
        <v>250.7</v>
      </c>
      <c r="M57" s="1017">
        <f t="shared" si="18"/>
        <v>1650.7</v>
      </c>
      <c r="N57" s="1017">
        <v>68</v>
      </c>
      <c r="O57" s="1017">
        <f t="shared" si="13"/>
        <v>1160.9756097560976</v>
      </c>
      <c r="P57" s="1017">
        <f t="shared" si="15"/>
        <v>489.72439024390246</v>
      </c>
      <c r="Q57" s="1017">
        <f t="shared" ca="1" si="8"/>
        <v>0</v>
      </c>
      <c r="R57" s="227"/>
      <c r="S57" s="223"/>
      <c r="T57" s="223"/>
      <c r="U57" s="224"/>
      <c r="V57" s="224"/>
      <c r="W57" s="224"/>
      <c r="X57" s="224"/>
    </row>
    <row r="58" spans="1:24" x14ac:dyDescent="0.25">
      <c r="A58" s="1015" t="s">
        <v>820</v>
      </c>
      <c r="B58" s="1015" t="str">
        <f t="shared" si="19"/>
        <v>VIERNES</v>
      </c>
      <c r="C58" s="1016">
        <v>43903</v>
      </c>
      <c r="D58" s="1027">
        <v>104</v>
      </c>
      <c r="E58" s="1015" t="str">
        <f>UPPER(TEXT(F58,"dddd"))</f>
        <v>JUEVES</v>
      </c>
      <c r="F58" s="1016">
        <f>+C58+D58</f>
        <v>44007</v>
      </c>
      <c r="G58" s="1017">
        <v>500</v>
      </c>
      <c r="H58" s="1017">
        <v>82</v>
      </c>
      <c r="I58" s="1017">
        <f t="shared" si="17"/>
        <v>6.0975609756097562</v>
      </c>
      <c r="J58" s="1017">
        <v>30</v>
      </c>
      <c r="K58" s="1017">
        <v>8.5500000000000007</v>
      </c>
      <c r="L58" s="1017">
        <v>42.74</v>
      </c>
      <c r="M58" s="1017">
        <f t="shared" si="18"/>
        <v>542.74</v>
      </c>
      <c r="N58" s="1017">
        <v>68.5</v>
      </c>
      <c r="O58" s="1017">
        <f t="shared" si="13"/>
        <v>417.6829268292683</v>
      </c>
      <c r="P58" s="1017">
        <f t="shared" si="15"/>
        <v>125.05707317073171</v>
      </c>
      <c r="Q58" s="1017">
        <f ca="1">IF(TODAY()&lt;F58,IF(TODAY()&gt;=C58,M58,0),0)</f>
        <v>0</v>
      </c>
      <c r="R58" s="227"/>
      <c r="S58" s="223"/>
      <c r="T58" s="223"/>
      <c r="U58" s="224"/>
      <c r="V58" s="224"/>
      <c r="W58" s="224"/>
      <c r="X58" s="224"/>
    </row>
    <row r="59" spans="1:24" x14ac:dyDescent="0.25">
      <c r="A59" s="1006" t="s">
        <v>820</v>
      </c>
      <c r="B59" s="1006" t="str">
        <f t="shared" si="19"/>
        <v>VIERNES</v>
      </c>
      <c r="C59" s="1007">
        <v>43910</v>
      </c>
      <c r="D59" s="1024">
        <v>98</v>
      </c>
      <c r="E59" s="1006" t="str">
        <f>UPPER(TEXT(F59,"dddd"))</f>
        <v>VIERNES</v>
      </c>
      <c r="F59" s="1007">
        <f>+C59+D59</f>
        <v>44008</v>
      </c>
      <c r="G59" s="1008">
        <v>2000</v>
      </c>
      <c r="H59" s="1008">
        <v>85</v>
      </c>
      <c r="I59" s="1008">
        <f t="shared" si="17"/>
        <v>23.529411764705884</v>
      </c>
      <c r="J59" s="1008">
        <v>30</v>
      </c>
      <c r="K59" s="1008">
        <v>8.0500000000000007</v>
      </c>
      <c r="L59" s="1008">
        <v>161.1</v>
      </c>
      <c r="M59" s="1008">
        <f t="shared" si="18"/>
        <v>2161.1</v>
      </c>
      <c r="N59" s="1017">
        <v>68.5</v>
      </c>
      <c r="O59" s="1008">
        <f t="shared" si="13"/>
        <v>1611.7647058823532</v>
      </c>
      <c r="P59" s="1008">
        <f t="shared" si="15"/>
        <v>549.33529411764675</v>
      </c>
      <c r="Q59" s="1008">
        <f ca="1">IF(TODAY()&lt;F59,IF(TODAY()&gt;=C59,M59,0),0)</f>
        <v>0</v>
      </c>
      <c r="R59" s="227"/>
      <c r="S59" s="223"/>
      <c r="T59" s="223"/>
      <c r="U59" s="224"/>
      <c r="V59" s="224"/>
      <c r="W59" s="224"/>
      <c r="X59" s="224"/>
    </row>
    <row r="60" spans="1:24" x14ac:dyDescent="0.25">
      <c r="A60" s="1006" t="s">
        <v>820</v>
      </c>
      <c r="B60" s="1006" t="str">
        <f t="shared" ref="B60:B67" si="21">UPPER(TEXT(C60,"dddd"))</f>
        <v>MIÉRCOLES</v>
      </c>
      <c r="C60" s="1007">
        <v>43915</v>
      </c>
      <c r="D60" s="1024">
        <v>93</v>
      </c>
      <c r="E60" s="1006" t="str">
        <f t="shared" ref="E60:E67" si="22">UPPER(TEXT(F60,"dddd"))</f>
        <v>VIERNES</v>
      </c>
      <c r="F60" s="1007">
        <f t="shared" ref="F60:F67" si="23">+C60+D60</f>
        <v>44008</v>
      </c>
      <c r="G60" s="1008">
        <v>4500</v>
      </c>
      <c r="H60" s="1008">
        <v>85</v>
      </c>
      <c r="I60" s="1008">
        <f t="shared" ref="I60:I67" si="24">+G60/H60</f>
        <v>52.941176470588232</v>
      </c>
      <c r="J60" s="1008">
        <v>30</v>
      </c>
      <c r="K60" s="1008">
        <v>7.64</v>
      </c>
      <c r="L60" s="1008">
        <v>343.97</v>
      </c>
      <c r="M60" s="1008">
        <f t="shared" ref="M60:M67" si="25">+L60+G60</f>
        <v>4843.97</v>
      </c>
      <c r="N60" s="1017">
        <v>68.5</v>
      </c>
      <c r="O60" s="1008">
        <f t="shared" ref="O60:O67" si="26">+N60*I60</f>
        <v>3626.4705882352937</v>
      </c>
      <c r="P60" s="1008">
        <f t="shared" ref="P60:P67" si="27">+M60-O60</f>
        <v>1217.4994117647066</v>
      </c>
      <c r="Q60" s="1008">
        <f t="shared" ref="Q60:Q67" ca="1" si="28">IF(TODAY()&lt;F60,IF(TODAY()&gt;=C60,M60,0),0)</f>
        <v>0</v>
      </c>
      <c r="R60" s="227"/>
      <c r="S60" s="223"/>
      <c r="T60" s="223"/>
      <c r="U60" s="224"/>
      <c r="V60" s="224"/>
      <c r="W60" s="224"/>
      <c r="X60" s="224"/>
    </row>
    <row r="61" spans="1:24" x14ac:dyDescent="0.25">
      <c r="A61" s="1006" t="s">
        <v>820</v>
      </c>
      <c r="B61" s="1006" t="str">
        <f>UPPER(TEXT(C61,"dddd"))</f>
        <v>VIERNES</v>
      </c>
      <c r="C61" s="1007">
        <v>43917</v>
      </c>
      <c r="D61" s="1024">
        <v>91</v>
      </c>
      <c r="E61" s="1006" t="str">
        <f>UPPER(TEXT(F61,"dddd"))</f>
        <v>VIERNES</v>
      </c>
      <c r="F61" s="1007">
        <f>+C61+D61</f>
        <v>44008</v>
      </c>
      <c r="G61" s="1008">
        <v>2000</v>
      </c>
      <c r="H61" s="1008">
        <v>86</v>
      </c>
      <c r="I61" s="1008">
        <f>+G61/H61</f>
        <v>23.255813953488371</v>
      </c>
      <c r="J61" s="1008">
        <v>28</v>
      </c>
      <c r="K61" s="1008">
        <v>6.98</v>
      </c>
      <c r="L61" s="1008">
        <v>139.62</v>
      </c>
      <c r="M61" s="1008">
        <f>+L61+G61</f>
        <v>2139.62</v>
      </c>
      <c r="N61" s="1017">
        <v>68.5</v>
      </c>
      <c r="O61" s="1008">
        <f>+N61*I61</f>
        <v>1593.0232558139535</v>
      </c>
      <c r="P61" s="1008">
        <f>+M61-O61</f>
        <v>546.59674418604641</v>
      </c>
      <c r="Q61" s="1008">
        <f ca="1">IF(TODAY()&lt;F61,IF(TODAY()&gt;=C61,M61,0),0)</f>
        <v>0</v>
      </c>
      <c r="R61" s="227"/>
      <c r="S61" s="223"/>
      <c r="T61" s="223"/>
      <c r="U61" s="224"/>
      <c r="V61" s="224"/>
      <c r="W61" s="224"/>
      <c r="X61" s="224"/>
    </row>
    <row r="62" spans="1:24" x14ac:dyDescent="0.25">
      <c r="A62" s="1006" t="s">
        <v>820</v>
      </c>
      <c r="B62" s="1006" t="str">
        <f t="shared" si="21"/>
        <v>VIERNES</v>
      </c>
      <c r="C62" s="1007">
        <v>43917</v>
      </c>
      <c r="D62" s="1024">
        <v>91</v>
      </c>
      <c r="E62" s="1006" t="str">
        <f t="shared" si="22"/>
        <v>VIERNES</v>
      </c>
      <c r="F62" s="1007">
        <f t="shared" si="23"/>
        <v>44008</v>
      </c>
      <c r="G62" s="1008">
        <v>1400</v>
      </c>
      <c r="H62" s="1008">
        <v>86</v>
      </c>
      <c r="I62" s="1008">
        <f t="shared" si="24"/>
        <v>16.279069767441861</v>
      </c>
      <c r="J62" s="1008">
        <v>28</v>
      </c>
      <c r="K62" s="1008">
        <v>6.98</v>
      </c>
      <c r="L62" s="1008">
        <v>97.73</v>
      </c>
      <c r="M62" s="1008">
        <f t="shared" si="25"/>
        <v>1497.73</v>
      </c>
      <c r="N62" s="1017">
        <v>68.5</v>
      </c>
      <c r="O62" s="1008">
        <f t="shared" si="26"/>
        <v>1115.1162790697674</v>
      </c>
      <c r="P62" s="1008">
        <f t="shared" si="27"/>
        <v>382.6137209302326</v>
      </c>
      <c r="Q62" s="1008">
        <f t="shared" ca="1" si="28"/>
        <v>0</v>
      </c>
      <c r="T62" s="224"/>
      <c r="U62" s="224"/>
      <c r="V62" s="224"/>
      <c r="W62" s="224"/>
      <c r="X62" s="224"/>
    </row>
    <row r="63" spans="1:24" x14ac:dyDescent="0.25">
      <c r="A63" s="1006" t="s">
        <v>845</v>
      </c>
      <c r="B63" s="1006" t="str">
        <f t="shared" si="21"/>
        <v>VIERNES</v>
      </c>
      <c r="C63" s="1007">
        <v>43924</v>
      </c>
      <c r="D63" s="1024">
        <v>84</v>
      </c>
      <c r="E63" s="1006" t="str">
        <f t="shared" si="22"/>
        <v>VIERNES</v>
      </c>
      <c r="F63" s="1007">
        <f t="shared" si="23"/>
        <v>44008</v>
      </c>
      <c r="G63" s="1008">
        <v>3000</v>
      </c>
      <c r="H63" s="1008">
        <v>86</v>
      </c>
      <c r="I63" s="1008">
        <f t="shared" si="24"/>
        <v>34.883720930232556</v>
      </c>
      <c r="J63" s="1008">
        <v>27</v>
      </c>
      <c r="K63" s="1008">
        <v>6.21</v>
      </c>
      <c r="L63" s="1008">
        <v>186.41</v>
      </c>
      <c r="M63" s="1008">
        <f t="shared" si="25"/>
        <v>3186.41</v>
      </c>
      <c r="N63" s="1017">
        <v>68.5</v>
      </c>
      <c r="O63" s="1008">
        <f t="shared" si="26"/>
        <v>2389.5348837209299</v>
      </c>
      <c r="P63" s="1008">
        <f t="shared" si="27"/>
        <v>796.87511627906997</v>
      </c>
      <c r="Q63" s="1008">
        <f t="shared" ca="1" si="28"/>
        <v>0</v>
      </c>
      <c r="T63" s="224"/>
      <c r="U63" s="224"/>
      <c r="V63" s="224"/>
      <c r="W63" s="224"/>
      <c r="X63" s="224"/>
    </row>
    <row r="64" spans="1:24" x14ac:dyDescent="0.25">
      <c r="A64" s="1006" t="s">
        <v>845</v>
      </c>
      <c r="B64" s="1006" t="str">
        <f>UPPER(TEXT(C64,"dddd"))</f>
        <v>MIÉRCOLES</v>
      </c>
      <c r="C64" s="1007">
        <v>43929</v>
      </c>
      <c r="D64" s="1024">
        <v>79</v>
      </c>
      <c r="E64" s="1006" t="str">
        <f>UPPER(TEXT(F64,"dddd"))</f>
        <v>VIERNES</v>
      </c>
      <c r="F64" s="1007">
        <f>+C64+D64</f>
        <v>44008</v>
      </c>
      <c r="G64" s="1008">
        <v>5000</v>
      </c>
      <c r="H64" s="1008">
        <v>87</v>
      </c>
      <c r="I64" s="1008">
        <f>+G64/H64</f>
        <v>57.47126436781609</v>
      </c>
      <c r="J64" s="1008">
        <v>22</v>
      </c>
      <c r="K64" s="1008">
        <v>4.76</v>
      </c>
      <c r="L64" s="1008">
        <v>238.08</v>
      </c>
      <c r="M64" s="1008">
        <f>+L64+G64</f>
        <v>5238.08</v>
      </c>
      <c r="N64" s="1017">
        <v>68.5</v>
      </c>
      <c r="O64" s="1008">
        <f>+N64*I64</f>
        <v>3936.7816091954023</v>
      </c>
      <c r="P64" s="1008">
        <f>+M64-O64</f>
        <v>1301.2983908045976</v>
      </c>
      <c r="Q64" s="1008">
        <f ca="1">IF(TODAY()&lt;F64,IF(TODAY()&gt;=C64,M64,0),0)</f>
        <v>0</v>
      </c>
      <c r="R64" s="655">
        <f>+R65/12</f>
        <v>682.42378995433796</v>
      </c>
      <c r="S64" s="655"/>
      <c r="T64" s="655"/>
      <c r="U64" s="224"/>
      <c r="V64" s="224"/>
      <c r="W64" s="224"/>
      <c r="X64" s="224"/>
    </row>
    <row r="65" spans="1:26" x14ac:dyDescent="0.25">
      <c r="A65" s="1006" t="s">
        <v>845</v>
      </c>
      <c r="B65" s="1006" t="str">
        <f>UPPER(TEXT(C65,"dddd"))</f>
        <v>JUEVES</v>
      </c>
      <c r="C65" s="1007">
        <v>43937</v>
      </c>
      <c r="D65" s="1024">
        <v>71</v>
      </c>
      <c r="E65" s="1006" t="str">
        <f>UPPER(TEXT(F65,"dddd"))</f>
        <v>VIERNES</v>
      </c>
      <c r="F65" s="1007">
        <f>+C65+D65</f>
        <v>44008</v>
      </c>
      <c r="G65" s="1008">
        <v>145000</v>
      </c>
      <c r="H65" s="1008">
        <v>87</v>
      </c>
      <c r="I65" s="1008">
        <f>+G65/H65</f>
        <v>1666.6666666666667</v>
      </c>
      <c r="J65" s="1008">
        <v>22</v>
      </c>
      <c r="K65" s="1008">
        <f t="shared" ref="K65:K70" si="29">(+J65/365)*D65</f>
        <v>4.279452054794521</v>
      </c>
      <c r="L65" s="1008">
        <f t="shared" ref="L65:L70" si="30">G65*(K65/100)</f>
        <v>6205.2054794520554</v>
      </c>
      <c r="M65" s="1008">
        <f>+L65+G65</f>
        <v>151205.20547945207</v>
      </c>
      <c r="N65" s="1017">
        <v>68.5</v>
      </c>
      <c r="O65" s="1008">
        <f>+N65*I65</f>
        <v>114166.66666666667</v>
      </c>
      <c r="P65" s="1008">
        <f>+M65-O65</f>
        <v>37038.538812785395</v>
      </c>
      <c r="Q65" s="1008">
        <f ca="1">IF(TODAY()&lt;F65,IF(TODAY()&gt;=C65,M65,0),0)</f>
        <v>0</v>
      </c>
      <c r="R65" s="655">
        <f>SUM(L54:L65)</f>
        <v>8189.0854794520556</v>
      </c>
      <c r="S65" s="655">
        <f>COUNTA(D54:D65)</f>
        <v>12</v>
      </c>
      <c r="T65" s="655"/>
      <c r="U65" s="224"/>
      <c r="V65" s="224"/>
      <c r="W65" s="224"/>
      <c r="X65" s="224"/>
    </row>
    <row r="66" spans="1:26" x14ac:dyDescent="0.25">
      <c r="A66" s="1006" t="s">
        <v>1063</v>
      </c>
      <c r="B66" s="1006" t="str">
        <f>UPPER(TEXT(C66,"dddd"))</f>
        <v>MARTES</v>
      </c>
      <c r="C66" s="1007">
        <v>44362</v>
      </c>
      <c r="D66" s="1024">
        <v>41</v>
      </c>
      <c r="E66" s="1006" t="str">
        <f>UPPER(TEXT(F66,"dddd"))</f>
        <v>LUNES</v>
      </c>
      <c r="F66" s="1007">
        <f>+C66+D66</f>
        <v>44403</v>
      </c>
      <c r="G66" s="1008">
        <v>0</v>
      </c>
      <c r="H66" s="1020">
        <f t="shared" ref="H66:H89" si="31">+CtzS</f>
        <v>164.17499999999998</v>
      </c>
      <c r="I66" s="1008">
        <f>+G66/H66</f>
        <v>0</v>
      </c>
      <c r="J66" s="1008">
        <v>37</v>
      </c>
      <c r="K66" s="1008">
        <f t="shared" si="29"/>
        <v>4.1561643835616442</v>
      </c>
      <c r="L66" s="1008">
        <f t="shared" si="30"/>
        <v>0</v>
      </c>
      <c r="M66" s="1008">
        <f>+L66+G66</f>
        <v>0</v>
      </c>
      <c r="N66" s="1008">
        <f t="shared" ref="N66:N78" si="32">+Ctzv</f>
        <v>179</v>
      </c>
      <c r="O66" s="1008">
        <f>+N66*I66</f>
        <v>0</v>
      </c>
      <c r="P66" s="1008">
        <f>+M66-O66</f>
        <v>0</v>
      </c>
      <c r="Q66" s="1008">
        <f ca="1">IF(TODAY()&lt;F66,IF(TODAY()&gt;=C66,M66,0),0)</f>
        <v>0</v>
      </c>
      <c r="T66" s="224"/>
      <c r="U66" s="224"/>
      <c r="V66" s="224"/>
      <c r="W66" s="224"/>
      <c r="X66" s="224"/>
      <c r="Y66" s="224"/>
      <c r="Z66" s="224"/>
    </row>
    <row r="67" spans="1:26" x14ac:dyDescent="0.25">
      <c r="A67" s="1006" t="s">
        <v>1063</v>
      </c>
      <c r="B67" s="1006" t="str">
        <f t="shared" si="21"/>
        <v>LUNES</v>
      </c>
      <c r="C67" s="1007">
        <f t="shared" ref="C67:C77" si="33">+F66</f>
        <v>44403</v>
      </c>
      <c r="D67" s="1024">
        <v>32</v>
      </c>
      <c r="E67" s="1006" t="str">
        <f t="shared" si="22"/>
        <v>VIERNES</v>
      </c>
      <c r="F67" s="1007">
        <f t="shared" si="23"/>
        <v>44435</v>
      </c>
      <c r="G67" s="1008">
        <v>0</v>
      </c>
      <c r="H67" s="1020">
        <f t="shared" si="31"/>
        <v>164.17499999999998</v>
      </c>
      <c r="I67" s="1008">
        <f t="shared" si="24"/>
        <v>0</v>
      </c>
      <c r="J67" s="1008">
        <f t="shared" ref="J67:J77" si="34">+J66</f>
        <v>37</v>
      </c>
      <c r="K67" s="1008">
        <f t="shared" si="29"/>
        <v>3.2438356164383562</v>
      </c>
      <c r="L67" s="1008">
        <f t="shared" si="30"/>
        <v>0</v>
      </c>
      <c r="M67" s="1008">
        <f t="shared" si="25"/>
        <v>0</v>
      </c>
      <c r="N67" s="1008">
        <f t="shared" si="32"/>
        <v>179</v>
      </c>
      <c r="O67" s="1008">
        <f t="shared" si="26"/>
        <v>0</v>
      </c>
      <c r="P67" s="1008">
        <f t="shared" si="27"/>
        <v>0</v>
      </c>
      <c r="Q67" s="1008">
        <f t="shared" ca="1" si="28"/>
        <v>0</v>
      </c>
      <c r="R67" s="722"/>
      <c r="S67" s="224"/>
      <c r="T67" s="224"/>
      <c r="U67" s="224"/>
      <c r="V67" s="224"/>
      <c r="W67" s="224"/>
      <c r="X67" s="224"/>
      <c r="Y67" s="224"/>
      <c r="Z67" s="224"/>
    </row>
    <row r="68" spans="1:26" x14ac:dyDescent="0.25">
      <c r="A68" s="1006" t="s">
        <v>1063</v>
      </c>
      <c r="B68" s="1006" t="str">
        <f>UPPER(TEXT(C68,"dddd"))</f>
        <v>VIERNES</v>
      </c>
      <c r="C68" s="1007">
        <f t="shared" si="33"/>
        <v>44435</v>
      </c>
      <c r="D68" s="1024">
        <v>31</v>
      </c>
      <c r="E68" s="1006" t="str">
        <f>UPPER(TEXT(F68,"dddd"))</f>
        <v>LUNES</v>
      </c>
      <c r="F68" s="1007">
        <f>+C68+D68</f>
        <v>44466</v>
      </c>
      <c r="G68" s="1008">
        <v>0</v>
      </c>
      <c r="H68" s="1020">
        <f t="shared" si="31"/>
        <v>164.17499999999998</v>
      </c>
      <c r="I68" s="1008">
        <f>+G68/H68</f>
        <v>0</v>
      </c>
      <c r="J68" s="1008">
        <f t="shared" si="34"/>
        <v>37</v>
      </c>
      <c r="K68" s="1008">
        <f t="shared" si="29"/>
        <v>3.1424657534246574</v>
      </c>
      <c r="L68" s="1008">
        <f t="shared" si="30"/>
        <v>0</v>
      </c>
      <c r="M68" s="1008">
        <f>+L68+G68</f>
        <v>0</v>
      </c>
      <c r="N68" s="1008">
        <f t="shared" si="32"/>
        <v>179</v>
      </c>
      <c r="O68" s="1008">
        <f>+N68*I68</f>
        <v>0</v>
      </c>
      <c r="P68" s="1008">
        <f>+M68-O68</f>
        <v>0</v>
      </c>
      <c r="Q68" s="1008">
        <f ca="1">IF(TODAY()&lt;F68,IF(TODAY()&gt;=C68,M68,0),0)</f>
        <v>0</v>
      </c>
      <c r="R68" s="226"/>
      <c r="S68" s="224"/>
      <c r="T68" s="224"/>
      <c r="U68" s="224"/>
      <c r="V68" s="224"/>
      <c r="W68" s="224"/>
      <c r="X68" s="224"/>
      <c r="Y68" s="224"/>
      <c r="Z68" s="224"/>
    </row>
    <row r="69" spans="1:26" x14ac:dyDescent="0.25">
      <c r="A69" s="1006" t="s">
        <v>1063</v>
      </c>
      <c r="B69" s="1018" t="str">
        <f>UPPER(TEXT(C69,"dddd"))</f>
        <v>LUNES</v>
      </c>
      <c r="C69" s="1007">
        <f t="shared" si="33"/>
        <v>44466</v>
      </c>
      <c r="D69" s="1028">
        <v>30</v>
      </c>
      <c r="E69" s="1018" t="str">
        <f t="shared" si="20"/>
        <v>MIÉRCOLES</v>
      </c>
      <c r="F69" s="1019">
        <f t="shared" si="9"/>
        <v>44496</v>
      </c>
      <c r="G69" s="1008">
        <v>0</v>
      </c>
      <c r="H69" s="1020">
        <f t="shared" si="31"/>
        <v>164.17499999999998</v>
      </c>
      <c r="I69" s="1020">
        <f>+G69/H69</f>
        <v>0</v>
      </c>
      <c r="J69" s="1008">
        <f t="shared" si="34"/>
        <v>37</v>
      </c>
      <c r="K69" s="1020">
        <f t="shared" si="29"/>
        <v>3.0410958904109591</v>
      </c>
      <c r="L69" s="1020">
        <f t="shared" si="30"/>
        <v>0</v>
      </c>
      <c r="M69" s="1020">
        <f>+L69+G69</f>
        <v>0</v>
      </c>
      <c r="N69" s="1008">
        <f t="shared" si="32"/>
        <v>179</v>
      </c>
      <c r="O69" s="1020">
        <f>+N69*I69</f>
        <v>0</v>
      </c>
      <c r="P69" s="1020">
        <f>+M69-O69</f>
        <v>0</v>
      </c>
      <c r="Q69" s="1020">
        <f t="shared" ca="1" si="8"/>
        <v>0</v>
      </c>
      <c r="R69" s="226"/>
      <c r="S69" s="224"/>
      <c r="T69" s="224"/>
      <c r="U69" s="224"/>
      <c r="V69" s="224"/>
      <c r="W69" s="224"/>
      <c r="X69" s="224"/>
      <c r="Y69" s="224"/>
      <c r="Z69" s="224"/>
    </row>
    <row r="70" spans="1:26" x14ac:dyDescent="0.25">
      <c r="A70" s="1006" t="s">
        <v>1063</v>
      </c>
      <c r="B70" s="1018" t="str">
        <f>UPPER(TEXT(C70,"dddd"))</f>
        <v>MIÉRCOLES</v>
      </c>
      <c r="C70" s="1007">
        <f t="shared" si="33"/>
        <v>44496</v>
      </c>
      <c r="D70" s="1028">
        <v>30</v>
      </c>
      <c r="E70" s="1018" t="str">
        <f t="shared" si="20"/>
        <v>VIERNES</v>
      </c>
      <c r="F70" s="1019">
        <f t="shared" si="9"/>
        <v>44526</v>
      </c>
      <c r="G70" s="1008">
        <v>0</v>
      </c>
      <c r="H70" s="1020">
        <f t="shared" si="31"/>
        <v>164.17499999999998</v>
      </c>
      <c r="I70" s="1020">
        <f>+G70/H70</f>
        <v>0</v>
      </c>
      <c r="J70" s="1008">
        <f t="shared" si="34"/>
        <v>37</v>
      </c>
      <c r="K70" s="1020">
        <f t="shared" si="29"/>
        <v>3.0410958904109591</v>
      </c>
      <c r="L70" s="1020">
        <f t="shared" si="30"/>
        <v>0</v>
      </c>
      <c r="M70" s="1020">
        <f>+L70+G70</f>
        <v>0</v>
      </c>
      <c r="N70" s="1008">
        <f t="shared" si="32"/>
        <v>179</v>
      </c>
      <c r="O70" s="1020">
        <f>+N70*I70</f>
        <v>0</v>
      </c>
      <c r="P70" s="1020">
        <f>+M70-O70</f>
        <v>0</v>
      </c>
      <c r="Q70" s="1020">
        <f t="shared" ca="1" si="8"/>
        <v>0</v>
      </c>
      <c r="R70" s="226"/>
      <c r="S70" s="224"/>
      <c r="T70" s="224"/>
      <c r="U70" s="224"/>
      <c r="V70" s="224"/>
      <c r="W70" s="224"/>
      <c r="X70" s="224"/>
      <c r="Y70" s="224"/>
      <c r="Z70" s="224"/>
    </row>
    <row r="71" spans="1:26" x14ac:dyDescent="0.25">
      <c r="A71" s="1006" t="s">
        <v>1063</v>
      </c>
      <c r="B71" s="1018" t="str">
        <f t="shared" ref="B71:B111" si="35">UPPER(TEXT(C71,"dddd"))</f>
        <v>VIERNES</v>
      </c>
      <c r="C71" s="1007">
        <f t="shared" si="33"/>
        <v>44526</v>
      </c>
      <c r="D71" s="1028">
        <v>31</v>
      </c>
      <c r="E71" s="1018" t="str">
        <f t="shared" si="20"/>
        <v>LUNES</v>
      </c>
      <c r="F71" s="1019">
        <f t="shared" si="9"/>
        <v>44557</v>
      </c>
      <c r="G71" s="1008">
        <v>0</v>
      </c>
      <c r="H71" s="1020">
        <f t="shared" si="31"/>
        <v>164.17499999999998</v>
      </c>
      <c r="I71" s="1020">
        <f t="shared" ref="I71:I111" si="36">+G71/H71</f>
        <v>0</v>
      </c>
      <c r="J71" s="1008">
        <f t="shared" si="34"/>
        <v>37</v>
      </c>
      <c r="K71" s="1020">
        <f t="shared" ref="K71:K111" si="37">(+J71/365)*D71</f>
        <v>3.1424657534246574</v>
      </c>
      <c r="L71" s="1020">
        <f t="shared" ref="L71:L111" si="38">G71*(K71/100)</f>
        <v>0</v>
      </c>
      <c r="M71" s="1020">
        <f t="shared" ref="M71:M111" si="39">+L71+G71</f>
        <v>0</v>
      </c>
      <c r="N71" s="1008">
        <f t="shared" si="32"/>
        <v>179</v>
      </c>
      <c r="O71" s="1020">
        <f t="shared" ref="O71:O111" si="40">+N71*I71</f>
        <v>0</v>
      </c>
      <c r="P71" s="1020">
        <f t="shared" ref="P71:P111" si="41">+M71-O71</f>
        <v>0</v>
      </c>
      <c r="Q71" s="1020">
        <f t="shared" ref="Q71:Q102" ca="1" si="42">IF(TODAY()&lt;F71,IF(TODAY()&gt;=C71,M71,0),0)</f>
        <v>0</v>
      </c>
      <c r="R71" s="655">
        <f>+R72/12</f>
        <v>0</v>
      </c>
      <c r="S71" s="655"/>
      <c r="T71" s="655"/>
      <c r="U71" s="224"/>
      <c r="V71" s="224"/>
      <c r="W71" s="224"/>
      <c r="X71" s="224"/>
      <c r="Y71" s="224"/>
      <c r="Z71" s="224"/>
    </row>
    <row r="72" spans="1:26" x14ac:dyDescent="0.25">
      <c r="A72" s="1006" t="s">
        <v>1063</v>
      </c>
      <c r="B72" s="1018" t="str">
        <f t="shared" si="35"/>
        <v>LUNES</v>
      </c>
      <c r="C72" s="1007">
        <f t="shared" si="33"/>
        <v>44557</v>
      </c>
      <c r="D72" s="1028">
        <v>30</v>
      </c>
      <c r="E72" s="1018" t="str">
        <f t="shared" si="20"/>
        <v>MIÉRCOLES</v>
      </c>
      <c r="F72" s="1019">
        <f t="shared" si="9"/>
        <v>44587</v>
      </c>
      <c r="G72" s="1008">
        <v>0</v>
      </c>
      <c r="H72" s="1020">
        <f t="shared" si="31"/>
        <v>164.17499999999998</v>
      </c>
      <c r="I72" s="1020">
        <f t="shared" si="36"/>
        <v>0</v>
      </c>
      <c r="J72" s="1008">
        <f t="shared" si="34"/>
        <v>37</v>
      </c>
      <c r="K72" s="1020">
        <f t="shared" si="37"/>
        <v>3.0410958904109591</v>
      </c>
      <c r="L72" s="1020">
        <f t="shared" si="38"/>
        <v>0</v>
      </c>
      <c r="M72" s="1020">
        <f t="shared" si="39"/>
        <v>0</v>
      </c>
      <c r="N72" s="1008">
        <f t="shared" si="32"/>
        <v>179</v>
      </c>
      <c r="O72" s="1020">
        <f t="shared" si="40"/>
        <v>0</v>
      </c>
      <c r="P72" s="1020">
        <f t="shared" si="41"/>
        <v>0</v>
      </c>
      <c r="Q72" s="1020">
        <f t="shared" ca="1" si="42"/>
        <v>0</v>
      </c>
      <c r="R72" s="655">
        <f>SUM(L66:L72)</f>
        <v>0</v>
      </c>
      <c r="S72" s="655">
        <f>COUNTA(D66:D72)</f>
        <v>7</v>
      </c>
      <c r="T72" s="655"/>
      <c r="U72" s="224"/>
      <c r="V72" s="224"/>
      <c r="W72" s="224"/>
      <c r="X72" s="224"/>
      <c r="Y72" s="224"/>
      <c r="Z72" s="224"/>
    </row>
    <row r="73" spans="1:26" x14ac:dyDescent="0.25">
      <c r="A73" s="1124" t="s">
        <v>1063</v>
      </c>
      <c r="B73" s="1124" t="str">
        <f t="shared" si="35"/>
        <v>MIÉRCOLES</v>
      </c>
      <c r="C73" s="1125">
        <f t="shared" si="33"/>
        <v>44587</v>
      </c>
      <c r="D73" s="1126">
        <v>30</v>
      </c>
      <c r="E73" s="1124" t="str">
        <f t="shared" si="20"/>
        <v>VIERNES</v>
      </c>
      <c r="F73" s="1127">
        <f t="shared" si="9"/>
        <v>44617</v>
      </c>
      <c r="G73" s="1129">
        <v>0</v>
      </c>
      <c r="H73" s="1128">
        <f t="shared" si="31"/>
        <v>164.17499999999998</v>
      </c>
      <c r="I73" s="1128">
        <f t="shared" si="36"/>
        <v>0</v>
      </c>
      <c r="J73" s="1128">
        <f t="shared" si="34"/>
        <v>37</v>
      </c>
      <c r="K73" s="1128">
        <f t="shared" si="37"/>
        <v>3.0410958904109591</v>
      </c>
      <c r="L73" s="1128">
        <f t="shared" si="38"/>
        <v>0</v>
      </c>
      <c r="M73" s="1128">
        <f t="shared" si="39"/>
        <v>0</v>
      </c>
      <c r="N73" s="1128">
        <f t="shared" si="32"/>
        <v>179</v>
      </c>
      <c r="O73" s="1128">
        <f t="shared" si="40"/>
        <v>0</v>
      </c>
      <c r="P73" s="1128">
        <f t="shared" si="41"/>
        <v>0</v>
      </c>
      <c r="Q73" s="1128">
        <f t="shared" ca="1" si="42"/>
        <v>0</v>
      </c>
      <c r="U73" s="224"/>
      <c r="V73" s="224"/>
      <c r="W73" s="224"/>
      <c r="X73" s="224"/>
      <c r="Y73" s="224"/>
      <c r="Z73" s="224"/>
    </row>
    <row r="74" spans="1:26" x14ac:dyDescent="0.25">
      <c r="A74" s="1124" t="s">
        <v>1063</v>
      </c>
      <c r="B74" s="1124" t="str">
        <f>UPPER(TEXT(C74,"dddd"))</f>
        <v>VIERNES</v>
      </c>
      <c r="C74" s="1125">
        <f t="shared" si="33"/>
        <v>44617</v>
      </c>
      <c r="D74" s="1126">
        <v>31</v>
      </c>
      <c r="E74" s="1124" t="str">
        <f>UPPER(TEXT(F74,"dddd"))</f>
        <v>LUNES</v>
      </c>
      <c r="F74" s="1127">
        <f>+C74+D74</f>
        <v>44648</v>
      </c>
      <c r="G74" s="1129">
        <v>0</v>
      </c>
      <c r="H74" s="1128">
        <f t="shared" si="31"/>
        <v>164.17499999999998</v>
      </c>
      <c r="I74" s="1128">
        <f>+G74/H74</f>
        <v>0</v>
      </c>
      <c r="J74" s="1128">
        <f t="shared" si="34"/>
        <v>37</v>
      </c>
      <c r="K74" s="1128">
        <f>(+J74/365)*D74</f>
        <v>3.1424657534246574</v>
      </c>
      <c r="L74" s="1128">
        <f>G74*(K74/100)</f>
        <v>0</v>
      </c>
      <c r="M74" s="1128">
        <f>+L74+G74</f>
        <v>0</v>
      </c>
      <c r="N74" s="1128">
        <f t="shared" si="32"/>
        <v>179</v>
      </c>
      <c r="O74" s="1128">
        <f>+N74*I74</f>
        <v>0</v>
      </c>
      <c r="P74" s="1128">
        <f>+M74-O74</f>
        <v>0</v>
      </c>
      <c r="Q74" s="1128">
        <f ca="1">IF(TODAY()&lt;F74,IF(TODAY()&gt;=C74,M74,0),0)</f>
        <v>0</v>
      </c>
      <c r="R74" s="226"/>
      <c r="S74" s="224"/>
      <c r="T74" s="224"/>
      <c r="U74" s="224"/>
      <c r="V74" s="224"/>
      <c r="W74" s="224"/>
      <c r="X74" s="224"/>
      <c r="Y74" s="224"/>
      <c r="Z74" s="224"/>
    </row>
    <row r="75" spans="1:26" x14ac:dyDescent="0.25">
      <c r="A75" s="1124" t="s">
        <v>1063</v>
      </c>
      <c r="B75" s="1124" t="str">
        <f>UPPER(TEXT(C75,"dddd"))</f>
        <v>LUNES</v>
      </c>
      <c r="C75" s="1125">
        <f t="shared" si="33"/>
        <v>44648</v>
      </c>
      <c r="D75" s="1126">
        <v>30</v>
      </c>
      <c r="E75" s="1124" t="str">
        <f>UPPER(TEXT(F75,"dddd"))</f>
        <v>MIÉRCOLES</v>
      </c>
      <c r="F75" s="1127">
        <f>+C75+D75</f>
        <v>44678</v>
      </c>
      <c r="G75" s="1129">
        <v>0</v>
      </c>
      <c r="H75" s="1128">
        <f t="shared" si="31"/>
        <v>164.17499999999998</v>
      </c>
      <c r="I75" s="1128">
        <f>+G75/H75</f>
        <v>0</v>
      </c>
      <c r="J75" s="1128">
        <f t="shared" si="34"/>
        <v>37</v>
      </c>
      <c r="K75" s="1128">
        <f>(+J75/365)*D75</f>
        <v>3.0410958904109591</v>
      </c>
      <c r="L75" s="1128">
        <f>G75*(K75/100)</f>
        <v>0</v>
      </c>
      <c r="M75" s="1128">
        <f>+L75+G75</f>
        <v>0</v>
      </c>
      <c r="N75" s="1128">
        <f t="shared" si="32"/>
        <v>179</v>
      </c>
      <c r="O75" s="1128">
        <f>+N75*I75</f>
        <v>0</v>
      </c>
      <c r="P75" s="1128">
        <f>+M75-O75</f>
        <v>0</v>
      </c>
      <c r="Q75" s="1128">
        <f ca="1">IF(TODAY()&lt;F75,IF(TODAY()&gt;=C75,M75,0),0)</f>
        <v>0</v>
      </c>
      <c r="R75" s="226"/>
      <c r="S75" s="224"/>
      <c r="T75" s="224"/>
      <c r="U75" s="224"/>
      <c r="V75" s="224"/>
      <c r="W75" s="224"/>
      <c r="X75" s="224"/>
      <c r="Y75" s="224"/>
      <c r="Z75" s="224"/>
    </row>
    <row r="76" spans="1:26" x14ac:dyDescent="0.25">
      <c r="A76" s="1124" t="s">
        <v>1063</v>
      </c>
      <c r="B76" s="1124" t="str">
        <f>UPPER(TEXT(C76,"dddd"))</f>
        <v>MIÉRCOLES</v>
      </c>
      <c r="C76" s="1125">
        <f t="shared" si="33"/>
        <v>44678</v>
      </c>
      <c r="D76" s="1126">
        <v>30</v>
      </c>
      <c r="E76" s="1124" t="str">
        <f>UPPER(TEXT(F76,"dddd"))</f>
        <v>VIERNES</v>
      </c>
      <c r="F76" s="1127">
        <f>+C76+D76</f>
        <v>44708</v>
      </c>
      <c r="G76" s="1129">
        <v>0</v>
      </c>
      <c r="H76" s="1128">
        <f t="shared" si="31"/>
        <v>164.17499999999998</v>
      </c>
      <c r="I76" s="1128">
        <f>+G76/H76</f>
        <v>0</v>
      </c>
      <c r="J76" s="1128">
        <f t="shared" si="34"/>
        <v>37</v>
      </c>
      <c r="K76" s="1128">
        <f>(+J76/365)*D76</f>
        <v>3.0410958904109591</v>
      </c>
      <c r="L76" s="1128">
        <f>G76*(K76/100)</f>
        <v>0</v>
      </c>
      <c r="M76" s="1128">
        <f>+L76+G76</f>
        <v>0</v>
      </c>
      <c r="N76" s="1128">
        <f t="shared" si="32"/>
        <v>179</v>
      </c>
      <c r="O76" s="1128">
        <f>+N76*I76</f>
        <v>0</v>
      </c>
      <c r="P76" s="1128">
        <f>+M76-O76</f>
        <v>0</v>
      </c>
      <c r="Q76" s="1128">
        <f ca="1">IF(TODAY()&lt;F76,IF(TODAY()&gt;=C76,M76,0),0)</f>
        <v>0</v>
      </c>
      <c r="R76" s="1130"/>
      <c r="S76" s="224"/>
      <c r="T76" s="224"/>
      <c r="U76" s="224"/>
      <c r="V76" s="224"/>
      <c r="W76" s="224"/>
      <c r="X76" s="224"/>
      <c r="Y76" s="224"/>
      <c r="Z76" s="224"/>
    </row>
    <row r="77" spans="1:26" x14ac:dyDescent="0.25">
      <c r="A77" s="1124" t="s">
        <v>1063</v>
      </c>
      <c r="B77" s="1124" t="str">
        <f t="shared" si="35"/>
        <v>VIERNES</v>
      </c>
      <c r="C77" s="1125">
        <f t="shared" si="33"/>
        <v>44708</v>
      </c>
      <c r="D77" s="1126">
        <v>31</v>
      </c>
      <c r="E77" s="1124" t="str">
        <f t="shared" si="20"/>
        <v>LUNES</v>
      </c>
      <c r="F77" s="1127">
        <f t="shared" ref="F77:F105" si="43">+C77+D77</f>
        <v>44739</v>
      </c>
      <c r="G77" s="1129">
        <v>0</v>
      </c>
      <c r="H77" s="1128">
        <f t="shared" si="31"/>
        <v>164.17499999999998</v>
      </c>
      <c r="I77" s="1128">
        <f t="shared" si="36"/>
        <v>0</v>
      </c>
      <c r="J77" s="1128">
        <f t="shared" si="34"/>
        <v>37</v>
      </c>
      <c r="K77" s="1128">
        <f t="shared" si="37"/>
        <v>3.1424657534246574</v>
      </c>
      <c r="L77" s="1128">
        <f t="shared" si="38"/>
        <v>0</v>
      </c>
      <c r="M77" s="1128">
        <f t="shared" si="39"/>
        <v>0</v>
      </c>
      <c r="N77" s="1128">
        <f t="shared" si="32"/>
        <v>179</v>
      </c>
      <c r="O77" s="1128">
        <f t="shared" si="40"/>
        <v>0</v>
      </c>
      <c r="P77" s="1128">
        <f t="shared" si="41"/>
        <v>0</v>
      </c>
      <c r="Q77" s="1128">
        <f t="shared" ca="1" si="42"/>
        <v>0</v>
      </c>
      <c r="R77" s="224"/>
      <c r="S77" s="224"/>
      <c r="T77" s="224"/>
      <c r="U77" s="224"/>
      <c r="V77" s="224"/>
      <c r="W77" s="224"/>
      <c r="X77" s="224"/>
      <c r="Y77" s="224"/>
      <c r="Z77" s="224"/>
    </row>
    <row r="78" spans="1:26" x14ac:dyDescent="0.25">
      <c r="A78" s="1018" t="s">
        <v>1063</v>
      </c>
      <c r="B78" s="1018" t="str">
        <f t="shared" si="35"/>
        <v>DOMINGO</v>
      </c>
      <c r="C78" s="1019">
        <v>44927</v>
      </c>
      <c r="D78" s="1028">
        <v>31</v>
      </c>
      <c r="E78" s="1018" t="str">
        <f t="shared" si="20"/>
        <v>MIÉRCOLES</v>
      </c>
      <c r="F78" s="1019">
        <f t="shared" si="43"/>
        <v>44958</v>
      </c>
      <c r="G78" s="1008">
        <v>0</v>
      </c>
      <c r="H78" s="1020">
        <f t="shared" si="31"/>
        <v>164.17499999999998</v>
      </c>
      <c r="I78" s="1020">
        <f t="shared" si="36"/>
        <v>0</v>
      </c>
      <c r="J78" s="1020">
        <f t="shared" ref="J78:J111" si="44">+J77</f>
        <v>37</v>
      </c>
      <c r="K78" s="1020">
        <f t="shared" si="37"/>
        <v>3.1424657534246574</v>
      </c>
      <c r="L78" s="1020">
        <f t="shared" si="38"/>
        <v>0</v>
      </c>
      <c r="M78" s="1020">
        <f t="shared" si="39"/>
        <v>0</v>
      </c>
      <c r="N78" s="1020">
        <f t="shared" si="32"/>
        <v>179</v>
      </c>
      <c r="O78" s="1020">
        <f t="shared" si="40"/>
        <v>0</v>
      </c>
      <c r="P78" s="1020">
        <f t="shared" si="41"/>
        <v>0</v>
      </c>
      <c r="Q78" s="1020">
        <f t="shared" ca="1" si="42"/>
        <v>0</v>
      </c>
      <c r="R78" s="224"/>
      <c r="S78" s="224"/>
      <c r="T78" s="224"/>
      <c r="U78" s="224"/>
      <c r="V78" s="224"/>
      <c r="W78" s="224"/>
      <c r="X78" s="224"/>
      <c r="Y78" s="224"/>
    </row>
    <row r="79" spans="1:26" x14ac:dyDescent="0.25">
      <c r="A79" s="1018" t="s">
        <v>150</v>
      </c>
      <c r="B79" s="1018" t="str">
        <f t="shared" si="35"/>
        <v>MIÉRCOLES</v>
      </c>
      <c r="C79" s="1019">
        <f>+F78</f>
        <v>44958</v>
      </c>
      <c r="D79" s="1028">
        <v>30</v>
      </c>
      <c r="E79" s="1018" t="str">
        <f t="shared" si="20"/>
        <v>VIERNES</v>
      </c>
      <c r="F79" s="1019">
        <f t="shared" si="43"/>
        <v>44988</v>
      </c>
      <c r="G79" s="1008">
        <f>+M78</f>
        <v>0</v>
      </c>
      <c r="H79" s="1020">
        <f t="shared" si="31"/>
        <v>164.17499999999998</v>
      </c>
      <c r="I79" s="1020">
        <f t="shared" si="36"/>
        <v>0</v>
      </c>
      <c r="J79" s="1020">
        <f t="shared" si="44"/>
        <v>37</v>
      </c>
      <c r="K79" s="1020">
        <f t="shared" si="37"/>
        <v>3.0410958904109591</v>
      </c>
      <c r="L79" s="1020">
        <f t="shared" si="38"/>
        <v>0</v>
      </c>
      <c r="M79" s="1020">
        <f t="shared" si="39"/>
        <v>0</v>
      </c>
      <c r="N79" s="1020">
        <f t="shared" ref="N79:N88" si="45">+CtzvS*1.3</f>
        <v>121.55</v>
      </c>
      <c r="O79" s="1020">
        <f t="shared" si="40"/>
        <v>0</v>
      </c>
      <c r="P79" s="1020">
        <f t="shared" si="41"/>
        <v>0</v>
      </c>
      <c r="Q79" s="1020">
        <f t="shared" ca="1" si="42"/>
        <v>0</v>
      </c>
      <c r="R79" s="226"/>
      <c r="S79" s="224"/>
      <c r="T79" s="224"/>
      <c r="V79" s="224"/>
    </row>
    <row r="80" spans="1:26" x14ac:dyDescent="0.25">
      <c r="A80" s="1018" t="s">
        <v>150</v>
      </c>
      <c r="B80" s="1018" t="str">
        <f t="shared" si="35"/>
        <v>VIERNES</v>
      </c>
      <c r="C80" s="1019">
        <f>+F79</f>
        <v>44988</v>
      </c>
      <c r="D80" s="1028">
        <v>30</v>
      </c>
      <c r="E80" s="1018" t="str">
        <f t="shared" si="20"/>
        <v>DOMINGO</v>
      </c>
      <c r="F80" s="1019">
        <f t="shared" si="43"/>
        <v>45018</v>
      </c>
      <c r="G80" s="1008">
        <f t="shared" ref="G80:G90" si="46">+M79</f>
        <v>0</v>
      </c>
      <c r="H80" s="1020">
        <f t="shared" si="31"/>
        <v>164.17499999999998</v>
      </c>
      <c r="I80" s="1020">
        <f t="shared" si="36"/>
        <v>0</v>
      </c>
      <c r="J80" s="1020">
        <f t="shared" si="44"/>
        <v>37</v>
      </c>
      <c r="K80" s="1020">
        <f t="shared" si="37"/>
        <v>3.0410958904109591</v>
      </c>
      <c r="L80" s="1020">
        <f t="shared" si="38"/>
        <v>0</v>
      </c>
      <c r="M80" s="1020">
        <f t="shared" si="39"/>
        <v>0</v>
      </c>
      <c r="N80" s="1020">
        <f t="shared" si="45"/>
        <v>121.55</v>
      </c>
      <c r="O80" s="1020">
        <f t="shared" si="40"/>
        <v>0</v>
      </c>
      <c r="P80" s="1020">
        <f t="shared" si="41"/>
        <v>0</v>
      </c>
      <c r="Q80" s="1020">
        <f t="shared" ca="1" si="42"/>
        <v>0</v>
      </c>
      <c r="R80" s="226"/>
      <c r="S80" s="224"/>
      <c r="T80" s="224"/>
      <c r="V80" s="224"/>
    </row>
    <row r="81" spans="1:22" x14ac:dyDescent="0.25">
      <c r="A81" s="1018" t="s">
        <v>150</v>
      </c>
      <c r="B81" s="1018" t="str">
        <f t="shared" si="35"/>
        <v>DOMINGO</v>
      </c>
      <c r="C81" s="1019">
        <f t="shared" ref="C81:C86" si="47">+F80</f>
        <v>45018</v>
      </c>
      <c r="D81" s="1028">
        <v>30</v>
      </c>
      <c r="E81" s="1018" t="str">
        <f t="shared" si="20"/>
        <v>MARTES</v>
      </c>
      <c r="F81" s="1019">
        <f t="shared" si="43"/>
        <v>45048</v>
      </c>
      <c r="G81" s="1008">
        <f t="shared" si="46"/>
        <v>0</v>
      </c>
      <c r="H81" s="1020">
        <f t="shared" si="31"/>
        <v>164.17499999999998</v>
      </c>
      <c r="I81" s="1020">
        <f t="shared" si="36"/>
        <v>0</v>
      </c>
      <c r="J81" s="1020">
        <f t="shared" si="44"/>
        <v>37</v>
      </c>
      <c r="K81" s="1020">
        <f t="shared" si="37"/>
        <v>3.0410958904109591</v>
      </c>
      <c r="L81" s="1020">
        <f t="shared" si="38"/>
        <v>0</v>
      </c>
      <c r="M81" s="1020">
        <f t="shared" si="39"/>
        <v>0</v>
      </c>
      <c r="N81" s="1020">
        <f t="shared" si="45"/>
        <v>121.55</v>
      </c>
      <c r="O81" s="1020">
        <f t="shared" si="40"/>
        <v>0</v>
      </c>
      <c r="P81" s="1020">
        <f t="shared" si="41"/>
        <v>0</v>
      </c>
      <c r="Q81" s="1020">
        <f t="shared" ca="1" si="42"/>
        <v>0</v>
      </c>
      <c r="R81" s="226"/>
      <c r="S81" s="224"/>
      <c r="T81" s="224"/>
      <c r="V81" s="224"/>
    </row>
    <row r="82" spans="1:22" x14ac:dyDescent="0.25">
      <c r="A82" s="1018" t="s">
        <v>150</v>
      </c>
      <c r="B82" s="1018" t="str">
        <f t="shared" si="35"/>
        <v>MARTES</v>
      </c>
      <c r="C82" s="1019">
        <f t="shared" si="47"/>
        <v>45048</v>
      </c>
      <c r="D82" s="1028">
        <v>30</v>
      </c>
      <c r="E82" s="1018" t="str">
        <f t="shared" si="20"/>
        <v>JUEVES</v>
      </c>
      <c r="F82" s="1019">
        <f t="shared" si="43"/>
        <v>45078</v>
      </c>
      <c r="G82" s="1008">
        <f t="shared" si="46"/>
        <v>0</v>
      </c>
      <c r="H82" s="1020">
        <f t="shared" si="31"/>
        <v>164.17499999999998</v>
      </c>
      <c r="I82" s="1020">
        <f t="shared" si="36"/>
        <v>0</v>
      </c>
      <c r="J82" s="1020">
        <f t="shared" si="44"/>
        <v>37</v>
      </c>
      <c r="K82" s="1020">
        <f t="shared" si="37"/>
        <v>3.0410958904109591</v>
      </c>
      <c r="L82" s="1020">
        <f t="shared" si="38"/>
        <v>0</v>
      </c>
      <c r="M82" s="1020">
        <f t="shared" si="39"/>
        <v>0</v>
      </c>
      <c r="N82" s="1020">
        <f t="shared" si="45"/>
        <v>121.55</v>
      </c>
      <c r="O82" s="1020">
        <f t="shared" si="40"/>
        <v>0</v>
      </c>
      <c r="P82" s="1020">
        <f t="shared" si="41"/>
        <v>0</v>
      </c>
      <c r="Q82" s="1020">
        <f t="shared" ca="1" si="42"/>
        <v>0</v>
      </c>
    </row>
    <row r="83" spans="1:22" x14ac:dyDescent="0.25">
      <c r="A83" s="1018" t="s">
        <v>150</v>
      </c>
      <c r="B83" s="1018" t="str">
        <f t="shared" si="35"/>
        <v>JUEVES</v>
      </c>
      <c r="C83" s="1019">
        <f t="shared" si="47"/>
        <v>45078</v>
      </c>
      <c r="D83" s="1028">
        <v>30</v>
      </c>
      <c r="E83" s="1018" t="str">
        <f t="shared" si="20"/>
        <v>SÁBADO</v>
      </c>
      <c r="F83" s="1019">
        <f t="shared" si="43"/>
        <v>45108</v>
      </c>
      <c r="G83" s="1008">
        <f t="shared" si="46"/>
        <v>0</v>
      </c>
      <c r="H83" s="1020">
        <f t="shared" si="31"/>
        <v>164.17499999999998</v>
      </c>
      <c r="I83" s="1020">
        <f t="shared" si="36"/>
        <v>0</v>
      </c>
      <c r="J83" s="1020">
        <f t="shared" si="44"/>
        <v>37</v>
      </c>
      <c r="K83" s="1020">
        <f t="shared" si="37"/>
        <v>3.0410958904109591</v>
      </c>
      <c r="L83" s="1020">
        <f t="shared" si="38"/>
        <v>0</v>
      </c>
      <c r="M83" s="1020">
        <f t="shared" si="39"/>
        <v>0</v>
      </c>
      <c r="N83" s="1020">
        <f t="shared" si="45"/>
        <v>121.55</v>
      </c>
      <c r="O83" s="1020">
        <f t="shared" si="40"/>
        <v>0</v>
      </c>
      <c r="P83" s="1020">
        <f t="shared" si="41"/>
        <v>0</v>
      </c>
      <c r="Q83" s="1020">
        <f t="shared" ca="1" si="42"/>
        <v>0</v>
      </c>
    </row>
    <row r="84" spans="1:22" x14ac:dyDescent="0.25">
      <c r="A84" s="1018" t="s">
        <v>150</v>
      </c>
      <c r="B84" s="1018" t="str">
        <f t="shared" si="35"/>
        <v>SÁBADO</v>
      </c>
      <c r="C84" s="1019">
        <f t="shared" si="47"/>
        <v>45108</v>
      </c>
      <c r="D84" s="1028">
        <v>30</v>
      </c>
      <c r="E84" s="1018" t="str">
        <f t="shared" si="20"/>
        <v>LUNES</v>
      </c>
      <c r="F84" s="1019">
        <f t="shared" si="43"/>
        <v>45138</v>
      </c>
      <c r="G84" s="1008">
        <f t="shared" si="46"/>
        <v>0</v>
      </c>
      <c r="H84" s="1020">
        <f t="shared" si="31"/>
        <v>164.17499999999998</v>
      </c>
      <c r="I84" s="1020">
        <f t="shared" si="36"/>
        <v>0</v>
      </c>
      <c r="J84" s="1020">
        <f t="shared" si="44"/>
        <v>37</v>
      </c>
      <c r="K84" s="1020">
        <f t="shared" si="37"/>
        <v>3.0410958904109591</v>
      </c>
      <c r="L84" s="1020">
        <f t="shared" si="38"/>
        <v>0</v>
      </c>
      <c r="M84" s="1020">
        <f t="shared" si="39"/>
        <v>0</v>
      </c>
      <c r="N84" s="1020">
        <f t="shared" si="45"/>
        <v>121.55</v>
      </c>
      <c r="O84" s="1020">
        <f t="shared" si="40"/>
        <v>0</v>
      </c>
      <c r="P84" s="1020">
        <f t="shared" si="41"/>
        <v>0</v>
      </c>
      <c r="Q84" s="1020">
        <f t="shared" ca="1" si="42"/>
        <v>0</v>
      </c>
    </row>
    <row r="85" spans="1:22" x14ac:dyDescent="0.25">
      <c r="A85" s="1018" t="s">
        <v>150</v>
      </c>
      <c r="B85" s="1018" t="str">
        <f t="shared" si="35"/>
        <v>LUNES</v>
      </c>
      <c r="C85" s="1019">
        <f t="shared" si="47"/>
        <v>45138</v>
      </c>
      <c r="D85" s="1028">
        <v>30</v>
      </c>
      <c r="E85" s="1018" t="str">
        <f t="shared" si="20"/>
        <v>MIÉRCOLES</v>
      </c>
      <c r="F85" s="1019">
        <f t="shared" si="43"/>
        <v>45168</v>
      </c>
      <c r="G85" s="1008">
        <f t="shared" si="46"/>
        <v>0</v>
      </c>
      <c r="H85" s="1020">
        <f t="shared" si="31"/>
        <v>164.17499999999998</v>
      </c>
      <c r="I85" s="1020">
        <f t="shared" si="36"/>
        <v>0</v>
      </c>
      <c r="J85" s="1020">
        <f t="shared" si="44"/>
        <v>37</v>
      </c>
      <c r="K85" s="1020">
        <f t="shared" si="37"/>
        <v>3.0410958904109591</v>
      </c>
      <c r="L85" s="1020">
        <f t="shared" si="38"/>
        <v>0</v>
      </c>
      <c r="M85" s="1020">
        <f t="shared" si="39"/>
        <v>0</v>
      </c>
      <c r="N85" s="1020">
        <f t="shared" si="45"/>
        <v>121.55</v>
      </c>
      <c r="O85" s="1020">
        <f t="shared" si="40"/>
        <v>0</v>
      </c>
      <c r="P85" s="1020">
        <f t="shared" si="41"/>
        <v>0</v>
      </c>
      <c r="Q85" s="1020">
        <f t="shared" ca="1" si="42"/>
        <v>0</v>
      </c>
    </row>
    <row r="86" spans="1:22" x14ac:dyDescent="0.25">
      <c r="A86" s="1018" t="s">
        <v>150</v>
      </c>
      <c r="B86" s="1018" t="str">
        <f t="shared" si="35"/>
        <v>MIÉRCOLES</v>
      </c>
      <c r="C86" s="1019">
        <f t="shared" si="47"/>
        <v>45168</v>
      </c>
      <c r="D86" s="1028">
        <v>30</v>
      </c>
      <c r="E86" s="1018" t="str">
        <f t="shared" si="20"/>
        <v>VIERNES</v>
      </c>
      <c r="F86" s="1019">
        <f t="shared" si="43"/>
        <v>45198</v>
      </c>
      <c r="G86" s="1008">
        <f t="shared" si="46"/>
        <v>0</v>
      </c>
      <c r="H86" s="1020">
        <f t="shared" si="31"/>
        <v>164.17499999999998</v>
      </c>
      <c r="I86" s="1020">
        <f t="shared" si="36"/>
        <v>0</v>
      </c>
      <c r="J86" s="1020">
        <f t="shared" si="44"/>
        <v>37</v>
      </c>
      <c r="K86" s="1020">
        <f t="shared" si="37"/>
        <v>3.0410958904109591</v>
      </c>
      <c r="L86" s="1020">
        <f t="shared" si="38"/>
        <v>0</v>
      </c>
      <c r="M86" s="1020">
        <f t="shared" si="39"/>
        <v>0</v>
      </c>
      <c r="N86" s="1020">
        <f t="shared" si="45"/>
        <v>121.55</v>
      </c>
      <c r="O86" s="1020">
        <f t="shared" si="40"/>
        <v>0</v>
      </c>
      <c r="P86" s="1020">
        <f t="shared" si="41"/>
        <v>0</v>
      </c>
      <c r="Q86" s="1020">
        <f t="shared" ca="1" si="42"/>
        <v>0</v>
      </c>
    </row>
    <row r="87" spans="1:22" x14ac:dyDescent="0.25">
      <c r="A87" s="1018" t="s">
        <v>150</v>
      </c>
      <c r="B87" s="1018" t="str">
        <f t="shared" si="35"/>
        <v>VIERNES</v>
      </c>
      <c r="C87" s="1019">
        <f t="shared" ref="C87:C111" si="48">+F86</f>
        <v>45198</v>
      </c>
      <c r="D87" s="1028">
        <v>30</v>
      </c>
      <c r="E87" s="1018" t="str">
        <f t="shared" si="20"/>
        <v>DOMINGO</v>
      </c>
      <c r="F87" s="1019">
        <f t="shared" si="43"/>
        <v>45228</v>
      </c>
      <c r="G87" s="1008">
        <f t="shared" si="46"/>
        <v>0</v>
      </c>
      <c r="H87" s="1020">
        <f t="shared" si="31"/>
        <v>164.17499999999998</v>
      </c>
      <c r="I87" s="1020">
        <f t="shared" si="36"/>
        <v>0</v>
      </c>
      <c r="J87" s="1020">
        <f t="shared" si="44"/>
        <v>37</v>
      </c>
      <c r="K87" s="1020">
        <f t="shared" si="37"/>
        <v>3.0410958904109591</v>
      </c>
      <c r="L87" s="1020">
        <f t="shared" si="38"/>
        <v>0</v>
      </c>
      <c r="M87" s="1020">
        <f t="shared" si="39"/>
        <v>0</v>
      </c>
      <c r="N87" s="1020">
        <f t="shared" si="45"/>
        <v>121.55</v>
      </c>
      <c r="O87" s="1020">
        <f t="shared" si="40"/>
        <v>0</v>
      </c>
      <c r="P87" s="1020">
        <f t="shared" si="41"/>
        <v>0</v>
      </c>
      <c r="Q87" s="1020">
        <f t="shared" ca="1" si="42"/>
        <v>0</v>
      </c>
    </row>
    <row r="88" spans="1:22" x14ac:dyDescent="0.25">
      <c r="A88" s="1018" t="s">
        <v>150</v>
      </c>
      <c r="B88" s="1018" t="str">
        <f t="shared" si="35"/>
        <v>DOMINGO</v>
      </c>
      <c r="C88" s="1019">
        <f t="shared" si="48"/>
        <v>45228</v>
      </c>
      <c r="D88" s="1028">
        <v>30</v>
      </c>
      <c r="E88" s="1018" t="str">
        <f t="shared" si="20"/>
        <v>MARTES</v>
      </c>
      <c r="F88" s="1019">
        <f t="shared" si="43"/>
        <v>45258</v>
      </c>
      <c r="G88" s="1008">
        <f t="shared" si="46"/>
        <v>0</v>
      </c>
      <c r="H88" s="1020">
        <f t="shared" si="31"/>
        <v>164.17499999999998</v>
      </c>
      <c r="I88" s="1020">
        <f t="shared" si="36"/>
        <v>0</v>
      </c>
      <c r="J88" s="1020">
        <f t="shared" si="44"/>
        <v>37</v>
      </c>
      <c r="K88" s="1020">
        <f t="shared" si="37"/>
        <v>3.0410958904109591</v>
      </c>
      <c r="L88" s="1020">
        <f t="shared" si="38"/>
        <v>0</v>
      </c>
      <c r="M88" s="1020">
        <f t="shared" si="39"/>
        <v>0</v>
      </c>
      <c r="N88" s="1020">
        <f t="shared" si="45"/>
        <v>121.55</v>
      </c>
      <c r="O88" s="1020">
        <f t="shared" si="40"/>
        <v>0</v>
      </c>
      <c r="P88" s="1020">
        <f t="shared" si="41"/>
        <v>0</v>
      </c>
      <c r="Q88" s="1020">
        <f t="shared" ca="1" si="42"/>
        <v>0</v>
      </c>
    </row>
    <row r="89" spans="1:22" x14ac:dyDescent="0.25">
      <c r="A89" s="1018" t="s">
        <v>150</v>
      </c>
      <c r="B89" s="1018" t="str">
        <f t="shared" si="35"/>
        <v>MARTES</v>
      </c>
      <c r="C89" s="1019">
        <f t="shared" si="48"/>
        <v>45258</v>
      </c>
      <c r="D89" s="1028">
        <v>30</v>
      </c>
      <c r="E89" s="1018" t="str">
        <f t="shared" si="20"/>
        <v>JUEVES</v>
      </c>
      <c r="F89" s="1019">
        <f t="shared" si="43"/>
        <v>45288</v>
      </c>
      <c r="G89" s="1008">
        <f t="shared" si="46"/>
        <v>0</v>
      </c>
      <c r="H89" s="1020">
        <f t="shared" si="31"/>
        <v>164.17499999999998</v>
      </c>
      <c r="I89" s="1020">
        <f t="shared" si="36"/>
        <v>0</v>
      </c>
      <c r="J89" s="1020">
        <f t="shared" si="44"/>
        <v>37</v>
      </c>
      <c r="K89" s="1020">
        <f t="shared" si="37"/>
        <v>3.0410958904109591</v>
      </c>
      <c r="L89" s="1020">
        <f t="shared" si="38"/>
        <v>0</v>
      </c>
      <c r="M89" s="1020">
        <f t="shared" si="39"/>
        <v>0</v>
      </c>
      <c r="N89" s="1020">
        <f t="shared" ref="N89:N111" si="49">+CtzvS*1.3</f>
        <v>121.55</v>
      </c>
      <c r="O89" s="1020">
        <f t="shared" si="40"/>
        <v>0</v>
      </c>
      <c r="P89" s="1020">
        <f t="shared" si="41"/>
        <v>0</v>
      </c>
      <c r="Q89" s="1020">
        <f t="shared" ca="1" si="42"/>
        <v>0</v>
      </c>
      <c r="S89" s="225">
        <v>1950000</v>
      </c>
    </row>
    <row r="90" spans="1:22" x14ac:dyDescent="0.25">
      <c r="A90" s="1018" t="s">
        <v>150</v>
      </c>
      <c r="B90" s="1018" t="str">
        <f t="shared" si="35"/>
        <v>JUEVES</v>
      </c>
      <c r="C90" s="1019">
        <f t="shared" si="48"/>
        <v>45288</v>
      </c>
      <c r="D90" s="1028">
        <v>30</v>
      </c>
      <c r="E90" s="1018" t="str">
        <f t="shared" si="20"/>
        <v>SÁBADO</v>
      </c>
      <c r="F90" s="1019">
        <f t="shared" si="43"/>
        <v>45318</v>
      </c>
      <c r="G90" s="1008">
        <f t="shared" si="46"/>
        <v>0</v>
      </c>
      <c r="H90" s="1020">
        <f t="shared" ref="H90:H111" si="50">+CtzS</f>
        <v>164.17499999999998</v>
      </c>
      <c r="I90" s="1020">
        <f t="shared" si="36"/>
        <v>0</v>
      </c>
      <c r="J90" s="1020">
        <f t="shared" si="44"/>
        <v>37</v>
      </c>
      <c r="K90" s="1020">
        <f t="shared" si="37"/>
        <v>3.0410958904109591</v>
      </c>
      <c r="L90" s="1020">
        <f t="shared" si="38"/>
        <v>0</v>
      </c>
      <c r="M90" s="1020">
        <f t="shared" si="39"/>
        <v>0</v>
      </c>
      <c r="N90" s="1020">
        <f t="shared" si="49"/>
        <v>121.55</v>
      </c>
      <c r="O90" s="1020">
        <f t="shared" si="40"/>
        <v>0</v>
      </c>
      <c r="P90" s="1020">
        <f t="shared" si="41"/>
        <v>0</v>
      </c>
      <c r="Q90" s="1020">
        <f t="shared" ca="1" si="42"/>
        <v>0</v>
      </c>
      <c r="R90" s="225">
        <f>+G90-G78</f>
        <v>0</v>
      </c>
      <c r="S90" s="225">
        <f>+S89-G78</f>
        <v>1950000</v>
      </c>
    </row>
    <row r="91" spans="1:22" x14ac:dyDescent="0.25">
      <c r="A91" s="1018" t="s">
        <v>150</v>
      </c>
      <c r="B91" s="1018" t="str">
        <f t="shared" si="35"/>
        <v>SÁBADO</v>
      </c>
      <c r="C91" s="1019">
        <f t="shared" si="48"/>
        <v>45318</v>
      </c>
      <c r="D91" s="1028">
        <v>30</v>
      </c>
      <c r="E91" s="1018" t="str">
        <f t="shared" si="20"/>
        <v>LUNES</v>
      </c>
      <c r="F91" s="1019">
        <f t="shared" si="43"/>
        <v>45348</v>
      </c>
      <c r="G91" s="1020"/>
      <c r="H91" s="1020">
        <f t="shared" si="50"/>
        <v>164.17499999999998</v>
      </c>
      <c r="I91" s="1020">
        <f t="shared" si="36"/>
        <v>0</v>
      </c>
      <c r="J91" s="1020">
        <f t="shared" si="44"/>
        <v>37</v>
      </c>
      <c r="K91" s="1020">
        <f t="shared" si="37"/>
        <v>3.0410958904109591</v>
      </c>
      <c r="L91" s="1020">
        <f t="shared" si="38"/>
        <v>0</v>
      </c>
      <c r="M91" s="1020">
        <f t="shared" si="39"/>
        <v>0</v>
      </c>
      <c r="N91" s="1020">
        <f t="shared" si="49"/>
        <v>121.55</v>
      </c>
      <c r="O91" s="1020">
        <f t="shared" si="40"/>
        <v>0</v>
      </c>
      <c r="P91" s="1020">
        <f t="shared" si="41"/>
        <v>0</v>
      </c>
      <c r="Q91" s="1020">
        <f t="shared" ca="1" si="42"/>
        <v>0</v>
      </c>
    </row>
    <row r="92" spans="1:22" x14ac:dyDescent="0.25">
      <c r="A92" s="1018" t="s">
        <v>150</v>
      </c>
      <c r="B92" s="1018" t="str">
        <f t="shared" si="35"/>
        <v>LUNES</v>
      </c>
      <c r="C92" s="1019">
        <f t="shared" si="48"/>
        <v>45348</v>
      </c>
      <c r="D92" s="1028">
        <v>30</v>
      </c>
      <c r="E92" s="1018" t="str">
        <f t="shared" si="20"/>
        <v>MIÉRCOLES</v>
      </c>
      <c r="F92" s="1019">
        <f t="shared" si="43"/>
        <v>45378</v>
      </c>
      <c r="G92" s="1020"/>
      <c r="H92" s="1020">
        <f t="shared" si="50"/>
        <v>164.17499999999998</v>
      </c>
      <c r="I92" s="1020">
        <f t="shared" si="36"/>
        <v>0</v>
      </c>
      <c r="J92" s="1020">
        <f t="shared" si="44"/>
        <v>37</v>
      </c>
      <c r="K92" s="1020">
        <f t="shared" si="37"/>
        <v>3.0410958904109591</v>
      </c>
      <c r="L92" s="1020">
        <f t="shared" si="38"/>
        <v>0</v>
      </c>
      <c r="M92" s="1020">
        <f t="shared" si="39"/>
        <v>0</v>
      </c>
      <c r="N92" s="1020">
        <f t="shared" si="49"/>
        <v>121.55</v>
      </c>
      <c r="O92" s="1020">
        <f t="shared" si="40"/>
        <v>0</v>
      </c>
      <c r="P92" s="1020">
        <f t="shared" si="41"/>
        <v>0</v>
      </c>
      <c r="Q92" s="1020">
        <f t="shared" ca="1" si="42"/>
        <v>0</v>
      </c>
    </row>
    <row r="93" spans="1:22" x14ac:dyDescent="0.25">
      <c r="A93" s="1018" t="s">
        <v>150</v>
      </c>
      <c r="B93" s="1018" t="str">
        <f t="shared" si="35"/>
        <v>MIÉRCOLES</v>
      </c>
      <c r="C93" s="1019">
        <f t="shared" si="48"/>
        <v>45378</v>
      </c>
      <c r="D93" s="1028">
        <v>30</v>
      </c>
      <c r="E93" s="1018" t="str">
        <f t="shared" si="20"/>
        <v>VIERNES</v>
      </c>
      <c r="F93" s="1019">
        <f t="shared" si="43"/>
        <v>45408</v>
      </c>
      <c r="G93" s="1020"/>
      <c r="H93" s="1020">
        <f t="shared" si="50"/>
        <v>164.17499999999998</v>
      </c>
      <c r="I93" s="1020">
        <f t="shared" si="36"/>
        <v>0</v>
      </c>
      <c r="J93" s="1020">
        <f t="shared" si="44"/>
        <v>37</v>
      </c>
      <c r="K93" s="1020">
        <f t="shared" si="37"/>
        <v>3.0410958904109591</v>
      </c>
      <c r="L93" s="1020">
        <f t="shared" si="38"/>
        <v>0</v>
      </c>
      <c r="M93" s="1020">
        <f t="shared" si="39"/>
        <v>0</v>
      </c>
      <c r="N93" s="1020">
        <f t="shared" si="49"/>
        <v>121.55</v>
      </c>
      <c r="O93" s="1020">
        <f t="shared" si="40"/>
        <v>0</v>
      </c>
      <c r="P93" s="1020">
        <f t="shared" si="41"/>
        <v>0</v>
      </c>
      <c r="Q93" s="1020">
        <f t="shared" ca="1" si="42"/>
        <v>0</v>
      </c>
    </row>
    <row r="94" spans="1:22" x14ac:dyDescent="0.25">
      <c r="A94" s="1018" t="s">
        <v>150</v>
      </c>
      <c r="B94" s="1018" t="str">
        <f t="shared" si="35"/>
        <v>VIERNES</v>
      </c>
      <c r="C94" s="1019">
        <f t="shared" si="48"/>
        <v>45408</v>
      </c>
      <c r="D94" s="1028">
        <v>30</v>
      </c>
      <c r="E94" s="1018" t="str">
        <f t="shared" si="20"/>
        <v>DOMINGO</v>
      </c>
      <c r="F94" s="1019">
        <f t="shared" si="43"/>
        <v>45438</v>
      </c>
      <c r="G94" s="1020"/>
      <c r="H94" s="1020">
        <f t="shared" si="50"/>
        <v>164.17499999999998</v>
      </c>
      <c r="I94" s="1020">
        <f t="shared" si="36"/>
        <v>0</v>
      </c>
      <c r="J94" s="1020">
        <f t="shared" si="44"/>
        <v>37</v>
      </c>
      <c r="K94" s="1020">
        <f t="shared" si="37"/>
        <v>3.0410958904109591</v>
      </c>
      <c r="L94" s="1020">
        <f t="shared" si="38"/>
        <v>0</v>
      </c>
      <c r="M94" s="1020">
        <f t="shared" si="39"/>
        <v>0</v>
      </c>
      <c r="N94" s="1020">
        <f t="shared" si="49"/>
        <v>121.55</v>
      </c>
      <c r="O94" s="1020">
        <f t="shared" si="40"/>
        <v>0</v>
      </c>
      <c r="P94" s="1020">
        <f t="shared" si="41"/>
        <v>0</v>
      </c>
      <c r="Q94" s="1020">
        <f t="shared" ca="1" si="42"/>
        <v>0</v>
      </c>
    </row>
    <row r="95" spans="1:22" x14ac:dyDescent="0.25">
      <c r="A95" s="1018" t="s">
        <v>150</v>
      </c>
      <c r="B95" s="1018" t="str">
        <f t="shared" si="35"/>
        <v>DOMINGO</v>
      </c>
      <c r="C95" s="1019">
        <f t="shared" si="48"/>
        <v>45438</v>
      </c>
      <c r="D95" s="1028">
        <v>30</v>
      </c>
      <c r="E95" s="1018" t="str">
        <f t="shared" si="20"/>
        <v>MARTES</v>
      </c>
      <c r="F95" s="1019">
        <f t="shared" si="43"/>
        <v>45468</v>
      </c>
      <c r="G95" s="1020"/>
      <c r="H95" s="1020">
        <f t="shared" si="50"/>
        <v>164.17499999999998</v>
      </c>
      <c r="I95" s="1020">
        <f t="shared" si="36"/>
        <v>0</v>
      </c>
      <c r="J95" s="1020">
        <f t="shared" si="44"/>
        <v>37</v>
      </c>
      <c r="K95" s="1020">
        <f t="shared" si="37"/>
        <v>3.0410958904109591</v>
      </c>
      <c r="L95" s="1020">
        <f t="shared" si="38"/>
        <v>0</v>
      </c>
      <c r="M95" s="1020">
        <f t="shared" si="39"/>
        <v>0</v>
      </c>
      <c r="N95" s="1020">
        <f t="shared" si="49"/>
        <v>121.55</v>
      </c>
      <c r="O95" s="1020">
        <f t="shared" si="40"/>
        <v>0</v>
      </c>
      <c r="P95" s="1020">
        <f t="shared" si="41"/>
        <v>0</v>
      </c>
      <c r="Q95" s="1020">
        <f t="shared" ca="1" si="42"/>
        <v>0</v>
      </c>
    </row>
    <row r="96" spans="1:22" x14ac:dyDescent="0.25">
      <c r="A96" s="1018" t="s">
        <v>150</v>
      </c>
      <c r="B96" s="1018" t="str">
        <f t="shared" si="35"/>
        <v>MARTES</v>
      </c>
      <c r="C96" s="1019">
        <f t="shared" si="48"/>
        <v>45468</v>
      </c>
      <c r="D96" s="1028">
        <v>30</v>
      </c>
      <c r="E96" s="1018" t="str">
        <f t="shared" si="20"/>
        <v>JUEVES</v>
      </c>
      <c r="F96" s="1019">
        <f t="shared" si="43"/>
        <v>45498</v>
      </c>
      <c r="G96" s="1020"/>
      <c r="H96" s="1020">
        <f t="shared" si="50"/>
        <v>164.17499999999998</v>
      </c>
      <c r="I96" s="1020">
        <f t="shared" si="36"/>
        <v>0</v>
      </c>
      <c r="J96" s="1020">
        <f t="shared" si="44"/>
        <v>37</v>
      </c>
      <c r="K96" s="1020">
        <f t="shared" si="37"/>
        <v>3.0410958904109591</v>
      </c>
      <c r="L96" s="1020">
        <f t="shared" si="38"/>
        <v>0</v>
      </c>
      <c r="M96" s="1020">
        <f t="shared" si="39"/>
        <v>0</v>
      </c>
      <c r="N96" s="1020">
        <f t="shared" si="49"/>
        <v>121.55</v>
      </c>
      <c r="O96" s="1020">
        <f t="shared" si="40"/>
        <v>0</v>
      </c>
      <c r="P96" s="1020">
        <f t="shared" si="41"/>
        <v>0</v>
      </c>
      <c r="Q96" s="1020">
        <f t="shared" ca="1" si="42"/>
        <v>0</v>
      </c>
    </row>
    <row r="97" spans="1:17" x14ac:dyDescent="0.25">
      <c r="A97" s="1018" t="s">
        <v>150</v>
      </c>
      <c r="B97" s="1018" t="str">
        <f t="shared" si="35"/>
        <v>JUEVES</v>
      </c>
      <c r="C97" s="1019">
        <f t="shared" si="48"/>
        <v>45498</v>
      </c>
      <c r="D97" s="1028">
        <v>30</v>
      </c>
      <c r="E97" s="1018" t="str">
        <f t="shared" si="20"/>
        <v>SÁBADO</v>
      </c>
      <c r="F97" s="1019">
        <f t="shared" si="43"/>
        <v>45528</v>
      </c>
      <c r="G97" s="1020"/>
      <c r="H97" s="1020">
        <f t="shared" si="50"/>
        <v>164.17499999999998</v>
      </c>
      <c r="I97" s="1020">
        <f t="shared" si="36"/>
        <v>0</v>
      </c>
      <c r="J97" s="1020">
        <f t="shared" si="44"/>
        <v>37</v>
      </c>
      <c r="K97" s="1020">
        <f t="shared" si="37"/>
        <v>3.0410958904109591</v>
      </c>
      <c r="L97" s="1020">
        <f t="shared" si="38"/>
        <v>0</v>
      </c>
      <c r="M97" s="1020">
        <f t="shared" si="39"/>
        <v>0</v>
      </c>
      <c r="N97" s="1020">
        <f t="shared" si="49"/>
        <v>121.55</v>
      </c>
      <c r="O97" s="1020">
        <f t="shared" si="40"/>
        <v>0</v>
      </c>
      <c r="P97" s="1020">
        <f t="shared" si="41"/>
        <v>0</v>
      </c>
      <c r="Q97" s="1020">
        <f t="shared" ca="1" si="42"/>
        <v>0</v>
      </c>
    </row>
    <row r="98" spans="1:17" x14ac:dyDescent="0.25">
      <c r="A98" s="1018" t="s">
        <v>150</v>
      </c>
      <c r="B98" s="1018" t="str">
        <f t="shared" si="35"/>
        <v>SÁBADO</v>
      </c>
      <c r="C98" s="1019">
        <f t="shared" si="48"/>
        <v>45528</v>
      </c>
      <c r="D98" s="1028">
        <v>30</v>
      </c>
      <c r="E98" s="1018" t="str">
        <f t="shared" si="20"/>
        <v>LUNES</v>
      </c>
      <c r="F98" s="1019">
        <f t="shared" si="43"/>
        <v>45558</v>
      </c>
      <c r="G98" s="1020"/>
      <c r="H98" s="1020">
        <f t="shared" si="50"/>
        <v>164.17499999999998</v>
      </c>
      <c r="I98" s="1020">
        <f t="shared" si="36"/>
        <v>0</v>
      </c>
      <c r="J98" s="1020">
        <f t="shared" si="44"/>
        <v>37</v>
      </c>
      <c r="K98" s="1020">
        <f t="shared" si="37"/>
        <v>3.0410958904109591</v>
      </c>
      <c r="L98" s="1020">
        <f t="shared" si="38"/>
        <v>0</v>
      </c>
      <c r="M98" s="1020">
        <f t="shared" si="39"/>
        <v>0</v>
      </c>
      <c r="N98" s="1020">
        <f t="shared" si="49"/>
        <v>121.55</v>
      </c>
      <c r="O98" s="1020">
        <f t="shared" si="40"/>
        <v>0</v>
      </c>
      <c r="P98" s="1020">
        <f t="shared" si="41"/>
        <v>0</v>
      </c>
      <c r="Q98" s="1020">
        <f t="shared" ca="1" si="42"/>
        <v>0</v>
      </c>
    </row>
    <row r="99" spans="1:17" x14ac:dyDescent="0.25">
      <c r="A99" s="1018" t="s">
        <v>150</v>
      </c>
      <c r="B99" s="1018" t="str">
        <f t="shared" si="35"/>
        <v>LUNES</v>
      </c>
      <c r="C99" s="1019">
        <f t="shared" si="48"/>
        <v>45558</v>
      </c>
      <c r="D99" s="1028">
        <v>30</v>
      </c>
      <c r="E99" s="1018" t="str">
        <f t="shared" si="20"/>
        <v>MIÉRCOLES</v>
      </c>
      <c r="F99" s="1019">
        <f t="shared" si="43"/>
        <v>45588</v>
      </c>
      <c r="G99" s="1020"/>
      <c r="H99" s="1020">
        <f t="shared" si="50"/>
        <v>164.17499999999998</v>
      </c>
      <c r="I99" s="1020">
        <f t="shared" si="36"/>
        <v>0</v>
      </c>
      <c r="J99" s="1020">
        <f t="shared" si="44"/>
        <v>37</v>
      </c>
      <c r="K99" s="1020">
        <f t="shared" si="37"/>
        <v>3.0410958904109591</v>
      </c>
      <c r="L99" s="1020">
        <f t="shared" si="38"/>
        <v>0</v>
      </c>
      <c r="M99" s="1020">
        <f t="shared" si="39"/>
        <v>0</v>
      </c>
      <c r="N99" s="1020">
        <f t="shared" si="49"/>
        <v>121.55</v>
      </c>
      <c r="O99" s="1020">
        <f t="shared" si="40"/>
        <v>0</v>
      </c>
      <c r="P99" s="1020">
        <f t="shared" si="41"/>
        <v>0</v>
      </c>
      <c r="Q99" s="1020">
        <f t="shared" ca="1" si="42"/>
        <v>0</v>
      </c>
    </row>
    <row r="100" spans="1:17" x14ac:dyDescent="0.25">
      <c r="A100" s="1018" t="s">
        <v>150</v>
      </c>
      <c r="B100" s="1018" t="str">
        <f t="shared" si="35"/>
        <v>MIÉRCOLES</v>
      </c>
      <c r="C100" s="1019">
        <f t="shared" si="48"/>
        <v>45588</v>
      </c>
      <c r="D100" s="1028">
        <v>30</v>
      </c>
      <c r="E100" s="1018" t="str">
        <f t="shared" si="20"/>
        <v>VIERNES</v>
      </c>
      <c r="F100" s="1019">
        <f t="shared" si="43"/>
        <v>45618</v>
      </c>
      <c r="G100" s="1020"/>
      <c r="H100" s="1020">
        <f t="shared" si="50"/>
        <v>164.17499999999998</v>
      </c>
      <c r="I100" s="1020">
        <f t="shared" si="36"/>
        <v>0</v>
      </c>
      <c r="J100" s="1020">
        <f t="shared" si="44"/>
        <v>37</v>
      </c>
      <c r="K100" s="1020">
        <f t="shared" si="37"/>
        <v>3.0410958904109591</v>
      </c>
      <c r="L100" s="1020">
        <f t="shared" si="38"/>
        <v>0</v>
      </c>
      <c r="M100" s="1020">
        <f t="shared" si="39"/>
        <v>0</v>
      </c>
      <c r="N100" s="1020">
        <f t="shared" si="49"/>
        <v>121.55</v>
      </c>
      <c r="O100" s="1020">
        <f t="shared" si="40"/>
        <v>0</v>
      </c>
      <c r="P100" s="1020">
        <f t="shared" si="41"/>
        <v>0</v>
      </c>
      <c r="Q100" s="1020">
        <f t="shared" ca="1" si="42"/>
        <v>0</v>
      </c>
    </row>
    <row r="101" spans="1:17" x14ac:dyDescent="0.25">
      <c r="A101" s="1018" t="s">
        <v>150</v>
      </c>
      <c r="B101" s="1018" t="str">
        <f t="shared" si="35"/>
        <v>VIERNES</v>
      </c>
      <c r="C101" s="1019">
        <f t="shared" si="48"/>
        <v>45618</v>
      </c>
      <c r="D101" s="1028">
        <v>30</v>
      </c>
      <c r="E101" s="1018" t="str">
        <f t="shared" si="20"/>
        <v>DOMINGO</v>
      </c>
      <c r="F101" s="1019">
        <f t="shared" si="43"/>
        <v>45648</v>
      </c>
      <c r="G101" s="1020"/>
      <c r="H101" s="1020">
        <f t="shared" si="50"/>
        <v>164.17499999999998</v>
      </c>
      <c r="I101" s="1020">
        <f t="shared" si="36"/>
        <v>0</v>
      </c>
      <c r="J101" s="1020">
        <f t="shared" si="44"/>
        <v>37</v>
      </c>
      <c r="K101" s="1020">
        <f t="shared" si="37"/>
        <v>3.0410958904109591</v>
      </c>
      <c r="L101" s="1020">
        <f t="shared" si="38"/>
        <v>0</v>
      </c>
      <c r="M101" s="1020">
        <f t="shared" si="39"/>
        <v>0</v>
      </c>
      <c r="N101" s="1020">
        <f t="shared" si="49"/>
        <v>121.55</v>
      </c>
      <c r="O101" s="1020">
        <f t="shared" si="40"/>
        <v>0</v>
      </c>
      <c r="P101" s="1020">
        <f t="shared" si="41"/>
        <v>0</v>
      </c>
      <c r="Q101" s="1020">
        <f t="shared" ca="1" si="42"/>
        <v>0</v>
      </c>
    </row>
    <row r="102" spans="1:17" x14ac:dyDescent="0.25">
      <c r="A102" s="1018" t="s">
        <v>150</v>
      </c>
      <c r="B102" s="1018" t="str">
        <f t="shared" si="35"/>
        <v>DOMINGO</v>
      </c>
      <c r="C102" s="1019">
        <f t="shared" si="48"/>
        <v>45648</v>
      </c>
      <c r="D102" s="1028">
        <v>30</v>
      </c>
      <c r="E102" s="1018" t="str">
        <f t="shared" si="20"/>
        <v>MARTES</v>
      </c>
      <c r="F102" s="1019">
        <f t="shared" si="43"/>
        <v>45678</v>
      </c>
      <c r="G102" s="1020"/>
      <c r="H102" s="1020">
        <f t="shared" si="50"/>
        <v>164.17499999999998</v>
      </c>
      <c r="I102" s="1020">
        <f t="shared" si="36"/>
        <v>0</v>
      </c>
      <c r="J102" s="1020">
        <f t="shared" si="44"/>
        <v>37</v>
      </c>
      <c r="K102" s="1020">
        <f t="shared" si="37"/>
        <v>3.0410958904109591</v>
      </c>
      <c r="L102" s="1020">
        <f t="shared" si="38"/>
        <v>0</v>
      </c>
      <c r="M102" s="1020">
        <f t="shared" si="39"/>
        <v>0</v>
      </c>
      <c r="N102" s="1020">
        <f t="shared" si="49"/>
        <v>121.55</v>
      </c>
      <c r="O102" s="1020">
        <f t="shared" si="40"/>
        <v>0</v>
      </c>
      <c r="P102" s="1020">
        <f t="shared" si="41"/>
        <v>0</v>
      </c>
      <c r="Q102" s="1020">
        <f t="shared" ca="1" si="42"/>
        <v>0</v>
      </c>
    </row>
    <row r="103" spans="1:17" x14ac:dyDescent="0.25">
      <c r="A103" s="1018" t="s">
        <v>150</v>
      </c>
      <c r="B103" s="1018" t="str">
        <f t="shared" si="35"/>
        <v>MARTES</v>
      </c>
      <c r="C103" s="1019">
        <f t="shared" si="48"/>
        <v>45678</v>
      </c>
      <c r="D103" s="1028">
        <v>30</v>
      </c>
      <c r="E103" s="1018" t="str">
        <f t="shared" si="20"/>
        <v>JUEVES</v>
      </c>
      <c r="F103" s="1019">
        <f t="shared" si="43"/>
        <v>45708</v>
      </c>
      <c r="G103" s="1020"/>
      <c r="H103" s="1020">
        <f t="shared" si="50"/>
        <v>164.17499999999998</v>
      </c>
      <c r="I103" s="1020">
        <f t="shared" si="36"/>
        <v>0</v>
      </c>
      <c r="J103" s="1020">
        <f t="shared" si="44"/>
        <v>37</v>
      </c>
      <c r="K103" s="1020">
        <f t="shared" si="37"/>
        <v>3.0410958904109591</v>
      </c>
      <c r="L103" s="1020">
        <f t="shared" si="38"/>
        <v>0</v>
      </c>
      <c r="M103" s="1020">
        <f t="shared" si="39"/>
        <v>0</v>
      </c>
      <c r="N103" s="1020">
        <f t="shared" si="49"/>
        <v>121.55</v>
      </c>
      <c r="O103" s="1020">
        <f t="shared" si="40"/>
        <v>0</v>
      </c>
      <c r="P103" s="1020">
        <f t="shared" si="41"/>
        <v>0</v>
      </c>
      <c r="Q103" s="1020">
        <f t="shared" ref="Q103:Q111" ca="1" si="51">IF(TODAY()&lt;F103,IF(TODAY()&gt;=C103,M103,0),0)</f>
        <v>0</v>
      </c>
    </row>
    <row r="104" spans="1:17" x14ac:dyDescent="0.25">
      <c r="A104" s="1018" t="s">
        <v>150</v>
      </c>
      <c r="B104" s="1018" t="str">
        <f t="shared" si="35"/>
        <v>JUEVES</v>
      </c>
      <c r="C104" s="1019">
        <f t="shared" si="48"/>
        <v>45708</v>
      </c>
      <c r="D104" s="1028">
        <v>30</v>
      </c>
      <c r="E104" s="1018" t="str">
        <f t="shared" si="20"/>
        <v>SÁBADO</v>
      </c>
      <c r="F104" s="1019">
        <f t="shared" si="43"/>
        <v>45738</v>
      </c>
      <c r="G104" s="1020"/>
      <c r="H104" s="1020">
        <f t="shared" si="50"/>
        <v>164.17499999999998</v>
      </c>
      <c r="I104" s="1020">
        <f t="shared" si="36"/>
        <v>0</v>
      </c>
      <c r="J104" s="1020">
        <f t="shared" si="44"/>
        <v>37</v>
      </c>
      <c r="K104" s="1020">
        <f t="shared" si="37"/>
        <v>3.0410958904109591</v>
      </c>
      <c r="L104" s="1020">
        <f t="shared" si="38"/>
        <v>0</v>
      </c>
      <c r="M104" s="1020">
        <f t="shared" si="39"/>
        <v>0</v>
      </c>
      <c r="N104" s="1020">
        <f t="shared" si="49"/>
        <v>121.55</v>
      </c>
      <c r="O104" s="1020">
        <f t="shared" si="40"/>
        <v>0</v>
      </c>
      <c r="P104" s="1020">
        <f t="shared" si="41"/>
        <v>0</v>
      </c>
      <c r="Q104" s="1020">
        <f t="shared" ca="1" si="51"/>
        <v>0</v>
      </c>
    </row>
    <row r="105" spans="1:17" x14ac:dyDescent="0.25">
      <c r="A105" s="1018" t="s">
        <v>150</v>
      </c>
      <c r="B105" s="1018" t="str">
        <f t="shared" si="35"/>
        <v>SÁBADO</v>
      </c>
      <c r="C105" s="1019">
        <f t="shared" si="48"/>
        <v>45738</v>
      </c>
      <c r="D105" s="1028">
        <v>30</v>
      </c>
      <c r="E105" s="1018" t="str">
        <f t="shared" si="20"/>
        <v>LUNES</v>
      </c>
      <c r="F105" s="1019">
        <f t="shared" si="43"/>
        <v>45768</v>
      </c>
      <c r="G105" s="1020"/>
      <c r="H105" s="1020">
        <f t="shared" si="50"/>
        <v>164.17499999999998</v>
      </c>
      <c r="I105" s="1020">
        <f t="shared" si="36"/>
        <v>0</v>
      </c>
      <c r="J105" s="1020">
        <f t="shared" si="44"/>
        <v>37</v>
      </c>
      <c r="K105" s="1020">
        <f t="shared" si="37"/>
        <v>3.0410958904109591</v>
      </c>
      <c r="L105" s="1020">
        <f t="shared" si="38"/>
        <v>0</v>
      </c>
      <c r="M105" s="1020">
        <f t="shared" si="39"/>
        <v>0</v>
      </c>
      <c r="N105" s="1020">
        <f t="shared" si="49"/>
        <v>121.55</v>
      </c>
      <c r="O105" s="1020">
        <f t="shared" si="40"/>
        <v>0</v>
      </c>
      <c r="P105" s="1020">
        <f t="shared" si="41"/>
        <v>0</v>
      </c>
      <c r="Q105" s="1020">
        <f t="shared" ca="1" si="51"/>
        <v>0</v>
      </c>
    </row>
    <row r="106" spans="1:17" x14ac:dyDescent="0.25">
      <c r="A106" s="1018" t="s">
        <v>150</v>
      </c>
      <c r="B106" s="1018" t="str">
        <f t="shared" si="35"/>
        <v>LUNES</v>
      </c>
      <c r="C106" s="1019">
        <f t="shared" si="48"/>
        <v>45768</v>
      </c>
      <c r="D106" s="1028">
        <v>30</v>
      </c>
      <c r="E106" s="1018" t="str">
        <f t="shared" si="20"/>
        <v>MIÉRCOLES</v>
      </c>
      <c r="F106" s="1019">
        <f t="shared" ref="F106:F111" si="52">+C106+D106</f>
        <v>45798</v>
      </c>
      <c r="G106" s="1020"/>
      <c r="H106" s="1020">
        <f t="shared" si="50"/>
        <v>164.17499999999998</v>
      </c>
      <c r="I106" s="1020">
        <f t="shared" si="36"/>
        <v>0</v>
      </c>
      <c r="J106" s="1020">
        <f t="shared" si="44"/>
        <v>37</v>
      </c>
      <c r="K106" s="1020">
        <f t="shared" si="37"/>
        <v>3.0410958904109591</v>
      </c>
      <c r="L106" s="1020">
        <f t="shared" si="38"/>
        <v>0</v>
      </c>
      <c r="M106" s="1020">
        <f t="shared" si="39"/>
        <v>0</v>
      </c>
      <c r="N106" s="1020">
        <f t="shared" si="49"/>
        <v>121.55</v>
      </c>
      <c r="O106" s="1020">
        <f t="shared" si="40"/>
        <v>0</v>
      </c>
      <c r="P106" s="1020">
        <f t="shared" si="41"/>
        <v>0</v>
      </c>
      <c r="Q106" s="1020">
        <f t="shared" ca="1" si="51"/>
        <v>0</v>
      </c>
    </row>
    <row r="107" spans="1:17" x14ac:dyDescent="0.25">
      <c r="A107" s="1018" t="s">
        <v>150</v>
      </c>
      <c r="B107" s="1018" t="str">
        <f t="shared" si="35"/>
        <v>MIÉRCOLES</v>
      </c>
      <c r="C107" s="1019">
        <f t="shared" si="48"/>
        <v>45798</v>
      </c>
      <c r="D107" s="1028">
        <v>30</v>
      </c>
      <c r="E107" s="1018" t="str">
        <f t="shared" si="20"/>
        <v>VIERNES</v>
      </c>
      <c r="F107" s="1019">
        <f t="shared" si="52"/>
        <v>45828</v>
      </c>
      <c r="G107" s="1020"/>
      <c r="H107" s="1020">
        <f t="shared" si="50"/>
        <v>164.17499999999998</v>
      </c>
      <c r="I107" s="1020">
        <f t="shared" si="36"/>
        <v>0</v>
      </c>
      <c r="J107" s="1020">
        <f t="shared" si="44"/>
        <v>37</v>
      </c>
      <c r="K107" s="1020">
        <f t="shared" si="37"/>
        <v>3.0410958904109591</v>
      </c>
      <c r="L107" s="1020">
        <f t="shared" si="38"/>
        <v>0</v>
      </c>
      <c r="M107" s="1020">
        <f t="shared" si="39"/>
        <v>0</v>
      </c>
      <c r="N107" s="1020">
        <f t="shared" si="49"/>
        <v>121.55</v>
      </c>
      <c r="O107" s="1020">
        <f t="shared" si="40"/>
        <v>0</v>
      </c>
      <c r="P107" s="1020">
        <f t="shared" si="41"/>
        <v>0</v>
      </c>
      <c r="Q107" s="1020">
        <f t="shared" ca="1" si="51"/>
        <v>0</v>
      </c>
    </row>
    <row r="108" spans="1:17" x14ac:dyDescent="0.25">
      <c r="A108" s="1018" t="s">
        <v>150</v>
      </c>
      <c r="B108" s="1018" t="str">
        <f t="shared" si="35"/>
        <v>VIERNES</v>
      </c>
      <c r="C108" s="1019">
        <f t="shared" si="48"/>
        <v>45828</v>
      </c>
      <c r="D108" s="1028">
        <v>30</v>
      </c>
      <c r="E108" s="1018" t="str">
        <f t="shared" si="20"/>
        <v>DOMINGO</v>
      </c>
      <c r="F108" s="1019">
        <f t="shared" si="52"/>
        <v>45858</v>
      </c>
      <c r="G108" s="1020"/>
      <c r="H108" s="1020">
        <f t="shared" si="50"/>
        <v>164.17499999999998</v>
      </c>
      <c r="I108" s="1020">
        <f t="shared" si="36"/>
        <v>0</v>
      </c>
      <c r="J108" s="1020">
        <f t="shared" si="44"/>
        <v>37</v>
      </c>
      <c r="K108" s="1020">
        <f t="shared" si="37"/>
        <v>3.0410958904109591</v>
      </c>
      <c r="L108" s="1020">
        <f t="shared" si="38"/>
        <v>0</v>
      </c>
      <c r="M108" s="1020">
        <f t="shared" si="39"/>
        <v>0</v>
      </c>
      <c r="N108" s="1020">
        <f t="shared" si="49"/>
        <v>121.55</v>
      </c>
      <c r="O108" s="1020">
        <f t="shared" si="40"/>
        <v>0</v>
      </c>
      <c r="P108" s="1020">
        <f t="shared" si="41"/>
        <v>0</v>
      </c>
      <c r="Q108" s="1020">
        <f t="shared" ca="1" si="51"/>
        <v>0</v>
      </c>
    </row>
    <row r="109" spans="1:17" x14ac:dyDescent="0.25">
      <c r="A109" s="1018" t="s">
        <v>150</v>
      </c>
      <c r="B109" s="1018" t="str">
        <f t="shared" si="35"/>
        <v>DOMINGO</v>
      </c>
      <c r="C109" s="1019">
        <f t="shared" si="48"/>
        <v>45858</v>
      </c>
      <c r="D109" s="1028">
        <v>30</v>
      </c>
      <c r="E109" s="1018" t="str">
        <f t="shared" si="20"/>
        <v>MARTES</v>
      </c>
      <c r="F109" s="1019">
        <f t="shared" si="52"/>
        <v>45888</v>
      </c>
      <c r="G109" s="1020"/>
      <c r="H109" s="1020">
        <f t="shared" si="50"/>
        <v>164.17499999999998</v>
      </c>
      <c r="I109" s="1020">
        <f t="shared" si="36"/>
        <v>0</v>
      </c>
      <c r="J109" s="1020">
        <f t="shared" si="44"/>
        <v>37</v>
      </c>
      <c r="K109" s="1020">
        <f t="shared" si="37"/>
        <v>3.0410958904109591</v>
      </c>
      <c r="L109" s="1020">
        <f t="shared" si="38"/>
        <v>0</v>
      </c>
      <c r="M109" s="1020">
        <f t="shared" si="39"/>
        <v>0</v>
      </c>
      <c r="N109" s="1020">
        <f t="shared" si="49"/>
        <v>121.55</v>
      </c>
      <c r="O109" s="1020">
        <f t="shared" si="40"/>
        <v>0</v>
      </c>
      <c r="P109" s="1020">
        <f t="shared" si="41"/>
        <v>0</v>
      </c>
      <c r="Q109" s="1020">
        <f t="shared" ca="1" si="51"/>
        <v>0</v>
      </c>
    </row>
    <row r="110" spans="1:17" x14ac:dyDescent="0.25">
      <c r="A110" s="1018" t="s">
        <v>150</v>
      </c>
      <c r="B110" s="1018" t="str">
        <f t="shared" si="35"/>
        <v>MARTES</v>
      </c>
      <c r="C110" s="1019">
        <f t="shared" si="48"/>
        <v>45888</v>
      </c>
      <c r="D110" s="1028">
        <v>30</v>
      </c>
      <c r="E110" s="1018" t="str">
        <f t="shared" si="20"/>
        <v>JUEVES</v>
      </c>
      <c r="F110" s="1019">
        <f t="shared" si="52"/>
        <v>45918</v>
      </c>
      <c r="G110" s="1020"/>
      <c r="H110" s="1020">
        <f t="shared" si="50"/>
        <v>164.17499999999998</v>
      </c>
      <c r="I110" s="1020">
        <f t="shared" si="36"/>
        <v>0</v>
      </c>
      <c r="J110" s="1020">
        <f t="shared" si="44"/>
        <v>37</v>
      </c>
      <c r="K110" s="1020">
        <f t="shared" si="37"/>
        <v>3.0410958904109591</v>
      </c>
      <c r="L110" s="1020">
        <f t="shared" si="38"/>
        <v>0</v>
      </c>
      <c r="M110" s="1020">
        <f t="shared" si="39"/>
        <v>0</v>
      </c>
      <c r="N110" s="1020">
        <f t="shared" si="49"/>
        <v>121.55</v>
      </c>
      <c r="O110" s="1020">
        <f t="shared" si="40"/>
        <v>0</v>
      </c>
      <c r="P110" s="1020">
        <f t="shared" si="41"/>
        <v>0</v>
      </c>
      <c r="Q110" s="1020">
        <f t="shared" ca="1" si="51"/>
        <v>0</v>
      </c>
    </row>
    <row r="111" spans="1:17" x14ac:dyDescent="0.25">
      <c r="A111" s="1018" t="s">
        <v>150</v>
      </c>
      <c r="B111" s="1018" t="str">
        <f t="shared" si="35"/>
        <v>JUEVES</v>
      </c>
      <c r="C111" s="1019">
        <f t="shared" si="48"/>
        <v>45918</v>
      </c>
      <c r="D111" s="1028">
        <v>30</v>
      </c>
      <c r="E111" s="1018" t="str">
        <f t="shared" si="20"/>
        <v>SÁBADO</v>
      </c>
      <c r="F111" s="1019">
        <f t="shared" si="52"/>
        <v>45948</v>
      </c>
      <c r="G111" s="1020"/>
      <c r="H111" s="1020">
        <f t="shared" si="50"/>
        <v>164.17499999999998</v>
      </c>
      <c r="I111" s="1020">
        <f t="shared" si="36"/>
        <v>0</v>
      </c>
      <c r="J111" s="1020">
        <f t="shared" si="44"/>
        <v>37</v>
      </c>
      <c r="K111" s="1020">
        <f t="shared" si="37"/>
        <v>3.0410958904109591</v>
      </c>
      <c r="L111" s="1020">
        <f t="shared" si="38"/>
        <v>0</v>
      </c>
      <c r="M111" s="1020">
        <f t="shared" si="39"/>
        <v>0</v>
      </c>
      <c r="N111" s="1020">
        <f t="shared" si="49"/>
        <v>121.55</v>
      </c>
      <c r="O111" s="1020">
        <f t="shared" si="40"/>
        <v>0</v>
      </c>
      <c r="P111" s="1020">
        <f t="shared" si="41"/>
        <v>0</v>
      </c>
      <c r="Q111" s="1020">
        <f t="shared" ca="1" si="5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70" workbookViewId="0">
      <selection activeCell="H79" sqref="H79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0" customWidth="1"/>
    <col min="4" max="4" width="12.7109375" style="1105" customWidth="1"/>
    <col min="5" max="5" width="17.42578125" customWidth="1"/>
    <col min="6" max="6" width="11.5703125" style="799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192">
        <f ca="1">TODAY()</f>
        <v>44440</v>
      </c>
      <c r="B1" s="1193"/>
      <c r="C1" s="334" t="s">
        <v>0</v>
      </c>
      <c r="D1" s="1096">
        <f>COUNTA(A5:A293)</f>
        <v>289</v>
      </c>
      <c r="E1" s="335"/>
    </row>
    <row r="2" spans="1:8" x14ac:dyDescent="0.25">
      <c r="A2" s="301" t="s">
        <v>2</v>
      </c>
      <c r="B2" s="302">
        <f>G30+G50+G74+G89+G124+G156+G192+G215+G241+G263+G275+G293</f>
        <v>1465</v>
      </c>
      <c r="C2" s="336" t="s">
        <v>263</v>
      </c>
      <c r="D2" s="1064">
        <f>SUM(C4:C341)-SUM(D4:D341)</f>
        <v>2495</v>
      </c>
      <c r="E2" s="337"/>
      <c r="F2" s="1071"/>
    </row>
    <row r="3" spans="1:8" x14ac:dyDescent="0.25">
      <c r="A3" s="338" t="s">
        <v>7</v>
      </c>
      <c r="B3" s="339" t="s">
        <v>8</v>
      </c>
      <c r="C3" s="340" t="s">
        <v>9</v>
      </c>
      <c r="D3" s="1097" t="s">
        <v>64</v>
      </c>
      <c r="E3" s="342"/>
      <c r="F3" s="1072"/>
    </row>
    <row r="4" spans="1:8" x14ac:dyDescent="0.25">
      <c r="A4" s="343"/>
      <c r="B4" s="344" t="s">
        <v>299</v>
      </c>
      <c r="C4" s="345">
        <v>1030</v>
      </c>
      <c r="D4" s="1098"/>
    </row>
    <row r="5" spans="1:8" x14ac:dyDescent="0.25">
      <c r="A5" s="346">
        <v>39084</v>
      </c>
      <c r="B5" s="347" t="s">
        <v>13</v>
      </c>
      <c r="C5" s="348">
        <v>300</v>
      </c>
      <c r="D5" s="1099"/>
    </row>
    <row r="6" spans="1:8" x14ac:dyDescent="0.25">
      <c r="A6" s="346">
        <v>39084</v>
      </c>
      <c r="B6" s="347" t="s">
        <v>290</v>
      </c>
      <c r="C6" s="348">
        <v>10</v>
      </c>
      <c r="D6" s="1099"/>
      <c r="F6" s="1073"/>
      <c r="G6" s="314"/>
    </row>
    <row r="7" spans="1:8" x14ac:dyDescent="0.25">
      <c r="A7" s="346">
        <v>39085</v>
      </c>
      <c r="B7" s="347" t="s">
        <v>290</v>
      </c>
      <c r="C7" s="348">
        <v>20</v>
      </c>
      <c r="D7" s="1099"/>
      <c r="F7" s="1073"/>
      <c r="G7" s="324"/>
    </row>
    <row r="8" spans="1:8" x14ac:dyDescent="0.25">
      <c r="A8" s="346">
        <v>39086</v>
      </c>
      <c r="B8" s="347" t="s">
        <v>300</v>
      </c>
      <c r="C8" s="348"/>
      <c r="D8" s="1099">
        <v>20</v>
      </c>
      <c r="F8" s="1073"/>
      <c r="G8" s="324"/>
      <c r="H8" s="313"/>
    </row>
    <row r="9" spans="1:8" x14ac:dyDescent="0.25">
      <c r="A9" s="346">
        <v>39089</v>
      </c>
      <c r="B9" s="347" t="s">
        <v>13</v>
      </c>
      <c r="C9" s="348">
        <v>70</v>
      </c>
      <c r="D9" s="1099"/>
      <c r="F9" s="1074"/>
      <c r="G9" s="324"/>
      <c r="H9" s="313"/>
    </row>
    <row r="10" spans="1:8" x14ac:dyDescent="0.25">
      <c r="A10" s="346">
        <v>39089</v>
      </c>
      <c r="B10" s="347" t="s">
        <v>268</v>
      </c>
      <c r="C10" s="348">
        <v>40</v>
      </c>
      <c r="D10" s="1099"/>
      <c r="F10" s="1074"/>
      <c r="G10" s="324"/>
      <c r="H10" s="314"/>
    </row>
    <row r="11" spans="1:8" x14ac:dyDescent="0.25">
      <c r="A11" s="346">
        <v>39092</v>
      </c>
      <c r="B11" s="347" t="s">
        <v>301</v>
      </c>
      <c r="C11" s="348"/>
      <c r="D11" s="1099">
        <v>10</v>
      </c>
      <c r="F11" s="1074"/>
      <c r="G11" s="324"/>
    </row>
    <row r="12" spans="1:8" x14ac:dyDescent="0.25">
      <c r="A12" s="346">
        <v>39092</v>
      </c>
      <c r="B12" s="347" t="s">
        <v>300</v>
      </c>
      <c r="C12" s="348"/>
      <c r="D12" s="1099">
        <v>10</v>
      </c>
      <c r="F12" s="1074"/>
      <c r="G12" s="324"/>
    </row>
    <row r="13" spans="1:8" x14ac:dyDescent="0.25">
      <c r="A13" s="346">
        <v>39096</v>
      </c>
      <c r="B13" s="347" t="s">
        <v>13</v>
      </c>
      <c r="C13" s="348">
        <v>70</v>
      </c>
      <c r="D13" s="1099"/>
      <c r="F13" s="1075"/>
    </row>
    <row r="14" spans="1:8" x14ac:dyDescent="0.25">
      <c r="A14" s="346">
        <v>39096</v>
      </c>
      <c r="B14" s="347" t="s">
        <v>302</v>
      </c>
      <c r="C14" s="348"/>
      <c r="D14" s="1099">
        <v>10</v>
      </c>
      <c r="F14" s="1075"/>
    </row>
    <row r="15" spans="1:8" x14ac:dyDescent="0.25">
      <c r="A15" s="346">
        <v>39097</v>
      </c>
      <c r="B15" s="347" t="s">
        <v>300</v>
      </c>
      <c r="C15" s="348"/>
      <c r="D15" s="1099">
        <v>20</v>
      </c>
      <c r="F15" s="1075"/>
    </row>
    <row r="16" spans="1:8" x14ac:dyDescent="0.25">
      <c r="A16" s="346">
        <v>39098</v>
      </c>
      <c r="B16" s="347" t="s">
        <v>303</v>
      </c>
      <c r="C16" s="348"/>
      <c r="D16" s="1099">
        <v>10</v>
      </c>
      <c r="F16" s="1075"/>
    </row>
    <row r="17" spans="1:7" x14ac:dyDescent="0.25">
      <c r="A17" s="346">
        <v>39099</v>
      </c>
      <c r="B17" s="347" t="s">
        <v>304</v>
      </c>
      <c r="C17" s="348"/>
      <c r="D17" s="1099">
        <v>10</v>
      </c>
      <c r="F17" s="1075"/>
    </row>
    <row r="18" spans="1:7" x14ac:dyDescent="0.25">
      <c r="A18" s="346">
        <v>39099</v>
      </c>
      <c r="B18" s="347" t="s">
        <v>305</v>
      </c>
      <c r="C18" s="348"/>
      <c r="D18" s="1099">
        <v>20</v>
      </c>
      <c r="F18" s="1075"/>
    </row>
    <row r="19" spans="1:7" x14ac:dyDescent="0.25">
      <c r="A19" s="346">
        <v>39099</v>
      </c>
      <c r="B19" s="347" t="s">
        <v>306</v>
      </c>
      <c r="C19" s="348"/>
      <c r="D19" s="1099">
        <v>30</v>
      </c>
    </row>
    <row r="20" spans="1:7" x14ac:dyDescent="0.25">
      <c r="A20" s="346">
        <v>39100</v>
      </c>
      <c r="B20" s="347" t="s">
        <v>305</v>
      </c>
      <c r="C20" s="348"/>
      <c r="D20" s="1099">
        <v>6</v>
      </c>
    </row>
    <row r="21" spans="1:7" x14ac:dyDescent="0.25">
      <c r="A21" s="346">
        <v>39100</v>
      </c>
      <c r="B21" s="347" t="s">
        <v>307</v>
      </c>
      <c r="C21" s="348"/>
      <c r="D21" s="1099">
        <v>5</v>
      </c>
    </row>
    <row r="22" spans="1:7" x14ac:dyDescent="0.25">
      <c r="A22" s="346">
        <v>39101</v>
      </c>
      <c r="B22" s="347" t="s">
        <v>290</v>
      </c>
      <c r="C22" s="348">
        <v>10</v>
      </c>
      <c r="D22" s="1099"/>
    </row>
    <row r="23" spans="1:7" x14ac:dyDescent="0.25">
      <c r="A23" s="346">
        <v>39101</v>
      </c>
      <c r="B23" s="347" t="s">
        <v>308</v>
      </c>
      <c r="C23" s="348"/>
      <c r="D23" s="1099">
        <v>16</v>
      </c>
    </row>
    <row r="24" spans="1:7" x14ac:dyDescent="0.25">
      <c r="A24" s="346">
        <v>39103</v>
      </c>
      <c r="B24" s="347" t="s">
        <v>13</v>
      </c>
      <c r="C24" s="348">
        <v>70</v>
      </c>
      <c r="D24" s="1099"/>
    </row>
    <row r="25" spans="1:7" x14ac:dyDescent="0.25">
      <c r="A25" s="346">
        <v>39103</v>
      </c>
      <c r="B25" s="347" t="s">
        <v>309</v>
      </c>
      <c r="C25" s="348">
        <v>150</v>
      </c>
      <c r="D25" s="1099"/>
    </row>
    <row r="26" spans="1:7" x14ac:dyDescent="0.25">
      <c r="A26" s="346">
        <v>39104</v>
      </c>
      <c r="B26" s="347" t="s">
        <v>307</v>
      </c>
      <c r="C26" s="348"/>
      <c r="D26" s="1099">
        <v>13</v>
      </c>
    </row>
    <row r="27" spans="1:7" x14ac:dyDescent="0.25">
      <c r="A27" s="346">
        <v>39108</v>
      </c>
      <c r="B27" s="347" t="s">
        <v>310</v>
      </c>
      <c r="C27" s="348"/>
      <c r="D27" s="1099">
        <v>5</v>
      </c>
    </row>
    <row r="28" spans="1:7" x14ac:dyDescent="0.25">
      <c r="A28" s="346">
        <v>39110</v>
      </c>
      <c r="B28" s="347" t="s">
        <v>13</v>
      </c>
      <c r="C28" s="348">
        <v>70</v>
      </c>
      <c r="D28" s="1099"/>
      <c r="E28" s="315" t="s">
        <v>11</v>
      </c>
    </row>
    <row r="29" spans="1:7" x14ac:dyDescent="0.25">
      <c r="A29" s="346">
        <v>39112</v>
      </c>
      <c r="B29" s="347" t="s">
        <v>311</v>
      </c>
      <c r="C29" s="348"/>
      <c r="D29" s="1099">
        <v>5</v>
      </c>
      <c r="E29" s="351" t="s">
        <v>312</v>
      </c>
      <c r="F29" s="1076">
        <f>COUNTA(A5:A30)</f>
        <v>26</v>
      </c>
    </row>
    <row r="30" spans="1:7" x14ac:dyDescent="0.25">
      <c r="A30" s="352">
        <v>39113</v>
      </c>
      <c r="B30" s="353" t="s">
        <v>313</v>
      </c>
      <c r="C30" s="354">
        <v>50</v>
      </c>
      <c r="D30" s="1100"/>
      <c r="E30" s="319">
        <f>SUM(C5:C30)</f>
        <v>860</v>
      </c>
      <c r="F30" s="1076">
        <f>SUM(D5:D30)</f>
        <v>190</v>
      </c>
      <c r="G30" s="319">
        <f>E30-F30</f>
        <v>670</v>
      </c>
    </row>
    <row r="31" spans="1:7" x14ac:dyDescent="0.25">
      <c r="A31" s="346">
        <v>39115</v>
      </c>
      <c r="B31" s="347" t="s">
        <v>268</v>
      </c>
      <c r="C31" s="348">
        <v>30</v>
      </c>
      <c r="D31" s="1099"/>
    </row>
    <row r="32" spans="1:7" x14ac:dyDescent="0.25">
      <c r="A32" s="346">
        <v>39116</v>
      </c>
      <c r="B32" s="347" t="s">
        <v>13</v>
      </c>
      <c r="C32" s="348">
        <v>70</v>
      </c>
      <c r="D32" s="1099"/>
    </row>
    <row r="33" spans="1:7" x14ac:dyDescent="0.25">
      <c r="A33" s="346">
        <v>39117</v>
      </c>
      <c r="B33" s="347" t="s">
        <v>13</v>
      </c>
      <c r="C33" s="348">
        <v>300</v>
      </c>
      <c r="D33" s="1099"/>
    </row>
    <row r="34" spans="1:7" x14ac:dyDescent="0.25">
      <c r="A34" s="346">
        <v>39117</v>
      </c>
      <c r="B34" s="347" t="s">
        <v>300</v>
      </c>
      <c r="C34" s="348"/>
      <c r="D34" s="1099">
        <v>10</v>
      </c>
    </row>
    <row r="35" spans="1:7" x14ac:dyDescent="0.25">
      <c r="A35" s="346">
        <v>39118</v>
      </c>
      <c r="B35" s="347" t="s">
        <v>314</v>
      </c>
      <c r="C35" s="348"/>
      <c r="D35" s="1099">
        <v>6</v>
      </c>
    </row>
    <row r="36" spans="1:7" x14ac:dyDescent="0.25">
      <c r="A36" s="346">
        <v>39118</v>
      </c>
      <c r="B36" s="347" t="s">
        <v>315</v>
      </c>
      <c r="C36" s="348"/>
      <c r="D36" s="1099">
        <v>4</v>
      </c>
    </row>
    <row r="37" spans="1:7" x14ac:dyDescent="0.25">
      <c r="A37" s="346">
        <v>39118</v>
      </c>
      <c r="B37" s="347" t="s">
        <v>316</v>
      </c>
      <c r="C37" s="348"/>
      <c r="D37" s="1099">
        <v>15</v>
      </c>
    </row>
    <row r="38" spans="1:7" x14ac:dyDescent="0.25">
      <c r="A38" s="346">
        <v>39118</v>
      </c>
      <c r="B38" s="347" t="s">
        <v>317</v>
      </c>
      <c r="C38" s="348"/>
      <c r="D38" s="1099">
        <v>10</v>
      </c>
    </row>
    <row r="39" spans="1:7" x14ac:dyDescent="0.25">
      <c r="A39" s="346">
        <v>39120</v>
      </c>
      <c r="B39" s="347" t="s">
        <v>318</v>
      </c>
      <c r="C39" s="348"/>
      <c r="D39" s="1099">
        <v>12</v>
      </c>
    </row>
    <row r="40" spans="1:7" x14ac:dyDescent="0.25">
      <c r="A40" s="346">
        <v>39121</v>
      </c>
      <c r="B40" s="347" t="s">
        <v>319</v>
      </c>
      <c r="C40" s="348"/>
      <c r="D40" s="1099">
        <v>18</v>
      </c>
    </row>
    <row r="41" spans="1:7" x14ac:dyDescent="0.25">
      <c r="A41" s="346">
        <v>39122</v>
      </c>
      <c r="B41" s="347" t="s">
        <v>302</v>
      </c>
      <c r="C41" s="348"/>
      <c r="D41" s="1099">
        <v>20</v>
      </c>
    </row>
    <row r="42" spans="1:7" x14ac:dyDescent="0.25">
      <c r="A42" s="346">
        <v>39124</v>
      </c>
      <c r="B42" s="347" t="s">
        <v>13</v>
      </c>
      <c r="C42" s="348">
        <v>70</v>
      </c>
      <c r="D42" s="1099"/>
    </row>
    <row r="43" spans="1:7" x14ac:dyDescent="0.25">
      <c r="A43" s="346">
        <v>39125</v>
      </c>
      <c r="B43" s="347" t="s">
        <v>320</v>
      </c>
      <c r="C43" s="348"/>
      <c r="D43" s="1099">
        <v>15</v>
      </c>
    </row>
    <row r="44" spans="1:7" x14ac:dyDescent="0.25">
      <c r="A44" s="346">
        <v>39126</v>
      </c>
      <c r="B44" s="347" t="s">
        <v>321</v>
      </c>
      <c r="C44" s="348"/>
      <c r="D44" s="1099">
        <f>40+35</f>
        <v>75</v>
      </c>
      <c r="F44" s="1077"/>
      <c r="G44" s="313"/>
    </row>
    <row r="45" spans="1:7" x14ac:dyDescent="0.25">
      <c r="A45" s="346">
        <v>39131</v>
      </c>
      <c r="B45" s="347" t="s">
        <v>13</v>
      </c>
      <c r="C45" s="348">
        <v>70</v>
      </c>
      <c r="D45" s="1099"/>
      <c r="F45" s="1077"/>
      <c r="G45" s="313"/>
    </row>
    <row r="46" spans="1:7" x14ac:dyDescent="0.25">
      <c r="A46" s="346">
        <v>39132</v>
      </c>
      <c r="B46" s="347" t="s">
        <v>322</v>
      </c>
      <c r="C46" s="348"/>
      <c r="D46" s="1099">
        <v>55</v>
      </c>
      <c r="F46" s="1077"/>
      <c r="G46" s="313"/>
    </row>
    <row r="47" spans="1:7" x14ac:dyDescent="0.25">
      <c r="A47" s="346">
        <v>39135</v>
      </c>
      <c r="B47" s="347" t="s">
        <v>323</v>
      </c>
      <c r="C47" s="348"/>
      <c r="D47" s="1099">
        <v>15</v>
      </c>
      <c r="F47" s="1077"/>
      <c r="G47" s="313"/>
    </row>
    <row r="48" spans="1:7" x14ac:dyDescent="0.25">
      <c r="A48" s="346">
        <v>39136</v>
      </c>
      <c r="B48" s="347" t="s">
        <v>290</v>
      </c>
      <c r="C48" s="348">
        <v>10</v>
      </c>
      <c r="D48" s="1099"/>
      <c r="E48" s="315" t="s">
        <v>16</v>
      </c>
      <c r="F48" s="1078"/>
      <c r="G48" s="314"/>
    </row>
    <row r="49" spans="1:7" x14ac:dyDescent="0.25">
      <c r="A49" s="346">
        <v>39138</v>
      </c>
      <c r="B49" s="347" t="s">
        <v>13</v>
      </c>
      <c r="C49" s="348">
        <v>70</v>
      </c>
      <c r="D49" s="1099"/>
      <c r="E49" s="351" t="s">
        <v>312</v>
      </c>
      <c r="F49" s="1076">
        <f>COUNTA(A31:A50)</f>
        <v>20</v>
      </c>
    </row>
    <row r="50" spans="1:7" x14ac:dyDescent="0.25">
      <c r="A50" s="352">
        <v>39139</v>
      </c>
      <c r="B50" s="353" t="s">
        <v>303</v>
      </c>
      <c r="C50" s="354"/>
      <c r="D50" s="1100">
        <v>15</v>
      </c>
      <c r="E50" s="320">
        <f>SUM(C31:C50)</f>
        <v>620</v>
      </c>
      <c r="F50" s="1079">
        <f>SUM(D31:D50)</f>
        <v>270</v>
      </c>
      <c r="G50" s="320">
        <f>E50-F50</f>
        <v>350</v>
      </c>
    </row>
    <row r="51" spans="1:7" x14ac:dyDescent="0.25">
      <c r="A51" s="346">
        <v>39143</v>
      </c>
      <c r="B51" s="347" t="s">
        <v>324</v>
      </c>
      <c r="C51" s="348">
        <v>100</v>
      </c>
      <c r="D51" s="1099"/>
    </row>
    <row r="52" spans="1:7" x14ac:dyDescent="0.25">
      <c r="A52" s="346">
        <v>39143</v>
      </c>
      <c r="B52" s="347" t="s">
        <v>325</v>
      </c>
      <c r="C52" s="348"/>
      <c r="D52" s="1099">
        <v>100</v>
      </c>
    </row>
    <row r="53" spans="1:7" x14ac:dyDescent="0.25">
      <c r="A53" s="346">
        <v>39117</v>
      </c>
      <c r="B53" s="347" t="s">
        <v>13</v>
      </c>
      <c r="C53" s="348">
        <v>300</v>
      </c>
      <c r="D53" s="1099"/>
    </row>
    <row r="54" spans="1:7" x14ac:dyDescent="0.25">
      <c r="A54" s="346">
        <v>39117</v>
      </c>
      <c r="B54" s="347" t="s">
        <v>13</v>
      </c>
      <c r="C54" s="348">
        <v>70</v>
      </c>
      <c r="D54" s="1099"/>
      <c r="F54" s="1080"/>
    </row>
    <row r="55" spans="1:7" x14ac:dyDescent="0.25">
      <c r="A55" s="346">
        <v>39117</v>
      </c>
      <c r="B55" s="347" t="s">
        <v>290</v>
      </c>
      <c r="C55" s="348">
        <v>50</v>
      </c>
      <c r="D55" s="1099"/>
      <c r="F55" s="1080"/>
      <c r="G55" s="322"/>
    </row>
    <row r="56" spans="1:7" x14ac:dyDescent="0.25">
      <c r="A56" s="346">
        <v>39118</v>
      </c>
      <c r="B56" s="347" t="s">
        <v>307</v>
      </c>
      <c r="C56" s="348"/>
      <c r="D56" s="1099">
        <v>27</v>
      </c>
      <c r="F56" s="1080"/>
      <c r="G56" s="322"/>
    </row>
    <row r="57" spans="1:7" x14ac:dyDescent="0.25">
      <c r="A57" s="346">
        <v>39119</v>
      </c>
      <c r="B57" s="347" t="s">
        <v>326</v>
      </c>
      <c r="C57" s="348"/>
      <c r="D57" s="1099">
        <v>12</v>
      </c>
      <c r="F57" s="1080"/>
      <c r="G57" s="322"/>
    </row>
    <row r="58" spans="1:7" x14ac:dyDescent="0.25">
      <c r="A58" s="346">
        <v>39120</v>
      </c>
      <c r="B58" s="347" t="s">
        <v>290</v>
      </c>
      <c r="C58" s="348">
        <v>23</v>
      </c>
      <c r="D58" s="1099"/>
      <c r="F58" s="1080"/>
      <c r="G58" s="322"/>
    </row>
    <row r="59" spans="1:7" x14ac:dyDescent="0.25">
      <c r="A59" s="346">
        <v>39121</v>
      </c>
      <c r="B59" s="347" t="s">
        <v>307</v>
      </c>
      <c r="C59" s="348"/>
      <c r="D59" s="1099">
        <v>10</v>
      </c>
      <c r="F59" s="1080"/>
      <c r="G59" s="322"/>
    </row>
    <row r="60" spans="1:7" x14ac:dyDescent="0.25">
      <c r="A60" s="346">
        <v>39121</v>
      </c>
      <c r="B60" s="347" t="s">
        <v>327</v>
      </c>
      <c r="C60" s="348"/>
      <c r="D60" s="1099">
        <v>4</v>
      </c>
      <c r="E60" s="182"/>
      <c r="F60" s="1080"/>
      <c r="G60" s="322"/>
    </row>
    <row r="61" spans="1:7" x14ac:dyDescent="0.25">
      <c r="A61" s="346">
        <v>39152</v>
      </c>
      <c r="B61" s="347" t="s">
        <v>13</v>
      </c>
      <c r="C61" s="348">
        <v>70</v>
      </c>
      <c r="D61" s="1099"/>
      <c r="E61" s="182"/>
      <c r="F61" s="1080"/>
      <c r="G61" s="322"/>
    </row>
    <row r="62" spans="1:7" x14ac:dyDescent="0.25">
      <c r="A62" s="346">
        <v>39153</v>
      </c>
      <c r="B62" s="347" t="s">
        <v>300</v>
      </c>
      <c r="C62" s="348"/>
      <c r="D62" s="1099">
        <v>5</v>
      </c>
      <c r="E62" s="182"/>
      <c r="F62" s="1080"/>
      <c r="G62" s="322"/>
    </row>
    <row r="63" spans="1:7" x14ac:dyDescent="0.25">
      <c r="A63" s="346">
        <v>39154</v>
      </c>
      <c r="B63" s="347" t="s">
        <v>328</v>
      </c>
      <c r="C63" s="348"/>
      <c r="D63" s="1099">
        <v>25</v>
      </c>
      <c r="E63" s="182"/>
      <c r="F63" s="1080"/>
      <c r="G63" s="322"/>
    </row>
    <row r="64" spans="1:7" x14ac:dyDescent="0.25">
      <c r="A64" s="346">
        <v>39159</v>
      </c>
      <c r="B64" s="347" t="s">
        <v>13</v>
      </c>
      <c r="C64" s="348">
        <v>70</v>
      </c>
      <c r="D64" s="1099"/>
      <c r="E64" s="182"/>
      <c r="F64" s="1080"/>
      <c r="G64" s="322"/>
    </row>
    <row r="65" spans="1:8" x14ac:dyDescent="0.25">
      <c r="A65" s="346">
        <v>39159</v>
      </c>
      <c r="B65" s="347" t="s">
        <v>268</v>
      </c>
      <c r="C65" s="348">
        <v>40</v>
      </c>
      <c r="D65" s="1099"/>
      <c r="E65" s="182"/>
      <c r="F65" s="1080"/>
    </row>
    <row r="66" spans="1:8" x14ac:dyDescent="0.25">
      <c r="A66" s="346">
        <v>39162</v>
      </c>
      <c r="B66" s="347" t="s">
        <v>300</v>
      </c>
      <c r="C66" s="348"/>
      <c r="D66" s="1099">
        <v>20</v>
      </c>
      <c r="E66" s="182"/>
    </row>
    <row r="67" spans="1:8" x14ac:dyDescent="0.25">
      <c r="A67" s="346">
        <v>39162</v>
      </c>
      <c r="B67" s="347" t="s">
        <v>329</v>
      </c>
      <c r="C67" s="348"/>
      <c r="D67" s="1099">
        <v>90</v>
      </c>
      <c r="E67" s="182"/>
    </row>
    <row r="68" spans="1:8" x14ac:dyDescent="0.25">
      <c r="A68" s="346">
        <v>39163</v>
      </c>
      <c r="B68" s="347" t="s">
        <v>330</v>
      </c>
      <c r="C68" s="348"/>
      <c r="D68" s="1099">
        <v>20</v>
      </c>
      <c r="E68" s="182"/>
    </row>
    <row r="69" spans="1:8" x14ac:dyDescent="0.25">
      <c r="A69" s="346">
        <v>39163</v>
      </c>
      <c r="B69" s="347" t="s">
        <v>331</v>
      </c>
      <c r="C69" s="348"/>
      <c r="D69" s="1099">
        <v>50</v>
      </c>
    </row>
    <row r="70" spans="1:8" x14ac:dyDescent="0.25">
      <c r="A70" s="346">
        <v>39166</v>
      </c>
      <c r="B70" s="347" t="s">
        <v>332</v>
      </c>
      <c r="C70" s="348">
        <v>200</v>
      </c>
      <c r="D70" s="1099"/>
    </row>
    <row r="71" spans="1:8" x14ac:dyDescent="0.25">
      <c r="A71" s="346">
        <v>39166</v>
      </c>
      <c r="B71" s="347" t="s">
        <v>13</v>
      </c>
      <c r="C71" s="348">
        <v>70</v>
      </c>
      <c r="D71" s="1099"/>
    </row>
    <row r="72" spans="1:8" x14ac:dyDescent="0.25">
      <c r="A72" s="346">
        <v>39169</v>
      </c>
      <c r="B72" s="347" t="s">
        <v>330</v>
      </c>
      <c r="C72" s="348"/>
      <c r="D72" s="1099">
        <v>28</v>
      </c>
      <c r="E72" s="315" t="s">
        <v>17</v>
      </c>
    </row>
    <row r="73" spans="1:8" x14ac:dyDescent="0.25">
      <c r="A73" s="346">
        <v>39169</v>
      </c>
      <c r="B73" s="347" t="s">
        <v>310</v>
      </c>
      <c r="C73" s="348"/>
      <c r="D73" s="1099">
        <v>9</v>
      </c>
      <c r="E73" s="351" t="s">
        <v>312</v>
      </c>
      <c r="F73" s="1076">
        <f>COUNTA(A51:A74)</f>
        <v>24</v>
      </c>
    </row>
    <row r="74" spans="1:8" x14ac:dyDescent="0.25">
      <c r="A74" s="352">
        <v>39172</v>
      </c>
      <c r="B74" s="353" t="s">
        <v>13</v>
      </c>
      <c r="C74" s="354">
        <v>40</v>
      </c>
      <c r="D74" s="1100"/>
      <c r="E74" s="319">
        <f>SUM(C51:C74)</f>
        <v>1033</v>
      </c>
      <c r="F74" s="1076">
        <f>SUM(D51:D74)</f>
        <v>400</v>
      </c>
      <c r="G74" s="319">
        <f>E74-F74</f>
        <v>633</v>
      </c>
    </row>
    <row r="75" spans="1:8" x14ac:dyDescent="0.25">
      <c r="A75" s="346">
        <v>39173</v>
      </c>
      <c r="B75" s="347" t="s">
        <v>13</v>
      </c>
      <c r="C75" s="348">
        <v>30</v>
      </c>
      <c r="D75" s="1099"/>
      <c r="E75" s="321"/>
      <c r="F75" s="1081"/>
      <c r="G75" s="321"/>
    </row>
    <row r="76" spans="1:8" x14ac:dyDescent="0.25">
      <c r="A76" s="346">
        <v>39173</v>
      </c>
      <c r="B76" s="347" t="s">
        <v>13</v>
      </c>
      <c r="C76" s="348">
        <v>300</v>
      </c>
      <c r="D76" s="1099"/>
      <c r="E76" s="321"/>
      <c r="F76" s="1081"/>
      <c r="G76" s="321"/>
    </row>
    <row r="77" spans="1:8" x14ac:dyDescent="0.25">
      <c r="A77" s="346">
        <v>39173</v>
      </c>
      <c r="B77" s="347" t="s">
        <v>268</v>
      </c>
      <c r="C77" s="348">
        <f>124-83</f>
        <v>41</v>
      </c>
      <c r="D77" s="1099"/>
    </row>
    <row r="78" spans="1:8" x14ac:dyDescent="0.25">
      <c r="A78" s="346">
        <v>39176</v>
      </c>
      <c r="B78" s="347" t="s">
        <v>316</v>
      </c>
      <c r="C78" s="348"/>
      <c r="D78" s="1099">
        <v>17</v>
      </c>
      <c r="E78" s="1194">
        <v>39174</v>
      </c>
      <c r="F78" s="1195"/>
      <c r="G78" s="1195"/>
      <c r="H78" t="s">
        <v>1038</v>
      </c>
    </row>
    <row r="79" spans="1:8" x14ac:dyDescent="0.25">
      <c r="A79" s="346">
        <v>39176</v>
      </c>
      <c r="B79" s="347" t="s">
        <v>333</v>
      </c>
      <c r="C79" s="348"/>
      <c r="D79" s="1099">
        <v>17</v>
      </c>
    </row>
    <row r="80" spans="1:8" x14ac:dyDescent="0.25">
      <c r="A80" s="346">
        <v>39177</v>
      </c>
      <c r="B80" s="347" t="s">
        <v>334</v>
      </c>
      <c r="C80" s="348"/>
      <c r="D80" s="1099">
        <v>1000</v>
      </c>
    </row>
    <row r="81" spans="1:7" x14ac:dyDescent="0.25">
      <c r="A81" s="346">
        <v>39181</v>
      </c>
      <c r="B81" s="347" t="s">
        <v>13</v>
      </c>
      <c r="C81" s="348">
        <v>70</v>
      </c>
      <c r="D81" s="1099"/>
    </row>
    <row r="82" spans="1:7" x14ac:dyDescent="0.25">
      <c r="A82" s="346">
        <v>39181</v>
      </c>
      <c r="B82" s="347" t="s">
        <v>268</v>
      </c>
      <c r="C82" s="348">
        <v>30</v>
      </c>
      <c r="D82" s="1099"/>
    </row>
    <row r="83" spans="1:7" x14ac:dyDescent="0.25">
      <c r="A83" s="346">
        <v>39182</v>
      </c>
      <c r="B83" s="347" t="s">
        <v>329</v>
      </c>
      <c r="C83" s="348"/>
      <c r="D83" s="1099">
        <v>90</v>
      </c>
    </row>
    <row r="84" spans="1:7" x14ac:dyDescent="0.25">
      <c r="A84" s="346">
        <v>39182</v>
      </c>
      <c r="B84" s="347" t="s">
        <v>335</v>
      </c>
      <c r="C84" s="348"/>
      <c r="D84" s="1099">
        <v>50</v>
      </c>
    </row>
    <row r="85" spans="1:7" x14ac:dyDescent="0.25">
      <c r="A85" s="346">
        <v>39199</v>
      </c>
      <c r="B85" s="347" t="s">
        <v>336</v>
      </c>
      <c r="C85" s="348">
        <v>50</v>
      </c>
      <c r="D85" s="1099"/>
    </row>
    <row r="86" spans="1:7" x14ac:dyDescent="0.25">
      <c r="A86" s="346">
        <v>39200</v>
      </c>
      <c r="B86" s="347" t="s">
        <v>337</v>
      </c>
      <c r="C86" s="348"/>
      <c r="D86" s="1099">
        <v>37</v>
      </c>
    </row>
    <row r="87" spans="1:7" x14ac:dyDescent="0.25">
      <c r="A87" s="346">
        <v>39200</v>
      </c>
      <c r="B87" s="347" t="s">
        <v>338</v>
      </c>
      <c r="C87" s="348"/>
      <c r="D87" s="1099">
        <v>41</v>
      </c>
      <c r="E87" s="315" t="s">
        <v>18</v>
      </c>
    </row>
    <row r="88" spans="1:7" x14ac:dyDescent="0.25">
      <c r="A88" s="346">
        <v>39200</v>
      </c>
      <c r="B88" s="347" t="s">
        <v>339</v>
      </c>
      <c r="C88" s="348"/>
      <c r="D88" s="1099">
        <v>12</v>
      </c>
      <c r="E88" s="315" t="s">
        <v>312</v>
      </c>
      <c r="F88" s="1076">
        <f>COUNTA(A75:A89)</f>
        <v>15</v>
      </c>
      <c r="G88" s="322"/>
    </row>
    <row r="89" spans="1:7" x14ac:dyDescent="0.25">
      <c r="A89" s="352">
        <v>39202</v>
      </c>
      <c r="B89" s="353" t="s">
        <v>323</v>
      </c>
      <c r="C89" s="354"/>
      <c r="D89" s="1100">
        <v>10</v>
      </c>
      <c r="E89" s="319">
        <f>SUM(C75:C89)</f>
        <v>521</v>
      </c>
      <c r="F89" s="1076">
        <f>SUM(D75:D89)</f>
        <v>1274</v>
      </c>
      <c r="G89" s="319">
        <f>E89-F89</f>
        <v>-753</v>
      </c>
    </row>
    <row r="90" spans="1:7" x14ac:dyDescent="0.25">
      <c r="A90" s="346">
        <v>39206</v>
      </c>
      <c r="B90" s="347" t="s">
        <v>13</v>
      </c>
      <c r="C90" s="348">
        <v>1100</v>
      </c>
      <c r="D90" s="1099"/>
    </row>
    <row r="91" spans="1:7" x14ac:dyDescent="0.25">
      <c r="A91" s="346">
        <v>39206</v>
      </c>
      <c r="B91" s="347" t="s">
        <v>268</v>
      </c>
      <c r="C91" s="348">
        <v>100</v>
      </c>
      <c r="D91" s="1099"/>
    </row>
    <row r="92" spans="1:7" x14ac:dyDescent="0.25">
      <c r="A92" s="346">
        <v>39206</v>
      </c>
      <c r="B92" s="347" t="s">
        <v>329</v>
      </c>
      <c r="C92" s="348"/>
      <c r="D92" s="1099">
        <v>90</v>
      </c>
    </row>
    <row r="93" spans="1:7" x14ac:dyDescent="0.25">
      <c r="A93" s="346">
        <v>39206</v>
      </c>
      <c r="B93" s="347" t="s">
        <v>340</v>
      </c>
      <c r="C93" s="348"/>
      <c r="D93" s="1099">
        <v>240</v>
      </c>
    </row>
    <row r="94" spans="1:7" x14ac:dyDescent="0.25">
      <c r="A94" s="346">
        <v>39207</v>
      </c>
      <c r="B94" s="347" t="s">
        <v>341</v>
      </c>
      <c r="C94" s="348"/>
      <c r="D94" s="1099">
        <v>42</v>
      </c>
    </row>
    <row r="95" spans="1:7" x14ac:dyDescent="0.25">
      <c r="A95" s="346">
        <v>39207</v>
      </c>
      <c r="B95" s="347" t="s">
        <v>342</v>
      </c>
      <c r="C95" s="348"/>
      <c r="D95" s="1099">
        <v>50</v>
      </c>
    </row>
    <row r="96" spans="1:7" x14ac:dyDescent="0.25">
      <c r="A96" s="346">
        <v>39207</v>
      </c>
      <c r="B96" s="347" t="s">
        <v>301</v>
      </c>
      <c r="C96" s="348"/>
      <c r="D96" s="1099">
        <v>10</v>
      </c>
    </row>
    <row r="97" spans="1:4" x14ac:dyDescent="0.25">
      <c r="A97" s="346">
        <v>39207</v>
      </c>
      <c r="B97" s="347" t="s">
        <v>343</v>
      </c>
      <c r="C97" s="348"/>
      <c r="D97" s="1099">
        <v>11</v>
      </c>
    </row>
    <row r="98" spans="1:4" x14ac:dyDescent="0.25">
      <c r="A98" s="346">
        <v>39207</v>
      </c>
      <c r="B98" s="347" t="s">
        <v>344</v>
      </c>
      <c r="C98" s="348"/>
      <c r="D98" s="1099">
        <v>4.5</v>
      </c>
    </row>
    <row r="99" spans="1:4" x14ac:dyDescent="0.25">
      <c r="A99" s="346">
        <v>39207</v>
      </c>
      <c r="B99" s="347" t="s">
        <v>345</v>
      </c>
      <c r="C99" s="348"/>
      <c r="D99" s="1099">
        <v>2.5</v>
      </c>
    </row>
    <row r="100" spans="1:4" x14ac:dyDescent="0.25">
      <c r="A100" s="346">
        <v>39207</v>
      </c>
      <c r="B100" s="347" t="s">
        <v>338</v>
      </c>
      <c r="C100" s="348"/>
      <c r="D100" s="1099">
        <v>30</v>
      </c>
    </row>
    <row r="101" spans="1:4" x14ac:dyDescent="0.25">
      <c r="A101" s="346">
        <v>39207</v>
      </c>
      <c r="B101" s="347" t="s">
        <v>346</v>
      </c>
      <c r="C101" s="348"/>
      <c r="D101" s="1099">
        <v>20</v>
      </c>
    </row>
    <row r="102" spans="1:4" x14ac:dyDescent="0.25">
      <c r="A102" s="346">
        <v>39207</v>
      </c>
      <c r="B102" s="347" t="s">
        <v>347</v>
      </c>
      <c r="C102" s="348">
        <v>270</v>
      </c>
      <c r="D102" s="1099"/>
    </row>
    <row r="103" spans="1:4" x14ac:dyDescent="0.25">
      <c r="A103" s="346">
        <v>39207</v>
      </c>
      <c r="B103" s="347" t="s">
        <v>348</v>
      </c>
      <c r="C103" s="348">
        <v>40</v>
      </c>
      <c r="D103" s="1099"/>
    </row>
    <row r="104" spans="1:4" x14ac:dyDescent="0.25">
      <c r="A104" s="346">
        <v>39208</v>
      </c>
      <c r="B104" s="347" t="s">
        <v>349</v>
      </c>
      <c r="C104" s="348"/>
      <c r="D104" s="1099">
        <v>11</v>
      </c>
    </row>
    <row r="105" spans="1:4" x14ac:dyDescent="0.25">
      <c r="A105" s="346">
        <v>39208</v>
      </c>
      <c r="B105" s="347" t="s">
        <v>350</v>
      </c>
      <c r="C105" s="348"/>
      <c r="D105" s="1099">
        <v>12</v>
      </c>
    </row>
    <row r="106" spans="1:4" x14ac:dyDescent="0.25">
      <c r="A106" s="346">
        <v>39208</v>
      </c>
      <c r="B106" s="347" t="s">
        <v>302</v>
      </c>
      <c r="C106" s="348"/>
      <c r="D106" s="1099">
        <v>17</v>
      </c>
    </row>
    <row r="107" spans="1:4" x14ac:dyDescent="0.25">
      <c r="A107" s="346">
        <v>39210</v>
      </c>
      <c r="B107" s="347" t="s">
        <v>351</v>
      </c>
      <c r="C107" s="348"/>
      <c r="D107" s="1099">
        <v>5</v>
      </c>
    </row>
    <row r="108" spans="1:4" x14ac:dyDescent="0.25">
      <c r="A108" s="346">
        <v>39211</v>
      </c>
      <c r="B108" s="347" t="s">
        <v>301</v>
      </c>
      <c r="C108" s="348"/>
      <c r="D108" s="1099">
        <v>15</v>
      </c>
    </row>
    <row r="109" spans="1:4" x14ac:dyDescent="0.25">
      <c r="A109" s="346">
        <v>39212</v>
      </c>
      <c r="B109" s="347" t="s">
        <v>352</v>
      </c>
      <c r="C109" s="348"/>
      <c r="D109" s="1099">
        <v>1</v>
      </c>
    </row>
    <row r="110" spans="1:4" x14ac:dyDescent="0.25">
      <c r="A110" s="346">
        <v>39214</v>
      </c>
      <c r="B110" s="347" t="s">
        <v>352</v>
      </c>
      <c r="C110" s="348"/>
      <c r="D110" s="1099">
        <v>2</v>
      </c>
    </row>
    <row r="111" spans="1:4" x14ac:dyDescent="0.25">
      <c r="A111" s="346">
        <v>39216</v>
      </c>
      <c r="B111" s="347" t="s">
        <v>303</v>
      </c>
      <c r="C111" s="348"/>
      <c r="D111" s="1099">
        <v>5</v>
      </c>
    </row>
    <row r="112" spans="1:4" x14ac:dyDescent="0.25">
      <c r="A112" s="346">
        <v>39217</v>
      </c>
      <c r="B112" s="347" t="s">
        <v>317</v>
      </c>
      <c r="C112" s="348"/>
      <c r="D112" s="1099">
        <v>12</v>
      </c>
    </row>
    <row r="113" spans="1:7" x14ac:dyDescent="0.25">
      <c r="A113" s="346">
        <v>39219</v>
      </c>
      <c r="B113" s="347" t="s">
        <v>317</v>
      </c>
      <c r="C113" s="348"/>
      <c r="D113" s="1099">
        <v>15</v>
      </c>
    </row>
    <row r="114" spans="1:7" x14ac:dyDescent="0.25">
      <c r="A114" s="346">
        <v>39220</v>
      </c>
      <c r="B114" s="347" t="s">
        <v>353</v>
      </c>
      <c r="C114" s="348"/>
      <c r="D114" s="1099">
        <v>1</v>
      </c>
    </row>
    <row r="115" spans="1:7" x14ac:dyDescent="0.25">
      <c r="A115" s="346">
        <v>39221</v>
      </c>
      <c r="B115" s="347" t="s">
        <v>354</v>
      </c>
      <c r="C115" s="348"/>
      <c r="D115" s="1099">
        <v>2</v>
      </c>
    </row>
    <row r="116" spans="1:7" x14ac:dyDescent="0.25">
      <c r="A116" s="346">
        <v>39222</v>
      </c>
      <c r="B116" s="347" t="s">
        <v>340</v>
      </c>
      <c r="C116" s="348"/>
      <c r="D116" s="1099">
        <v>480</v>
      </c>
    </row>
    <row r="117" spans="1:7" x14ac:dyDescent="0.25">
      <c r="A117" s="346">
        <v>39222</v>
      </c>
      <c r="B117" s="347" t="s">
        <v>355</v>
      </c>
      <c r="C117" s="348"/>
      <c r="D117" s="1099">
        <v>12</v>
      </c>
    </row>
    <row r="118" spans="1:7" x14ac:dyDescent="0.25">
      <c r="A118" s="346">
        <v>39222</v>
      </c>
      <c r="B118" s="347" t="s">
        <v>356</v>
      </c>
      <c r="C118" s="348"/>
      <c r="D118" s="1099">
        <v>165</v>
      </c>
    </row>
    <row r="119" spans="1:7" x14ac:dyDescent="0.25">
      <c r="A119" s="346">
        <v>39222</v>
      </c>
      <c r="B119" s="347" t="s">
        <v>357</v>
      </c>
      <c r="C119" s="348"/>
      <c r="D119" s="1099">
        <v>30</v>
      </c>
    </row>
    <row r="120" spans="1:7" x14ac:dyDescent="0.25">
      <c r="A120" s="346">
        <v>39222</v>
      </c>
      <c r="B120" s="347" t="s">
        <v>303</v>
      </c>
      <c r="C120" s="348"/>
      <c r="D120" s="1099">
        <v>5</v>
      </c>
    </row>
    <row r="121" spans="1:7" x14ac:dyDescent="0.25">
      <c r="A121" s="346">
        <v>39227</v>
      </c>
      <c r="B121" s="347" t="s">
        <v>358</v>
      </c>
      <c r="C121" s="348"/>
      <c r="D121" s="1099">
        <v>10</v>
      </c>
    </row>
    <row r="122" spans="1:7" x14ac:dyDescent="0.25">
      <c r="A122" s="346">
        <v>39227</v>
      </c>
      <c r="B122" s="347" t="s">
        <v>359</v>
      </c>
      <c r="C122" s="348">
        <v>5</v>
      </c>
      <c r="D122" s="1099"/>
      <c r="E122" s="315" t="s">
        <v>20</v>
      </c>
    </row>
    <row r="123" spans="1:7" x14ac:dyDescent="0.25">
      <c r="A123" s="346">
        <v>39227</v>
      </c>
      <c r="B123" s="347" t="s">
        <v>360</v>
      </c>
      <c r="C123" s="348"/>
      <c r="D123" s="1099">
        <v>12</v>
      </c>
      <c r="E123" s="315" t="s">
        <v>312</v>
      </c>
      <c r="F123" s="1076">
        <f>COUNTA(A90:A124)</f>
        <v>35</v>
      </c>
      <c r="G123" s="322"/>
    </row>
    <row r="124" spans="1:7" x14ac:dyDescent="0.25">
      <c r="A124" s="352">
        <v>39229</v>
      </c>
      <c r="B124" s="353" t="s">
        <v>361</v>
      </c>
      <c r="C124" s="354"/>
      <c r="D124" s="1100">
        <v>3</v>
      </c>
      <c r="E124" s="319">
        <f>SUM(C90:C124)</f>
        <v>1515</v>
      </c>
      <c r="F124" s="1076">
        <f>SUM(D90:D124)</f>
        <v>1315</v>
      </c>
      <c r="G124" s="319">
        <f>E124-F124</f>
        <v>200</v>
      </c>
    </row>
    <row r="125" spans="1:7" x14ac:dyDescent="0.25">
      <c r="A125" s="346">
        <v>39234</v>
      </c>
      <c r="B125" s="347" t="s">
        <v>340</v>
      </c>
      <c r="C125" s="348"/>
      <c r="D125" s="1099">
        <v>480</v>
      </c>
    </row>
    <row r="126" spans="1:7" x14ac:dyDescent="0.25">
      <c r="A126" s="346">
        <v>39235</v>
      </c>
      <c r="B126" s="347" t="s">
        <v>342</v>
      </c>
      <c r="C126" s="348"/>
      <c r="D126" s="1099">
        <v>5</v>
      </c>
    </row>
    <row r="127" spans="1:7" x14ac:dyDescent="0.25">
      <c r="A127" s="346">
        <v>39235</v>
      </c>
      <c r="B127" s="347" t="s">
        <v>338</v>
      </c>
      <c r="C127" s="348"/>
      <c r="D127" s="1099">
        <v>60</v>
      </c>
    </row>
    <row r="128" spans="1:7" x14ac:dyDescent="0.25">
      <c r="A128" s="346">
        <v>39236</v>
      </c>
      <c r="B128" s="347" t="s">
        <v>362</v>
      </c>
      <c r="C128" s="348"/>
      <c r="D128" s="1099">
        <v>35</v>
      </c>
    </row>
    <row r="129" spans="1:4" x14ac:dyDescent="0.25">
      <c r="A129" s="346">
        <v>39236</v>
      </c>
      <c r="B129" s="347" t="s">
        <v>363</v>
      </c>
      <c r="C129" s="348">
        <v>50</v>
      </c>
      <c r="D129" s="1099"/>
    </row>
    <row r="130" spans="1:4" x14ac:dyDescent="0.25">
      <c r="A130" s="346">
        <v>39236</v>
      </c>
      <c r="B130" s="347" t="s">
        <v>301</v>
      </c>
      <c r="C130" s="348"/>
      <c r="D130" s="1099">
        <v>10</v>
      </c>
    </row>
    <row r="131" spans="1:4" x14ac:dyDescent="0.25">
      <c r="A131" s="346">
        <v>39237</v>
      </c>
      <c r="B131" s="347" t="s">
        <v>364</v>
      </c>
      <c r="C131" s="348"/>
      <c r="D131" s="1099">
        <v>4</v>
      </c>
    </row>
    <row r="132" spans="1:4" x14ac:dyDescent="0.25">
      <c r="A132" s="346">
        <v>39240</v>
      </c>
      <c r="B132" s="347" t="s">
        <v>323</v>
      </c>
      <c r="C132" s="348"/>
      <c r="D132" s="1099">
        <v>6</v>
      </c>
    </row>
    <row r="133" spans="1:4" x14ac:dyDescent="0.25">
      <c r="A133" s="346">
        <v>39241</v>
      </c>
      <c r="B133" s="347" t="s">
        <v>340</v>
      </c>
      <c r="C133" s="348"/>
      <c r="D133" s="1099">
        <v>240</v>
      </c>
    </row>
    <row r="134" spans="1:4" x14ac:dyDescent="0.25">
      <c r="A134" s="346">
        <v>39241</v>
      </c>
      <c r="B134" s="347" t="s">
        <v>13</v>
      </c>
      <c r="C134" s="348">
        <v>1100</v>
      </c>
      <c r="D134" s="1099"/>
    </row>
    <row r="135" spans="1:4" x14ac:dyDescent="0.25">
      <c r="A135" s="346">
        <v>39242</v>
      </c>
      <c r="B135" s="347" t="s">
        <v>329</v>
      </c>
      <c r="C135" s="348"/>
      <c r="D135" s="1099">
        <v>90</v>
      </c>
    </row>
    <row r="136" spans="1:4" x14ac:dyDescent="0.25">
      <c r="A136" s="346">
        <v>39242</v>
      </c>
      <c r="B136" s="347" t="s">
        <v>301</v>
      </c>
      <c r="C136" s="348"/>
      <c r="D136" s="1099">
        <v>10</v>
      </c>
    </row>
    <row r="137" spans="1:4" x14ac:dyDescent="0.25">
      <c r="A137" s="346">
        <v>39242</v>
      </c>
      <c r="B137" s="347" t="s">
        <v>303</v>
      </c>
      <c r="C137" s="348"/>
      <c r="D137" s="1099">
        <v>8</v>
      </c>
    </row>
    <row r="138" spans="1:4" x14ac:dyDescent="0.25">
      <c r="A138" s="346">
        <v>39242</v>
      </c>
      <c r="B138" s="347" t="s">
        <v>365</v>
      </c>
      <c r="C138" s="348"/>
      <c r="D138" s="1099">
        <v>8</v>
      </c>
    </row>
    <row r="139" spans="1:4" x14ac:dyDescent="0.25">
      <c r="A139" s="346">
        <v>39242</v>
      </c>
      <c r="B139" s="347" t="s">
        <v>366</v>
      </c>
      <c r="C139" s="348"/>
      <c r="D139" s="1099">
        <v>3</v>
      </c>
    </row>
    <row r="140" spans="1:4" x14ac:dyDescent="0.25">
      <c r="A140" s="346">
        <v>39245</v>
      </c>
      <c r="B140" s="347" t="s">
        <v>367</v>
      </c>
      <c r="C140" s="348"/>
      <c r="D140" s="1099">
        <v>15</v>
      </c>
    </row>
    <row r="141" spans="1:4" x14ac:dyDescent="0.25">
      <c r="A141" s="346">
        <v>39246</v>
      </c>
      <c r="B141" s="347" t="s">
        <v>368</v>
      </c>
      <c r="C141" s="348"/>
      <c r="D141" s="1099">
        <v>15</v>
      </c>
    </row>
    <row r="142" spans="1:4" x14ac:dyDescent="0.25">
      <c r="A142" s="346">
        <v>39248</v>
      </c>
      <c r="B142" s="347" t="s">
        <v>323</v>
      </c>
      <c r="C142" s="348"/>
      <c r="D142" s="1099">
        <v>3</v>
      </c>
    </row>
    <row r="143" spans="1:4" x14ac:dyDescent="0.25">
      <c r="A143" s="346">
        <v>39249</v>
      </c>
      <c r="B143" s="347" t="s">
        <v>369</v>
      </c>
      <c r="C143" s="348"/>
      <c r="D143" s="1099">
        <v>220</v>
      </c>
    </row>
    <row r="144" spans="1:4" x14ac:dyDescent="0.25">
      <c r="A144" s="346">
        <v>39249</v>
      </c>
      <c r="B144" s="347" t="s">
        <v>323</v>
      </c>
      <c r="C144" s="348"/>
      <c r="D144" s="1099">
        <v>4</v>
      </c>
    </row>
    <row r="145" spans="1:7" x14ac:dyDescent="0.25">
      <c r="A145" s="346">
        <v>39249</v>
      </c>
      <c r="B145" s="347" t="s">
        <v>365</v>
      </c>
      <c r="C145" s="348"/>
      <c r="D145" s="1099">
        <v>3</v>
      </c>
    </row>
    <row r="146" spans="1:7" x14ac:dyDescent="0.25">
      <c r="A146" s="346">
        <v>39250</v>
      </c>
      <c r="B146" s="347" t="s">
        <v>370</v>
      </c>
      <c r="C146" s="348"/>
      <c r="D146" s="1099">
        <v>4</v>
      </c>
    </row>
    <row r="147" spans="1:7" x14ac:dyDescent="0.25">
      <c r="A147" s="346">
        <v>39250</v>
      </c>
      <c r="B147" s="347" t="s">
        <v>371</v>
      </c>
      <c r="C147" s="348"/>
      <c r="D147" s="1099">
        <v>175</v>
      </c>
    </row>
    <row r="148" spans="1:7" x14ac:dyDescent="0.25">
      <c r="A148" s="346">
        <v>39250</v>
      </c>
      <c r="B148" s="347" t="s">
        <v>303</v>
      </c>
      <c r="C148" s="348"/>
      <c r="D148" s="1099">
        <v>17</v>
      </c>
    </row>
    <row r="149" spans="1:7" x14ac:dyDescent="0.25">
      <c r="A149" s="346">
        <v>39251</v>
      </c>
      <c r="B149" s="347" t="s">
        <v>351</v>
      </c>
      <c r="C149" s="348"/>
      <c r="D149" s="1099">
        <v>10</v>
      </c>
    </row>
    <row r="150" spans="1:7" x14ac:dyDescent="0.25">
      <c r="A150" s="346">
        <v>39255</v>
      </c>
      <c r="B150" s="347" t="s">
        <v>338</v>
      </c>
      <c r="C150" s="348"/>
      <c r="D150" s="1099">
        <v>10</v>
      </c>
    </row>
    <row r="151" spans="1:7" x14ac:dyDescent="0.25">
      <c r="A151" s="346">
        <v>39256</v>
      </c>
      <c r="B151" s="347" t="s">
        <v>372</v>
      </c>
      <c r="C151" s="348"/>
      <c r="D151" s="1099">
        <v>70</v>
      </c>
    </row>
    <row r="152" spans="1:7" x14ac:dyDescent="0.25">
      <c r="A152" s="346">
        <v>39256</v>
      </c>
      <c r="B152" s="347" t="s">
        <v>373</v>
      </c>
      <c r="C152" s="348"/>
      <c r="D152" s="1099">
        <v>110</v>
      </c>
    </row>
    <row r="153" spans="1:7" x14ac:dyDescent="0.25">
      <c r="A153" s="346">
        <v>39258</v>
      </c>
      <c r="B153" s="347" t="s">
        <v>305</v>
      </c>
      <c r="C153" s="348"/>
      <c r="D153" s="1099">
        <v>25</v>
      </c>
    </row>
    <row r="154" spans="1:7" x14ac:dyDescent="0.25">
      <c r="A154" s="346">
        <v>39258</v>
      </c>
      <c r="B154" s="347" t="s">
        <v>374</v>
      </c>
      <c r="C154" s="348"/>
      <c r="D154" s="1099">
        <v>50</v>
      </c>
      <c r="E154" s="315" t="s">
        <v>21</v>
      </c>
    </row>
    <row r="155" spans="1:7" x14ac:dyDescent="0.25">
      <c r="A155" s="346">
        <v>39259</v>
      </c>
      <c r="B155" s="347" t="s">
        <v>338</v>
      </c>
      <c r="C155" s="348"/>
      <c r="D155" s="1099">
        <v>20</v>
      </c>
      <c r="E155" s="315" t="s">
        <v>312</v>
      </c>
      <c r="F155" s="1076">
        <f>COUNTA(A123:A156)</f>
        <v>34</v>
      </c>
      <c r="G155" s="322"/>
    </row>
    <row r="156" spans="1:7" x14ac:dyDescent="0.25">
      <c r="A156" s="352">
        <v>39261</v>
      </c>
      <c r="B156" s="353" t="s">
        <v>374</v>
      </c>
      <c r="C156" s="354"/>
      <c r="D156" s="1100">
        <v>20</v>
      </c>
      <c r="E156" s="319">
        <f>SUM(C125:C156)</f>
        <v>1150</v>
      </c>
      <c r="F156" s="1076">
        <f>SUM(D125:D156)</f>
        <v>1730</v>
      </c>
      <c r="G156" s="319">
        <f>E156-F156</f>
        <v>-580</v>
      </c>
    </row>
    <row r="157" spans="1:7" x14ac:dyDescent="0.25">
      <c r="A157" s="346">
        <v>39264</v>
      </c>
      <c r="B157" s="347" t="s">
        <v>323</v>
      </c>
      <c r="C157" s="348"/>
      <c r="D157" s="1099">
        <v>20</v>
      </c>
    </row>
    <row r="158" spans="1:7" x14ac:dyDescent="0.25">
      <c r="A158" s="346">
        <v>39268</v>
      </c>
      <c r="B158" s="347" t="s">
        <v>329</v>
      </c>
      <c r="C158" s="348"/>
      <c r="D158" s="1099">
        <v>90</v>
      </c>
    </row>
    <row r="159" spans="1:7" x14ac:dyDescent="0.25">
      <c r="A159" s="346">
        <v>39269</v>
      </c>
      <c r="B159" s="347" t="s">
        <v>13</v>
      </c>
      <c r="C159" s="348">
        <v>1200</v>
      </c>
      <c r="D159" s="1099"/>
    </row>
    <row r="160" spans="1:7" x14ac:dyDescent="0.25">
      <c r="A160" s="346">
        <v>39269</v>
      </c>
      <c r="B160" s="347" t="s">
        <v>375</v>
      </c>
      <c r="C160" s="348"/>
      <c r="D160" s="1099">
        <v>55</v>
      </c>
    </row>
    <row r="161" spans="1:4" x14ac:dyDescent="0.25">
      <c r="A161" s="346">
        <v>39269</v>
      </c>
      <c r="B161" s="347" t="s">
        <v>338</v>
      </c>
      <c r="C161" s="348"/>
      <c r="D161" s="1099">
        <v>85</v>
      </c>
    </row>
    <row r="162" spans="1:4" x14ac:dyDescent="0.25">
      <c r="A162" s="346">
        <v>39270</v>
      </c>
      <c r="B162" s="347" t="s">
        <v>376</v>
      </c>
      <c r="C162" s="348"/>
      <c r="D162" s="1099">
        <v>15</v>
      </c>
    </row>
    <row r="163" spans="1:4" x14ac:dyDescent="0.25">
      <c r="A163" s="346">
        <v>39270</v>
      </c>
      <c r="B163" s="347" t="s">
        <v>310</v>
      </c>
      <c r="C163" s="348"/>
      <c r="D163" s="1099">
        <v>10</v>
      </c>
    </row>
    <row r="164" spans="1:4" x14ac:dyDescent="0.25">
      <c r="A164" s="346">
        <v>39270</v>
      </c>
      <c r="B164" s="347" t="s">
        <v>377</v>
      </c>
      <c r="C164" s="348"/>
      <c r="D164" s="1099">
        <v>15</v>
      </c>
    </row>
    <row r="165" spans="1:4" x14ac:dyDescent="0.25">
      <c r="A165" s="346">
        <v>39270</v>
      </c>
      <c r="B165" s="347" t="s">
        <v>378</v>
      </c>
      <c r="C165" s="348"/>
      <c r="D165" s="1099">
        <v>20</v>
      </c>
    </row>
    <row r="166" spans="1:4" x14ac:dyDescent="0.25">
      <c r="A166" s="346">
        <v>39270</v>
      </c>
      <c r="B166" s="347" t="s">
        <v>379</v>
      </c>
      <c r="C166" s="348"/>
      <c r="D166" s="1099">
        <v>44</v>
      </c>
    </row>
    <row r="167" spans="1:4" x14ac:dyDescent="0.25">
      <c r="A167" s="346">
        <v>39270</v>
      </c>
      <c r="B167" s="347" t="s">
        <v>380</v>
      </c>
      <c r="C167" s="348"/>
      <c r="D167" s="1099">
        <v>43</v>
      </c>
    </row>
    <row r="168" spans="1:4" x14ac:dyDescent="0.25">
      <c r="A168" s="346">
        <v>39270</v>
      </c>
      <c r="B168" s="347" t="s">
        <v>301</v>
      </c>
      <c r="C168" s="348"/>
      <c r="D168" s="1099">
        <v>10</v>
      </c>
    </row>
    <row r="169" spans="1:4" x14ac:dyDescent="0.25">
      <c r="A169" s="346">
        <v>39270</v>
      </c>
      <c r="B169" s="347" t="s">
        <v>303</v>
      </c>
      <c r="C169" s="348"/>
      <c r="D169" s="1099">
        <v>10</v>
      </c>
    </row>
    <row r="170" spans="1:4" x14ac:dyDescent="0.25">
      <c r="A170" s="346">
        <v>39270</v>
      </c>
      <c r="B170" s="347" t="s">
        <v>381</v>
      </c>
      <c r="C170" s="348"/>
      <c r="D170" s="1099">
        <v>10</v>
      </c>
    </row>
    <row r="171" spans="1:4" x14ac:dyDescent="0.25">
      <c r="A171" s="346">
        <v>39270</v>
      </c>
      <c r="B171" s="347" t="s">
        <v>290</v>
      </c>
      <c r="C171" s="348">
        <v>25</v>
      </c>
      <c r="D171" s="1099"/>
    </row>
    <row r="172" spans="1:4" x14ac:dyDescent="0.25">
      <c r="A172" s="346">
        <v>39271</v>
      </c>
      <c r="B172" s="347" t="s">
        <v>382</v>
      </c>
      <c r="C172" s="348"/>
      <c r="D172" s="1099">
        <v>4</v>
      </c>
    </row>
    <row r="173" spans="1:4" x14ac:dyDescent="0.25">
      <c r="A173" s="346">
        <v>39273</v>
      </c>
      <c r="B173" s="347" t="s">
        <v>303</v>
      </c>
      <c r="C173" s="348"/>
      <c r="D173" s="1099">
        <v>4</v>
      </c>
    </row>
    <row r="174" spans="1:4" x14ac:dyDescent="0.25">
      <c r="A174" s="346">
        <v>39275</v>
      </c>
      <c r="B174" s="347" t="s">
        <v>303</v>
      </c>
      <c r="C174" s="348"/>
      <c r="D174" s="1099">
        <v>10</v>
      </c>
    </row>
    <row r="175" spans="1:4" x14ac:dyDescent="0.25">
      <c r="A175" s="346">
        <v>39276</v>
      </c>
      <c r="B175" s="347" t="s">
        <v>383</v>
      </c>
      <c r="C175" s="348"/>
      <c r="D175" s="1099">
        <v>12</v>
      </c>
    </row>
    <row r="176" spans="1:4" x14ac:dyDescent="0.25">
      <c r="A176" s="346">
        <v>39276</v>
      </c>
      <c r="B176" s="347" t="s">
        <v>303</v>
      </c>
      <c r="C176" s="348"/>
      <c r="D176" s="1099">
        <v>6</v>
      </c>
    </row>
    <row r="177" spans="1:7" x14ac:dyDescent="0.25">
      <c r="A177" s="346">
        <v>39276</v>
      </c>
      <c r="B177" s="347" t="s">
        <v>307</v>
      </c>
      <c r="C177" s="348"/>
      <c r="D177" s="1099">
        <v>12</v>
      </c>
    </row>
    <row r="178" spans="1:7" x14ac:dyDescent="0.25">
      <c r="A178" s="346">
        <v>39277</v>
      </c>
      <c r="B178" s="347" t="s">
        <v>384</v>
      </c>
      <c r="C178" s="348">
        <v>800</v>
      </c>
      <c r="D178" s="1099"/>
    </row>
    <row r="179" spans="1:7" x14ac:dyDescent="0.25">
      <c r="A179" s="346">
        <v>39277</v>
      </c>
      <c r="B179" s="347" t="s">
        <v>340</v>
      </c>
      <c r="C179" s="348"/>
      <c r="D179" s="1099">
        <v>800</v>
      </c>
    </row>
    <row r="180" spans="1:7" x14ac:dyDescent="0.25">
      <c r="A180" s="346">
        <v>39280</v>
      </c>
      <c r="B180" s="347" t="s">
        <v>323</v>
      </c>
      <c r="C180" s="348"/>
      <c r="D180" s="1099">
        <v>20</v>
      </c>
    </row>
    <row r="181" spans="1:7" x14ac:dyDescent="0.25">
      <c r="A181" s="346">
        <v>39282</v>
      </c>
      <c r="B181" s="347" t="s">
        <v>351</v>
      </c>
      <c r="C181" s="348"/>
      <c r="D181" s="1099">
        <v>8</v>
      </c>
    </row>
    <row r="182" spans="1:7" x14ac:dyDescent="0.25">
      <c r="A182" s="346">
        <v>39283</v>
      </c>
      <c r="B182" s="347" t="s">
        <v>350</v>
      </c>
      <c r="C182" s="348"/>
      <c r="D182" s="1099">
        <v>2</v>
      </c>
    </row>
    <row r="183" spans="1:7" x14ac:dyDescent="0.25">
      <c r="A183" s="346">
        <v>39284</v>
      </c>
      <c r="B183" s="347" t="s">
        <v>302</v>
      </c>
      <c r="C183" s="348"/>
      <c r="D183" s="1099">
        <v>20</v>
      </c>
    </row>
    <row r="184" spans="1:7" x14ac:dyDescent="0.25">
      <c r="A184" s="346">
        <v>39286</v>
      </c>
      <c r="B184" s="347" t="s">
        <v>385</v>
      </c>
      <c r="C184" s="348"/>
      <c r="D184" s="1099">
        <v>300</v>
      </c>
    </row>
    <row r="185" spans="1:7" x14ac:dyDescent="0.25">
      <c r="A185" s="346">
        <v>39286</v>
      </c>
      <c r="B185" s="347" t="s">
        <v>386</v>
      </c>
      <c r="C185" s="348"/>
      <c r="D185" s="1099">
        <v>100</v>
      </c>
    </row>
    <row r="186" spans="1:7" x14ac:dyDescent="0.25">
      <c r="A186" s="346">
        <v>39286</v>
      </c>
      <c r="B186" s="347" t="s">
        <v>387</v>
      </c>
      <c r="C186" s="348"/>
      <c r="D186" s="1099">
        <v>200</v>
      </c>
    </row>
    <row r="187" spans="1:7" x14ac:dyDescent="0.25">
      <c r="A187" s="346">
        <v>39289</v>
      </c>
      <c r="B187" s="347" t="s">
        <v>303</v>
      </c>
      <c r="C187" s="348"/>
      <c r="D187" s="1099">
        <v>10</v>
      </c>
    </row>
    <row r="188" spans="1:7" x14ac:dyDescent="0.25">
      <c r="A188" s="346">
        <v>39292</v>
      </c>
      <c r="B188" s="347" t="s">
        <v>388</v>
      </c>
      <c r="C188" s="348"/>
      <c r="D188" s="1099">
        <v>10</v>
      </c>
    </row>
    <row r="189" spans="1:7" x14ac:dyDescent="0.25">
      <c r="A189" s="346">
        <v>39292</v>
      </c>
      <c r="B189" s="347" t="s">
        <v>378</v>
      </c>
      <c r="C189" s="348"/>
      <c r="D189" s="1099">
        <v>20</v>
      </c>
    </row>
    <row r="190" spans="1:7" x14ac:dyDescent="0.25">
      <c r="A190" s="346">
        <v>39292</v>
      </c>
      <c r="B190" s="347" t="s">
        <v>389</v>
      </c>
      <c r="C190" s="348"/>
      <c r="D190" s="1099">
        <v>100</v>
      </c>
      <c r="E190" s="315" t="s">
        <v>22</v>
      </c>
    </row>
    <row r="191" spans="1:7" x14ac:dyDescent="0.25">
      <c r="A191" s="346">
        <v>39294</v>
      </c>
      <c r="B191" s="347" t="s">
        <v>377</v>
      </c>
      <c r="C191" s="348"/>
      <c r="D191" s="1099">
        <v>30</v>
      </c>
      <c r="E191" s="315" t="s">
        <v>312</v>
      </c>
      <c r="F191" s="1076">
        <f>COUNTA(A157:A192)</f>
        <v>36</v>
      </c>
      <c r="G191" s="322"/>
    </row>
    <row r="192" spans="1:7" x14ac:dyDescent="0.25">
      <c r="A192" s="352">
        <v>39294</v>
      </c>
      <c r="B192" s="353" t="s">
        <v>290</v>
      </c>
      <c r="C192" s="354">
        <v>50</v>
      </c>
      <c r="D192" s="1100"/>
      <c r="E192" s="319">
        <f>SUM(C157:C192)</f>
        <v>2075</v>
      </c>
      <c r="F192" s="1076">
        <f>SUM(D157:D192)</f>
        <v>2095</v>
      </c>
      <c r="G192" s="319">
        <f>E192-F192</f>
        <v>-20</v>
      </c>
    </row>
    <row r="193" spans="1:4" x14ac:dyDescent="0.25">
      <c r="A193" s="346">
        <v>39295</v>
      </c>
      <c r="B193" s="347" t="s">
        <v>390</v>
      </c>
      <c r="C193" s="348"/>
      <c r="D193" s="1099">
        <v>27</v>
      </c>
    </row>
    <row r="194" spans="1:4" x14ac:dyDescent="0.25">
      <c r="A194" s="346">
        <v>39295</v>
      </c>
      <c r="B194" s="347" t="s">
        <v>387</v>
      </c>
      <c r="C194" s="348"/>
      <c r="D194" s="1099">
        <v>280</v>
      </c>
    </row>
    <row r="195" spans="1:4" x14ac:dyDescent="0.25">
      <c r="A195" s="346">
        <v>39295</v>
      </c>
      <c r="B195" s="347" t="s">
        <v>386</v>
      </c>
      <c r="C195" s="348"/>
      <c r="D195" s="1099">
        <v>400</v>
      </c>
    </row>
    <row r="196" spans="1:4" x14ac:dyDescent="0.25">
      <c r="A196" s="346">
        <v>39295</v>
      </c>
      <c r="B196" s="347" t="s">
        <v>385</v>
      </c>
      <c r="C196" s="348"/>
      <c r="D196" s="1099">
        <v>200</v>
      </c>
    </row>
    <row r="197" spans="1:4" x14ac:dyDescent="0.25">
      <c r="A197" s="346">
        <v>39296</v>
      </c>
      <c r="B197" s="347" t="s">
        <v>303</v>
      </c>
      <c r="C197" s="348"/>
      <c r="D197" s="1099">
        <v>5</v>
      </c>
    </row>
    <row r="198" spans="1:4" x14ac:dyDescent="0.25">
      <c r="A198" s="346">
        <v>39299</v>
      </c>
      <c r="B198" s="347" t="s">
        <v>391</v>
      </c>
      <c r="C198" s="348">
        <v>5</v>
      </c>
      <c r="D198" s="1099"/>
    </row>
    <row r="199" spans="1:4" x14ac:dyDescent="0.25">
      <c r="A199" s="346">
        <v>39299</v>
      </c>
      <c r="B199" s="347" t="s">
        <v>342</v>
      </c>
      <c r="C199" s="348"/>
      <c r="D199" s="1099">
        <v>3</v>
      </c>
    </row>
    <row r="200" spans="1:4" x14ac:dyDescent="0.25">
      <c r="A200" s="346">
        <v>39299</v>
      </c>
      <c r="B200" s="347" t="s">
        <v>392</v>
      </c>
      <c r="C200" s="348"/>
      <c r="D200" s="1099">
        <v>10</v>
      </c>
    </row>
    <row r="201" spans="1:4" x14ac:dyDescent="0.25">
      <c r="A201" s="346">
        <v>39299</v>
      </c>
      <c r="B201" s="347" t="s">
        <v>300</v>
      </c>
      <c r="C201" s="348"/>
      <c r="D201" s="1099">
        <v>70</v>
      </c>
    </row>
    <row r="202" spans="1:4" x14ac:dyDescent="0.25">
      <c r="A202" s="346">
        <v>39304</v>
      </c>
      <c r="B202" s="347" t="s">
        <v>13</v>
      </c>
      <c r="C202" s="348">
        <v>1200</v>
      </c>
      <c r="D202" s="1099"/>
    </row>
    <row r="203" spans="1:4" x14ac:dyDescent="0.25">
      <c r="A203" s="346">
        <v>39304</v>
      </c>
      <c r="B203" s="347" t="s">
        <v>340</v>
      </c>
      <c r="C203" s="348"/>
      <c r="D203" s="1099">
        <v>160</v>
      </c>
    </row>
    <row r="204" spans="1:4" x14ac:dyDescent="0.25">
      <c r="A204" s="346">
        <v>39304</v>
      </c>
      <c r="B204" s="347" t="s">
        <v>393</v>
      </c>
      <c r="C204" s="348"/>
      <c r="D204" s="1099">
        <v>250</v>
      </c>
    </row>
    <row r="205" spans="1:4" x14ac:dyDescent="0.25">
      <c r="A205" s="346">
        <v>39304</v>
      </c>
      <c r="B205" s="347" t="s">
        <v>329</v>
      </c>
      <c r="C205" s="348"/>
      <c r="D205" s="1099">
        <v>80</v>
      </c>
    </row>
    <row r="206" spans="1:4" x14ac:dyDescent="0.25">
      <c r="A206" s="346">
        <v>39305</v>
      </c>
      <c r="B206" s="347" t="s">
        <v>301</v>
      </c>
      <c r="C206" s="348"/>
      <c r="D206" s="1099">
        <v>10</v>
      </c>
    </row>
    <row r="207" spans="1:4" x14ac:dyDescent="0.25">
      <c r="A207" s="346">
        <v>39306</v>
      </c>
      <c r="B207" s="347" t="s">
        <v>303</v>
      </c>
      <c r="C207" s="348"/>
      <c r="D207" s="1099">
        <v>200</v>
      </c>
    </row>
    <row r="208" spans="1:4" x14ac:dyDescent="0.25">
      <c r="A208" s="346">
        <v>39308</v>
      </c>
      <c r="B208" s="347" t="s">
        <v>394</v>
      </c>
      <c r="C208" s="348"/>
      <c r="D208" s="1099">
        <v>15</v>
      </c>
    </row>
    <row r="209" spans="1:7" x14ac:dyDescent="0.25">
      <c r="A209" s="346">
        <v>39308</v>
      </c>
      <c r="B209" s="347" t="s">
        <v>395</v>
      </c>
      <c r="C209" s="348"/>
      <c r="D209" s="1099">
        <v>5</v>
      </c>
    </row>
    <row r="210" spans="1:7" x14ac:dyDescent="0.25">
      <c r="A210" s="346">
        <v>39309</v>
      </c>
      <c r="B210" s="347" t="s">
        <v>303</v>
      </c>
      <c r="C210" s="348"/>
      <c r="D210" s="1099">
        <v>10</v>
      </c>
    </row>
    <row r="211" spans="1:7" x14ac:dyDescent="0.25">
      <c r="A211" s="346">
        <v>39317</v>
      </c>
      <c r="B211" s="347" t="s">
        <v>290</v>
      </c>
      <c r="C211" s="348">
        <v>75</v>
      </c>
      <c r="D211" s="1099"/>
    </row>
    <row r="212" spans="1:7" x14ac:dyDescent="0.25">
      <c r="A212" s="346">
        <v>39317</v>
      </c>
      <c r="B212" s="347" t="s">
        <v>377</v>
      </c>
      <c r="C212" s="348"/>
      <c r="D212" s="1099">
        <v>45</v>
      </c>
    </row>
    <row r="213" spans="1:7" x14ac:dyDescent="0.25">
      <c r="A213" s="346">
        <v>39317</v>
      </c>
      <c r="B213" s="347" t="s">
        <v>396</v>
      </c>
      <c r="C213" s="348"/>
      <c r="D213" s="1099">
        <v>30</v>
      </c>
      <c r="E213" s="315" t="s">
        <v>23</v>
      </c>
    </row>
    <row r="214" spans="1:7" x14ac:dyDescent="0.25">
      <c r="A214" s="346">
        <v>39319</v>
      </c>
      <c r="B214" s="347" t="s">
        <v>378</v>
      </c>
      <c r="C214" s="348"/>
      <c r="D214" s="1099">
        <v>20</v>
      </c>
      <c r="E214" s="315" t="s">
        <v>312</v>
      </c>
      <c r="F214" s="1076">
        <f>COUNTA(A193:A215)</f>
        <v>23</v>
      </c>
      <c r="G214" s="322"/>
    </row>
    <row r="215" spans="1:7" x14ac:dyDescent="0.25">
      <c r="A215" s="352">
        <v>39321</v>
      </c>
      <c r="B215" s="353" t="s">
        <v>397</v>
      </c>
      <c r="C215" s="354"/>
      <c r="D215" s="1100">
        <v>10</v>
      </c>
      <c r="E215" s="319">
        <f>SUM(C193:C215)</f>
        <v>1280</v>
      </c>
      <c r="F215" s="1076">
        <f>SUM(D193:D215)</f>
        <v>1830</v>
      </c>
      <c r="G215" s="319">
        <f>E215-F215</f>
        <v>-550</v>
      </c>
    </row>
    <row r="216" spans="1:7" x14ac:dyDescent="0.25">
      <c r="A216" s="346">
        <v>39328</v>
      </c>
      <c r="B216" s="347" t="s">
        <v>300</v>
      </c>
      <c r="C216" s="348"/>
      <c r="D216" s="1099">
        <v>50</v>
      </c>
    </row>
    <row r="217" spans="1:7" x14ac:dyDescent="0.25">
      <c r="A217" s="346">
        <v>39328</v>
      </c>
      <c r="B217" s="347" t="s">
        <v>329</v>
      </c>
      <c r="C217" s="348"/>
      <c r="D217" s="1099">
        <v>280</v>
      </c>
    </row>
    <row r="218" spans="1:7" x14ac:dyDescent="0.25">
      <c r="A218" s="346">
        <v>39328</v>
      </c>
      <c r="B218" s="347" t="s">
        <v>374</v>
      </c>
      <c r="C218" s="348"/>
      <c r="D218" s="1099">
        <v>20</v>
      </c>
    </row>
    <row r="219" spans="1:7" x14ac:dyDescent="0.25">
      <c r="A219" s="346">
        <v>39333</v>
      </c>
      <c r="B219" s="347" t="s">
        <v>396</v>
      </c>
      <c r="C219" s="348"/>
      <c r="D219" s="1099">
        <v>30</v>
      </c>
    </row>
    <row r="220" spans="1:7" x14ac:dyDescent="0.25">
      <c r="A220" s="346">
        <v>39333</v>
      </c>
      <c r="B220" s="347" t="s">
        <v>378</v>
      </c>
      <c r="C220" s="348"/>
      <c r="D220" s="1099">
        <v>7</v>
      </c>
    </row>
    <row r="221" spans="1:7" x14ac:dyDescent="0.25">
      <c r="A221" s="346">
        <v>39333</v>
      </c>
      <c r="B221" s="347" t="s">
        <v>303</v>
      </c>
      <c r="C221" s="348"/>
      <c r="D221" s="1099">
        <v>113</v>
      </c>
    </row>
    <row r="222" spans="1:7" x14ac:dyDescent="0.25">
      <c r="A222" s="346">
        <v>39333</v>
      </c>
      <c r="B222" s="347" t="s">
        <v>398</v>
      </c>
      <c r="C222" s="348"/>
      <c r="D222" s="1099">
        <v>70</v>
      </c>
    </row>
    <row r="223" spans="1:7" x14ac:dyDescent="0.25">
      <c r="A223" s="346">
        <v>39335</v>
      </c>
      <c r="B223" s="347" t="s">
        <v>13</v>
      </c>
      <c r="C223" s="348">
        <v>1200</v>
      </c>
      <c r="D223" s="1099"/>
    </row>
    <row r="224" spans="1:7" x14ac:dyDescent="0.25">
      <c r="A224" s="346">
        <v>39335</v>
      </c>
      <c r="B224" s="347" t="s">
        <v>399</v>
      </c>
      <c r="C224" s="348"/>
      <c r="D224" s="1099">
        <v>250</v>
      </c>
    </row>
    <row r="225" spans="1:7" x14ac:dyDescent="0.25">
      <c r="A225" s="346">
        <v>39335</v>
      </c>
      <c r="B225" s="347" t="s">
        <v>385</v>
      </c>
      <c r="C225" s="348"/>
      <c r="D225" s="1099">
        <v>200</v>
      </c>
    </row>
    <row r="226" spans="1:7" x14ac:dyDescent="0.25">
      <c r="A226" s="346">
        <v>39338</v>
      </c>
      <c r="B226" s="347" t="s">
        <v>400</v>
      </c>
      <c r="C226" s="348"/>
      <c r="D226" s="1099">
        <v>6</v>
      </c>
    </row>
    <row r="227" spans="1:7" x14ac:dyDescent="0.25">
      <c r="A227" s="346">
        <v>39338</v>
      </c>
      <c r="B227" s="347" t="s">
        <v>401</v>
      </c>
      <c r="C227" s="348"/>
      <c r="D227" s="1099">
        <v>2</v>
      </c>
    </row>
    <row r="228" spans="1:7" x14ac:dyDescent="0.25">
      <c r="A228" s="346">
        <v>39338</v>
      </c>
      <c r="B228" s="347" t="s">
        <v>19</v>
      </c>
      <c r="C228" s="348">
        <v>550</v>
      </c>
      <c r="D228" s="1099"/>
    </row>
    <row r="229" spans="1:7" x14ac:dyDescent="0.25">
      <c r="A229" s="346">
        <v>39338</v>
      </c>
      <c r="B229" s="347" t="s">
        <v>268</v>
      </c>
      <c r="C229" s="348">
        <v>252</v>
      </c>
      <c r="D229" s="1099"/>
    </row>
    <row r="230" spans="1:7" x14ac:dyDescent="0.25">
      <c r="A230" s="346">
        <v>39339</v>
      </c>
      <c r="B230" s="347" t="s">
        <v>338</v>
      </c>
      <c r="C230" s="348"/>
      <c r="D230" s="1099">
        <v>6</v>
      </c>
    </row>
    <row r="231" spans="1:7" x14ac:dyDescent="0.25">
      <c r="A231" s="346">
        <v>39340</v>
      </c>
      <c r="B231" s="347" t="s">
        <v>378</v>
      </c>
      <c r="C231" s="348"/>
      <c r="D231" s="1099">
        <v>6</v>
      </c>
    </row>
    <row r="232" spans="1:7" x14ac:dyDescent="0.25">
      <c r="A232" s="346">
        <v>39340</v>
      </c>
      <c r="B232" s="347" t="s">
        <v>402</v>
      </c>
      <c r="C232" s="348"/>
      <c r="D232" s="1099">
        <v>20</v>
      </c>
    </row>
    <row r="233" spans="1:7" x14ac:dyDescent="0.25">
      <c r="A233" s="346">
        <v>39341</v>
      </c>
      <c r="B233" s="347" t="s">
        <v>361</v>
      </c>
      <c r="C233" s="348"/>
      <c r="D233" s="1099">
        <v>2</v>
      </c>
    </row>
    <row r="234" spans="1:7" x14ac:dyDescent="0.25">
      <c r="A234" s="346">
        <v>39344</v>
      </c>
      <c r="B234" s="347" t="s">
        <v>379</v>
      </c>
      <c r="C234" s="348"/>
      <c r="D234" s="1099">
        <v>20</v>
      </c>
    </row>
    <row r="235" spans="1:7" x14ac:dyDescent="0.25">
      <c r="A235" s="346">
        <v>39346</v>
      </c>
      <c r="B235" s="347" t="s">
        <v>403</v>
      </c>
      <c r="C235" s="348"/>
      <c r="D235" s="1099">
        <v>20</v>
      </c>
    </row>
    <row r="236" spans="1:7" x14ac:dyDescent="0.25">
      <c r="A236" s="346">
        <v>39347</v>
      </c>
      <c r="B236" s="347" t="s">
        <v>385</v>
      </c>
      <c r="C236" s="348"/>
      <c r="D236" s="1099">
        <v>150</v>
      </c>
    </row>
    <row r="237" spans="1:7" x14ac:dyDescent="0.25">
      <c r="A237" s="346">
        <v>39352</v>
      </c>
      <c r="B237" s="347" t="s">
        <v>394</v>
      </c>
      <c r="C237" s="348"/>
      <c r="D237" s="1099">
        <v>8</v>
      </c>
    </row>
    <row r="238" spans="1:7" x14ac:dyDescent="0.25">
      <c r="A238" s="346">
        <v>39352</v>
      </c>
      <c r="B238" s="347" t="s">
        <v>378</v>
      </c>
      <c r="C238" s="348"/>
      <c r="D238" s="1099">
        <v>20</v>
      </c>
    </row>
    <row r="239" spans="1:7" x14ac:dyDescent="0.25">
      <c r="A239" s="346">
        <v>39352</v>
      </c>
      <c r="B239" s="347" t="s">
        <v>390</v>
      </c>
      <c r="C239" s="348"/>
      <c r="D239" s="1099">
        <v>5</v>
      </c>
      <c r="E239" s="315" t="s">
        <v>24</v>
      </c>
    </row>
    <row r="240" spans="1:7" x14ac:dyDescent="0.25">
      <c r="A240" s="346">
        <v>39352</v>
      </c>
      <c r="B240" s="347" t="s">
        <v>338</v>
      </c>
      <c r="C240" s="348"/>
      <c r="D240" s="1099">
        <v>10</v>
      </c>
      <c r="E240" s="315" t="s">
        <v>312</v>
      </c>
      <c r="F240" s="1076">
        <f>COUNTA(A214:A241)</f>
        <v>28</v>
      </c>
      <c r="G240" s="322"/>
    </row>
    <row r="241" spans="1:7" x14ac:dyDescent="0.25">
      <c r="A241" s="352">
        <v>39355</v>
      </c>
      <c r="B241" s="353" t="s">
        <v>378</v>
      </c>
      <c r="C241" s="354"/>
      <c r="D241" s="1100">
        <v>7</v>
      </c>
      <c r="E241" s="319">
        <f>SUM(C216:C241)</f>
        <v>2002</v>
      </c>
      <c r="F241" s="1076">
        <f>SUM(D216:D241)</f>
        <v>1302</v>
      </c>
      <c r="G241" s="319">
        <f>E241-F241</f>
        <v>700</v>
      </c>
    </row>
    <row r="242" spans="1:7" x14ac:dyDescent="0.25">
      <c r="A242" s="346">
        <v>39356</v>
      </c>
      <c r="B242" s="347" t="s">
        <v>404</v>
      </c>
      <c r="C242" s="348">
        <v>20</v>
      </c>
      <c r="D242" s="1099"/>
    </row>
    <row r="243" spans="1:7" x14ac:dyDescent="0.25">
      <c r="A243" s="346">
        <v>39356</v>
      </c>
      <c r="B243" s="347" t="s">
        <v>405</v>
      </c>
      <c r="C243" s="348">
        <v>30</v>
      </c>
      <c r="D243" s="1099"/>
    </row>
    <row r="244" spans="1:7" x14ac:dyDescent="0.25">
      <c r="A244" s="346">
        <v>39357</v>
      </c>
      <c r="B244" s="347" t="s">
        <v>301</v>
      </c>
      <c r="C244" s="348"/>
      <c r="D244" s="1099">
        <v>10</v>
      </c>
    </row>
    <row r="245" spans="1:7" x14ac:dyDescent="0.25">
      <c r="A245" s="346">
        <v>39358</v>
      </c>
      <c r="B245" s="347" t="s">
        <v>300</v>
      </c>
      <c r="C245" s="348"/>
      <c r="D245" s="1099">
        <v>20</v>
      </c>
    </row>
    <row r="246" spans="1:7" x14ac:dyDescent="0.25">
      <c r="A246" s="346">
        <v>39358</v>
      </c>
      <c r="B246" s="347" t="s">
        <v>323</v>
      </c>
      <c r="C246" s="348"/>
      <c r="D246" s="1099">
        <v>20</v>
      </c>
    </row>
    <row r="247" spans="1:7" x14ac:dyDescent="0.25">
      <c r="A247" s="346">
        <v>39365</v>
      </c>
      <c r="B247" s="347" t="s">
        <v>329</v>
      </c>
      <c r="C247" s="348"/>
      <c r="D247" s="1099">
        <v>190</v>
      </c>
    </row>
    <row r="248" spans="1:7" x14ac:dyDescent="0.25">
      <c r="A248" s="346">
        <v>39365</v>
      </c>
      <c r="B248" s="347" t="s">
        <v>13</v>
      </c>
      <c r="C248" s="348">
        <v>1380</v>
      </c>
      <c r="D248" s="1099"/>
    </row>
    <row r="249" spans="1:7" x14ac:dyDescent="0.25">
      <c r="A249" s="346">
        <v>39365</v>
      </c>
      <c r="B249" s="347" t="s">
        <v>399</v>
      </c>
      <c r="C249" s="348"/>
      <c r="D249" s="1099">
        <v>250</v>
      </c>
    </row>
    <row r="250" spans="1:7" x14ac:dyDescent="0.25">
      <c r="A250" s="346">
        <v>39365</v>
      </c>
      <c r="B250" s="347" t="s">
        <v>303</v>
      </c>
      <c r="C250" s="348"/>
      <c r="D250" s="1099">
        <v>250</v>
      </c>
    </row>
    <row r="251" spans="1:7" x14ac:dyDescent="0.25">
      <c r="A251" s="346">
        <v>39366</v>
      </c>
      <c r="B251" s="347" t="s">
        <v>310</v>
      </c>
      <c r="C251" s="348"/>
      <c r="D251" s="1099">
        <v>10</v>
      </c>
    </row>
    <row r="252" spans="1:7" x14ac:dyDescent="0.25">
      <c r="A252" s="346">
        <v>39369</v>
      </c>
      <c r="B252" s="347" t="s">
        <v>406</v>
      </c>
      <c r="C252" s="348"/>
      <c r="D252" s="1099">
        <v>100</v>
      </c>
    </row>
    <row r="253" spans="1:7" x14ac:dyDescent="0.25">
      <c r="A253" s="346">
        <v>39370</v>
      </c>
      <c r="B253" s="347" t="s">
        <v>407</v>
      </c>
      <c r="C253" s="348"/>
      <c r="D253" s="1099">
        <v>5</v>
      </c>
    </row>
    <row r="254" spans="1:7" x14ac:dyDescent="0.25">
      <c r="A254" s="346">
        <v>39370</v>
      </c>
      <c r="B254" s="347" t="s">
        <v>345</v>
      </c>
      <c r="C254" s="348"/>
      <c r="D254" s="1099">
        <v>5</v>
      </c>
    </row>
    <row r="255" spans="1:7" x14ac:dyDescent="0.25">
      <c r="A255" s="346">
        <v>39372</v>
      </c>
      <c r="B255" s="347" t="s">
        <v>408</v>
      </c>
      <c r="C255" s="348"/>
      <c r="D255" s="1099">
        <v>25</v>
      </c>
    </row>
    <row r="256" spans="1:7" x14ac:dyDescent="0.25">
      <c r="A256" s="346">
        <v>39372</v>
      </c>
      <c r="B256" s="347" t="s">
        <v>303</v>
      </c>
      <c r="C256" s="348"/>
      <c r="D256" s="1099">
        <v>10</v>
      </c>
    </row>
    <row r="257" spans="1:7" x14ac:dyDescent="0.25">
      <c r="A257" s="346">
        <v>39374</v>
      </c>
      <c r="B257" s="347" t="s">
        <v>409</v>
      </c>
      <c r="C257" s="348"/>
      <c r="D257" s="1099">
        <v>35</v>
      </c>
    </row>
    <row r="258" spans="1:7" x14ac:dyDescent="0.25">
      <c r="A258" s="346">
        <v>39376</v>
      </c>
      <c r="B258" s="347" t="s">
        <v>301</v>
      </c>
      <c r="C258" s="348"/>
      <c r="D258" s="1099">
        <v>10</v>
      </c>
    </row>
    <row r="259" spans="1:7" x14ac:dyDescent="0.25">
      <c r="A259" s="346">
        <v>39377</v>
      </c>
      <c r="B259" s="347" t="s">
        <v>410</v>
      </c>
      <c r="C259" s="348"/>
      <c r="D259" s="1099">
        <v>5</v>
      </c>
    </row>
    <row r="260" spans="1:7" x14ac:dyDescent="0.25">
      <c r="A260" s="346">
        <v>39378</v>
      </c>
      <c r="B260" s="347" t="s">
        <v>300</v>
      </c>
      <c r="C260" s="348"/>
      <c r="D260" s="1099">
        <v>10</v>
      </c>
    </row>
    <row r="261" spans="1:7" x14ac:dyDescent="0.25">
      <c r="A261" s="346">
        <v>39382</v>
      </c>
      <c r="B261" s="347" t="s">
        <v>411</v>
      </c>
      <c r="C261" s="348"/>
      <c r="D261" s="1099">
        <v>10</v>
      </c>
      <c r="E261" s="315" t="s">
        <v>25</v>
      </c>
    </row>
    <row r="262" spans="1:7" x14ac:dyDescent="0.25">
      <c r="A262" s="346">
        <v>39382</v>
      </c>
      <c r="B262" s="347" t="s">
        <v>310</v>
      </c>
      <c r="C262" s="348"/>
      <c r="D262" s="1099">
        <v>7</v>
      </c>
      <c r="E262" s="315" t="s">
        <v>312</v>
      </c>
      <c r="F262" s="1076">
        <f>COUNTA(A242:A263)</f>
        <v>22</v>
      </c>
      <c r="G262" s="322"/>
    </row>
    <row r="263" spans="1:7" x14ac:dyDescent="0.25">
      <c r="A263" s="352">
        <v>39383</v>
      </c>
      <c r="B263" s="353" t="s">
        <v>412</v>
      </c>
      <c r="C263" s="354">
        <v>60</v>
      </c>
      <c r="D263" s="1100"/>
      <c r="E263" s="319">
        <f>SUM(C242:C263)</f>
        <v>1490</v>
      </c>
      <c r="F263" s="1076">
        <f>SUM(D242:D263)</f>
        <v>972</v>
      </c>
      <c r="G263" s="319">
        <f>E263-F263</f>
        <v>518</v>
      </c>
    </row>
    <row r="264" spans="1:7" x14ac:dyDescent="0.25">
      <c r="A264" s="346">
        <v>39387</v>
      </c>
      <c r="B264" s="347" t="s">
        <v>307</v>
      </c>
      <c r="C264" s="355"/>
      <c r="D264" s="1101">
        <v>48</v>
      </c>
    </row>
    <row r="265" spans="1:7" x14ac:dyDescent="0.25">
      <c r="A265" s="346">
        <v>39393</v>
      </c>
      <c r="B265" s="347" t="s">
        <v>300</v>
      </c>
      <c r="C265" s="355"/>
      <c r="D265" s="1101">
        <v>80</v>
      </c>
    </row>
    <row r="266" spans="1:7" x14ac:dyDescent="0.25">
      <c r="A266" s="346">
        <v>39395</v>
      </c>
      <c r="B266" s="347" t="s">
        <v>13</v>
      </c>
      <c r="C266" s="355">
        <v>1400</v>
      </c>
      <c r="D266" s="1101"/>
    </row>
    <row r="267" spans="1:7" x14ac:dyDescent="0.25">
      <c r="A267" s="346">
        <v>39395</v>
      </c>
      <c r="B267" s="347" t="s">
        <v>329</v>
      </c>
      <c r="C267" s="355"/>
      <c r="D267" s="1101">
        <v>190</v>
      </c>
    </row>
    <row r="268" spans="1:7" x14ac:dyDescent="0.25">
      <c r="A268" s="346">
        <v>39395</v>
      </c>
      <c r="B268" s="347" t="s">
        <v>303</v>
      </c>
      <c r="C268" s="355"/>
      <c r="D268" s="1101">
        <v>182</v>
      </c>
    </row>
    <row r="269" spans="1:7" x14ac:dyDescent="0.25">
      <c r="A269" s="346">
        <v>39396</v>
      </c>
      <c r="B269" s="347" t="s">
        <v>399</v>
      </c>
      <c r="C269" s="355"/>
      <c r="D269" s="1101">
        <v>300</v>
      </c>
    </row>
    <row r="270" spans="1:7" x14ac:dyDescent="0.25">
      <c r="A270" s="346">
        <v>39396</v>
      </c>
      <c r="B270" s="347" t="s">
        <v>413</v>
      </c>
      <c r="C270" s="355"/>
      <c r="D270" s="1101">
        <v>70</v>
      </c>
    </row>
    <row r="271" spans="1:7" x14ac:dyDescent="0.25">
      <c r="A271" s="346">
        <v>39396</v>
      </c>
      <c r="B271" s="347" t="s">
        <v>397</v>
      </c>
      <c r="C271" s="355"/>
      <c r="D271" s="1101">
        <v>18</v>
      </c>
    </row>
    <row r="272" spans="1:7" x14ac:dyDescent="0.25">
      <c r="A272" s="346">
        <v>39398</v>
      </c>
      <c r="B272" s="347" t="s">
        <v>414</v>
      </c>
      <c r="C272" s="355"/>
      <c r="D272" s="1101">
        <v>80</v>
      </c>
    </row>
    <row r="273" spans="1:7" x14ac:dyDescent="0.25">
      <c r="A273" s="346">
        <v>39407</v>
      </c>
      <c r="B273" s="347" t="s">
        <v>415</v>
      </c>
      <c r="C273" s="355"/>
      <c r="D273" s="1101">
        <v>200</v>
      </c>
      <c r="E273" s="315" t="s">
        <v>26</v>
      </c>
    </row>
    <row r="274" spans="1:7" x14ac:dyDescent="0.25">
      <c r="A274" s="346">
        <v>39410</v>
      </c>
      <c r="B274" s="347" t="s">
        <v>346</v>
      </c>
      <c r="C274" s="355"/>
      <c r="D274" s="1101">
        <v>325</v>
      </c>
      <c r="E274" s="315" t="s">
        <v>312</v>
      </c>
      <c r="F274" s="1076">
        <f>COUNTA(A260:A275)</f>
        <v>16</v>
      </c>
      <c r="G274" s="322"/>
    </row>
    <row r="275" spans="1:7" x14ac:dyDescent="0.25">
      <c r="A275" s="352">
        <v>39411</v>
      </c>
      <c r="B275" s="353" t="s">
        <v>303</v>
      </c>
      <c r="C275" s="356"/>
      <c r="D275" s="1102">
        <v>15</v>
      </c>
      <c r="E275" s="319">
        <f>SUM(C264:C275)</f>
        <v>1400</v>
      </c>
      <c r="F275" s="1076">
        <f>SUM(D264:D275)</f>
        <v>1508</v>
      </c>
      <c r="G275" s="319">
        <f>E275-F275</f>
        <v>-108</v>
      </c>
    </row>
    <row r="276" spans="1:7" x14ac:dyDescent="0.25">
      <c r="A276" s="346">
        <v>39417</v>
      </c>
      <c r="B276" s="347" t="s">
        <v>416</v>
      </c>
      <c r="C276" s="355"/>
      <c r="D276" s="1101">
        <v>15</v>
      </c>
    </row>
    <row r="277" spans="1:7" x14ac:dyDescent="0.25">
      <c r="A277" s="346">
        <v>39419</v>
      </c>
      <c r="B277" s="347" t="s">
        <v>390</v>
      </c>
      <c r="C277" s="355"/>
      <c r="D277" s="1101">
        <v>22</v>
      </c>
    </row>
    <row r="278" spans="1:7" x14ac:dyDescent="0.25">
      <c r="A278" s="346">
        <v>39419</v>
      </c>
      <c r="B278" s="347" t="s">
        <v>410</v>
      </c>
      <c r="C278" s="355"/>
      <c r="D278" s="1101">
        <v>8</v>
      </c>
    </row>
    <row r="279" spans="1:7" x14ac:dyDescent="0.25">
      <c r="A279" s="346">
        <v>39422</v>
      </c>
      <c r="B279" s="347" t="s">
        <v>329</v>
      </c>
      <c r="C279" s="355"/>
      <c r="D279" s="1101">
        <v>190</v>
      </c>
    </row>
    <row r="280" spans="1:7" x14ac:dyDescent="0.25">
      <c r="A280" s="346">
        <v>39423</v>
      </c>
      <c r="B280" s="347" t="s">
        <v>314</v>
      </c>
      <c r="C280" s="355"/>
      <c r="D280" s="1101">
        <v>5</v>
      </c>
    </row>
    <row r="281" spans="1:7" x14ac:dyDescent="0.25">
      <c r="A281" s="346">
        <v>39423</v>
      </c>
      <c r="B281" s="347" t="s">
        <v>13</v>
      </c>
      <c r="C281" s="355">
        <v>1400</v>
      </c>
      <c r="D281" s="1101"/>
    </row>
    <row r="282" spans="1:7" x14ac:dyDescent="0.25">
      <c r="A282" s="346">
        <v>39423</v>
      </c>
      <c r="B282" s="347" t="s">
        <v>399</v>
      </c>
      <c r="C282" s="355"/>
      <c r="D282" s="1101">
        <v>300</v>
      </c>
    </row>
    <row r="283" spans="1:7" x14ac:dyDescent="0.25">
      <c r="A283" s="346">
        <v>39424</v>
      </c>
      <c r="B283" s="347" t="s">
        <v>303</v>
      </c>
      <c r="C283" s="355"/>
      <c r="D283" s="1101">
        <v>195</v>
      </c>
    </row>
    <row r="284" spans="1:7" x14ac:dyDescent="0.25">
      <c r="A284" s="346">
        <v>39426</v>
      </c>
      <c r="B284" s="347" t="s">
        <v>338</v>
      </c>
      <c r="C284" s="355"/>
      <c r="D284" s="1101">
        <v>50</v>
      </c>
    </row>
    <row r="285" spans="1:7" x14ac:dyDescent="0.25">
      <c r="A285" s="346">
        <v>39429</v>
      </c>
      <c r="B285" s="347" t="s">
        <v>303</v>
      </c>
      <c r="C285" s="355"/>
      <c r="D285" s="1101">
        <v>5</v>
      </c>
    </row>
    <row r="286" spans="1:7" x14ac:dyDescent="0.25">
      <c r="A286" s="346">
        <v>39431</v>
      </c>
      <c r="B286" s="347" t="s">
        <v>417</v>
      </c>
      <c r="C286" s="355"/>
      <c r="D286" s="1101">
        <v>15</v>
      </c>
    </row>
    <row r="287" spans="1:7" x14ac:dyDescent="0.25">
      <c r="A287" s="346">
        <v>39431</v>
      </c>
      <c r="B287" s="347" t="s">
        <v>418</v>
      </c>
      <c r="C287" s="355"/>
      <c r="D287" s="1101">
        <v>30</v>
      </c>
    </row>
    <row r="288" spans="1:7" x14ac:dyDescent="0.25">
      <c r="A288" s="346">
        <v>39431</v>
      </c>
      <c r="B288" s="347" t="s">
        <v>410</v>
      </c>
      <c r="C288" s="355"/>
      <c r="D288" s="1101">
        <v>10</v>
      </c>
    </row>
    <row r="289" spans="1:10" x14ac:dyDescent="0.25">
      <c r="A289" s="346">
        <v>39432</v>
      </c>
      <c r="B289" s="347" t="s">
        <v>364</v>
      </c>
      <c r="C289" s="355"/>
      <c r="D289" s="1101">
        <v>5</v>
      </c>
    </row>
    <row r="290" spans="1:10" x14ac:dyDescent="0.25">
      <c r="A290" s="346">
        <v>39433</v>
      </c>
      <c r="B290" s="347" t="s">
        <v>303</v>
      </c>
      <c r="C290" s="355"/>
      <c r="D290" s="1101">
        <v>5</v>
      </c>
    </row>
    <row r="291" spans="1:10" x14ac:dyDescent="0.25">
      <c r="A291" s="346">
        <v>39438</v>
      </c>
      <c r="B291" s="347" t="s">
        <v>419</v>
      </c>
      <c r="C291" s="355"/>
      <c r="D291" s="1101">
        <v>100</v>
      </c>
      <c r="E291" s="315" t="s">
        <v>27</v>
      </c>
    </row>
    <row r="292" spans="1:10" x14ac:dyDescent="0.25">
      <c r="A292" s="346">
        <v>39443</v>
      </c>
      <c r="B292" s="347" t="s">
        <v>378</v>
      </c>
      <c r="C292" s="355"/>
      <c r="D292" s="1101">
        <v>20</v>
      </c>
      <c r="E292" s="315" t="s">
        <v>312</v>
      </c>
      <c r="F292" s="1076">
        <f>COUNTA(A274:A293)</f>
        <v>20</v>
      </c>
      <c r="G292" s="322"/>
    </row>
    <row r="293" spans="1:10" x14ac:dyDescent="0.25">
      <c r="A293" s="357">
        <v>39443</v>
      </c>
      <c r="B293" s="358" t="s">
        <v>301</v>
      </c>
      <c r="C293" s="359"/>
      <c r="D293" s="1103">
        <v>20</v>
      </c>
      <c r="E293" s="319">
        <f>SUM(C276:C293)</f>
        <v>1400</v>
      </c>
      <c r="F293" s="1076">
        <f>SUM(D276:D293)</f>
        <v>995</v>
      </c>
      <c r="G293" s="328">
        <f>E293-F293</f>
        <v>405</v>
      </c>
    </row>
    <row r="294" spans="1:10" x14ac:dyDescent="0.25">
      <c r="C294" s="329"/>
      <c r="D294" s="1104"/>
    </row>
    <row r="295" spans="1:10" x14ac:dyDescent="0.25">
      <c r="C295" s="329"/>
      <c r="D295" s="1104"/>
    </row>
    <row r="296" spans="1:10" x14ac:dyDescent="0.25">
      <c r="C296" s="329"/>
      <c r="D296" s="1104"/>
    </row>
    <row r="297" spans="1:10" x14ac:dyDescent="0.25">
      <c r="C297" s="329"/>
      <c r="D297" s="1104"/>
    </row>
    <row r="298" spans="1:10" x14ac:dyDescent="0.25">
      <c r="C298" s="329"/>
      <c r="D298" s="1104"/>
      <c r="H298" s="565" t="s">
        <v>29</v>
      </c>
      <c r="I298" s="566"/>
      <c r="J298" s="567"/>
    </row>
    <row r="299" spans="1:10" x14ac:dyDescent="0.25">
      <c r="C299" s="329"/>
      <c r="D299" s="1104"/>
      <c r="H299" s="568">
        <f>_ENE07</f>
        <v>670</v>
      </c>
      <c r="I299" s="569"/>
      <c r="J299" s="567"/>
    </row>
    <row r="300" spans="1:10" x14ac:dyDescent="0.25">
      <c r="C300" s="329"/>
      <c r="D300" s="1104"/>
      <c r="H300" s="568">
        <f>_FEB07</f>
        <v>350</v>
      </c>
      <c r="I300" s="569"/>
      <c r="J300" s="567"/>
    </row>
    <row r="301" spans="1:10" x14ac:dyDescent="0.25">
      <c r="C301" s="329"/>
      <c r="D301" s="1104"/>
      <c r="H301" s="568">
        <f>_MAR07</f>
        <v>633</v>
      </c>
      <c r="I301" s="569"/>
      <c r="J301" s="567"/>
    </row>
    <row r="302" spans="1:10" x14ac:dyDescent="0.25">
      <c r="C302" s="329"/>
      <c r="D302" s="1104"/>
      <c r="H302" s="568">
        <f>_ABR07</f>
        <v>-753</v>
      </c>
      <c r="I302" s="569"/>
      <c r="J302" s="567"/>
    </row>
    <row r="303" spans="1:10" x14ac:dyDescent="0.25">
      <c r="C303" s="329"/>
      <c r="D303" s="1104"/>
      <c r="H303" s="568">
        <f>_MAY07</f>
        <v>200</v>
      </c>
      <c r="I303" s="569"/>
      <c r="J303" s="567"/>
    </row>
    <row r="304" spans="1:10" x14ac:dyDescent="0.25">
      <c r="C304" s="329"/>
      <c r="D304" s="1104"/>
      <c r="H304" s="568">
        <f>_JUN07</f>
        <v>-580</v>
      </c>
      <c r="I304" s="569"/>
      <c r="J304" s="567"/>
    </row>
    <row r="305" spans="1:13" x14ac:dyDescent="0.25">
      <c r="C305" s="329"/>
      <c r="D305" s="1104"/>
      <c r="H305" s="568">
        <f>_JUL07</f>
        <v>-20</v>
      </c>
      <c r="I305" s="569"/>
      <c r="J305" s="567"/>
    </row>
    <row r="306" spans="1:13" x14ac:dyDescent="0.25">
      <c r="C306" s="329"/>
      <c r="D306" s="1104"/>
      <c r="H306" s="568">
        <f>_AGO07</f>
        <v>-550</v>
      </c>
      <c r="I306" s="569"/>
      <c r="J306" s="567"/>
    </row>
    <row r="307" spans="1:13" x14ac:dyDescent="0.25">
      <c r="C307" s="329"/>
      <c r="D307" s="1104"/>
      <c r="H307" s="568">
        <f>_SEP07</f>
        <v>700</v>
      </c>
      <c r="I307" s="569"/>
      <c r="J307" s="567"/>
    </row>
    <row r="308" spans="1:13" x14ac:dyDescent="0.25">
      <c r="C308" s="329"/>
      <c r="D308" s="1104"/>
      <c r="H308" s="568">
        <f>_OCT07</f>
        <v>518</v>
      </c>
      <c r="I308" s="569"/>
      <c r="J308" s="567"/>
    </row>
    <row r="309" spans="1:13" x14ac:dyDescent="0.25">
      <c r="C309" s="329"/>
      <c r="D309" s="1104"/>
      <c r="H309" s="568">
        <f>_NOV07</f>
        <v>-108</v>
      </c>
      <c r="I309" s="569"/>
      <c r="J309" s="567"/>
    </row>
    <row r="310" spans="1:13" x14ac:dyDescent="0.25">
      <c r="C310" s="329"/>
      <c r="D310" s="1104"/>
      <c r="H310" s="568">
        <f>_DIC07</f>
        <v>405</v>
      </c>
      <c r="I310" s="569"/>
      <c r="J310" s="567"/>
    </row>
    <row r="311" spans="1:13" x14ac:dyDescent="0.25">
      <c r="C311" s="329"/>
      <c r="D311" s="1104"/>
      <c r="H311" s="570">
        <f>SUM(H299:H310)</f>
        <v>1465</v>
      </c>
      <c r="I311" s="571">
        <f>-SUM(I299:I310)</f>
        <v>0</v>
      </c>
      <c r="J311" s="579">
        <f>H311-I311</f>
        <v>1465</v>
      </c>
    </row>
    <row r="312" spans="1:13" x14ac:dyDescent="0.25">
      <c r="C312" s="329"/>
      <c r="D312" s="1104"/>
      <c r="F312" s="1082"/>
      <c r="G312" s="37"/>
      <c r="H312" s="332"/>
      <c r="I312" s="332"/>
      <c r="J312" s="51"/>
      <c r="K312" s="37"/>
      <c r="L312" s="37"/>
      <c r="M312" s="37"/>
    </row>
    <row r="313" spans="1:13" x14ac:dyDescent="0.25">
      <c r="C313" s="329"/>
      <c r="D313" s="1104"/>
      <c r="F313" s="1082"/>
      <c r="G313" s="37"/>
      <c r="H313" s="181"/>
      <c r="I313" s="332"/>
      <c r="J313" s="51"/>
      <c r="K313" s="37"/>
      <c r="L313" s="37"/>
      <c r="M313" s="37"/>
    </row>
    <row r="314" spans="1:13" x14ac:dyDescent="0.25">
      <c r="C314" s="329"/>
      <c r="D314" s="1104"/>
      <c r="F314" s="1082"/>
      <c r="G314" s="43"/>
      <c r="H314" s="181"/>
      <c r="I314" s="577"/>
      <c r="J314" s="51"/>
      <c r="K314" s="43"/>
      <c r="L314" s="37"/>
      <c r="M314" s="37"/>
    </row>
    <row r="315" spans="1:13" x14ac:dyDescent="0.25">
      <c r="C315" s="329"/>
      <c r="D315" s="1104"/>
      <c r="F315" s="1082"/>
      <c r="G315" s="37"/>
      <c r="H315" s="181"/>
      <c r="I315" s="332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082"/>
      <c r="G316" s="37"/>
      <c r="H316" s="332"/>
      <c r="I316" s="332"/>
      <c r="J316" s="51"/>
      <c r="K316" s="37"/>
      <c r="L316" s="37"/>
      <c r="M316" s="37"/>
    </row>
    <row r="317" spans="1:13" x14ac:dyDescent="0.25">
      <c r="A317" s="361">
        <f>SUM(C5:C316)</f>
        <v>15346</v>
      </c>
      <c r="B317" s="361">
        <f>SUM(D5:D316)</f>
        <v>13881</v>
      </c>
      <c r="F317" s="1082"/>
      <c r="G317" s="37"/>
      <c r="H317" s="577"/>
      <c r="I317" s="332"/>
      <c r="J317" s="51"/>
      <c r="K317" s="37"/>
      <c r="L317" s="37"/>
      <c r="M317" s="37"/>
    </row>
    <row r="318" spans="1:13" x14ac:dyDescent="0.25">
      <c r="F318" s="1082"/>
      <c r="G318" s="37"/>
      <c r="H318" s="181"/>
      <c r="I318" s="332"/>
      <c r="J318" s="51"/>
      <c r="K318" s="37"/>
      <c r="L318" s="37"/>
      <c r="M318" s="37"/>
    </row>
    <row r="319" spans="1:13" x14ac:dyDescent="0.25">
      <c r="F319" s="1082"/>
      <c r="G319" s="37"/>
      <c r="H319" s="181"/>
      <c r="I319" s="332"/>
      <c r="J319" s="51"/>
      <c r="K319" s="37"/>
      <c r="L319" s="37"/>
      <c r="M319" s="37"/>
    </row>
    <row r="320" spans="1:13" x14ac:dyDescent="0.25">
      <c r="F320" s="1082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38"/>
      <c r="F323" s="893"/>
      <c r="G323" s="238"/>
      <c r="H323" s="238"/>
    </row>
    <row r="324" spans="5:10" x14ac:dyDescent="0.25">
      <c r="E324" s="238"/>
      <c r="F324" s="893"/>
      <c r="G324" s="238"/>
      <c r="H324" s="238"/>
    </row>
    <row r="325" spans="5:10" x14ac:dyDescent="0.25">
      <c r="E325" s="238"/>
      <c r="F325" s="1083"/>
      <c r="G325" s="574"/>
      <c r="H325" s="238"/>
      <c r="I325" s="32"/>
      <c r="J325" s="33"/>
    </row>
    <row r="326" spans="5:10" x14ac:dyDescent="0.25">
      <c r="E326" s="238"/>
      <c r="F326" s="1083"/>
      <c r="G326" s="574"/>
      <c r="H326" s="238"/>
      <c r="I326" s="35"/>
      <c r="J326" s="52"/>
    </row>
    <row r="327" spans="5:10" x14ac:dyDescent="0.25">
      <c r="E327" s="238"/>
      <c r="F327" s="1083"/>
      <c r="G327" s="574"/>
      <c r="H327" s="238"/>
      <c r="I327" s="47"/>
      <c r="J327" s="52"/>
    </row>
    <row r="328" spans="5:10" x14ac:dyDescent="0.25">
      <c r="E328" s="238"/>
      <c r="F328" s="1083"/>
      <c r="G328" s="574"/>
      <c r="H328" s="238"/>
      <c r="I328" s="35"/>
      <c r="J328" s="52"/>
    </row>
    <row r="329" spans="5:10" x14ac:dyDescent="0.25">
      <c r="E329" s="238"/>
      <c r="F329" s="1083"/>
      <c r="G329" s="574"/>
      <c r="H329" s="238"/>
      <c r="I329" s="35"/>
      <c r="J329" s="52"/>
    </row>
    <row r="330" spans="5:10" x14ac:dyDescent="0.25">
      <c r="E330" s="238"/>
      <c r="F330" s="1083"/>
      <c r="G330" s="575"/>
      <c r="H330" s="553"/>
      <c r="I330" s="31"/>
      <c r="J330" s="52"/>
    </row>
    <row r="331" spans="5:10" x14ac:dyDescent="0.25">
      <c r="E331" s="238"/>
      <c r="F331" s="1083"/>
      <c r="G331" s="576"/>
      <c r="H331" s="555"/>
      <c r="I331" s="45"/>
      <c r="J331" s="52"/>
    </row>
    <row r="332" spans="5:10" x14ac:dyDescent="0.25">
      <c r="E332" s="238"/>
      <c r="F332" s="1083"/>
      <c r="G332" s="576"/>
      <c r="H332" s="555"/>
      <c r="I332" s="31"/>
      <c r="J332" s="52"/>
    </row>
    <row r="333" spans="5:10" x14ac:dyDescent="0.25">
      <c r="E333" s="238"/>
      <c r="F333" s="800"/>
      <c r="G333" s="575"/>
      <c r="H333" s="238"/>
      <c r="I333" s="35"/>
      <c r="J333" s="52"/>
    </row>
    <row r="334" spans="5:10" x14ac:dyDescent="0.25">
      <c r="E334" s="238"/>
      <c r="F334" s="1083"/>
      <c r="G334" s="575"/>
      <c r="H334" s="46"/>
      <c r="I334" s="31"/>
      <c r="J334" s="54"/>
    </row>
    <row r="335" spans="5:10" x14ac:dyDescent="0.25">
      <c r="E335" s="238"/>
      <c r="F335" s="845"/>
      <c r="G335" s="575"/>
      <c r="H335" s="238"/>
      <c r="I335" s="31"/>
      <c r="J335" s="54"/>
    </row>
    <row r="336" spans="5:10" x14ac:dyDescent="0.25">
      <c r="E336" s="238"/>
      <c r="F336" s="1083"/>
      <c r="G336" s="575"/>
      <c r="H336" s="46"/>
      <c r="I336" s="32"/>
      <c r="J336" s="52"/>
    </row>
    <row r="337" spans="5:10" x14ac:dyDescent="0.25">
      <c r="E337" s="238"/>
      <c r="F337" s="845"/>
      <c r="G337" s="575"/>
      <c r="H337" s="31"/>
      <c r="I337" s="31"/>
      <c r="J337" s="53"/>
    </row>
    <row r="338" spans="5:10" x14ac:dyDescent="0.25">
      <c r="E338" s="238"/>
      <c r="F338" s="1083"/>
      <c r="G338" s="560"/>
      <c r="H338" s="46"/>
      <c r="I338" s="362"/>
      <c r="J338" s="53"/>
    </row>
    <row r="339" spans="5:10" x14ac:dyDescent="0.25">
      <c r="E339" s="238"/>
      <c r="F339" s="1083"/>
      <c r="G339" s="560"/>
      <c r="H339" s="46"/>
      <c r="I339" s="362"/>
      <c r="J339" s="53"/>
    </row>
    <row r="340" spans="5:10" x14ac:dyDescent="0.25">
      <c r="E340" s="238"/>
      <c r="F340" s="1083"/>
      <c r="G340" s="560"/>
      <c r="H340" s="46"/>
      <c r="I340" s="362"/>
      <c r="J340" s="53"/>
    </row>
    <row r="341" spans="5:10" x14ac:dyDescent="0.25">
      <c r="E341" s="238"/>
      <c r="F341" s="1083"/>
      <c r="G341" s="560"/>
      <c r="H341" s="46"/>
      <c r="I341" s="362"/>
      <c r="J341" s="53"/>
    </row>
    <row r="342" spans="5:10" x14ac:dyDescent="0.25">
      <c r="E342" s="238"/>
      <c r="F342" s="1083"/>
      <c r="G342" s="560"/>
      <c r="H342" s="46"/>
      <c r="I342" s="362"/>
      <c r="J342" s="53"/>
    </row>
    <row r="343" spans="5:10" x14ac:dyDescent="0.25">
      <c r="E343" s="238"/>
      <c r="F343" s="1083"/>
      <c r="G343" s="560"/>
      <c r="H343" s="46"/>
      <c r="I343" s="362"/>
      <c r="J343" s="53"/>
    </row>
    <row r="344" spans="5:10" x14ac:dyDescent="0.25">
      <c r="E344" s="238"/>
      <c r="F344" s="1083"/>
      <c r="G344" s="560"/>
      <c r="H344" s="46"/>
      <c r="I344" s="362"/>
      <c r="J344" s="53"/>
    </row>
    <row r="345" spans="5:10" x14ac:dyDescent="0.25">
      <c r="E345" s="238"/>
      <c r="F345" s="1083"/>
      <c r="G345" s="560"/>
      <c r="H345" s="46"/>
      <c r="I345" s="362"/>
      <c r="J345" s="53"/>
    </row>
    <row r="346" spans="5:10" x14ac:dyDescent="0.25">
      <c r="E346" s="238"/>
      <c r="F346" s="1083"/>
      <c r="G346" s="560"/>
      <c r="H346" s="46"/>
      <c r="I346" s="362"/>
      <c r="J346" s="55"/>
    </row>
    <row r="347" spans="5:10" x14ac:dyDescent="0.25">
      <c r="E347" s="238"/>
      <c r="F347" s="1083"/>
      <c r="G347" s="561"/>
      <c r="H347" s="46"/>
      <c r="I347" s="363"/>
      <c r="J347" s="55"/>
    </row>
    <row r="348" spans="5:10" x14ac:dyDescent="0.25">
      <c r="E348" s="238"/>
      <c r="F348" s="1084"/>
      <c r="G348" s="363"/>
      <c r="H348" s="238"/>
      <c r="I348" s="31"/>
      <c r="J348" s="364"/>
    </row>
    <row r="349" spans="5:10" x14ac:dyDescent="0.25">
      <c r="E349" s="238"/>
      <c r="F349" s="1083"/>
      <c r="G349" s="562"/>
      <c r="H349" s="238"/>
      <c r="I349" s="33"/>
      <c r="J349" s="33"/>
    </row>
    <row r="350" spans="5:10" x14ac:dyDescent="0.25">
      <c r="E350" s="238"/>
      <c r="F350" s="1083"/>
      <c r="G350" s="562"/>
      <c r="H350" s="238"/>
      <c r="I350" s="32"/>
      <c r="J350" s="33"/>
    </row>
    <row r="351" spans="5:10" x14ac:dyDescent="0.25">
      <c r="E351" s="238"/>
      <c r="F351" s="1083"/>
      <c r="G351" s="564"/>
      <c r="H351" s="238"/>
      <c r="I351" s="12"/>
      <c r="J351" s="33"/>
    </row>
    <row r="352" spans="5:10" x14ac:dyDescent="0.25">
      <c r="E352" s="238"/>
      <c r="F352" s="893"/>
      <c r="G352" s="238"/>
      <c r="H352" s="238"/>
    </row>
    <row r="353" spans="5:8" x14ac:dyDescent="0.25">
      <c r="E353" s="238"/>
      <c r="F353" s="893"/>
      <c r="G353" s="238"/>
      <c r="H353" s="238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59" workbookViewId="0">
      <selection activeCell="D74" sqref="D74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0" customWidth="1"/>
    <col min="4" max="4" width="12.7109375" style="1114" customWidth="1"/>
    <col min="5" max="5" width="11.28515625" style="799" customWidth="1"/>
    <col min="6" max="6" width="11.5703125" style="888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196">
        <f>A129</f>
        <v>39081</v>
      </c>
      <c r="B1" s="1197"/>
      <c r="C1" s="300" t="s">
        <v>0</v>
      </c>
      <c r="D1" s="1106">
        <f>COUNTA(A5:A129)</f>
        <v>114</v>
      </c>
      <c r="E1" s="1198" t="s">
        <v>262</v>
      </c>
      <c r="F1" s="1198"/>
    </row>
    <row r="2" spans="1:8" ht="12.75" customHeight="1" x14ac:dyDescent="0.25">
      <c r="A2" s="301" t="s">
        <v>2</v>
      </c>
      <c r="B2" s="302">
        <f>G14+G22+G36+G45+G55+G64+G76+G85+G95+G109+G118+G129</f>
        <v>963</v>
      </c>
      <c r="C2" s="303" t="s">
        <v>263</v>
      </c>
      <c r="D2" s="1107">
        <f>SUM(C4:C129)-SUM(D4:D129)</f>
        <v>1030</v>
      </c>
      <c r="E2" s="1086" t="s">
        <v>264</v>
      </c>
      <c r="F2" s="1092"/>
    </row>
    <row r="3" spans="1:8" x14ac:dyDescent="0.25">
      <c r="A3" s="304" t="s">
        <v>7</v>
      </c>
      <c r="B3" s="305" t="s">
        <v>8</v>
      </c>
      <c r="C3" s="306" t="s">
        <v>9</v>
      </c>
      <c r="D3" s="1108" t="s">
        <v>64</v>
      </c>
      <c r="E3" s="1087" t="s">
        <v>265</v>
      </c>
      <c r="F3" s="1093" t="e">
        <f>#REF!+#REF!+#REF!+#REF!+#REF!+#REF!+#REF!+#REF!+#REF!+#REF!+#REF!+#REF!</f>
        <v>#REF!</v>
      </c>
    </row>
    <row r="4" spans="1:8" x14ac:dyDescent="0.25">
      <c r="A4" s="307"/>
      <c r="B4" s="308" t="s">
        <v>266</v>
      </c>
      <c r="C4" s="309">
        <v>67</v>
      </c>
      <c r="D4" s="1109"/>
    </row>
    <row r="5" spans="1:8" x14ac:dyDescent="0.25">
      <c r="A5" s="310">
        <v>38723</v>
      </c>
      <c r="B5" s="311" t="s">
        <v>267</v>
      </c>
      <c r="C5" s="312">
        <v>300</v>
      </c>
      <c r="D5" s="1110"/>
      <c r="F5" s="1066"/>
      <c r="G5" s="313"/>
      <c r="H5" s="313"/>
    </row>
    <row r="6" spans="1:8" x14ac:dyDescent="0.25">
      <c r="A6" s="310">
        <v>38725</v>
      </c>
      <c r="B6" s="311" t="s">
        <v>13</v>
      </c>
      <c r="C6" s="312">
        <v>70</v>
      </c>
      <c r="D6" s="1110"/>
      <c r="F6" s="1067"/>
      <c r="G6" s="314"/>
      <c r="H6" s="314"/>
    </row>
    <row r="7" spans="1:8" x14ac:dyDescent="0.25">
      <c r="A7" s="310">
        <v>38739</v>
      </c>
      <c r="B7" s="311" t="s">
        <v>229</v>
      </c>
      <c r="C7" s="312">
        <v>80</v>
      </c>
      <c r="D7" s="1110"/>
      <c r="F7" s="1067"/>
      <c r="G7" s="314"/>
      <c r="H7" s="314"/>
    </row>
    <row r="8" spans="1:8" x14ac:dyDescent="0.25">
      <c r="A8" s="310">
        <v>38739</v>
      </c>
      <c r="B8" s="311" t="s">
        <v>229</v>
      </c>
      <c r="C8" s="312">
        <v>10</v>
      </c>
      <c r="D8" s="1110"/>
      <c r="F8" s="1094"/>
      <c r="G8" s="313"/>
      <c r="H8" s="313"/>
    </row>
    <row r="9" spans="1:8" x14ac:dyDescent="0.25">
      <c r="A9" s="310">
        <v>38739</v>
      </c>
      <c r="B9" s="311" t="s">
        <v>13</v>
      </c>
      <c r="C9" s="312">
        <v>70</v>
      </c>
      <c r="D9" s="1110"/>
      <c r="F9" s="1066"/>
      <c r="G9" s="313"/>
      <c r="H9" s="313"/>
    </row>
    <row r="10" spans="1:8" x14ac:dyDescent="0.25">
      <c r="A10" s="310">
        <v>29</v>
      </c>
      <c r="B10" s="311" t="s">
        <v>229</v>
      </c>
      <c r="C10" s="312">
        <v>10</v>
      </c>
      <c r="D10" s="1110"/>
    </row>
    <row r="11" spans="1:8" x14ac:dyDescent="0.25">
      <c r="A11" s="310">
        <v>38747</v>
      </c>
      <c r="B11" s="311" t="s">
        <v>13</v>
      </c>
      <c r="C11" s="312">
        <v>70</v>
      </c>
      <c r="D11" s="1110"/>
    </row>
    <row r="12" spans="1:8" x14ac:dyDescent="0.25">
      <c r="A12" s="310"/>
      <c r="B12" s="311"/>
      <c r="C12" s="312"/>
      <c r="D12" s="1110"/>
      <c r="E12" s="1088" t="s">
        <v>11</v>
      </c>
    </row>
    <row r="13" spans="1:8" x14ac:dyDescent="0.25">
      <c r="A13" s="310">
        <v>38747</v>
      </c>
      <c r="B13" s="311" t="s">
        <v>268</v>
      </c>
      <c r="C13" s="312">
        <v>72</v>
      </c>
      <c r="D13" s="1110"/>
      <c r="E13" s="1089" t="s">
        <v>269</v>
      </c>
      <c r="F13" s="1095">
        <f>COUNTA(A5:A14)</f>
        <v>9</v>
      </c>
    </row>
    <row r="14" spans="1:8" x14ac:dyDescent="0.25">
      <c r="A14" s="316">
        <v>38748</v>
      </c>
      <c r="B14" s="317" t="s">
        <v>270</v>
      </c>
      <c r="C14" s="318"/>
      <c r="D14" s="1111">
        <v>790</v>
      </c>
      <c r="E14" s="1076">
        <f>SUM(C5:C14)</f>
        <v>682</v>
      </c>
      <c r="F14" s="1065">
        <f>SUM(D5:D14)</f>
        <v>790</v>
      </c>
      <c r="G14" s="319">
        <f>E14-F14</f>
        <v>-108</v>
      </c>
    </row>
    <row r="15" spans="1:8" x14ac:dyDescent="0.25">
      <c r="A15" s="310">
        <v>38753</v>
      </c>
      <c r="B15" s="311" t="s">
        <v>13</v>
      </c>
      <c r="C15" s="312">
        <v>75</v>
      </c>
      <c r="D15" s="1110"/>
    </row>
    <row r="16" spans="1:8" x14ac:dyDescent="0.25">
      <c r="A16" s="310">
        <v>38755</v>
      </c>
      <c r="B16" s="311" t="s">
        <v>271</v>
      </c>
      <c r="C16" s="312">
        <v>300</v>
      </c>
      <c r="D16" s="1110"/>
    </row>
    <row r="17" spans="1:7" x14ac:dyDescent="0.25">
      <c r="A17" s="310">
        <v>38760</v>
      </c>
      <c r="B17" s="311" t="s">
        <v>13</v>
      </c>
      <c r="C17" s="312">
        <v>70</v>
      </c>
      <c r="D17" s="1110"/>
    </row>
    <row r="18" spans="1:7" x14ac:dyDescent="0.25">
      <c r="A18" s="310">
        <v>38765</v>
      </c>
      <c r="B18" s="311" t="s">
        <v>257</v>
      </c>
      <c r="C18" s="312">
        <v>45</v>
      </c>
      <c r="D18" s="1110"/>
      <c r="F18" s="1067"/>
      <c r="G18" s="314"/>
    </row>
    <row r="19" spans="1:7" x14ac:dyDescent="0.25">
      <c r="A19" s="310">
        <v>38767</v>
      </c>
      <c r="B19" s="311" t="s">
        <v>13</v>
      </c>
      <c r="C19" s="312">
        <v>70</v>
      </c>
      <c r="D19" s="1110"/>
      <c r="F19" s="1066"/>
      <c r="G19" s="313"/>
    </row>
    <row r="20" spans="1:7" x14ac:dyDescent="0.25">
      <c r="A20" s="310"/>
      <c r="B20" s="311"/>
      <c r="C20" s="312"/>
      <c r="D20" s="1110"/>
      <c r="E20" s="1088" t="s">
        <v>16</v>
      </c>
      <c r="F20" s="1067"/>
      <c r="G20" s="314"/>
    </row>
    <row r="21" spans="1:7" x14ac:dyDescent="0.25">
      <c r="A21" s="310">
        <v>38774</v>
      </c>
      <c r="B21" s="311" t="s">
        <v>13</v>
      </c>
      <c r="C21" s="312">
        <v>70</v>
      </c>
      <c r="D21" s="1110"/>
      <c r="E21" s="1089" t="s">
        <v>269</v>
      </c>
      <c r="F21" s="1065">
        <f>COUNTA(A15:A22)</f>
        <v>7</v>
      </c>
    </row>
    <row r="22" spans="1:7" x14ac:dyDescent="0.25">
      <c r="A22" s="316">
        <v>38776</v>
      </c>
      <c r="B22" s="317" t="s">
        <v>272</v>
      </c>
      <c r="C22" s="318"/>
      <c r="D22" s="1111">
        <v>270</v>
      </c>
      <c r="E22" s="1079">
        <f>SUM(C15:C22)</f>
        <v>630</v>
      </c>
      <c r="F22" s="1068">
        <f>SUM(D15:D22)</f>
        <v>270</v>
      </c>
      <c r="G22" s="320">
        <f>E22-F22</f>
        <v>360</v>
      </c>
    </row>
    <row r="23" spans="1:7" x14ac:dyDescent="0.25">
      <c r="A23" s="310">
        <v>38778</v>
      </c>
      <c r="B23" s="311" t="s">
        <v>273</v>
      </c>
      <c r="C23" s="312">
        <v>25</v>
      </c>
      <c r="D23" s="1110"/>
    </row>
    <row r="24" spans="1:7" x14ac:dyDescent="0.25">
      <c r="A24" s="310">
        <v>38778</v>
      </c>
      <c r="B24" s="311" t="s">
        <v>268</v>
      </c>
      <c r="C24" s="312">
        <v>91</v>
      </c>
      <c r="D24" s="1110"/>
    </row>
    <row r="25" spans="1:7" x14ac:dyDescent="0.25">
      <c r="A25" s="310">
        <v>38781</v>
      </c>
      <c r="B25" s="311" t="s">
        <v>13</v>
      </c>
      <c r="C25" s="312">
        <v>70</v>
      </c>
      <c r="D25" s="1110"/>
    </row>
    <row r="26" spans="1:7" x14ac:dyDescent="0.25">
      <c r="A26" s="310">
        <v>38782</v>
      </c>
      <c r="B26" s="311" t="s">
        <v>274</v>
      </c>
      <c r="C26" s="312">
        <v>5</v>
      </c>
      <c r="D26" s="1110"/>
    </row>
    <row r="27" spans="1:7" x14ac:dyDescent="0.25">
      <c r="A27" s="310">
        <v>38783</v>
      </c>
      <c r="B27" s="311" t="s">
        <v>275</v>
      </c>
      <c r="C27" s="312">
        <v>300</v>
      </c>
      <c r="D27" s="1110"/>
    </row>
    <row r="28" spans="1:7" x14ac:dyDescent="0.25">
      <c r="A28" s="310">
        <v>38785</v>
      </c>
      <c r="B28" s="311" t="s">
        <v>276</v>
      </c>
      <c r="C28" s="312">
        <v>15</v>
      </c>
      <c r="D28" s="1110"/>
    </row>
    <row r="29" spans="1:7" x14ac:dyDescent="0.25">
      <c r="A29" s="310">
        <v>38785</v>
      </c>
      <c r="B29" s="311" t="s">
        <v>277</v>
      </c>
      <c r="C29" s="312">
        <v>50</v>
      </c>
      <c r="D29" s="1110"/>
    </row>
    <row r="30" spans="1:7" x14ac:dyDescent="0.25">
      <c r="A30" s="310">
        <v>38788</v>
      </c>
      <c r="B30" s="311" t="s">
        <v>13</v>
      </c>
      <c r="C30" s="312">
        <v>70</v>
      </c>
      <c r="D30" s="1110"/>
    </row>
    <row r="31" spans="1:7" x14ac:dyDescent="0.25">
      <c r="A31" s="310">
        <v>38795</v>
      </c>
      <c r="B31" s="311" t="s">
        <v>13</v>
      </c>
      <c r="C31" s="312">
        <v>70</v>
      </c>
      <c r="D31" s="1110"/>
    </row>
    <row r="32" spans="1:7" x14ac:dyDescent="0.25">
      <c r="A32" s="310">
        <v>38795</v>
      </c>
      <c r="B32" s="311" t="s">
        <v>278</v>
      </c>
      <c r="C32" s="312">
        <v>20</v>
      </c>
      <c r="D32" s="1110"/>
    </row>
    <row r="33" spans="1:7" x14ac:dyDescent="0.25">
      <c r="A33" s="310">
        <v>38803</v>
      </c>
      <c r="B33" s="311" t="s">
        <v>13</v>
      </c>
      <c r="C33" s="312">
        <v>70</v>
      </c>
      <c r="D33" s="1110"/>
    </row>
    <row r="34" spans="1:7" x14ac:dyDescent="0.25">
      <c r="A34" s="316">
        <v>38805</v>
      </c>
      <c r="B34" s="311" t="s">
        <v>272</v>
      </c>
      <c r="C34" s="312"/>
      <c r="D34" s="1110">
        <v>685</v>
      </c>
      <c r="E34" s="1088" t="s">
        <v>17</v>
      </c>
    </row>
    <row r="35" spans="1:7" x14ac:dyDescent="0.25">
      <c r="A35" s="310">
        <v>38805</v>
      </c>
      <c r="B35" s="311" t="s">
        <v>279</v>
      </c>
      <c r="C35" s="312">
        <v>40</v>
      </c>
      <c r="D35" s="1110"/>
      <c r="E35" s="1089" t="s">
        <v>269</v>
      </c>
      <c r="F35" s="1065">
        <f>COUNTA(A23:A36)</f>
        <v>14</v>
      </c>
    </row>
    <row r="36" spans="1:7" x14ac:dyDescent="0.25">
      <c r="A36" s="316">
        <v>38807</v>
      </c>
      <c r="B36" s="317" t="s">
        <v>229</v>
      </c>
      <c r="C36" s="318">
        <v>30</v>
      </c>
      <c r="D36" s="1111"/>
      <c r="E36" s="1076">
        <f>SUM(C23:C36)</f>
        <v>856</v>
      </c>
      <c r="F36" s="1065">
        <f>SUM(D23:D36)</f>
        <v>685</v>
      </c>
      <c r="G36" s="319">
        <f>E36-F36</f>
        <v>171</v>
      </c>
    </row>
    <row r="37" spans="1:7" x14ac:dyDescent="0.25">
      <c r="A37" s="310">
        <v>38809</v>
      </c>
      <c r="B37" s="311" t="s">
        <v>13</v>
      </c>
      <c r="C37" s="312">
        <v>70</v>
      </c>
      <c r="D37" s="1110"/>
      <c r="E37" s="1081"/>
      <c r="F37" s="1069"/>
      <c r="G37" s="321"/>
    </row>
    <row r="38" spans="1:7" x14ac:dyDescent="0.25">
      <c r="A38" s="310">
        <v>38809</v>
      </c>
      <c r="B38" s="311" t="s">
        <v>268</v>
      </c>
      <c r="C38" s="312">
        <v>73</v>
      </c>
      <c r="D38" s="1110"/>
    </row>
    <row r="39" spans="1:7" x14ac:dyDescent="0.25">
      <c r="A39" s="310">
        <v>38814</v>
      </c>
      <c r="B39" s="311" t="s">
        <v>280</v>
      </c>
      <c r="C39" s="312">
        <v>300</v>
      </c>
      <c r="D39" s="1110"/>
    </row>
    <row r="40" spans="1:7" x14ac:dyDescent="0.25">
      <c r="A40" s="310">
        <v>38816</v>
      </c>
      <c r="B40" s="311" t="s">
        <v>13</v>
      </c>
      <c r="C40" s="312">
        <v>70</v>
      </c>
      <c r="D40" s="1110"/>
    </row>
    <row r="41" spans="1:7" x14ac:dyDescent="0.25">
      <c r="A41" s="310">
        <v>38823</v>
      </c>
      <c r="B41" s="311" t="s">
        <v>281</v>
      </c>
      <c r="C41" s="312">
        <v>80</v>
      </c>
      <c r="D41" s="1110"/>
    </row>
    <row r="42" spans="1:7" x14ac:dyDescent="0.25">
      <c r="A42" s="310">
        <v>38830</v>
      </c>
      <c r="B42" s="311" t="s">
        <v>13</v>
      </c>
      <c r="C42" s="312">
        <v>70</v>
      </c>
      <c r="D42" s="1110"/>
    </row>
    <row r="43" spans="1:7" x14ac:dyDescent="0.25">
      <c r="A43" s="310"/>
      <c r="B43" s="311"/>
      <c r="C43" s="312"/>
      <c r="D43" s="1110"/>
      <c r="E43" s="1088" t="s">
        <v>18</v>
      </c>
    </row>
    <row r="44" spans="1:7" x14ac:dyDescent="0.25">
      <c r="A44" s="310">
        <v>38837</v>
      </c>
      <c r="B44" s="311" t="s">
        <v>13</v>
      </c>
      <c r="C44" s="312">
        <v>80</v>
      </c>
      <c r="D44" s="1110"/>
      <c r="E44" s="1089" t="s">
        <v>269</v>
      </c>
      <c r="F44" s="1065">
        <f>COUNTA(A37:A45)</f>
        <v>8</v>
      </c>
      <c r="G44" s="322"/>
    </row>
    <row r="45" spans="1:7" x14ac:dyDescent="0.25">
      <c r="A45" s="316">
        <v>38837</v>
      </c>
      <c r="B45" s="317" t="s">
        <v>272</v>
      </c>
      <c r="C45" s="318"/>
      <c r="D45" s="1111">
        <v>557</v>
      </c>
      <c r="E45" s="1076">
        <f>SUM(C37:C45)</f>
        <v>743</v>
      </c>
      <c r="F45" s="1065">
        <f>SUM(D37:D45)</f>
        <v>557</v>
      </c>
      <c r="G45" s="319">
        <f>E45-F45</f>
        <v>186</v>
      </c>
    </row>
    <row r="46" spans="1:7" x14ac:dyDescent="0.25">
      <c r="A46" s="310">
        <v>38839</v>
      </c>
      <c r="B46" s="311" t="s">
        <v>268</v>
      </c>
      <c r="C46" s="312">
        <v>170</v>
      </c>
      <c r="D46" s="1110"/>
    </row>
    <row r="47" spans="1:7" x14ac:dyDescent="0.25">
      <c r="A47" s="310">
        <v>38841</v>
      </c>
      <c r="B47" s="311" t="s">
        <v>282</v>
      </c>
      <c r="C47" s="312">
        <v>100</v>
      </c>
      <c r="D47" s="1110"/>
    </row>
    <row r="48" spans="1:7" x14ac:dyDescent="0.25">
      <c r="A48" s="310">
        <v>38843</v>
      </c>
      <c r="B48" s="311" t="s">
        <v>282</v>
      </c>
      <c r="C48" s="312">
        <v>200</v>
      </c>
      <c r="D48" s="1110"/>
    </row>
    <row r="49" spans="1:7" x14ac:dyDescent="0.25">
      <c r="A49" s="310">
        <v>38844</v>
      </c>
      <c r="B49" s="311" t="s">
        <v>13</v>
      </c>
      <c r="C49" s="312">
        <v>70</v>
      </c>
      <c r="D49" s="1110"/>
    </row>
    <row r="50" spans="1:7" x14ac:dyDescent="0.25">
      <c r="A50" s="310">
        <v>38851</v>
      </c>
      <c r="B50" s="311" t="s">
        <v>13</v>
      </c>
      <c r="C50" s="312">
        <v>70</v>
      </c>
      <c r="D50" s="1110"/>
      <c r="E50" s="1090"/>
    </row>
    <row r="51" spans="1:7" x14ac:dyDescent="0.25">
      <c r="A51" s="310">
        <v>38858</v>
      </c>
      <c r="B51" s="311" t="s">
        <v>13</v>
      </c>
      <c r="C51" s="312">
        <v>70</v>
      </c>
      <c r="D51" s="1110"/>
      <c r="E51" s="1090"/>
    </row>
    <row r="52" spans="1:7" x14ac:dyDescent="0.25">
      <c r="A52" s="310">
        <v>38865</v>
      </c>
      <c r="B52" s="311" t="s">
        <v>13</v>
      </c>
      <c r="C52" s="312">
        <v>70</v>
      </c>
      <c r="D52" s="1110"/>
    </row>
    <row r="53" spans="1:7" x14ac:dyDescent="0.25">
      <c r="A53" s="310"/>
      <c r="B53" s="311"/>
      <c r="C53" s="312"/>
      <c r="D53" s="1110"/>
      <c r="E53" s="1088" t="s">
        <v>20</v>
      </c>
      <c r="G53" s="322"/>
    </row>
    <row r="54" spans="1:7" x14ac:dyDescent="0.25">
      <c r="A54" s="310"/>
      <c r="B54" s="311"/>
      <c r="C54" s="312"/>
      <c r="D54" s="1110"/>
      <c r="E54" s="1089" t="s">
        <v>269</v>
      </c>
      <c r="F54" s="1065">
        <f>COUNTA(A46:A55)</f>
        <v>8</v>
      </c>
      <c r="G54" s="322"/>
    </row>
    <row r="55" spans="1:7" x14ac:dyDescent="0.25">
      <c r="A55" s="316">
        <v>38868</v>
      </c>
      <c r="B55" s="317" t="s">
        <v>272</v>
      </c>
      <c r="C55" s="318"/>
      <c r="D55" s="1111">
        <v>1051</v>
      </c>
      <c r="E55" s="1076">
        <f>SUM(C46:C55)</f>
        <v>750</v>
      </c>
      <c r="F55" s="1065">
        <f>SUM(D46:D55)</f>
        <v>1051</v>
      </c>
      <c r="G55" s="319">
        <f>E55-F55</f>
        <v>-301</v>
      </c>
    </row>
    <row r="56" spans="1:7" x14ac:dyDescent="0.25">
      <c r="A56" s="310">
        <v>38872</v>
      </c>
      <c r="B56" s="311" t="s">
        <v>268</v>
      </c>
      <c r="C56" s="312">
        <v>126</v>
      </c>
      <c r="D56" s="1110"/>
    </row>
    <row r="57" spans="1:7" x14ac:dyDescent="0.25">
      <c r="A57" s="310">
        <v>38872</v>
      </c>
      <c r="B57" s="311" t="s">
        <v>13</v>
      </c>
      <c r="C57" s="312">
        <v>70</v>
      </c>
      <c r="D57" s="1110"/>
    </row>
    <row r="58" spans="1:7" x14ac:dyDescent="0.25">
      <c r="A58" s="310">
        <v>38873</v>
      </c>
      <c r="B58" s="311" t="s">
        <v>283</v>
      </c>
      <c r="C58" s="312">
        <v>300</v>
      </c>
      <c r="D58" s="1110"/>
    </row>
    <row r="59" spans="1:7" x14ac:dyDescent="0.25">
      <c r="A59" s="310">
        <v>38879</v>
      </c>
      <c r="B59" s="311" t="s">
        <v>13</v>
      </c>
      <c r="C59" s="312">
        <v>70</v>
      </c>
      <c r="D59" s="1110"/>
    </row>
    <row r="60" spans="1:7" x14ac:dyDescent="0.25">
      <c r="A60" s="310">
        <v>38886</v>
      </c>
      <c r="B60" s="311" t="s">
        <v>13</v>
      </c>
      <c r="C60" s="312">
        <v>70</v>
      </c>
      <c r="D60" s="1110"/>
    </row>
    <row r="61" spans="1:7" x14ac:dyDescent="0.25">
      <c r="A61" s="310">
        <v>38893</v>
      </c>
      <c r="B61" s="311" t="s">
        <v>13</v>
      </c>
      <c r="C61" s="312">
        <v>70</v>
      </c>
      <c r="D61" s="1110"/>
    </row>
    <row r="62" spans="1:7" x14ac:dyDescent="0.25">
      <c r="A62" s="310"/>
      <c r="B62" s="311"/>
      <c r="C62" s="312"/>
      <c r="D62" s="1110"/>
      <c r="E62" s="1088" t="s">
        <v>21</v>
      </c>
    </row>
    <row r="63" spans="1:7" x14ac:dyDescent="0.25">
      <c r="A63" s="310">
        <v>38897</v>
      </c>
      <c r="B63" s="311" t="s">
        <v>272</v>
      </c>
      <c r="C63" s="312"/>
      <c r="D63" s="1110">
        <v>551</v>
      </c>
      <c r="E63" s="1089" t="s">
        <v>269</v>
      </c>
      <c r="F63" s="1065">
        <f>COUNTA(A56:A63)</f>
        <v>7</v>
      </c>
      <c r="G63" s="322"/>
    </row>
    <row r="64" spans="1:7" x14ac:dyDescent="0.25">
      <c r="A64" s="316">
        <v>38898</v>
      </c>
      <c r="B64" s="317" t="s">
        <v>284</v>
      </c>
      <c r="C64" s="323">
        <v>108</v>
      </c>
      <c r="D64" s="1112"/>
      <c r="E64" s="1076">
        <f>SUM(C56:C64)</f>
        <v>814</v>
      </c>
      <c r="F64" s="1065">
        <f>SUM(D56:D64)</f>
        <v>551</v>
      </c>
      <c r="G64" s="319">
        <f>E64-F64</f>
        <v>263</v>
      </c>
    </row>
    <row r="65" spans="1:7" x14ac:dyDescent="0.25">
      <c r="A65" s="310">
        <v>38899</v>
      </c>
      <c r="B65" s="311" t="s">
        <v>268</v>
      </c>
      <c r="C65" s="312">
        <v>171</v>
      </c>
      <c r="D65" s="1110"/>
    </row>
    <row r="66" spans="1:7" x14ac:dyDescent="0.25">
      <c r="A66" s="310">
        <v>38900</v>
      </c>
      <c r="B66" s="311" t="s">
        <v>13</v>
      </c>
      <c r="C66" s="312">
        <v>70</v>
      </c>
      <c r="D66" s="1110"/>
    </row>
    <row r="67" spans="1:7" x14ac:dyDescent="0.25">
      <c r="A67" s="310">
        <v>38901</v>
      </c>
      <c r="B67" s="311" t="s">
        <v>285</v>
      </c>
      <c r="C67" s="312">
        <v>190</v>
      </c>
      <c r="D67" s="1110"/>
    </row>
    <row r="68" spans="1:7" x14ac:dyDescent="0.25">
      <c r="A68" s="310">
        <v>38902</v>
      </c>
      <c r="B68" s="311" t="s">
        <v>285</v>
      </c>
      <c r="C68" s="312">
        <v>110</v>
      </c>
      <c r="D68" s="1110"/>
    </row>
    <row r="69" spans="1:7" x14ac:dyDescent="0.25">
      <c r="A69" s="310">
        <v>38907</v>
      </c>
      <c r="B69" s="311" t="s">
        <v>13</v>
      </c>
      <c r="C69" s="312">
        <v>70</v>
      </c>
      <c r="D69" s="1110"/>
    </row>
    <row r="70" spans="1:7" x14ac:dyDescent="0.25">
      <c r="A70" s="310">
        <v>38913</v>
      </c>
      <c r="B70" s="311" t="s">
        <v>19</v>
      </c>
      <c r="C70" s="312">
        <v>220</v>
      </c>
      <c r="D70" s="1110"/>
    </row>
    <row r="71" spans="1:7" x14ac:dyDescent="0.25">
      <c r="A71" s="310">
        <v>38914</v>
      </c>
      <c r="B71" s="311" t="s">
        <v>13</v>
      </c>
      <c r="C71" s="312">
        <v>70</v>
      </c>
      <c r="D71" s="1110"/>
    </row>
    <row r="72" spans="1:7" x14ac:dyDescent="0.25">
      <c r="A72" s="310">
        <v>38919</v>
      </c>
      <c r="B72" s="311" t="s">
        <v>286</v>
      </c>
      <c r="C72" s="312">
        <v>40</v>
      </c>
      <c r="D72" s="1110"/>
    </row>
    <row r="73" spans="1:7" x14ac:dyDescent="0.25">
      <c r="A73" s="310">
        <v>38921</v>
      </c>
      <c r="B73" s="311" t="s">
        <v>13</v>
      </c>
      <c r="C73" s="312">
        <v>70</v>
      </c>
      <c r="D73" s="1110"/>
    </row>
    <row r="74" spans="1:7" x14ac:dyDescent="0.25">
      <c r="A74" s="310">
        <v>38926</v>
      </c>
      <c r="B74" s="311" t="s">
        <v>272</v>
      </c>
      <c r="C74" s="312"/>
      <c r="D74" s="1110">
        <v>1486</v>
      </c>
      <c r="E74" s="1088" t="s">
        <v>22</v>
      </c>
    </row>
    <row r="75" spans="1:7" x14ac:dyDescent="0.25">
      <c r="A75" s="310">
        <v>38929</v>
      </c>
      <c r="B75" s="311" t="s">
        <v>13</v>
      </c>
      <c r="C75" s="312">
        <v>70</v>
      </c>
      <c r="D75" s="1110"/>
      <c r="E75" s="1089" t="s">
        <v>269</v>
      </c>
      <c r="F75" s="1065">
        <f>COUNTA(A65:A76)</f>
        <v>12</v>
      </c>
      <c r="G75" s="322"/>
    </row>
    <row r="76" spans="1:7" x14ac:dyDescent="0.25">
      <c r="A76" s="316">
        <v>38929</v>
      </c>
      <c r="B76" s="317" t="s">
        <v>287</v>
      </c>
      <c r="C76" s="318">
        <v>108</v>
      </c>
      <c r="D76" s="1111"/>
      <c r="E76" s="1076">
        <f>SUM(C65:C76)</f>
        <v>1189</v>
      </c>
      <c r="F76" s="1065">
        <f>SUM(D65:D76)</f>
        <v>1486</v>
      </c>
      <c r="G76" s="319">
        <f>E76-F76</f>
        <v>-297</v>
      </c>
    </row>
    <row r="77" spans="1:7" x14ac:dyDescent="0.25">
      <c r="A77" s="310">
        <v>38931</v>
      </c>
      <c r="B77" s="311" t="s">
        <v>268</v>
      </c>
      <c r="C77" s="312">
        <v>148</v>
      </c>
      <c r="D77" s="1110"/>
    </row>
    <row r="78" spans="1:7" x14ac:dyDescent="0.25">
      <c r="A78" s="310">
        <v>38934</v>
      </c>
      <c r="B78" s="311" t="s">
        <v>288</v>
      </c>
      <c r="C78" s="312">
        <v>300</v>
      </c>
      <c r="D78" s="1110"/>
    </row>
    <row r="79" spans="1:7" x14ac:dyDescent="0.25">
      <c r="A79" s="310">
        <v>38935</v>
      </c>
      <c r="B79" s="311" t="s">
        <v>13</v>
      </c>
      <c r="C79" s="312">
        <v>70</v>
      </c>
      <c r="D79" s="1110"/>
    </row>
    <row r="80" spans="1:7" x14ac:dyDescent="0.25">
      <c r="A80" s="310">
        <v>38942</v>
      </c>
      <c r="B80" s="311" t="s">
        <v>13</v>
      </c>
      <c r="C80" s="312">
        <v>70</v>
      </c>
      <c r="D80" s="1110"/>
    </row>
    <row r="81" spans="1:7" x14ac:dyDescent="0.25">
      <c r="A81" s="310">
        <v>38949</v>
      </c>
      <c r="B81" s="311" t="s">
        <v>13</v>
      </c>
      <c r="C81" s="312">
        <v>70</v>
      </c>
      <c r="D81" s="1110"/>
    </row>
    <row r="82" spans="1:7" x14ac:dyDescent="0.25">
      <c r="A82" s="310">
        <v>38956</v>
      </c>
      <c r="B82" s="311" t="s">
        <v>13</v>
      </c>
      <c r="C82" s="312">
        <v>70</v>
      </c>
      <c r="D82" s="1110"/>
    </row>
    <row r="83" spans="1:7" x14ac:dyDescent="0.25">
      <c r="A83" s="310"/>
      <c r="B83" s="311"/>
      <c r="C83" s="312"/>
      <c r="D83" s="1110"/>
      <c r="E83" s="1088" t="s">
        <v>23</v>
      </c>
    </row>
    <row r="84" spans="1:7" x14ac:dyDescent="0.25">
      <c r="A84" s="310"/>
      <c r="B84" s="311"/>
      <c r="C84" s="312"/>
      <c r="D84" s="1110"/>
      <c r="E84" s="1089" t="s">
        <v>269</v>
      </c>
      <c r="F84" s="1065">
        <f>COUNTA(A77:A85)</f>
        <v>7</v>
      </c>
      <c r="G84" s="322"/>
    </row>
    <row r="85" spans="1:7" x14ac:dyDescent="0.25">
      <c r="A85" s="316">
        <v>38960</v>
      </c>
      <c r="B85" s="317" t="s">
        <v>272</v>
      </c>
      <c r="C85" s="318"/>
      <c r="D85" s="1111">
        <v>579</v>
      </c>
      <c r="E85" s="1076">
        <f>SUM(C77:C85)</f>
        <v>728</v>
      </c>
      <c r="F85" s="1065">
        <f>SUM(D77:D85)</f>
        <v>579</v>
      </c>
      <c r="G85" s="319">
        <f>E85-F85</f>
        <v>149</v>
      </c>
    </row>
    <row r="86" spans="1:7" x14ac:dyDescent="0.25">
      <c r="A86" s="310">
        <v>38962</v>
      </c>
      <c r="B86" s="311" t="s">
        <v>289</v>
      </c>
      <c r="C86" s="312">
        <v>250</v>
      </c>
      <c r="D86" s="1110"/>
    </row>
    <row r="87" spans="1:7" x14ac:dyDescent="0.25">
      <c r="A87" s="310">
        <v>38963</v>
      </c>
      <c r="B87" s="311" t="s">
        <v>13</v>
      </c>
      <c r="C87" s="312">
        <v>70</v>
      </c>
      <c r="D87" s="1110"/>
    </row>
    <row r="88" spans="1:7" x14ac:dyDescent="0.25">
      <c r="A88" s="310">
        <v>38970</v>
      </c>
      <c r="B88" s="311" t="s">
        <v>289</v>
      </c>
      <c r="C88" s="312">
        <v>50</v>
      </c>
      <c r="D88" s="1110"/>
    </row>
    <row r="89" spans="1:7" x14ac:dyDescent="0.25">
      <c r="A89" s="310">
        <v>38970</v>
      </c>
      <c r="B89" s="311" t="s">
        <v>13</v>
      </c>
      <c r="C89" s="312">
        <v>70</v>
      </c>
      <c r="D89" s="1110"/>
    </row>
    <row r="90" spans="1:7" x14ac:dyDescent="0.25">
      <c r="A90" s="310">
        <v>38970</v>
      </c>
      <c r="B90" s="311" t="s">
        <v>290</v>
      </c>
      <c r="C90" s="312">
        <v>5</v>
      </c>
      <c r="D90" s="1110"/>
    </row>
    <row r="91" spans="1:7" x14ac:dyDescent="0.25">
      <c r="A91" s="310">
        <v>38977</v>
      </c>
      <c r="B91" s="311" t="s">
        <v>13</v>
      </c>
      <c r="C91" s="312">
        <v>70</v>
      </c>
      <c r="D91" s="1110"/>
    </row>
    <row r="92" spans="1:7" x14ac:dyDescent="0.25">
      <c r="A92" s="310">
        <v>38983</v>
      </c>
      <c r="B92" s="311" t="s">
        <v>13</v>
      </c>
      <c r="C92" s="312">
        <v>70</v>
      </c>
      <c r="D92" s="1110"/>
    </row>
    <row r="93" spans="1:7" x14ac:dyDescent="0.25">
      <c r="A93" s="310"/>
      <c r="B93" s="311"/>
      <c r="C93" s="312"/>
      <c r="D93" s="1110"/>
      <c r="E93" s="1088" t="s">
        <v>24</v>
      </c>
    </row>
    <row r="94" spans="1:7" x14ac:dyDescent="0.25">
      <c r="A94" s="310">
        <v>38989</v>
      </c>
      <c r="B94" s="311" t="s">
        <v>272</v>
      </c>
      <c r="C94" s="312"/>
      <c r="D94" s="1110">
        <v>330</v>
      </c>
      <c r="E94" s="1089" t="s">
        <v>269</v>
      </c>
      <c r="F94" s="1065">
        <f>COUNTA(A86:A95)</f>
        <v>9</v>
      </c>
      <c r="G94" s="322"/>
    </row>
    <row r="95" spans="1:7" x14ac:dyDescent="0.25">
      <c r="A95" s="316">
        <v>38990</v>
      </c>
      <c r="B95" s="317" t="s">
        <v>13</v>
      </c>
      <c r="C95" s="318">
        <v>40</v>
      </c>
      <c r="D95" s="1111"/>
      <c r="E95" s="1076">
        <f>SUM(C86:C95)</f>
        <v>625</v>
      </c>
      <c r="F95" s="1065">
        <f>SUM(D86:D95)</f>
        <v>330</v>
      </c>
      <c r="G95" s="319">
        <f>E95-F95</f>
        <v>295</v>
      </c>
    </row>
    <row r="96" spans="1:7" x14ac:dyDescent="0.25">
      <c r="A96" s="310">
        <v>38991</v>
      </c>
      <c r="B96" s="311" t="s">
        <v>13</v>
      </c>
      <c r="C96" s="312">
        <v>30</v>
      </c>
      <c r="D96" s="1110"/>
    </row>
    <row r="97" spans="1:7" x14ac:dyDescent="0.25">
      <c r="A97" s="310">
        <v>38991</v>
      </c>
      <c r="B97" s="311" t="s">
        <v>287</v>
      </c>
      <c r="C97" s="312">
        <v>108</v>
      </c>
      <c r="D97" s="1110"/>
    </row>
    <row r="98" spans="1:7" x14ac:dyDescent="0.25">
      <c r="A98" s="310">
        <v>38993</v>
      </c>
      <c r="B98" s="311" t="s">
        <v>291</v>
      </c>
      <c r="C98" s="312">
        <v>200</v>
      </c>
      <c r="D98" s="1110"/>
    </row>
    <row r="99" spans="1:7" x14ac:dyDescent="0.25">
      <c r="A99" s="310">
        <v>38995</v>
      </c>
      <c r="B99" s="311" t="s">
        <v>292</v>
      </c>
      <c r="C99" s="312">
        <v>100</v>
      </c>
      <c r="D99" s="1110"/>
    </row>
    <row r="100" spans="1:7" x14ac:dyDescent="0.25">
      <c r="A100" s="310">
        <v>38998</v>
      </c>
      <c r="B100" s="311" t="s">
        <v>13</v>
      </c>
      <c r="C100" s="312">
        <v>70</v>
      </c>
      <c r="D100" s="1110"/>
    </row>
    <row r="101" spans="1:7" x14ac:dyDescent="0.25">
      <c r="A101" s="310">
        <v>39005</v>
      </c>
      <c r="B101" s="311" t="s">
        <v>291</v>
      </c>
      <c r="C101" s="312">
        <v>100</v>
      </c>
      <c r="D101" s="1110"/>
    </row>
    <row r="102" spans="1:7" x14ac:dyDescent="0.25">
      <c r="A102" s="310">
        <v>39005</v>
      </c>
      <c r="B102" s="311" t="s">
        <v>13</v>
      </c>
      <c r="C102" s="312">
        <v>70</v>
      </c>
      <c r="D102" s="1110"/>
    </row>
    <row r="103" spans="1:7" x14ac:dyDescent="0.25">
      <c r="A103" s="310">
        <v>39012</v>
      </c>
      <c r="B103" s="311" t="s">
        <v>13</v>
      </c>
      <c r="C103" s="312">
        <v>70</v>
      </c>
      <c r="D103" s="1110"/>
    </row>
    <row r="104" spans="1:7" x14ac:dyDescent="0.25">
      <c r="A104" s="310">
        <v>39012</v>
      </c>
      <c r="B104" s="311" t="s">
        <v>293</v>
      </c>
      <c r="C104" s="312">
        <v>30</v>
      </c>
      <c r="D104" s="1110"/>
    </row>
    <row r="105" spans="1:7" x14ac:dyDescent="0.25">
      <c r="A105" s="310">
        <v>39019</v>
      </c>
      <c r="B105" s="311" t="s">
        <v>13</v>
      </c>
      <c r="C105" s="312">
        <v>70</v>
      </c>
      <c r="D105" s="1110"/>
    </row>
    <row r="106" spans="1:7" x14ac:dyDescent="0.25">
      <c r="A106" s="310">
        <v>39019</v>
      </c>
      <c r="B106" s="311" t="s">
        <v>294</v>
      </c>
      <c r="C106" s="312">
        <v>54</v>
      </c>
      <c r="D106" s="1110"/>
    </row>
    <row r="107" spans="1:7" x14ac:dyDescent="0.25">
      <c r="A107" s="310"/>
      <c r="B107" s="311"/>
      <c r="C107" s="312"/>
      <c r="D107" s="1110"/>
      <c r="E107" s="1088" t="s">
        <v>25</v>
      </c>
    </row>
    <row r="108" spans="1:7" x14ac:dyDescent="0.25">
      <c r="A108" s="310">
        <v>39020</v>
      </c>
      <c r="B108" s="311" t="s">
        <v>272</v>
      </c>
      <c r="C108" s="312"/>
      <c r="D108" s="1110">
        <v>682</v>
      </c>
      <c r="E108" s="1089" t="s">
        <v>269</v>
      </c>
      <c r="F108" s="1065">
        <f>COUNTA(A96:A109)</f>
        <v>13</v>
      </c>
      <c r="G108" s="322"/>
    </row>
    <row r="109" spans="1:7" x14ac:dyDescent="0.25">
      <c r="A109" s="316">
        <v>39021</v>
      </c>
      <c r="B109" s="317" t="s">
        <v>287</v>
      </c>
      <c r="C109" s="318">
        <v>110</v>
      </c>
      <c r="D109" s="1111"/>
      <c r="E109" s="1076">
        <f>SUM(C96:C109)</f>
        <v>1012</v>
      </c>
      <c r="F109" s="1065">
        <f>SUM(D96:D109)</f>
        <v>682</v>
      </c>
      <c r="G109" s="319">
        <f>E109-F109</f>
        <v>330</v>
      </c>
    </row>
    <row r="110" spans="1:7" x14ac:dyDescent="0.25">
      <c r="A110" s="310">
        <v>39022</v>
      </c>
      <c r="B110" s="311" t="s">
        <v>295</v>
      </c>
      <c r="C110" s="312">
        <v>300</v>
      </c>
      <c r="D110" s="1110"/>
    </row>
    <row r="111" spans="1:7" x14ac:dyDescent="0.25">
      <c r="A111" s="310">
        <v>39026</v>
      </c>
      <c r="B111" s="311" t="s">
        <v>13</v>
      </c>
      <c r="C111" s="312">
        <v>70</v>
      </c>
      <c r="D111" s="1110"/>
    </row>
    <row r="112" spans="1:7" x14ac:dyDescent="0.25">
      <c r="A112" s="310">
        <v>39026</v>
      </c>
      <c r="B112" s="311" t="s">
        <v>296</v>
      </c>
      <c r="C112" s="312">
        <v>200</v>
      </c>
      <c r="D112" s="1110"/>
    </row>
    <row r="113" spans="1:8" x14ac:dyDescent="0.25">
      <c r="A113" s="310">
        <v>39033</v>
      </c>
      <c r="B113" s="311" t="s">
        <v>13</v>
      </c>
      <c r="C113" s="312">
        <v>70</v>
      </c>
      <c r="D113" s="1110"/>
    </row>
    <row r="114" spans="1:8" x14ac:dyDescent="0.25">
      <c r="A114" s="310">
        <v>39040</v>
      </c>
      <c r="B114" s="311" t="s">
        <v>13</v>
      </c>
      <c r="C114" s="312">
        <v>70</v>
      </c>
      <c r="D114" s="1110"/>
    </row>
    <row r="115" spans="1:8" x14ac:dyDescent="0.25">
      <c r="A115" s="310">
        <v>39040</v>
      </c>
      <c r="B115" s="311" t="s">
        <v>296</v>
      </c>
      <c r="C115" s="312">
        <v>100</v>
      </c>
      <c r="D115" s="1110"/>
    </row>
    <row r="116" spans="1:8" x14ac:dyDescent="0.25">
      <c r="A116" s="310">
        <v>39040</v>
      </c>
      <c r="B116" s="311" t="s">
        <v>287</v>
      </c>
      <c r="C116" s="312">
        <v>200</v>
      </c>
      <c r="D116" s="1110"/>
      <c r="E116" s="1088" t="s">
        <v>26</v>
      </c>
    </row>
    <row r="117" spans="1:8" x14ac:dyDescent="0.25">
      <c r="A117" s="310">
        <v>39047</v>
      </c>
      <c r="B117" s="311" t="s">
        <v>13</v>
      </c>
      <c r="C117" s="312">
        <v>70</v>
      </c>
      <c r="D117" s="1110"/>
      <c r="E117" s="1089" t="s">
        <v>269</v>
      </c>
      <c r="F117" s="1065">
        <f>COUNTA(A110:A118)</f>
        <v>9</v>
      </c>
      <c r="G117" s="322"/>
    </row>
    <row r="118" spans="1:8" x14ac:dyDescent="0.25">
      <c r="A118" s="316">
        <v>39050</v>
      </c>
      <c r="B118" s="317" t="s">
        <v>272</v>
      </c>
      <c r="C118" s="318"/>
      <c r="D118" s="1111">
        <v>895</v>
      </c>
      <c r="E118" s="1076">
        <f>SUM(C110:C118)</f>
        <v>1080</v>
      </c>
      <c r="F118" s="1065">
        <f>SUM(D110:D118)</f>
        <v>895</v>
      </c>
      <c r="G118" s="319">
        <f>E118-F118</f>
        <v>185</v>
      </c>
    </row>
    <row r="119" spans="1:8" x14ac:dyDescent="0.25">
      <c r="A119" s="310">
        <v>39054</v>
      </c>
      <c r="B119" s="311" t="s">
        <v>13</v>
      </c>
      <c r="C119" s="312">
        <v>70</v>
      </c>
      <c r="D119" s="1110"/>
    </row>
    <row r="120" spans="1:8" x14ac:dyDescent="0.25">
      <c r="A120" s="310">
        <v>39054</v>
      </c>
      <c r="B120" s="311" t="s">
        <v>297</v>
      </c>
      <c r="C120" s="312">
        <v>100</v>
      </c>
      <c r="D120" s="1110"/>
    </row>
    <row r="121" spans="1:8" x14ac:dyDescent="0.25">
      <c r="A121" s="310">
        <v>39056</v>
      </c>
      <c r="B121" s="311" t="s">
        <v>298</v>
      </c>
      <c r="C121" s="312">
        <v>200</v>
      </c>
      <c r="D121" s="1110"/>
      <c r="E121" s="1078"/>
      <c r="F121" s="1067"/>
      <c r="G121" s="314"/>
      <c r="H121" s="314"/>
    </row>
    <row r="122" spans="1:8" x14ac:dyDescent="0.25">
      <c r="A122" s="310">
        <v>39061</v>
      </c>
      <c r="B122" s="311" t="s">
        <v>13</v>
      </c>
      <c r="C122" s="312">
        <v>70</v>
      </c>
      <c r="D122" s="1110"/>
      <c r="E122" s="1091"/>
      <c r="F122" s="1085"/>
      <c r="G122" s="324"/>
      <c r="H122" s="324"/>
    </row>
    <row r="123" spans="1:8" x14ac:dyDescent="0.25">
      <c r="A123" s="310">
        <v>39061</v>
      </c>
      <c r="B123" s="311" t="s">
        <v>268</v>
      </c>
      <c r="C123" s="312">
        <v>25</v>
      </c>
      <c r="D123" s="1110"/>
      <c r="E123" s="1091"/>
      <c r="F123" s="1085"/>
      <c r="G123" s="324"/>
      <c r="H123" s="324"/>
    </row>
    <row r="124" spans="1:8" x14ac:dyDescent="0.25">
      <c r="A124" s="310">
        <v>39068</v>
      </c>
      <c r="B124" s="311" t="s">
        <v>298</v>
      </c>
      <c r="C124" s="312">
        <v>100</v>
      </c>
      <c r="D124" s="1110"/>
    </row>
    <row r="125" spans="1:8" x14ac:dyDescent="0.25">
      <c r="A125" s="310">
        <v>39068</v>
      </c>
      <c r="B125" s="311" t="s">
        <v>13</v>
      </c>
      <c r="C125" s="312">
        <v>70</v>
      </c>
      <c r="D125" s="1110"/>
    </row>
    <row r="126" spans="1:8" x14ac:dyDescent="0.25">
      <c r="A126" s="310">
        <v>39074</v>
      </c>
      <c r="B126" s="311" t="s">
        <v>13</v>
      </c>
      <c r="C126" s="312">
        <v>40</v>
      </c>
      <c r="D126" s="1110"/>
    </row>
    <row r="127" spans="1:8" x14ac:dyDescent="0.25">
      <c r="A127" s="310"/>
      <c r="B127" s="311"/>
      <c r="C127" s="312"/>
      <c r="D127" s="1110"/>
      <c r="E127" s="1088" t="s">
        <v>27</v>
      </c>
    </row>
    <row r="128" spans="1:8" x14ac:dyDescent="0.25">
      <c r="A128" s="310">
        <v>39079</v>
      </c>
      <c r="B128" s="311" t="s">
        <v>272</v>
      </c>
      <c r="C128" s="312"/>
      <c r="D128" s="1110">
        <v>985</v>
      </c>
      <c r="E128" s="1089" t="s">
        <v>269</v>
      </c>
      <c r="F128" s="1065">
        <f>COUNTA(A119:A129)</f>
        <v>10</v>
      </c>
      <c r="G128" s="322"/>
    </row>
    <row r="129" spans="1:11" x14ac:dyDescent="0.25">
      <c r="A129" s="325">
        <v>39081</v>
      </c>
      <c r="B129" s="326" t="s">
        <v>13</v>
      </c>
      <c r="C129" s="327">
        <v>40</v>
      </c>
      <c r="D129" s="1113"/>
      <c r="E129" s="1076">
        <f>SUM(C119:C129)</f>
        <v>715</v>
      </c>
      <c r="F129" s="1065">
        <f>SUM(D119:D129)</f>
        <v>985</v>
      </c>
      <c r="G129" s="328">
        <f>E129-F129</f>
        <v>-270</v>
      </c>
    </row>
    <row r="130" spans="1:11" x14ac:dyDescent="0.25">
      <c r="C130" s="329"/>
      <c r="D130" s="1104"/>
    </row>
    <row r="131" spans="1:11" x14ac:dyDescent="0.25">
      <c r="C131" s="329"/>
      <c r="D131" s="1104"/>
    </row>
    <row r="132" spans="1:11" x14ac:dyDescent="0.25">
      <c r="C132" s="329"/>
      <c r="D132" s="1104"/>
    </row>
    <row r="133" spans="1:11" x14ac:dyDescent="0.25">
      <c r="C133" s="329"/>
      <c r="D133" s="1104"/>
      <c r="I133" s="42"/>
      <c r="J133" s="42"/>
    </row>
    <row r="134" spans="1:11" x14ac:dyDescent="0.25">
      <c r="C134" s="329"/>
      <c r="D134" s="1104"/>
      <c r="I134" s="565" t="s">
        <v>29</v>
      </c>
      <c r="J134" s="566"/>
      <c r="K134" s="567"/>
    </row>
    <row r="135" spans="1:11" x14ac:dyDescent="0.25">
      <c r="C135" s="329"/>
      <c r="D135" s="1104"/>
      <c r="I135" s="568">
        <f>_ENE06</f>
        <v>-108</v>
      </c>
      <c r="J135" s="569"/>
      <c r="K135" s="567"/>
    </row>
    <row r="136" spans="1:11" x14ac:dyDescent="0.25">
      <c r="C136" s="329"/>
      <c r="D136" s="1104"/>
      <c r="I136" s="568">
        <f>_FEB06</f>
        <v>360</v>
      </c>
      <c r="J136" s="569"/>
      <c r="K136" s="567"/>
    </row>
    <row r="137" spans="1:11" x14ac:dyDescent="0.25">
      <c r="C137" s="329"/>
      <c r="D137" s="1104"/>
      <c r="I137" s="568">
        <f>_MAR06</f>
        <v>171</v>
      </c>
      <c r="J137" s="569"/>
      <c r="K137" s="567"/>
    </row>
    <row r="138" spans="1:11" x14ac:dyDescent="0.25">
      <c r="C138" s="329"/>
      <c r="D138" s="1104"/>
      <c r="I138" s="568">
        <f>_ABR06</f>
        <v>186</v>
      </c>
      <c r="J138" s="569"/>
      <c r="K138" s="567"/>
    </row>
    <row r="139" spans="1:11" x14ac:dyDescent="0.25">
      <c r="C139" s="329"/>
      <c r="D139" s="1104"/>
      <c r="I139" s="568">
        <f>_MAY06</f>
        <v>-301</v>
      </c>
      <c r="J139" s="569"/>
      <c r="K139" s="567"/>
    </row>
    <row r="140" spans="1:11" x14ac:dyDescent="0.25">
      <c r="C140" s="329"/>
      <c r="D140" s="1104"/>
      <c r="I140" s="568">
        <f>_JUN06</f>
        <v>263</v>
      </c>
      <c r="J140" s="569"/>
      <c r="K140" s="567"/>
    </row>
    <row r="141" spans="1:11" x14ac:dyDescent="0.25">
      <c r="C141" s="329"/>
      <c r="D141" s="1104"/>
      <c r="I141" s="568">
        <f>_JUL06</f>
        <v>-297</v>
      </c>
      <c r="J141" s="569"/>
      <c r="K141" s="567"/>
    </row>
    <row r="142" spans="1:11" x14ac:dyDescent="0.25">
      <c r="C142" s="329"/>
      <c r="D142" s="1104"/>
      <c r="I142" s="568">
        <f>_AGO06</f>
        <v>149</v>
      </c>
      <c r="J142" s="569"/>
      <c r="K142" s="567"/>
    </row>
    <row r="143" spans="1:11" x14ac:dyDescent="0.25">
      <c r="C143" s="329"/>
      <c r="D143" s="1104"/>
      <c r="I143" s="568">
        <f>_SEP06</f>
        <v>295</v>
      </c>
      <c r="J143" s="569"/>
      <c r="K143" s="567"/>
    </row>
    <row r="144" spans="1:11" x14ac:dyDescent="0.25">
      <c r="C144" s="329"/>
      <c r="D144" s="1104"/>
      <c r="I144" s="568">
        <f>_OCT06</f>
        <v>330</v>
      </c>
      <c r="J144" s="569"/>
      <c r="K144" s="567"/>
    </row>
    <row r="145" spans="1:12" x14ac:dyDescent="0.25">
      <c r="C145" s="329"/>
      <c r="D145" s="1104"/>
      <c r="I145" s="568">
        <f>_NOV06</f>
        <v>185</v>
      </c>
      <c r="J145" s="569"/>
      <c r="K145" s="567"/>
    </row>
    <row r="146" spans="1:12" x14ac:dyDescent="0.25">
      <c r="I146" s="568">
        <f>_DIC06</f>
        <v>-270</v>
      </c>
      <c r="J146" s="569"/>
      <c r="K146" s="567"/>
    </row>
    <row r="147" spans="1:12" x14ac:dyDescent="0.25">
      <c r="I147" s="570">
        <f>SUM(I135:I146)</f>
        <v>963</v>
      </c>
      <c r="J147" s="571">
        <f>-SUM(J135:J146)</f>
        <v>0</v>
      </c>
      <c r="K147" s="572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77"/>
      <c r="K151" s="51"/>
      <c r="L151" s="37"/>
    </row>
    <row r="152" spans="1:12" x14ac:dyDescent="0.25">
      <c r="A152" s="331">
        <f>SUM(C5:C151)</f>
        <v>9824</v>
      </c>
      <c r="B152" s="331">
        <f>SUM(D5:D151)</f>
        <v>8861</v>
      </c>
      <c r="H152" s="37"/>
      <c r="I152" s="181"/>
      <c r="J152" s="332"/>
      <c r="K152" s="51"/>
      <c r="L152" s="37"/>
    </row>
    <row r="153" spans="1:12" x14ac:dyDescent="0.25">
      <c r="H153" s="37"/>
      <c r="I153" s="332"/>
      <c r="J153" s="332"/>
      <c r="K153" s="51"/>
      <c r="L153" s="37"/>
    </row>
    <row r="154" spans="1:12" x14ac:dyDescent="0.25">
      <c r="I154" s="333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1070"/>
      <c r="G158" s="238"/>
      <c r="H158" s="238"/>
      <c r="I158" s="238"/>
    </row>
    <row r="159" spans="1:12" x14ac:dyDescent="0.25">
      <c r="F159" s="1070"/>
      <c r="G159" s="573"/>
      <c r="H159" s="574"/>
      <c r="I159" s="238"/>
    </row>
    <row r="160" spans="1:12" x14ac:dyDescent="0.25">
      <c r="F160" s="1070"/>
      <c r="G160" s="551"/>
      <c r="H160" s="574"/>
      <c r="I160" s="238"/>
    </row>
    <row r="161" spans="6:9" x14ac:dyDescent="0.25">
      <c r="F161" s="1070"/>
      <c r="G161" s="551"/>
      <c r="H161" s="574"/>
      <c r="I161" s="238"/>
    </row>
    <row r="162" spans="6:9" x14ac:dyDescent="0.25">
      <c r="F162" s="1070"/>
      <c r="G162" s="551"/>
      <c r="H162" s="574"/>
      <c r="I162" s="238"/>
    </row>
    <row r="163" spans="6:9" x14ac:dyDescent="0.25">
      <c r="F163" s="1070"/>
      <c r="G163" s="551"/>
      <c r="H163" s="574"/>
      <c r="I163" s="238"/>
    </row>
    <row r="164" spans="6:9" x14ac:dyDescent="0.25">
      <c r="F164" s="1070"/>
      <c r="G164" s="551"/>
      <c r="H164" s="575"/>
      <c r="I164" s="553"/>
    </row>
    <row r="165" spans="6:9" x14ac:dyDescent="0.25">
      <c r="F165" s="1070"/>
      <c r="G165" s="551"/>
      <c r="H165" s="576"/>
      <c r="I165" s="555"/>
    </row>
    <row r="166" spans="6:9" x14ac:dyDescent="0.25">
      <c r="F166" s="1070"/>
      <c r="G166" s="551"/>
      <c r="H166" s="576"/>
      <c r="I166" s="555"/>
    </row>
    <row r="167" spans="6:9" x14ac:dyDescent="0.25">
      <c r="F167" s="1070"/>
      <c r="G167" s="90"/>
      <c r="H167" s="575"/>
      <c r="I167" s="238"/>
    </row>
    <row r="168" spans="6:9" x14ac:dyDescent="0.25">
      <c r="F168" s="1070"/>
      <c r="G168" s="551"/>
      <c r="H168" s="575"/>
      <c r="I168" s="46"/>
    </row>
    <row r="169" spans="6:9" x14ac:dyDescent="0.25">
      <c r="F169" s="1070"/>
      <c r="G169" s="11"/>
      <c r="H169" s="575"/>
      <c r="I169" s="238"/>
    </row>
    <row r="170" spans="6:9" x14ac:dyDescent="0.25">
      <c r="F170" s="1070"/>
      <c r="G170" s="551"/>
      <c r="H170" s="575"/>
      <c r="I170" s="46"/>
    </row>
    <row r="171" spans="6:9" x14ac:dyDescent="0.25">
      <c r="F171" s="1070"/>
      <c r="G171" s="11"/>
      <c r="H171" s="575"/>
      <c r="I171" s="31"/>
    </row>
    <row r="172" spans="6:9" x14ac:dyDescent="0.25">
      <c r="F172" s="1070"/>
      <c r="G172" s="559"/>
      <c r="H172" s="560"/>
      <c r="I172" s="46"/>
    </row>
    <row r="173" spans="6:9" x14ac:dyDescent="0.25">
      <c r="F173" s="1070"/>
      <c r="G173" s="551"/>
      <c r="H173" s="560"/>
      <c r="I173" s="46"/>
    </row>
    <row r="174" spans="6:9" x14ac:dyDescent="0.25">
      <c r="F174" s="1070"/>
      <c r="G174" s="551"/>
      <c r="H174" s="560"/>
      <c r="I174" s="46"/>
    </row>
    <row r="175" spans="6:9" x14ac:dyDescent="0.25">
      <c r="F175" s="1070"/>
      <c r="G175" s="551"/>
      <c r="H175" s="560"/>
      <c r="I175" s="46"/>
    </row>
    <row r="176" spans="6:9" x14ac:dyDescent="0.25">
      <c r="F176" s="1070"/>
      <c r="G176" s="551"/>
      <c r="H176" s="560"/>
      <c r="I176" s="46"/>
    </row>
    <row r="177" spans="6:9" x14ac:dyDescent="0.25">
      <c r="F177" s="1070"/>
      <c r="G177" s="551"/>
      <c r="H177" s="560"/>
      <c r="I177" s="46"/>
    </row>
    <row r="178" spans="6:9" x14ac:dyDescent="0.25">
      <c r="F178" s="1070"/>
      <c r="G178" s="551"/>
      <c r="H178" s="560"/>
      <c r="I178" s="46"/>
    </row>
    <row r="179" spans="6:9" x14ac:dyDescent="0.25">
      <c r="F179" s="1070"/>
      <c r="G179" s="551"/>
      <c r="H179" s="560"/>
      <c r="I179" s="46"/>
    </row>
    <row r="180" spans="6:9" x14ac:dyDescent="0.25">
      <c r="F180" s="1070"/>
      <c r="G180" s="551"/>
      <c r="H180" s="560"/>
      <c r="I180" s="46"/>
    </row>
    <row r="181" spans="6:9" x14ac:dyDescent="0.25">
      <c r="F181" s="1070"/>
      <c r="G181" s="551"/>
      <c r="H181" s="561"/>
      <c r="I181" s="46"/>
    </row>
    <row r="182" spans="6:9" x14ac:dyDescent="0.25">
      <c r="F182" s="1070"/>
      <c r="G182" s="293"/>
      <c r="H182" s="363"/>
      <c r="I182" s="238"/>
    </row>
    <row r="183" spans="6:9" x14ac:dyDescent="0.25">
      <c r="F183" s="1070"/>
      <c r="G183" s="551"/>
      <c r="H183" s="562"/>
      <c r="I183" s="238"/>
    </row>
    <row r="184" spans="6:9" x14ac:dyDescent="0.25">
      <c r="F184" s="1070"/>
      <c r="G184" s="563"/>
      <c r="H184" s="562"/>
      <c r="I184" s="238"/>
    </row>
    <row r="185" spans="6:9" x14ac:dyDescent="0.25">
      <c r="F185" s="1070"/>
      <c r="G185" s="563"/>
      <c r="H185" s="564"/>
      <c r="I185" s="238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workbookViewId="0">
      <selection activeCell="E7" sqref="E7"/>
    </sheetView>
  </sheetViews>
  <sheetFormatPr baseColWidth="10" defaultColWidth="9" defaultRowHeight="15" x14ac:dyDescent="0.25"/>
  <cols>
    <col min="1" max="1" width="11.42578125" style="297" customWidth="1"/>
    <col min="2" max="2" width="28.42578125" style="298" customWidth="1"/>
    <col min="3" max="3" width="11.5703125" style="1063" customWidth="1"/>
    <col min="4" max="4" width="12.28515625" style="299" customWidth="1"/>
    <col min="5" max="5" width="10.28515625" style="1045" customWidth="1"/>
    <col min="6" max="6" width="9.7109375" style="1049" customWidth="1"/>
    <col min="7" max="7" width="11.5703125" customWidth="1"/>
    <col min="10" max="10" width="14.140625" customWidth="1"/>
  </cols>
  <sheetData>
    <row r="1" spans="1:7" x14ac:dyDescent="0.25">
      <c r="A1" s="1199" t="s">
        <v>252</v>
      </c>
      <c r="B1" s="1200"/>
      <c r="C1" s="1051" t="s">
        <v>184</v>
      </c>
      <c r="D1" s="266">
        <f>SUM(C3:C126)-SUM(D3:D126)</f>
        <v>67</v>
      </c>
      <c r="E1" s="1038">
        <f>SUM(C3:C25)-D1</f>
        <v>982</v>
      </c>
      <c r="F1" s="1046">
        <f>SUM(D3:D25)</f>
        <v>982</v>
      </c>
    </row>
    <row r="2" spans="1:7" x14ac:dyDescent="0.25">
      <c r="A2" s="267" t="s">
        <v>7</v>
      </c>
      <c r="B2" s="268" t="s">
        <v>8</v>
      </c>
      <c r="C2" s="1052" t="s">
        <v>9</v>
      </c>
      <c r="D2" s="269" t="s">
        <v>64</v>
      </c>
      <c r="E2" s="1039" t="s">
        <v>253</v>
      </c>
      <c r="F2" s="1047" t="s">
        <v>254</v>
      </c>
    </row>
    <row r="3" spans="1:7" x14ac:dyDescent="0.25">
      <c r="A3" s="270">
        <v>38655</v>
      </c>
      <c r="B3" s="271" t="s">
        <v>67</v>
      </c>
      <c r="C3" s="1053">
        <v>150</v>
      </c>
      <c r="D3" s="273"/>
      <c r="E3" s="1040"/>
      <c r="F3" s="806"/>
      <c r="G3" s="15"/>
    </row>
    <row r="4" spans="1:7" x14ac:dyDescent="0.25">
      <c r="A4" s="270">
        <v>38656</v>
      </c>
      <c r="B4" s="271" t="s">
        <v>255</v>
      </c>
      <c r="C4" s="1053"/>
      <c r="D4" s="272">
        <v>75</v>
      </c>
      <c r="E4" s="1040"/>
      <c r="F4" s="806"/>
      <c r="G4" s="15"/>
    </row>
    <row r="5" spans="1:7" x14ac:dyDescent="0.25">
      <c r="A5" s="274">
        <v>38656</v>
      </c>
      <c r="B5" s="275" t="s">
        <v>256</v>
      </c>
      <c r="C5" s="1054"/>
      <c r="D5" s="276">
        <v>10</v>
      </c>
      <c r="E5" s="1041">
        <f>SUM(C3:C5)</f>
        <v>150</v>
      </c>
      <c r="F5" s="1048">
        <f>SUM(D3:D5)</f>
        <v>85</v>
      </c>
      <c r="G5" s="277">
        <f>E5-F5</f>
        <v>65</v>
      </c>
    </row>
    <row r="6" spans="1:7" x14ac:dyDescent="0.25">
      <c r="A6" s="270">
        <v>38657</v>
      </c>
      <c r="B6" s="271" t="s">
        <v>256</v>
      </c>
      <c r="C6" s="1053"/>
      <c r="D6" s="272">
        <v>382</v>
      </c>
      <c r="E6" s="1040"/>
      <c r="F6" s="806"/>
      <c r="G6" s="15"/>
    </row>
    <row r="7" spans="1:7" x14ac:dyDescent="0.25">
      <c r="A7" s="270">
        <v>38662</v>
      </c>
      <c r="B7" s="271" t="s">
        <v>13</v>
      </c>
      <c r="C7" s="1053">
        <v>70</v>
      </c>
      <c r="D7" s="272"/>
      <c r="E7" s="1040"/>
      <c r="F7" s="806"/>
      <c r="G7" s="15"/>
    </row>
    <row r="8" spans="1:7" x14ac:dyDescent="0.25">
      <c r="A8" s="270">
        <v>38669</v>
      </c>
      <c r="B8" s="271" t="s">
        <v>13</v>
      </c>
      <c r="C8" s="1053">
        <v>70</v>
      </c>
      <c r="D8" s="272"/>
      <c r="E8" s="1040"/>
      <c r="F8" s="806"/>
      <c r="G8" s="15"/>
    </row>
    <row r="9" spans="1:7" x14ac:dyDescent="0.25">
      <c r="A9" s="270">
        <v>38677</v>
      </c>
      <c r="B9" s="271" t="s">
        <v>13</v>
      </c>
      <c r="C9" s="1053">
        <v>70</v>
      </c>
      <c r="D9" s="272"/>
      <c r="E9" s="1040"/>
      <c r="F9" s="806"/>
      <c r="G9" s="15"/>
    </row>
    <row r="10" spans="1:7" x14ac:dyDescent="0.25">
      <c r="A10" s="270">
        <v>38680</v>
      </c>
      <c r="B10" s="271" t="s">
        <v>257</v>
      </c>
      <c r="C10" s="1053">
        <v>40</v>
      </c>
      <c r="D10" s="272"/>
      <c r="E10" s="1040"/>
      <c r="F10" s="806"/>
      <c r="G10" s="15"/>
    </row>
    <row r="11" spans="1:7" x14ac:dyDescent="0.25">
      <c r="A11" s="270">
        <v>38681</v>
      </c>
      <c r="B11" s="271" t="s">
        <v>258</v>
      </c>
      <c r="C11" s="1053">
        <v>15</v>
      </c>
      <c r="D11" s="272"/>
      <c r="E11" s="1040"/>
      <c r="F11" s="806"/>
      <c r="G11" s="15"/>
    </row>
    <row r="12" spans="1:7" x14ac:dyDescent="0.25">
      <c r="A12" s="270">
        <v>38683</v>
      </c>
      <c r="B12" s="271" t="s">
        <v>13</v>
      </c>
      <c r="C12" s="1053">
        <v>70</v>
      </c>
      <c r="D12" s="272"/>
      <c r="E12" s="1040"/>
      <c r="F12" s="806"/>
      <c r="G12" s="15"/>
    </row>
    <row r="13" spans="1:7" x14ac:dyDescent="0.25">
      <c r="A13" s="274"/>
      <c r="B13" s="275"/>
      <c r="C13" s="1054"/>
      <c r="D13" s="276">
        <v>0</v>
      </c>
      <c r="E13" s="1041">
        <f>SUM(C6:C13)</f>
        <v>335</v>
      </c>
      <c r="F13" s="1048">
        <f>SUM(D6:D13)</f>
        <v>382</v>
      </c>
      <c r="G13" s="277">
        <f>E13-F13</f>
        <v>-47</v>
      </c>
    </row>
    <row r="14" spans="1:7" x14ac:dyDescent="0.25">
      <c r="A14" s="270">
        <v>38690</v>
      </c>
      <c r="B14" s="271" t="s">
        <v>13</v>
      </c>
      <c r="C14" s="1053">
        <v>70</v>
      </c>
      <c r="D14" s="272"/>
      <c r="E14" s="1040"/>
      <c r="F14" s="806"/>
      <c r="G14" s="15"/>
    </row>
    <row r="15" spans="1:7" x14ac:dyDescent="0.25">
      <c r="A15" s="270">
        <v>38693</v>
      </c>
      <c r="B15" s="271" t="s">
        <v>259</v>
      </c>
      <c r="C15" s="1053">
        <v>20</v>
      </c>
      <c r="D15" s="272"/>
      <c r="E15" s="1040"/>
      <c r="F15" s="806"/>
      <c r="G15" s="15"/>
    </row>
    <row r="16" spans="1:7" x14ac:dyDescent="0.25">
      <c r="A16" s="270">
        <v>38694</v>
      </c>
      <c r="B16" s="271" t="s">
        <v>13</v>
      </c>
      <c r="C16" s="1053">
        <v>200</v>
      </c>
      <c r="D16" s="272"/>
      <c r="E16" s="1040"/>
      <c r="F16" s="806"/>
      <c r="G16" s="15"/>
    </row>
    <row r="17" spans="1:12" x14ac:dyDescent="0.25">
      <c r="A17" s="270">
        <v>38694</v>
      </c>
      <c r="B17" s="271" t="s">
        <v>229</v>
      </c>
      <c r="C17" s="1053">
        <v>10</v>
      </c>
      <c r="D17" s="272"/>
      <c r="E17" s="1040"/>
      <c r="F17" s="806"/>
      <c r="G17" s="15"/>
    </row>
    <row r="18" spans="1:12" x14ac:dyDescent="0.25">
      <c r="A18" s="270">
        <v>38697</v>
      </c>
      <c r="B18" s="271" t="s">
        <v>13</v>
      </c>
      <c r="C18" s="1053">
        <v>72</v>
      </c>
      <c r="D18" s="272"/>
      <c r="E18" s="1040"/>
      <c r="F18" s="806"/>
      <c r="G18" s="15"/>
    </row>
    <row r="19" spans="1:12" x14ac:dyDescent="0.25">
      <c r="A19" s="270">
        <v>38697</v>
      </c>
      <c r="B19" s="271" t="s">
        <v>260</v>
      </c>
      <c r="C19" s="1053">
        <v>50</v>
      </c>
      <c r="D19" s="272"/>
      <c r="E19" s="1040"/>
      <c r="F19" s="806"/>
      <c r="G19" s="15"/>
    </row>
    <row r="20" spans="1:12" x14ac:dyDescent="0.25">
      <c r="A20" s="270">
        <v>38699</v>
      </c>
      <c r="B20" s="271" t="s">
        <v>260</v>
      </c>
      <c r="C20" s="1053">
        <v>50</v>
      </c>
      <c r="D20" s="272"/>
      <c r="E20" s="1040"/>
      <c r="F20" s="806"/>
      <c r="G20" s="15"/>
    </row>
    <row r="21" spans="1:12" x14ac:dyDescent="0.25">
      <c r="A21" s="270">
        <v>38704</v>
      </c>
      <c r="B21" s="271" t="s">
        <v>13</v>
      </c>
      <c r="C21" s="1053">
        <v>70</v>
      </c>
      <c r="D21" s="272"/>
      <c r="E21" s="1040"/>
      <c r="F21" s="806"/>
      <c r="G21" s="15"/>
    </row>
    <row r="22" spans="1:12" x14ac:dyDescent="0.25">
      <c r="A22" s="270">
        <v>38707</v>
      </c>
      <c r="B22" s="271" t="s">
        <v>261</v>
      </c>
      <c r="C22" s="1053">
        <v>10</v>
      </c>
      <c r="D22" s="272"/>
      <c r="E22" s="1040"/>
      <c r="F22" s="806"/>
      <c r="G22" s="15"/>
    </row>
    <row r="23" spans="1:12" x14ac:dyDescent="0.25">
      <c r="A23" s="270">
        <v>38713</v>
      </c>
      <c r="B23" s="271" t="s">
        <v>256</v>
      </c>
      <c r="C23" s="1053"/>
      <c r="D23" s="272">
        <v>515</v>
      </c>
      <c r="E23" s="1040"/>
      <c r="F23" s="806"/>
      <c r="G23" s="15"/>
    </row>
    <row r="24" spans="1:12" x14ac:dyDescent="0.25">
      <c r="A24" s="278">
        <v>38714</v>
      </c>
      <c r="B24" s="279" t="s">
        <v>229</v>
      </c>
      <c r="C24" s="1055">
        <v>12</v>
      </c>
      <c r="D24" s="280"/>
      <c r="E24" s="1040"/>
      <c r="F24" s="806"/>
      <c r="G24" s="15"/>
    </row>
    <row r="25" spans="1:12" x14ac:dyDescent="0.25">
      <c r="A25" s="281"/>
      <c r="B25" s="282"/>
      <c r="C25" s="1056"/>
      <c r="D25" s="283"/>
      <c r="E25" s="1042">
        <f>SUM(C14:C25)</f>
        <v>564</v>
      </c>
      <c r="F25" s="1048">
        <f>SUM(D14:D25)</f>
        <v>515</v>
      </c>
      <c r="G25" s="542">
        <f>E25-F25</f>
        <v>49</v>
      </c>
    </row>
    <row r="26" spans="1:12" x14ac:dyDescent="0.25">
      <c r="A26" s="284"/>
      <c r="B26" s="12"/>
      <c r="C26" s="1057"/>
      <c r="D26" s="285"/>
      <c r="E26" s="1043"/>
      <c r="F26" s="806"/>
      <c r="G26" s="15"/>
    </row>
    <row r="27" spans="1:12" x14ac:dyDescent="0.25">
      <c r="A27" s="284"/>
      <c r="B27" s="12"/>
      <c r="C27" s="1058"/>
      <c r="D27" s="286"/>
      <c r="E27" s="1043"/>
      <c r="F27" s="806"/>
      <c r="G27" s="15"/>
    </row>
    <row r="28" spans="1:12" x14ac:dyDescent="0.25">
      <c r="A28" s="284"/>
      <c r="B28" s="12"/>
      <c r="C28" s="1058"/>
      <c r="D28" s="286"/>
      <c r="E28" s="1043"/>
      <c r="F28" s="806"/>
      <c r="G28" s="15"/>
      <c r="J28" s="565" t="s">
        <v>29</v>
      </c>
      <c r="K28" s="566"/>
      <c r="L28" s="567"/>
    </row>
    <row r="29" spans="1:12" x14ac:dyDescent="0.25">
      <c r="A29" s="284"/>
      <c r="B29" s="12"/>
      <c r="C29" s="1058"/>
      <c r="D29" s="286"/>
      <c r="E29" s="1043"/>
      <c r="F29" s="806"/>
      <c r="G29" s="15"/>
      <c r="J29" s="568">
        <v>0</v>
      </c>
      <c r="K29" s="569"/>
      <c r="L29" s="567"/>
    </row>
    <row r="30" spans="1:12" x14ac:dyDescent="0.25">
      <c r="A30" s="284"/>
      <c r="B30" s="12"/>
      <c r="C30" s="1058"/>
      <c r="D30" s="286"/>
      <c r="E30" s="1043"/>
      <c r="F30" s="806"/>
      <c r="G30" s="15"/>
      <c r="J30" s="568">
        <v>0</v>
      </c>
      <c r="K30" s="569"/>
      <c r="L30" s="567"/>
    </row>
    <row r="31" spans="1:12" x14ac:dyDescent="0.25">
      <c r="A31" s="284"/>
      <c r="B31" s="12"/>
      <c r="C31" s="1059"/>
      <c r="D31" s="287"/>
      <c r="E31" s="1043"/>
      <c r="F31" s="806"/>
      <c r="G31" s="15"/>
      <c r="J31" s="568">
        <v>0</v>
      </c>
      <c r="K31" s="569"/>
      <c r="L31" s="567"/>
    </row>
    <row r="32" spans="1:12" x14ac:dyDescent="0.25">
      <c r="A32" s="284"/>
      <c r="B32" s="12"/>
      <c r="C32" s="1059"/>
      <c r="D32" s="287"/>
      <c r="E32" s="1044"/>
      <c r="J32" s="568">
        <v>0</v>
      </c>
      <c r="K32" s="569"/>
      <c r="L32" s="567"/>
    </row>
    <row r="33" spans="1:12" x14ac:dyDescent="0.25">
      <c r="A33" s="284"/>
      <c r="B33" s="12"/>
      <c r="C33" s="1059"/>
      <c r="D33" s="287"/>
      <c r="E33" s="1044"/>
      <c r="J33" s="568">
        <v>0</v>
      </c>
      <c r="K33" s="569"/>
      <c r="L33" s="567"/>
    </row>
    <row r="34" spans="1:12" x14ac:dyDescent="0.25">
      <c r="A34" s="284"/>
      <c r="B34" s="12"/>
      <c r="C34" s="1060"/>
      <c r="D34" s="289"/>
      <c r="E34" s="1044"/>
      <c r="J34" s="568">
        <v>0</v>
      </c>
      <c r="K34" s="569"/>
      <c r="L34" s="567"/>
    </row>
    <row r="35" spans="1:12" x14ac:dyDescent="0.25">
      <c r="A35" s="284"/>
      <c r="B35" s="12"/>
      <c r="C35" s="1060"/>
      <c r="D35" s="289"/>
      <c r="E35" s="1044"/>
      <c r="J35" s="568">
        <v>0</v>
      </c>
      <c r="K35" s="569"/>
      <c r="L35" s="567"/>
    </row>
    <row r="36" spans="1:12" x14ac:dyDescent="0.25">
      <c r="A36" s="290"/>
      <c r="B36" s="288"/>
      <c r="C36" s="1061"/>
      <c r="D36" s="291"/>
      <c r="E36" s="1044"/>
      <c r="J36" s="568">
        <v>0</v>
      </c>
      <c r="K36" s="569"/>
      <c r="L36" s="567"/>
    </row>
    <row r="37" spans="1:12" x14ac:dyDescent="0.25">
      <c r="A37" s="290"/>
      <c r="B37" s="288"/>
      <c r="C37" s="1061"/>
      <c r="D37" s="291"/>
      <c r="E37" s="1044"/>
      <c r="J37" s="568">
        <v>0</v>
      </c>
      <c r="K37" s="569"/>
      <c r="L37" s="567"/>
    </row>
    <row r="38" spans="1:12" x14ac:dyDescent="0.25">
      <c r="A38" s="290"/>
      <c r="B38" s="288"/>
      <c r="C38" s="1061"/>
      <c r="D38" s="291"/>
      <c r="E38" s="1044"/>
      <c r="J38" s="568">
        <f>_OCT05</f>
        <v>65</v>
      </c>
      <c r="K38" s="569"/>
      <c r="L38" s="567"/>
    </row>
    <row r="39" spans="1:12" x14ac:dyDescent="0.25">
      <c r="A39" s="290"/>
      <c r="B39" s="288"/>
      <c r="C39" s="1061"/>
      <c r="D39" s="291"/>
      <c r="E39" s="1044"/>
      <c r="J39" s="568">
        <f>_NOV05</f>
        <v>-47</v>
      </c>
      <c r="K39" s="569"/>
      <c r="L39" s="567"/>
    </row>
    <row r="40" spans="1:12" x14ac:dyDescent="0.25">
      <c r="A40" s="290"/>
      <c r="B40" s="288"/>
      <c r="C40" s="1061"/>
      <c r="D40" s="291"/>
      <c r="E40" s="1044"/>
      <c r="J40" s="568">
        <f>_DIC05</f>
        <v>49</v>
      </c>
      <c r="K40" s="569"/>
      <c r="L40" s="567"/>
    </row>
    <row r="41" spans="1:12" x14ac:dyDescent="0.25">
      <c r="A41" s="290"/>
      <c r="B41" s="288"/>
      <c r="C41" s="1061"/>
      <c r="D41" s="291"/>
      <c r="E41" s="1044"/>
      <c r="J41" s="570">
        <f>SUM(J29:J40)</f>
        <v>67</v>
      </c>
      <c r="K41" s="571"/>
      <c r="L41" s="572">
        <f>+J41-K41</f>
        <v>67</v>
      </c>
    </row>
    <row r="42" spans="1:12" x14ac:dyDescent="0.25">
      <c r="A42" s="290"/>
      <c r="B42" s="288"/>
      <c r="C42" s="1061"/>
      <c r="D42" s="291"/>
      <c r="E42" s="1044"/>
    </row>
    <row r="43" spans="1:12" x14ac:dyDescent="0.25">
      <c r="A43" s="290"/>
      <c r="B43" s="288"/>
      <c r="C43" s="1061"/>
      <c r="D43" s="291"/>
      <c r="E43" s="1044"/>
    </row>
    <row r="44" spans="1:12" x14ac:dyDescent="0.25">
      <c r="A44" s="290"/>
      <c r="B44" s="288"/>
      <c r="C44" s="1061"/>
      <c r="D44" s="291"/>
      <c r="E44" s="1044"/>
    </row>
    <row r="45" spans="1:12" x14ac:dyDescent="0.25">
      <c r="A45" s="290"/>
      <c r="B45" s="288"/>
      <c r="C45" s="1061"/>
      <c r="D45" s="291"/>
      <c r="E45" s="1044"/>
    </row>
    <row r="46" spans="1:12" x14ac:dyDescent="0.25">
      <c r="A46" s="290"/>
      <c r="B46" s="288"/>
      <c r="C46" s="1061"/>
      <c r="D46" s="291"/>
      <c r="E46" s="1044"/>
    </row>
    <row r="47" spans="1:12" x14ac:dyDescent="0.25">
      <c r="A47" s="290"/>
      <c r="B47" s="288"/>
      <c r="C47" s="1061"/>
      <c r="D47" s="291"/>
      <c r="E47" s="1044"/>
    </row>
    <row r="48" spans="1:12" x14ac:dyDescent="0.25">
      <c r="A48" s="292" t="s">
        <v>32</v>
      </c>
      <c r="B48" s="292" t="s">
        <v>33</v>
      </c>
      <c r="C48" s="1061"/>
      <c r="D48" s="291"/>
      <c r="E48" s="1044"/>
    </row>
    <row r="49" spans="1:11" x14ac:dyDescent="0.25">
      <c r="A49" s="292">
        <f>SUM(C3:C48)</f>
        <v>1049</v>
      </c>
      <c r="B49" s="292">
        <f>SUM(D3:D48)</f>
        <v>982</v>
      </c>
      <c r="C49" s="1061"/>
      <c r="D49" s="291"/>
      <c r="E49" s="1044"/>
      <c r="F49" s="1050"/>
      <c r="G49" s="33"/>
      <c r="H49" s="33"/>
      <c r="I49" s="33"/>
      <c r="J49" s="33"/>
      <c r="K49" s="33"/>
    </row>
    <row r="50" spans="1:11" x14ac:dyDescent="0.25">
      <c r="A50" s="290"/>
      <c r="B50" s="288"/>
      <c r="C50" s="1061"/>
      <c r="D50" s="291"/>
      <c r="E50" s="1044"/>
      <c r="F50" s="1050"/>
      <c r="G50" s="544"/>
      <c r="H50" s="545"/>
      <c r="I50" s="33"/>
      <c r="J50" s="33"/>
      <c r="K50" s="33"/>
    </row>
    <row r="51" spans="1:11" x14ac:dyDescent="0.25">
      <c r="A51" s="290"/>
      <c r="B51" s="288"/>
      <c r="C51" s="1061"/>
      <c r="D51" s="291"/>
      <c r="E51" s="1044"/>
      <c r="F51" s="1050"/>
      <c r="G51" s="546"/>
      <c r="H51" s="547"/>
      <c r="I51" s="33"/>
      <c r="J51" s="33"/>
      <c r="K51" s="33"/>
    </row>
    <row r="52" spans="1:11" x14ac:dyDescent="0.25">
      <c r="A52" s="290"/>
      <c r="B52" s="288"/>
      <c r="C52" s="1061"/>
      <c r="D52" s="291"/>
      <c r="E52" s="1044"/>
      <c r="F52" s="1050"/>
      <c r="G52" s="548"/>
      <c r="H52" s="549"/>
      <c r="I52" s="33"/>
      <c r="J52" s="33"/>
      <c r="K52" s="33"/>
    </row>
    <row r="53" spans="1:11" x14ac:dyDescent="0.25">
      <c r="A53" s="290"/>
      <c r="B53" s="288"/>
      <c r="C53" s="1061"/>
      <c r="D53" s="291"/>
      <c r="E53" s="1044"/>
      <c r="F53" s="1050"/>
      <c r="G53" s="550"/>
      <c r="H53" s="545"/>
      <c r="I53" s="33"/>
      <c r="J53" s="33"/>
      <c r="K53" s="33"/>
    </row>
    <row r="54" spans="1:11" x14ac:dyDescent="0.25">
      <c r="A54" s="290"/>
      <c r="B54" s="288"/>
      <c r="C54" s="1061"/>
      <c r="D54" s="291"/>
      <c r="E54" s="1044"/>
      <c r="F54" s="1050"/>
      <c r="G54" s="546"/>
      <c r="H54" s="547"/>
      <c r="I54" s="33"/>
      <c r="J54" s="33"/>
      <c r="K54" s="33"/>
    </row>
    <row r="55" spans="1:11" x14ac:dyDescent="0.25">
      <c r="A55" s="290"/>
      <c r="B55" s="288"/>
      <c r="C55" s="1061"/>
      <c r="D55" s="291"/>
      <c r="E55" s="1044"/>
      <c r="F55" s="1050"/>
      <c r="G55" s="551"/>
      <c r="H55" s="552"/>
      <c r="I55" s="553"/>
      <c r="J55" s="33"/>
      <c r="K55" s="33"/>
    </row>
    <row r="56" spans="1:11" x14ac:dyDescent="0.25">
      <c r="A56" s="290"/>
      <c r="B56" s="288"/>
      <c r="C56" s="1061"/>
      <c r="D56" s="291"/>
      <c r="E56" s="1044"/>
      <c r="F56" s="1050"/>
      <c r="G56" s="551"/>
      <c r="H56" s="554"/>
      <c r="I56" s="555"/>
      <c r="J56" s="33"/>
      <c r="K56" s="33"/>
    </row>
    <row r="57" spans="1:11" x14ac:dyDescent="0.25">
      <c r="A57" s="290"/>
      <c r="B57" s="288"/>
      <c r="C57" s="1061"/>
      <c r="D57" s="291"/>
      <c r="E57" s="1044"/>
      <c r="F57" s="1050"/>
      <c r="G57" s="551"/>
      <c r="H57" s="554"/>
      <c r="I57" s="555"/>
      <c r="J57" s="33"/>
      <c r="K57" s="33"/>
    </row>
    <row r="58" spans="1:11" x14ac:dyDescent="0.25">
      <c r="A58" s="290"/>
      <c r="B58" s="288"/>
      <c r="C58" s="1061"/>
      <c r="D58" s="291"/>
      <c r="E58" s="1044"/>
      <c r="F58" s="1050"/>
      <c r="G58" s="90"/>
      <c r="H58" s="556"/>
      <c r="I58" s="33"/>
      <c r="J58" s="33"/>
      <c r="K58" s="33"/>
    </row>
    <row r="59" spans="1:11" x14ac:dyDescent="0.25">
      <c r="A59" s="290"/>
      <c r="B59" s="288"/>
      <c r="C59" s="1061"/>
      <c r="D59" s="291"/>
      <c r="E59" s="1044"/>
      <c r="F59" s="1050"/>
      <c r="G59" s="557"/>
      <c r="H59" s="556"/>
      <c r="I59" s="46"/>
      <c r="J59" s="33"/>
      <c r="K59" s="33"/>
    </row>
    <row r="60" spans="1:11" x14ac:dyDescent="0.25">
      <c r="A60" s="290"/>
      <c r="B60" s="288"/>
      <c r="C60" s="1061"/>
      <c r="D60" s="291"/>
      <c r="E60" s="1044"/>
      <c r="F60" s="1050"/>
      <c r="G60" s="558"/>
      <c r="H60" s="556"/>
      <c r="I60" s="33"/>
      <c r="J60" s="33"/>
      <c r="K60" s="33"/>
    </row>
    <row r="61" spans="1:11" x14ac:dyDescent="0.25">
      <c r="A61" s="290"/>
      <c r="B61" s="288"/>
      <c r="C61" s="1061"/>
      <c r="D61" s="291"/>
      <c r="E61" s="1044"/>
      <c r="F61" s="1050"/>
      <c r="G61" s="557"/>
      <c r="H61" s="556"/>
      <c r="I61" s="46"/>
      <c r="J61" s="33"/>
      <c r="K61" s="33"/>
    </row>
    <row r="62" spans="1:11" x14ac:dyDescent="0.25">
      <c r="A62" s="290"/>
      <c r="B62" s="288"/>
      <c r="C62" s="1061"/>
      <c r="D62" s="291"/>
      <c r="E62" s="1044"/>
      <c r="F62" s="1050"/>
      <c r="G62" s="558"/>
      <c r="H62" s="556"/>
      <c r="I62" s="31"/>
      <c r="J62" s="33"/>
      <c r="K62" s="33"/>
    </row>
    <row r="63" spans="1:11" x14ac:dyDescent="0.25">
      <c r="A63" s="290"/>
      <c r="B63" s="288"/>
      <c r="C63" s="1061"/>
      <c r="D63" s="291"/>
      <c r="E63" s="1044"/>
      <c r="F63" s="1050"/>
      <c r="G63" s="559"/>
      <c r="H63" s="560"/>
      <c r="I63" s="46"/>
      <c r="J63" s="33"/>
      <c r="K63" s="33"/>
    </row>
    <row r="64" spans="1:11" x14ac:dyDescent="0.25">
      <c r="A64" s="290"/>
      <c r="B64" s="288"/>
      <c r="C64" s="1061"/>
      <c r="D64" s="291"/>
      <c r="E64" s="1044"/>
      <c r="F64" s="1050"/>
      <c r="G64" s="551"/>
      <c r="H64" s="560"/>
      <c r="I64" s="46"/>
      <c r="J64" s="33"/>
      <c r="K64" s="33"/>
    </row>
    <row r="65" spans="1:11" x14ac:dyDescent="0.25">
      <c r="A65" s="290"/>
      <c r="B65" s="288"/>
      <c r="C65" s="1061"/>
      <c r="D65" s="291"/>
      <c r="E65" s="1044"/>
      <c r="F65" s="1050"/>
      <c r="G65" s="551"/>
      <c r="H65" s="560"/>
      <c r="I65" s="46"/>
      <c r="J65" s="33"/>
      <c r="K65" s="33"/>
    </row>
    <row r="66" spans="1:11" x14ac:dyDescent="0.25">
      <c r="A66" s="290"/>
      <c r="B66" s="288"/>
      <c r="C66" s="1061"/>
      <c r="D66" s="291"/>
      <c r="E66" s="1044"/>
      <c r="F66" s="1050"/>
      <c r="G66" s="551"/>
      <c r="H66" s="560"/>
      <c r="I66" s="46"/>
      <c r="J66" s="33"/>
      <c r="K66" s="33"/>
    </row>
    <row r="67" spans="1:11" x14ac:dyDescent="0.25">
      <c r="A67" s="290"/>
      <c r="B67" s="288"/>
      <c r="C67" s="1061"/>
      <c r="D67" s="291"/>
      <c r="E67" s="1044"/>
      <c r="F67" s="1050"/>
      <c r="G67" s="551"/>
      <c r="H67" s="560"/>
      <c r="I67" s="46"/>
      <c r="J67" s="33"/>
      <c r="K67" s="33"/>
    </row>
    <row r="68" spans="1:11" x14ac:dyDescent="0.25">
      <c r="A68" s="290"/>
      <c r="B68" s="288"/>
      <c r="C68" s="1061"/>
      <c r="D68" s="291"/>
      <c r="E68" s="1044"/>
      <c r="F68" s="1050"/>
      <c r="G68" s="551"/>
      <c r="H68" s="560"/>
      <c r="I68" s="46"/>
      <c r="J68" s="33"/>
      <c r="K68" s="33"/>
    </row>
    <row r="69" spans="1:11" x14ac:dyDescent="0.25">
      <c r="A69" s="290"/>
      <c r="B69" s="288"/>
      <c r="C69" s="1061"/>
      <c r="D69" s="291"/>
      <c r="E69" s="1044"/>
      <c r="F69" s="1050"/>
      <c r="G69" s="551"/>
      <c r="H69" s="560"/>
      <c r="I69" s="46"/>
      <c r="J69" s="33"/>
      <c r="K69" s="33"/>
    </row>
    <row r="70" spans="1:11" x14ac:dyDescent="0.25">
      <c r="A70" s="290"/>
      <c r="B70" s="288"/>
      <c r="C70" s="1061"/>
      <c r="D70" s="291"/>
      <c r="E70" s="1044"/>
      <c r="F70" s="1050"/>
      <c r="G70" s="551"/>
      <c r="H70" s="560"/>
      <c r="I70" s="46"/>
      <c r="J70" s="33"/>
      <c r="K70" s="33"/>
    </row>
    <row r="71" spans="1:11" x14ac:dyDescent="0.25">
      <c r="A71" s="290"/>
      <c r="B71" s="288"/>
      <c r="C71" s="1061"/>
      <c r="D71" s="291"/>
      <c r="E71" s="1044"/>
      <c r="F71" s="1050"/>
      <c r="G71" s="551"/>
      <c r="H71" s="560"/>
      <c r="I71" s="46"/>
      <c r="J71" s="33"/>
      <c r="K71" s="33"/>
    </row>
    <row r="72" spans="1:11" x14ac:dyDescent="0.25">
      <c r="A72" s="290"/>
      <c r="B72" s="288"/>
      <c r="C72" s="1061"/>
      <c r="D72" s="291"/>
      <c r="E72" s="1044"/>
      <c r="F72" s="1050"/>
      <c r="G72" s="551"/>
      <c r="H72" s="561"/>
      <c r="I72" s="46"/>
      <c r="J72" s="33"/>
      <c r="K72" s="33"/>
    </row>
    <row r="73" spans="1:11" x14ac:dyDescent="0.25">
      <c r="A73" s="290"/>
      <c r="B73" s="288"/>
      <c r="C73" s="1061"/>
      <c r="D73" s="291"/>
      <c r="E73" s="1044"/>
      <c r="F73" s="1050"/>
      <c r="G73" s="293"/>
      <c r="H73" s="363"/>
      <c r="I73" s="33"/>
      <c r="J73" s="33"/>
      <c r="K73" s="33"/>
    </row>
    <row r="74" spans="1:11" x14ac:dyDescent="0.25">
      <c r="A74" s="290"/>
      <c r="B74" s="288"/>
      <c r="C74" s="1061"/>
      <c r="D74" s="291"/>
      <c r="E74" s="1044"/>
      <c r="F74" s="1050"/>
      <c r="G74" s="551"/>
      <c r="H74" s="562"/>
      <c r="I74" s="33"/>
      <c r="J74" s="33"/>
      <c r="K74" s="33"/>
    </row>
    <row r="75" spans="1:11" x14ac:dyDescent="0.25">
      <c r="A75" s="290"/>
      <c r="B75" s="288"/>
      <c r="C75" s="1061"/>
      <c r="D75" s="291"/>
      <c r="E75" s="1044"/>
      <c r="F75" s="1050"/>
      <c r="G75" s="563"/>
      <c r="H75" s="562"/>
      <c r="I75" s="33"/>
      <c r="J75" s="33"/>
      <c r="K75" s="33"/>
    </row>
    <row r="76" spans="1:11" x14ac:dyDescent="0.25">
      <c r="A76" s="290"/>
      <c r="B76" s="288"/>
      <c r="C76" s="1061"/>
      <c r="D76" s="291"/>
      <c r="E76" s="1044"/>
      <c r="F76" s="1050"/>
      <c r="G76" s="563"/>
      <c r="H76" s="564"/>
      <c r="I76" s="33"/>
      <c r="J76" s="33"/>
      <c r="K76" s="33"/>
    </row>
    <row r="77" spans="1:11" x14ac:dyDescent="0.25">
      <c r="A77" s="290"/>
      <c r="B77" s="288"/>
      <c r="C77" s="1061"/>
      <c r="D77" s="291"/>
      <c r="E77" s="1044"/>
      <c r="F77" s="1050"/>
      <c r="G77" s="33"/>
      <c r="H77" s="33"/>
      <c r="I77" s="33"/>
      <c r="J77" s="33"/>
      <c r="K77" s="33"/>
    </row>
    <row r="78" spans="1:11" x14ac:dyDescent="0.25">
      <c r="A78" s="290"/>
      <c r="B78" s="288"/>
      <c r="C78" s="1061"/>
      <c r="D78" s="291"/>
      <c r="E78" s="1044"/>
      <c r="F78" s="1050"/>
      <c r="G78" s="33"/>
      <c r="H78" s="33"/>
      <c r="I78" s="33"/>
      <c r="J78" s="33"/>
      <c r="K78" s="33"/>
    </row>
    <row r="79" spans="1:11" x14ac:dyDescent="0.25">
      <c r="A79" s="290"/>
      <c r="B79" s="288"/>
      <c r="C79" s="1061"/>
      <c r="D79" s="291"/>
      <c r="E79" s="1044"/>
    </row>
    <row r="80" spans="1:11" x14ac:dyDescent="0.25">
      <c r="A80" s="290"/>
      <c r="B80" s="288"/>
      <c r="C80" s="1061"/>
      <c r="D80" s="291"/>
      <c r="E80" s="1044"/>
    </row>
    <row r="81" spans="1:5" x14ac:dyDescent="0.25">
      <c r="A81" s="290"/>
      <c r="B81" s="288"/>
      <c r="C81" s="1061"/>
      <c r="D81" s="291"/>
      <c r="E81" s="1044"/>
    </row>
    <row r="82" spans="1:5" x14ac:dyDescent="0.25">
      <c r="A82" s="290"/>
      <c r="B82" s="288"/>
      <c r="C82" s="1061"/>
      <c r="D82" s="291"/>
      <c r="E82" s="1044"/>
    </row>
    <row r="83" spans="1:5" x14ac:dyDescent="0.25">
      <c r="A83" s="290"/>
      <c r="B83" s="288"/>
      <c r="C83" s="1061"/>
      <c r="D83" s="291"/>
      <c r="E83" s="1044"/>
    </row>
    <row r="84" spans="1:5" x14ac:dyDescent="0.25">
      <c r="A84" s="290"/>
      <c r="B84" s="288"/>
      <c r="C84" s="1061"/>
      <c r="D84" s="291"/>
      <c r="E84" s="1044"/>
    </row>
    <row r="85" spans="1:5" x14ac:dyDescent="0.25">
      <c r="A85" s="290"/>
      <c r="B85" s="288"/>
      <c r="C85" s="1061"/>
      <c r="D85" s="291"/>
      <c r="E85" s="1044"/>
    </row>
    <row r="86" spans="1:5" x14ac:dyDescent="0.25">
      <c r="A86" s="290"/>
      <c r="B86" s="288"/>
      <c r="C86" s="1061"/>
      <c r="D86" s="291"/>
      <c r="E86" s="1044"/>
    </row>
    <row r="87" spans="1:5" x14ac:dyDescent="0.25">
      <c r="A87" s="290"/>
      <c r="B87" s="288"/>
      <c r="C87" s="1061"/>
      <c r="D87" s="291"/>
      <c r="E87" s="1044"/>
    </row>
    <row r="88" spans="1:5" x14ac:dyDescent="0.25">
      <c r="A88" s="290"/>
      <c r="B88" s="288"/>
      <c r="C88" s="1061"/>
      <c r="D88" s="291"/>
      <c r="E88" s="1044"/>
    </row>
    <row r="89" spans="1:5" x14ac:dyDescent="0.25">
      <c r="A89" s="290"/>
      <c r="B89" s="288"/>
      <c r="C89" s="1061"/>
      <c r="D89" s="291"/>
      <c r="E89" s="1044"/>
    </row>
    <row r="90" spans="1:5" x14ac:dyDescent="0.25">
      <c r="A90" s="290"/>
      <c r="B90" s="288"/>
      <c r="C90" s="1061"/>
      <c r="D90" s="291"/>
      <c r="E90" s="1044"/>
    </row>
    <row r="91" spans="1:5" x14ac:dyDescent="0.25">
      <c r="A91" s="290"/>
      <c r="B91" s="288"/>
      <c r="C91" s="1061"/>
      <c r="D91" s="291"/>
      <c r="E91" s="1044"/>
    </row>
    <row r="92" spans="1:5" x14ac:dyDescent="0.25">
      <c r="A92" s="290"/>
      <c r="B92" s="288"/>
      <c r="C92" s="1061"/>
      <c r="D92" s="291"/>
      <c r="E92" s="1044"/>
    </row>
    <row r="93" spans="1:5" x14ac:dyDescent="0.25">
      <c r="A93" s="290"/>
      <c r="B93" s="288"/>
      <c r="C93" s="1061"/>
      <c r="D93" s="291"/>
      <c r="E93" s="1044"/>
    </row>
    <row r="94" spans="1:5" x14ac:dyDescent="0.25">
      <c r="A94" s="290"/>
      <c r="B94" s="288"/>
      <c r="C94" s="1061"/>
      <c r="D94" s="291"/>
      <c r="E94" s="1044"/>
    </row>
    <row r="95" spans="1:5" x14ac:dyDescent="0.25">
      <c r="A95" s="290"/>
      <c r="B95" s="288"/>
      <c r="C95" s="1061"/>
      <c r="D95" s="291"/>
      <c r="E95" s="1044"/>
    </row>
    <row r="96" spans="1:5" x14ac:dyDescent="0.25">
      <c r="A96" s="290"/>
      <c r="B96" s="288"/>
      <c r="C96" s="1061"/>
      <c r="D96" s="291"/>
      <c r="E96" s="1044"/>
    </row>
    <row r="97" spans="1:5" x14ac:dyDescent="0.25">
      <c r="A97" s="290"/>
      <c r="B97" s="288"/>
      <c r="C97" s="1061"/>
      <c r="D97" s="291"/>
      <c r="E97" s="1044"/>
    </row>
    <row r="98" spans="1:5" x14ac:dyDescent="0.25">
      <c r="A98" s="290"/>
      <c r="B98" s="288"/>
      <c r="C98" s="1061"/>
      <c r="D98" s="291"/>
      <c r="E98" s="1044"/>
    </row>
    <row r="99" spans="1:5" x14ac:dyDescent="0.25">
      <c r="A99" s="290"/>
      <c r="B99" s="288"/>
      <c r="C99" s="1061"/>
      <c r="D99" s="291"/>
      <c r="E99" s="1044"/>
    </row>
    <row r="100" spans="1:5" x14ac:dyDescent="0.25">
      <c r="A100" s="290"/>
      <c r="B100" s="288"/>
      <c r="C100" s="1061"/>
      <c r="D100" s="291"/>
      <c r="E100" s="1044"/>
    </row>
    <row r="101" spans="1:5" x14ac:dyDescent="0.25">
      <c r="A101" s="290"/>
      <c r="B101" s="288"/>
      <c r="C101" s="1061"/>
      <c r="D101" s="291"/>
      <c r="E101" s="1044"/>
    </row>
    <row r="102" spans="1:5" x14ac:dyDescent="0.25">
      <c r="A102" s="290"/>
      <c r="B102" s="288"/>
      <c r="C102" s="1061"/>
      <c r="D102" s="291"/>
      <c r="E102" s="1044"/>
    </row>
    <row r="103" spans="1:5" x14ac:dyDescent="0.25">
      <c r="A103" s="290"/>
      <c r="B103" s="288"/>
      <c r="C103" s="1061"/>
      <c r="D103" s="291"/>
      <c r="E103" s="1044"/>
    </row>
    <row r="104" spans="1:5" x14ac:dyDescent="0.25">
      <c r="A104" s="290"/>
      <c r="B104" s="288"/>
      <c r="C104" s="1061"/>
      <c r="D104" s="291"/>
      <c r="E104" s="1044"/>
    </row>
    <row r="105" spans="1:5" x14ac:dyDescent="0.25">
      <c r="A105" s="290"/>
      <c r="B105" s="288"/>
      <c r="C105" s="1061"/>
      <c r="D105" s="291"/>
      <c r="E105" s="1044"/>
    </row>
    <row r="106" spans="1:5" x14ac:dyDescent="0.25">
      <c r="A106" s="290"/>
      <c r="B106" s="288"/>
      <c r="C106" s="1061"/>
      <c r="D106" s="291"/>
      <c r="E106" s="1044"/>
    </row>
    <row r="107" spans="1:5" x14ac:dyDescent="0.25">
      <c r="A107" s="290"/>
      <c r="B107" s="288"/>
      <c r="C107" s="1061"/>
      <c r="D107" s="291"/>
      <c r="E107" s="1044"/>
    </row>
    <row r="108" spans="1:5" x14ac:dyDescent="0.25">
      <c r="A108" s="290"/>
      <c r="B108" s="288"/>
      <c r="C108" s="1061"/>
      <c r="D108" s="291"/>
      <c r="E108" s="1044"/>
    </row>
    <row r="109" spans="1:5" x14ac:dyDescent="0.25">
      <c r="A109" s="290"/>
      <c r="B109" s="288"/>
      <c r="C109" s="1061"/>
      <c r="D109" s="291"/>
      <c r="E109" s="1044"/>
    </row>
    <row r="110" spans="1:5" x14ac:dyDescent="0.25">
      <c r="A110" s="290"/>
      <c r="B110" s="288"/>
      <c r="C110" s="1061"/>
      <c r="D110" s="291"/>
      <c r="E110" s="1044"/>
    </row>
    <row r="111" spans="1:5" x14ac:dyDescent="0.25">
      <c r="A111" s="290"/>
      <c r="B111" s="288"/>
      <c r="C111" s="1061"/>
      <c r="D111" s="291"/>
      <c r="E111" s="1044"/>
    </row>
    <row r="112" spans="1:5" x14ac:dyDescent="0.25">
      <c r="A112" s="290"/>
      <c r="B112" s="288"/>
      <c r="C112" s="1061"/>
      <c r="D112" s="291"/>
      <c r="E112" s="1044"/>
    </row>
    <row r="113" spans="1:5" x14ac:dyDescent="0.25">
      <c r="A113" s="290"/>
      <c r="B113" s="288"/>
      <c r="C113" s="1061"/>
      <c r="D113" s="291"/>
      <c r="E113" s="1044"/>
    </row>
    <row r="114" spans="1:5" x14ac:dyDescent="0.25">
      <c r="A114" s="290"/>
      <c r="B114" s="288"/>
      <c r="C114" s="1061"/>
      <c r="D114" s="291"/>
      <c r="E114" s="1044"/>
    </row>
    <row r="115" spans="1:5" x14ac:dyDescent="0.25">
      <c r="A115" s="290"/>
      <c r="B115" s="288"/>
      <c r="C115" s="1061"/>
      <c r="D115" s="291"/>
      <c r="E115" s="1044"/>
    </row>
    <row r="116" spans="1:5" x14ac:dyDescent="0.25">
      <c r="A116" s="290"/>
      <c r="B116" s="288"/>
      <c r="C116" s="1061"/>
      <c r="D116" s="291"/>
      <c r="E116" s="1044"/>
    </row>
    <row r="117" spans="1:5" x14ac:dyDescent="0.25">
      <c r="A117" s="290"/>
      <c r="B117" s="288"/>
      <c r="C117" s="1061"/>
      <c r="D117" s="291"/>
      <c r="E117" s="1044"/>
    </row>
    <row r="118" spans="1:5" x14ac:dyDescent="0.25">
      <c r="A118" s="290"/>
      <c r="B118" s="288"/>
      <c r="C118" s="1061"/>
      <c r="D118" s="291"/>
      <c r="E118" s="1044"/>
    </row>
    <row r="119" spans="1:5" x14ac:dyDescent="0.25">
      <c r="A119" s="290"/>
      <c r="B119" s="288"/>
      <c r="C119" s="1061"/>
      <c r="D119" s="291"/>
      <c r="E119" s="1044"/>
    </row>
    <row r="120" spans="1:5" x14ac:dyDescent="0.25">
      <c r="A120" s="290"/>
      <c r="B120" s="288"/>
      <c r="C120" s="1061"/>
      <c r="D120" s="291"/>
      <c r="E120" s="1044"/>
    </row>
    <row r="121" spans="1:5" x14ac:dyDescent="0.25">
      <c r="A121" s="290"/>
      <c r="B121" s="288"/>
      <c r="C121" s="1061"/>
      <c r="D121" s="291"/>
      <c r="E121" s="1044"/>
    </row>
    <row r="122" spans="1:5" x14ac:dyDescent="0.25">
      <c r="A122" s="290"/>
      <c r="B122" s="288"/>
      <c r="C122" s="1061"/>
      <c r="D122" s="291"/>
      <c r="E122" s="1044"/>
    </row>
    <row r="123" spans="1:5" x14ac:dyDescent="0.25">
      <c r="A123" s="290"/>
      <c r="B123" s="288"/>
      <c r="C123" s="1061"/>
      <c r="D123" s="291"/>
      <c r="E123" s="1044"/>
    </row>
    <row r="124" spans="1:5" x14ac:dyDescent="0.25">
      <c r="A124" s="290"/>
      <c r="B124" s="288"/>
      <c r="C124" s="1061"/>
      <c r="D124" s="291"/>
      <c r="E124" s="1044"/>
    </row>
    <row r="125" spans="1:5" x14ac:dyDescent="0.25">
      <c r="A125" s="290"/>
      <c r="B125" s="288"/>
      <c r="C125" s="1061"/>
      <c r="D125" s="291"/>
      <c r="E125" s="1044"/>
    </row>
    <row r="126" spans="1:5" x14ac:dyDescent="0.25">
      <c r="A126" s="290"/>
      <c r="B126" s="288"/>
      <c r="C126" s="1061"/>
      <c r="D126" s="291"/>
      <c r="E126" s="1044"/>
    </row>
    <row r="127" spans="1:5" x14ac:dyDescent="0.25">
      <c r="A127" s="290"/>
      <c r="B127" s="288"/>
      <c r="C127" s="1061"/>
      <c r="D127" s="291"/>
      <c r="E127" s="1044"/>
    </row>
    <row r="128" spans="1:5" x14ac:dyDescent="0.25">
      <c r="A128" s="290"/>
      <c r="B128" s="288"/>
      <c r="C128" s="1061"/>
      <c r="D128" s="291"/>
      <c r="E128" s="1044"/>
    </row>
    <row r="129" spans="1:5" x14ac:dyDescent="0.25">
      <c r="A129" s="290"/>
      <c r="B129" s="288"/>
      <c r="C129" s="1061"/>
      <c r="D129" s="291"/>
      <c r="E129" s="1044"/>
    </row>
    <row r="130" spans="1:5" x14ac:dyDescent="0.25">
      <c r="A130" s="290"/>
      <c r="B130" s="288"/>
      <c r="C130" s="1061"/>
      <c r="D130" s="291"/>
      <c r="E130" s="1044"/>
    </row>
    <row r="131" spans="1:5" x14ac:dyDescent="0.25">
      <c r="A131" s="290"/>
      <c r="B131" s="288"/>
      <c r="C131" s="1061"/>
      <c r="D131" s="291"/>
      <c r="E131" s="1044"/>
    </row>
    <row r="132" spans="1:5" x14ac:dyDescent="0.25">
      <c r="A132" s="290"/>
      <c r="B132" s="288"/>
      <c r="C132" s="1061"/>
      <c r="D132" s="291"/>
      <c r="E132" s="1044"/>
    </row>
    <row r="133" spans="1:5" x14ac:dyDescent="0.25">
      <c r="A133" s="290"/>
      <c r="B133" s="288"/>
      <c r="C133" s="1061"/>
      <c r="D133" s="291"/>
      <c r="E133" s="1044"/>
    </row>
    <row r="134" spans="1:5" x14ac:dyDescent="0.25">
      <c r="A134" s="290"/>
      <c r="B134" s="288"/>
      <c r="C134" s="1061"/>
      <c r="D134" s="291"/>
      <c r="E134" s="1044"/>
    </row>
    <row r="135" spans="1:5" x14ac:dyDescent="0.25">
      <c r="A135" s="290"/>
      <c r="B135" s="288"/>
      <c r="C135" s="1061"/>
      <c r="D135" s="291"/>
      <c r="E135" s="1044"/>
    </row>
    <row r="136" spans="1:5" x14ac:dyDescent="0.25">
      <c r="A136" s="290"/>
      <c r="B136" s="288"/>
      <c r="C136" s="1061"/>
      <c r="D136" s="291"/>
      <c r="E136" s="1044"/>
    </row>
    <row r="137" spans="1:5" x14ac:dyDescent="0.25">
      <c r="A137" s="290"/>
      <c r="B137" s="288"/>
      <c r="C137" s="1061"/>
      <c r="D137" s="291"/>
      <c r="E137" s="1044"/>
    </row>
    <row r="138" spans="1:5" x14ac:dyDescent="0.25">
      <c r="A138" s="290"/>
      <c r="B138" s="288"/>
      <c r="C138" s="1061"/>
      <c r="D138" s="291"/>
      <c r="E138" s="1044"/>
    </row>
    <row r="139" spans="1:5" x14ac:dyDescent="0.25">
      <c r="A139" s="290"/>
      <c r="B139" s="288"/>
      <c r="C139" s="1061"/>
      <c r="D139" s="291"/>
      <c r="E139" s="1044"/>
    </row>
    <row r="140" spans="1:5" x14ac:dyDescent="0.25">
      <c r="A140" s="290"/>
      <c r="B140" s="288"/>
      <c r="C140" s="1061"/>
      <c r="D140" s="291"/>
      <c r="E140" s="1044"/>
    </row>
    <row r="141" spans="1:5" x14ac:dyDescent="0.25">
      <c r="A141" s="290"/>
      <c r="B141" s="288"/>
      <c r="C141" s="1061"/>
      <c r="D141" s="291"/>
      <c r="E141" s="1044"/>
    </row>
    <row r="142" spans="1:5" x14ac:dyDescent="0.25">
      <c r="A142" s="290"/>
      <c r="B142" s="288"/>
      <c r="C142" s="1061"/>
      <c r="D142" s="291"/>
      <c r="E142" s="1044"/>
    </row>
    <row r="143" spans="1:5" x14ac:dyDescent="0.25">
      <c r="A143" s="290"/>
      <c r="B143" s="288"/>
      <c r="C143" s="1061"/>
      <c r="D143" s="291"/>
      <c r="E143" s="1044"/>
    </row>
    <row r="144" spans="1:5" x14ac:dyDescent="0.25">
      <c r="A144" s="290"/>
      <c r="B144" s="288"/>
      <c r="C144" s="1061"/>
      <c r="D144" s="291"/>
      <c r="E144" s="1044"/>
    </row>
    <row r="145" spans="1:5" x14ac:dyDescent="0.25">
      <c r="A145" s="290"/>
      <c r="B145" s="288"/>
      <c r="C145" s="1061"/>
      <c r="D145" s="291"/>
      <c r="E145" s="1044"/>
    </row>
    <row r="146" spans="1:5" x14ac:dyDescent="0.25">
      <c r="A146" s="290"/>
      <c r="B146" s="288"/>
      <c r="C146" s="1061"/>
      <c r="D146" s="291"/>
      <c r="E146" s="1044"/>
    </row>
    <row r="147" spans="1:5" x14ac:dyDescent="0.25">
      <c r="A147" s="290"/>
      <c r="B147" s="288"/>
      <c r="C147" s="1061"/>
      <c r="D147" s="291"/>
      <c r="E147" s="1044"/>
    </row>
    <row r="148" spans="1:5" x14ac:dyDescent="0.25">
      <c r="A148" s="290"/>
      <c r="B148" s="288"/>
      <c r="C148" s="1061"/>
      <c r="D148" s="291"/>
      <c r="E148" s="1044"/>
    </row>
    <row r="149" spans="1:5" x14ac:dyDescent="0.25">
      <c r="A149" s="290"/>
      <c r="B149" s="288"/>
      <c r="C149" s="1061"/>
      <c r="D149" s="291"/>
      <c r="E149" s="1044"/>
    </row>
    <row r="150" spans="1:5" x14ac:dyDescent="0.25">
      <c r="A150" s="290"/>
      <c r="B150" s="288"/>
      <c r="C150" s="1061"/>
      <c r="D150" s="291"/>
      <c r="E150" s="1044"/>
    </row>
    <row r="151" spans="1:5" x14ac:dyDescent="0.25">
      <c r="A151" s="290"/>
      <c r="B151" s="288"/>
      <c r="C151" s="1061"/>
      <c r="D151" s="291"/>
      <c r="E151" s="1044"/>
    </row>
    <row r="152" spans="1:5" x14ac:dyDescent="0.25">
      <c r="A152" s="290"/>
      <c r="B152" s="288"/>
      <c r="C152" s="1061"/>
      <c r="D152" s="291"/>
      <c r="E152" s="1044"/>
    </row>
    <row r="153" spans="1:5" x14ac:dyDescent="0.25">
      <c r="A153" s="290"/>
      <c r="B153" s="288"/>
      <c r="C153" s="1061"/>
      <c r="D153" s="291"/>
      <c r="E153" s="1044"/>
    </row>
    <row r="154" spans="1:5" x14ac:dyDescent="0.25">
      <c r="A154" s="290"/>
      <c r="B154" s="288"/>
      <c r="C154" s="1061"/>
      <c r="D154" s="291"/>
      <c r="E154" s="1044"/>
    </row>
    <row r="155" spans="1:5" x14ac:dyDescent="0.25">
      <c r="A155" s="290"/>
      <c r="B155" s="288"/>
      <c r="C155" s="1061"/>
      <c r="D155" s="291"/>
      <c r="E155" s="1044"/>
    </row>
    <row r="156" spans="1:5" x14ac:dyDescent="0.25">
      <c r="A156" s="290"/>
      <c r="B156" s="288"/>
      <c r="C156" s="1061"/>
      <c r="D156" s="291"/>
      <c r="E156" s="1044"/>
    </row>
    <row r="157" spans="1:5" x14ac:dyDescent="0.25">
      <c r="A157" s="290"/>
      <c r="B157" s="288"/>
      <c r="C157" s="1061"/>
      <c r="D157" s="291"/>
      <c r="E157" s="1044"/>
    </row>
    <row r="158" spans="1:5" x14ac:dyDescent="0.25">
      <c r="A158" s="290"/>
      <c r="B158" s="288"/>
      <c r="C158" s="1061"/>
      <c r="D158" s="291"/>
      <c r="E158" s="1044"/>
    </row>
    <row r="159" spans="1:5" x14ac:dyDescent="0.25">
      <c r="A159" s="290"/>
      <c r="B159" s="288"/>
      <c r="C159" s="1061"/>
      <c r="D159" s="291"/>
      <c r="E159" s="1044"/>
    </row>
    <row r="160" spans="1:5" x14ac:dyDescent="0.25">
      <c r="A160" s="290"/>
      <c r="B160" s="288"/>
      <c r="C160" s="1061"/>
      <c r="D160" s="291"/>
      <c r="E160" s="1044"/>
    </row>
    <row r="161" spans="1:5" x14ac:dyDescent="0.25">
      <c r="A161" s="290"/>
      <c r="B161" s="288"/>
      <c r="C161" s="1061"/>
      <c r="D161" s="291"/>
      <c r="E161" s="1044"/>
    </row>
    <row r="162" spans="1:5" x14ac:dyDescent="0.25">
      <c r="A162" s="290"/>
      <c r="B162" s="288"/>
      <c r="C162" s="1061"/>
      <c r="D162" s="291"/>
      <c r="E162" s="1044"/>
    </row>
    <row r="163" spans="1:5" x14ac:dyDescent="0.25">
      <c r="A163" s="290"/>
      <c r="B163" s="288"/>
      <c r="C163" s="1061"/>
      <c r="D163" s="291"/>
      <c r="E163" s="1044"/>
    </row>
    <row r="164" spans="1:5" x14ac:dyDescent="0.25">
      <c r="A164" s="290"/>
      <c r="B164" s="288"/>
      <c r="C164" s="1061"/>
      <c r="D164" s="291"/>
      <c r="E164" s="1044"/>
    </row>
    <row r="165" spans="1:5" x14ac:dyDescent="0.25">
      <c r="A165" s="290"/>
      <c r="B165" s="288"/>
      <c r="C165" s="1061"/>
      <c r="D165" s="291"/>
      <c r="E165" s="1044"/>
    </row>
    <row r="166" spans="1:5" x14ac:dyDescent="0.25">
      <c r="A166" s="290"/>
      <c r="B166" s="288"/>
      <c r="C166" s="1061"/>
      <c r="D166" s="291"/>
      <c r="E166" s="1044"/>
    </row>
    <row r="167" spans="1:5" x14ac:dyDescent="0.25">
      <c r="A167" s="290"/>
      <c r="B167" s="288"/>
      <c r="C167" s="1061"/>
      <c r="D167" s="291"/>
      <c r="E167" s="1044"/>
    </row>
    <row r="168" spans="1:5" x14ac:dyDescent="0.25">
      <c r="A168" s="290"/>
      <c r="B168" s="288"/>
      <c r="C168" s="1061"/>
      <c r="D168" s="291"/>
      <c r="E168" s="1044"/>
    </row>
    <row r="169" spans="1:5" x14ac:dyDescent="0.25">
      <c r="A169" s="290"/>
      <c r="B169" s="288"/>
      <c r="C169" s="1061"/>
      <c r="D169" s="291"/>
      <c r="E169" s="1044"/>
    </row>
    <row r="170" spans="1:5" x14ac:dyDescent="0.25">
      <c r="A170" s="290"/>
      <c r="B170" s="288"/>
      <c r="C170" s="1061"/>
      <c r="D170" s="291"/>
      <c r="E170" s="1044"/>
    </row>
    <row r="171" spans="1:5" x14ac:dyDescent="0.25">
      <c r="A171" s="290"/>
      <c r="B171" s="288"/>
      <c r="C171" s="1061"/>
      <c r="D171" s="291"/>
      <c r="E171" s="1044"/>
    </row>
    <row r="172" spans="1:5" x14ac:dyDescent="0.25">
      <c r="A172" s="290"/>
      <c r="B172" s="288"/>
      <c r="C172" s="1061"/>
      <c r="D172" s="291"/>
      <c r="E172" s="1044"/>
    </row>
    <row r="173" spans="1:5" x14ac:dyDescent="0.25">
      <c r="A173" s="290"/>
      <c r="B173" s="288"/>
      <c r="C173" s="1061"/>
      <c r="D173" s="291"/>
      <c r="E173" s="1044"/>
    </row>
    <row r="174" spans="1:5" x14ac:dyDescent="0.25">
      <c r="A174" s="290"/>
      <c r="B174" s="288"/>
      <c r="C174" s="1061"/>
      <c r="D174" s="291"/>
      <c r="E174" s="1044"/>
    </row>
    <row r="175" spans="1:5" x14ac:dyDescent="0.25">
      <c r="A175" s="290"/>
      <c r="B175" s="288"/>
      <c r="C175" s="1061"/>
      <c r="D175" s="291"/>
      <c r="E175" s="1044"/>
    </row>
    <row r="176" spans="1:5" x14ac:dyDescent="0.25">
      <c r="A176" s="290"/>
      <c r="B176" s="288"/>
      <c r="C176" s="1061"/>
      <c r="D176" s="291"/>
      <c r="E176" s="1044"/>
    </row>
    <row r="177" spans="1:5" x14ac:dyDescent="0.25">
      <c r="A177" s="290"/>
      <c r="B177" s="288"/>
      <c r="C177" s="1061"/>
      <c r="D177" s="291"/>
      <c r="E177" s="1044"/>
    </row>
    <row r="178" spans="1:5" x14ac:dyDescent="0.25">
      <c r="A178" s="290"/>
      <c r="B178" s="288"/>
      <c r="C178" s="1061"/>
      <c r="D178" s="291"/>
      <c r="E178" s="1044"/>
    </row>
    <row r="179" spans="1:5" x14ac:dyDescent="0.25">
      <c r="A179" s="290"/>
      <c r="B179" s="288"/>
      <c r="C179" s="1061"/>
      <c r="D179" s="291"/>
      <c r="E179" s="1044"/>
    </row>
    <row r="180" spans="1:5" x14ac:dyDescent="0.25">
      <c r="A180" s="290"/>
      <c r="B180" s="288"/>
      <c r="C180" s="1061"/>
      <c r="D180" s="291"/>
      <c r="E180" s="1044"/>
    </row>
    <row r="181" spans="1:5" x14ac:dyDescent="0.25">
      <c r="A181" s="290"/>
      <c r="B181" s="288"/>
      <c r="C181" s="1061"/>
      <c r="D181" s="291"/>
      <c r="E181" s="1044"/>
    </row>
    <row r="182" spans="1:5" x14ac:dyDescent="0.25">
      <c r="A182" s="290"/>
      <c r="B182" s="288"/>
      <c r="C182" s="1061"/>
      <c r="D182" s="291"/>
      <c r="E182" s="1044"/>
    </row>
    <row r="183" spans="1:5" x14ac:dyDescent="0.25">
      <c r="A183" s="290"/>
      <c r="B183" s="288"/>
      <c r="C183" s="1061"/>
      <c r="D183" s="291"/>
      <c r="E183" s="1044"/>
    </row>
    <row r="184" spans="1:5" x14ac:dyDescent="0.25">
      <c r="A184" s="290"/>
      <c r="B184" s="288"/>
      <c r="C184" s="1061"/>
      <c r="D184" s="291"/>
      <c r="E184" s="1044"/>
    </row>
    <row r="185" spans="1:5" x14ac:dyDescent="0.25">
      <c r="A185" s="290"/>
      <c r="B185" s="288"/>
      <c r="C185" s="1061"/>
      <c r="D185" s="291"/>
      <c r="E185" s="1044"/>
    </row>
    <row r="186" spans="1:5" x14ac:dyDescent="0.25">
      <c r="A186" s="290"/>
      <c r="B186" s="288"/>
      <c r="C186" s="1061"/>
      <c r="D186" s="291"/>
      <c r="E186" s="1044"/>
    </row>
    <row r="187" spans="1:5" x14ac:dyDescent="0.25">
      <c r="A187" s="290"/>
      <c r="B187" s="288"/>
      <c r="C187" s="1061"/>
      <c r="D187" s="291"/>
      <c r="E187" s="1044"/>
    </row>
    <row r="188" spans="1:5" x14ac:dyDescent="0.25">
      <c r="A188" s="290"/>
      <c r="B188" s="288"/>
      <c r="C188" s="1061"/>
      <c r="D188" s="291"/>
      <c r="E188" s="1044"/>
    </row>
    <row r="189" spans="1:5" x14ac:dyDescent="0.25">
      <c r="A189" s="290"/>
      <c r="B189" s="288"/>
      <c r="C189" s="1061"/>
      <c r="D189" s="291"/>
      <c r="E189" s="1044"/>
    </row>
    <row r="190" spans="1:5" x14ac:dyDescent="0.25">
      <c r="A190" s="290"/>
      <c r="B190" s="288"/>
      <c r="C190" s="1061"/>
      <c r="D190" s="291"/>
      <c r="E190" s="1044"/>
    </row>
    <row r="191" spans="1:5" x14ac:dyDescent="0.25">
      <c r="A191" s="290"/>
      <c r="B191" s="288"/>
      <c r="C191" s="1061"/>
      <c r="D191" s="291"/>
      <c r="E191" s="1044"/>
    </row>
    <row r="192" spans="1:5" x14ac:dyDescent="0.25">
      <c r="A192" s="290"/>
      <c r="B192" s="288"/>
      <c r="C192" s="1061"/>
      <c r="D192" s="291"/>
      <c r="E192" s="1044"/>
    </row>
    <row r="193" spans="1:5" x14ac:dyDescent="0.25">
      <c r="A193" s="290"/>
      <c r="B193" s="288"/>
      <c r="C193" s="1061"/>
      <c r="D193" s="291"/>
      <c r="E193" s="1044"/>
    </row>
    <row r="194" spans="1:5" x14ac:dyDescent="0.25">
      <c r="A194" s="290"/>
      <c r="B194" s="288"/>
      <c r="C194" s="1061"/>
      <c r="D194" s="291"/>
      <c r="E194" s="1044"/>
    </row>
    <row r="195" spans="1:5" x14ac:dyDescent="0.25">
      <c r="A195" s="290"/>
      <c r="B195" s="288"/>
      <c r="C195" s="1061"/>
      <c r="D195" s="291"/>
      <c r="E195" s="1044"/>
    </row>
    <row r="196" spans="1:5" x14ac:dyDescent="0.25">
      <c r="A196" s="290"/>
      <c r="B196" s="288"/>
      <c r="C196" s="1061"/>
      <c r="D196" s="291"/>
      <c r="E196" s="1044"/>
    </row>
    <row r="197" spans="1:5" x14ac:dyDescent="0.25">
      <c r="A197" s="290"/>
      <c r="B197" s="288"/>
      <c r="C197" s="1061"/>
      <c r="D197" s="291"/>
      <c r="E197" s="1044"/>
    </row>
    <row r="198" spans="1:5" x14ac:dyDescent="0.25">
      <c r="A198" s="290"/>
      <c r="B198" s="288"/>
      <c r="C198" s="1061"/>
      <c r="D198" s="291"/>
      <c r="E198" s="1044"/>
    </row>
    <row r="199" spans="1:5" x14ac:dyDescent="0.25">
      <c r="A199" s="290"/>
      <c r="B199" s="288"/>
      <c r="C199" s="1061"/>
      <c r="D199" s="291"/>
      <c r="E199" s="1044"/>
    </row>
    <row r="200" spans="1:5" x14ac:dyDescent="0.25">
      <c r="A200" s="290"/>
      <c r="B200" s="288"/>
      <c r="C200" s="1061"/>
      <c r="D200" s="291"/>
      <c r="E200" s="1044"/>
    </row>
    <row r="201" spans="1:5" x14ac:dyDescent="0.25">
      <c r="A201" s="290"/>
      <c r="B201" s="288"/>
      <c r="C201" s="1061"/>
      <c r="D201" s="291"/>
      <c r="E201" s="1044"/>
    </row>
    <row r="202" spans="1:5" x14ac:dyDescent="0.25">
      <c r="A202" s="290"/>
      <c r="B202" s="288"/>
      <c r="C202" s="1061"/>
      <c r="D202" s="291"/>
      <c r="E202" s="1044"/>
    </row>
    <row r="203" spans="1:5" x14ac:dyDescent="0.25">
      <c r="A203" s="290"/>
      <c r="B203" s="288"/>
      <c r="C203" s="1061"/>
      <c r="D203" s="291"/>
      <c r="E203" s="1044"/>
    </row>
    <row r="204" spans="1:5" x14ac:dyDescent="0.25">
      <c r="A204" s="290"/>
      <c r="B204" s="288"/>
      <c r="C204" s="1061"/>
      <c r="D204" s="291"/>
      <c r="E204" s="1044"/>
    </row>
    <row r="205" spans="1:5" x14ac:dyDescent="0.25">
      <c r="A205" s="290"/>
      <c r="B205" s="288"/>
      <c r="C205" s="1061"/>
      <c r="D205" s="291"/>
      <c r="E205" s="1044"/>
    </row>
    <row r="206" spans="1:5" x14ac:dyDescent="0.25">
      <c r="A206" s="290"/>
      <c r="B206" s="288"/>
      <c r="C206" s="1061"/>
      <c r="D206" s="291"/>
      <c r="E206" s="1044"/>
    </row>
    <row r="207" spans="1:5" x14ac:dyDescent="0.25">
      <c r="A207" s="290"/>
      <c r="B207" s="288"/>
      <c r="C207" s="1061"/>
      <c r="D207" s="291"/>
      <c r="E207" s="1044"/>
    </row>
    <row r="208" spans="1:5" x14ac:dyDescent="0.25">
      <c r="A208" s="290"/>
      <c r="B208" s="288"/>
      <c r="C208" s="1061"/>
      <c r="D208" s="291"/>
      <c r="E208" s="1044"/>
    </row>
    <row r="209" spans="1:5" x14ac:dyDescent="0.25">
      <c r="A209" s="290"/>
      <c r="B209" s="288"/>
      <c r="C209" s="1061"/>
      <c r="D209" s="291"/>
      <c r="E209" s="1044"/>
    </row>
    <row r="210" spans="1:5" x14ac:dyDescent="0.25">
      <c r="A210" s="290"/>
      <c r="B210" s="288"/>
      <c r="C210" s="1061"/>
      <c r="D210" s="291"/>
      <c r="E210" s="1044"/>
    </row>
    <row r="211" spans="1:5" x14ac:dyDescent="0.25">
      <c r="A211" s="290"/>
      <c r="B211" s="288"/>
      <c r="C211" s="1061"/>
      <c r="D211" s="291"/>
      <c r="E211" s="1044"/>
    </row>
    <row r="212" spans="1:5" x14ac:dyDescent="0.25">
      <c r="A212" s="290"/>
      <c r="B212" s="288"/>
      <c r="C212" s="1061"/>
      <c r="D212" s="291"/>
      <c r="E212" s="1044"/>
    </row>
    <row r="213" spans="1:5" x14ac:dyDescent="0.25">
      <c r="A213" s="290"/>
      <c r="B213" s="288"/>
      <c r="C213" s="1061"/>
      <c r="D213" s="291"/>
      <c r="E213" s="1044"/>
    </row>
    <row r="214" spans="1:5" x14ac:dyDescent="0.25">
      <c r="A214" s="290"/>
      <c r="B214" s="288"/>
      <c r="C214" s="1061"/>
      <c r="D214" s="291"/>
      <c r="E214" s="1044"/>
    </row>
    <row r="215" spans="1:5" x14ac:dyDescent="0.25">
      <c r="A215" s="290"/>
      <c r="B215" s="288"/>
      <c r="C215" s="1061"/>
      <c r="D215" s="291"/>
      <c r="E215" s="1044"/>
    </row>
    <row r="216" spans="1:5" x14ac:dyDescent="0.25">
      <c r="A216" s="290"/>
      <c r="B216" s="288"/>
      <c r="C216" s="1061"/>
      <c r="D216" s="291"/>
      <c r="E216" s="1044"/>
    </row>
    <row r="217" spans="1:5" x14ac:dyDescent="0.25">
      <c r="A217" s="290"/>
      <c r="B217" s="288"/>
      <c r="C217" s="1061"/>
      <c r="D217" s="291"/>
      <c r="E217" s="1044"/>
    </row>
    <row r="218" spans="1:5" x14ac:dyDescent="0.25">
      <c r="A218" s="290"/>
      <c r="B218" s="288"/>
      <c r="C218" s="1061"/>
      <c r="D218" s="291"/>
      <c r="E218" s="1044"/>
    </row>
    <row r="219" spans="1:5" x14ac:dyDescent="0.25">
      <c r="A219" s="290"/>
      <c r="B219" s="288"/>
      <c r="C219" s="1061"/>
      <c r="D219" s="291"/>
      <c r="E219" s="1044"/>
    </row>
    <row r="220" spans="1:5" x14ac:dyDescent="0.25">
      <c r="A220" s="290"/>
      <c r="B220" s="288"/>
      <c r="C220" s="1061"/>
      <c r="D220" s="291"/>
      <c r="E220" s="1044"/>
    </row>
    <row r="221" spans="1:5" x14ac:dyDescent="0.25">
      <c r="A221" s="290"/>
      <c r="B221" s="288"/>
      <c r="C221" s="1061"/>
      <c r="D221" s="291"/>
      <c r="E221" s="1044"/>
    </row>
    <row r="222" spans="1:5" x14ac:dyDescent="0.25">
      <c r="A222" s="290"/>
      <c r="B222" s="288"/>
      <c r="C222" s="1061"/>
      <c r="D222" s="291"/>
      <c r="E222" s="1044"/>
    </row>
    <row r="223" spans="1:5" x14ac:dyDescent="0.25">
      <c r="A223" s="290"/>
      <c r="B223" s="288"/>
      <c r="C223" s="1061"/>
      <c r="D223" s="291"/>
      <c r="E223" s="1044"/>
    </row>
    <row r="224" spans="1:5" x14ac:dyDescent="0.25">
      <c r="A224" s="290"/>
      <c r="B224" s="288"/>
      <c r="C224" s="1061"/>
      <c r="D224" s="291"/>
      <c r="E224" s="1044"/>
    </row>
    <row r="225" spans="1:5" x14ac:dyDescent="0.25">
      <c r="A225" s="290"/>
      <c r="B225" s="288"/>
      <c r="C225" s="1061"/>
      <c r="D225" s="291"/>
      <c r="E225" s="1044"/>
    </row>
    <row r="226" spans="1:5" x14ac:dyDescent="0.25">
      <c r="A226" s="290"/>
      <c r="B226" s="288"/>
      <c r="C226" s="1061"/>
      <c r="D226" s="291"/>
      <c r="E226" s="1044"/>
    </row>
    <row r="227" spans="1:5" x14ac:dyDescent="0.25">
      <c r="A227" s="290"/>
      <c r="B227" s="288"/>
      <c r="C227" s="1061"/>
      <c r="D227" s="291"/>
      <c r="E227" s="1044"/>
    </row>
    <row r="228" spans="1:5" x14ac:dyDescent="0.25">
      <c r="A228" s="290"/>
      <c r="B228" s="288"/>
      <c r="C228" s="1061"/>
      <c r="D228" s="291"/>
      <c r="E228" s="1044"/>
    </row>
    <row r="229" spans="1:5" x14ac:dyDescent="0.25">
      <c r="A229" s="290"/>
      <c r="B229" s="288"/>
      <c r="C229" s="1061"/>
      <c r="D229" s="291"/>
      <c r="E229" s="1044"/>
    </row>
    <row r="230" spans="1:5" x14ac:dyDescent="0.25">
      <c r="A230" s="290"/>
      <c r="B230" s="288"/>
      <c r="C230" s="1061"/>
      <c r="D230" s="291"/>
      <c r="E230" s="1044"/>
    </row>
    <row r="231" spans="1:5" x14ac:dyDescent="0.25">
      <c r="A231" s="290"/>
      <c r="B231" s="288"/>
      <c r="C231" s="1061"/>
      <c r="D231" s="291"/>
      <c r="E231" s="1044"/>
    </row>
    <row r="232" spans="1:5" x14ac:dyDescent="0.25">
      <c r="A232" s="290"/>
      <c r="B232" s="288"/>
      <c r="C232" s="1061"/>
      <c r="D232" s="291"/>
      <c r="E232" s="1044"/>
    </row>
    <row r="233" spans="1:5" x14ac:dyDescent="0.25">
      <c r="A233" s="290"/>
      <c r="B233" s="288"/>
      <c r="C233" s="1061"/>
      <c r="D233" s="291"/>
      <c r="E233" s="1044"/>
    </row>
    <row r="234" spans="1:5" x14ac:dyDescent="0.25">
      <c r="A234" s="290"/>
      <c r="B234" s="288"/>
      <c r="C234" s="1061"/>
      <c r="D234" s="291"/>
      <c r="E234" s="1044"/>
    </row>
    <row r="235" spans="1:5" x14ac:dyDescent="0.25">
      <c r="A235" s="290"/>
      <c r="B235" s="288"/>
      <c r="C235" s="1061"/>
      <c r="D235" s="291"/>
      <c r="E235" s="1044"/>
    </row>
    <row r="236" spans="1:5" x14ac:dyDescent="0.25">
      <c r="A236" s="290"/>
      <c r="B236" s="288"/>
      <c r="C236" s="1061"/>
      <c r="D236" s="291"/>
      <c r="E236" s="1044"/>
    </row>
    <row r="237" spans="1:5" x14ac:dyDescent="0.25">
      <c r="A237" s="290"/>
      <c r="B237" s="288"/>
      <c r="C237" s="1061"/>
      <c r="D237" s="291"/>
      <c r="E237" s="1044"/>
    </row>
    <row r="238" spans="1:5" x14ac:dyDescent="0.25">
      <c r="A238" s="290"/>
      <c r="B238" s="288"/>
      <c r="C238" s="1061"/>
      <c r="D238" s="291"/>
      <c r="E238" s="1044"/>
    </row>
    <row r="239" spans="1:5" x14ac:dyDescent="0.25">
      <c r="A239" s="290"/>
      <c r="B239" s="288"/>
      <c r="C239" s="1061"/>
      <c r="D239" s="291"/>
      <c r="E239" s="1044"/>
    </row>
    <row r="240" spans="1:5" x14ac:dyDescent="0.25">
      <c r="A240" s="290"/>
      <c r="B240" s="288"/>
      <c r="C240" s="1061"/>
      <c r="D240" s="291"/>
      <c r="E240" s="1044"/>
    </row>
    <row r="241" spans="1:5" x14ac:dyDescent="0.25">
      <c r="A241" s="290"/>
      <c r="B241" s="288"/>
      <c r="C241" s="1061"/>
      <c r="D241" s="291"/>
      <c r="E241" s="1044"/>
    </row>
    <row r="242" spans="1:5" x14ac:dyDescent="0.25">
      <c r="A242" s="290"/>
      <c r="B242" s="288"/>
      <c r="C242" s="1061"/>
      <c r="D242" s="291"/>
      <c r="E242" s="1044"/>
    </row>
    <row r="243" spans="1:5" x14ac:dyDescent="0.25">
      <c r="A243" s="290"/>
      <c r="B243" s="288"/>
      <c r="C243" s="1061"/>
      <c r="D243" s="291"/>
      <c r="E243" s="1044"/>
    </row>
    <row r="244" spans="1:5" x14ac:dyDescent="0.25">
      <c r="A244" s="290"/>
      <c r="B244" s="288"/>
      <c r="C244" s="1061"/>
      <c r="D244" s="291"/>
      <c r="E244" s="1044"/>
    </row>
    <row r="245" spans="1:5" x14ac:dyDescent="0.25">
      <c r="A245" s="290"/>
      <c r="B245" s="288"/>
      <c r="C245" s="1061"/>
      <c r="D245" s="291"/>
      <c r="E245" s="1044"/>
    </row>
    <row r="246" spans="1:5" x14ac:dyDescent="0.25">
      <c r="A246" s="290"/>
      <c r="B246" s="288"/>
      <c r="C246" s="1061"/>
      <c r="D246" s="291"/>
      <c r="E246" s="1044"/>
    </row>
    <row r="247" spans="1:5" x14ac:dyDescent="0.25">
      <c r="A247" s="290"/>
      <c r="B247" s="288"/>
      <c r="C247" s="1061"/>
      <c r="D247" s="291"/>
      <c r="E247" s="1044"/>
    </row>
    <row r="248" spans="1:5" x14ac:dyDescent="0.25">
      <c r="A248" s="290"/>
      <c r="B248" s="288"/>
      <c r="C248" s="1061"/>
      <c r="D248" s="291"/>
      <c r="E248" s="1044"/>
    </row>
    <row r="249" spans="1:5" x14ac:dyDescent="0.25">
      <c r="A249" s="290"/>
      <c r="B249" s="288"/>
      <c r="C249" s="1061"/>
      <c r="D249" s="291"/>
      <c r="E249" s="1044"/>
    </row>
    <row r="250" spans="1:5" x14ac:dyDescent="0.25">
      <c r="A250" s="290"/>
      <c r="B250" s="288"/>
      <c r="C250" s="1061"/>
      <c r="D250" s="291"/>
      <c r="E250" s="1044"/>
    </row>
    <row r="251" spans="1:5" x14ac:dyDescent="0.25">
      <c r="A251" s="290"/>
      <c r="B251" s="288"/>
      <c r="C251" s="1061"/>
      <c r="D251" s="291"/>
      <c r="E251" s="1044"/>
    </row>
    <row r="252" spans="1:5" x14ac:dyDescent="0.25">
      <c r="A252" s="290"/>
      <c r="B252" s="288"/>
      <c r="C252" s="1061"/>
      <c r="D252" s="291"/>
      <c r="E252" s="1044"/>
    </row>
    <row r="253" spans="1:5" x14ac:dyDescent="0.25">
      <c r="A253" s="290"/>
      <c r="B253" s="288"/>
      <c r="C253" s="1061"/>
      <c r="D253" s="291"/>
      <c r="E253" s="1044"/>
    </row>
    <row r="254" spans="1:5" x14ac:dyDescent="0.25">
      <c r="A254" s="290"/>
      <c r="B254" s="288"/>
      <c r="C254" s="1061"/>
      <c r="D254" s="291"/>
      <c r="E254" s="1044"/>
    </row>
    <row r="255" spans="1:5" x14ac:dyDescent="0.25">
      <c r="A255" s="290"/>
      <c r="B255" s="288"/>
      <c r="C255" s="1061"/>
      <c r="D255" s="291"/>
      <c r="E255" s="1044"/>
    </row>
    <row r="256" spans="1:5" x14ac:dyDescent="0.25">
      <c r="A256" s="290"/>
      <c r="B256" s="288"/>
      <c r="C256" s="1061"/>
      <c r="D256" s="291"/>
      <c r="E256" s="1044"/>
    </row>
    <row r="257" spans="1:5" x14ac:dyDescent="0.25">
      <c r="A257" s="290"/>
      <c r="B257" s="288"/>
      <c r="C257" s="1061"/>
      <c r="D257" s="291"/>
      <c r="E257" s="1044"/>
    </row>
    <row r="258" spans="1:5" x14ac:dyDescent="0.25">
      <c r="A258" s="290"/>
      <c r="B258" s="288"/>
      <c r="C258" s="1061"/>
      <c r="D258" s="291"/>
      <c r="E258" s="1044"/>
    </row>
    <row r="259" spans="1:5" x14ac:dyDescent="0.25">
      <c r="A259" s="290"/>
      <c r="B259" s="288"/>
      <c r="C259" s="1061"/>
      <c r="D259" s="291"/>
      <c r="E259" s="1044"/>
    </row>
    <row r="260" spans="1:5" x14ac:dyDescent="0.25">
      <c r="A260" s="290"/>
      <c r="B260" s="288"/>
      <c r="C260" s="1061"/>
      <c r="D260" s="291"/>
      <c r="E260" s="1044"/>
    </row>
    <row r="261" spans="1:5" x14ac:dyDescent="0.25">
      <c r="A261" s="290"/>
      <c r="B261" s="288"/>
      <c r="C261" s="1061"/>
      <c r="D261" s="291"/>
      <c r="E261" s="1044"/>
    </row>
    <row r="262" spans="1:5" x14ac:dyDescent="0.25">
      <c r="A262" s="290"/>
      <c r="B262" s="288"/>
      <c r="C262" s="1061"/>
      <c r="D262" s="291"/>
      <c r="E262" s="1044"/>
    </row>
    <row r="263" spans="1:5" x14ac:dyDescent="0.25">
      <c r="A263" s="290"/>
      <c r="B263" s="288"/>
      <c r="C263" s="1061"/>
      <c r="D263" s="291"/>
      <c r="E263" s="1044"/>
    </row>
    <row r="264" spans="1:5" x14ac:dyDescent="0.25">
      <c r="A264" s="290"/>
      <c r="B264" s="288"/>
      <c r="C264" s="1061"/>
      <c r="D264" s="291"/>
      <c r="E264" s="1044"/>
    </row>
    <row r="265" spans="1:5" x14ac:dyDescent="0.25">
      <c r="A265" s="290"/>
      <c r="B265" s="288"/>
      <c r="C265" s="1061"/>
      <c r="D265" s="291"/>
      <c r="E265" s="1044"/>
    </row>
    <row r="266" spans="1:5" x14ac:dyDescent="0.25">
      <c r="A266" s="290"/>
      <c r="B266" s="288"/>
      <c r="C266" s="1061"/>
      <c r="D266" s="291"/>
      <c r="E266" s="1044"/>
    </row>
    <row r="267" spans="1:5" x14ac:dyDescent="0.25">
      <c r="A267" s="290"/>
      <c r="B267" s="288"/>
      <c r="C267" s="1061"/>
      <c r="D267" s="291"/>
      <c r="E267" s="1044"/>
    </row>
    <row r="268" spans="1:5" x14ac:dyDescent="0.25">
      <c r="A268" s="290"/>
      <c r="B268" s="288"/>
      <c r="C268" s="1061"/>
      <c r="D268" s="291"/>
      <c r="E268" s="1044"/>
    </row>
    <row r="269" spans="1:5" x14ac:dyDescent="0.25">
      <c r="A269" s="290"/>
      <c r="B269" s="288"/>
      <c r="C269" s="1061"/>
      <c r="D269" s="291"/>
      <c r="E269" s="1044"/>
    </row>
    <row r="270" spans="1:5" x14ac:dyDescent="0.25">
      <c r="A270" s="290"/>
      <c r="B270" s="288"/>
      <c r="C270" s="1061"/>
      <c r="D270" s="291"/>
      <c r="E270" s="1044"/>
    </row>
    <row r="271" spans="1:5" x14ac:dyDescent="0.25">
      <c r="A271" s="290"/>
      <c r="B271" s="288"/>
      <c r="C271" s="1061"/>
      <c r="D271" s="291"/>
      <c r="E271" s="1044"/>
    </row>
    <row r="272" spans="1:5" x14ac:dyDescent="0.25">
      <c r="A272" s="290"/>
      <c r="B272" s="288"/>
      <c r="C272" s="1061"/>
      <c r="D272" s="291"/>
      <c r="E272" s="1044"/>
    </row>
    <row r="273" spans="1:5" x14ac:dyDescent="0.25">
      <c r="A273" s="290"/>
      <c r="B273" s="288"/>
      <c r="C273" s="1061"/>
      <c r="D273" s="291"/>
      <c r="E273" s="1044"/>
    </row>
    <row r="274" spans="1:5" x14ac:dyDescent="0.25">
      <c r="A274" s="290"/>
      <c r="B274" s="288"/>
      <c r="C274" s="1061"/>
      <c r="D274" s="291"/>
      <c r="E274" s="1044"/>
    </row>
    <row r="275" spans="1:5" x14ac:dyDescent="0.25">
      <c r="A275" s="290"/>
      <c r="B275" s="288"/>
      <c r="C275" s="1061"/>
      <c r="D275" s="291"/>
      <c r="E275" s="1044"/>
    </row>
    <row r="276" spans="1:5" x14ac:dyDescent="0.25">
      <c r="A276" s="290"/>
      <c r="B276" s="288"/>
      <c r="C276" s="1061"/>
      <c r="D276" s="291"/>
      <c r="E276" s="1044"/>
    </row>
    <row r="277" spans="1:5" x14ac:dyDescent="0.25">
      <c r="A277" s="290"/>
      <c r="B277" s="288"/>
      <c r="C277" s="1061"/>
      <c r="D277" s="291"/>
      <c r="E277" s="1044"/>
    </row>
    <row r="278" spans="1:5" x14ac:dyDescent="0.25">
      <c r="A278" s="290"/>
      <c r="B278" s="288"/>
      <c r="C278" s="1061"/>
      <c r="D278" s="291"/>
      <c r="E278" s="1044"/>
    </row>
    <row r="279" spans="1:5" x14ac:dyDescent="0.25">
      <c r="A279" s="290"/>
      <c r="B279" s="288"/>
      <c r="C279" s="1061"/>
      <c r="D279" s="291"/>
      <c r="E279" s="1044"/>
    </row>
    <row r="280" spans="1:5" x14ac:dyDescent="0.25">
      <c r="A280" s="290"/>
      <c r="B280" s="288"/>
      <c r="C280" s="1061"/>
      <c r="D280" s="291"/>
      <c r="E280" s="1044"/>
    </row>
    <row r="281" spans="1:5" x14ac:dyDescent="0.25">
      <c r="A281" s="290"/>
      <c r="B281" s="288"/>
      <c r="C281" s="1061"/>
      <c r="D281" s="291"/>
      <c r="E281" s="1044"/>
    </row>
    <row r="282" spans="1:5" x14ac:dyDescent="0.25">
      <c r="A282" s="290"/>
      <c r="B282" s="288"/>
      <c r="C282" s="1061"/>
      <c r="D282" s="291"/>
      <c r="E282" s="1044"/>
    </row>
    <row r="283" spans="1:5" x14ac:dyDescent="0.25">
      <c r="A283" s="290"/>
      <c r="B283" s="288"/>
      <c r="C283" s="1061"/>
      <c r="D283" s="291"/>
      <c r="E283" s="1044"/>
    </row>
    <row r="284" spans="1:5" x14ac:dyDescent="0.25">
      <c r="A284" s="290"/>
      <c r="B284" s="288"/>
      <c r="C284" s="1061"/>
      <c r="D284" s="291"/>
      <c r="E284" s="1044"/>
    </row>
    <row r="285" spans="1:5" x14ac:dyDescent="0.25">
      <c r="A285" s="290"/>
      <c r="B285" s="288"/>
      <c r="C285" s="1061"/>
      <c r="D285" s="291"/>
      <c r="E285" s="1044"/>
    </row>
    <row r="286" spans="1:5" x14ac:dyDescent="0.25">
      <c r="A286" s="290"/>
      <c r="B286" s="288"/>
      <c r="C286" s="1061"/>
      <c r="D286" s="291"/>
      <c r="E286" s="1044"/>
    </row>
    <row r="287" spans="1:5" x14ac:dyDescent="0.25">
      <c r="A287" s="290"/>
      <c r="B287" s="288"/>
      <c r="C287" s="1061"/>
      <c r="D287" s="291"/>
      <c r="E287" s="1044"/>
    </row>
    <row r="288" spans="1:5" x14ac:dyDescent="0.25">
      <c r="A288" s="290"/>
      <c r="B288" s="288"/>
      <c r="C288" s="1061"/>
      <c r="D288" s="291"/>
      <c r="E288" s="1044"/>
    </row>
    <row r="289" spans="1:5" x14ac:dyDescent="0.25">
      <c r="A289" s="290"/>
      <c r="B289" s="288"/>
      <c r="C289" s="1061"/>
      <c r="D289" s="291"/>
      <c r="E289" s="1044"/>
    </row>
    <row r="290" spans="1:5" x14ac:dyDescent="0.25">
      <c r="A290" s="290"/>
      <c r="B290" s="288"/>
      <c r="C290" s="1061"/>
      <c r="D290" s="291"/>
      <c r="E290" s="1044"/>
    </row>
    <row r="291" spans="1:5" x14ac:dyDescent="0.25">
      <c r="A291" s="290"/>
      <c r="B291" s="288"/>
      <c r="C291" s="1061"/>
      <c r="D291" s="291"/>
      <c r="E291" s="1044"/>
    </row>
    <row r="292" spans="1:5" x14ac:dyDescent="0.25">
      <c r="A292" s="290"/>
      <c r="B292" s="288"/>
      <c r="C292" s="1061"/>
      <c r="D292" s="291"/>
      <c r="E292" s="1044"/>
    </row>
    <row r="293" spans="1:5" x14ac:dyDescent="0.25">
      <c r="A293" s="290"/>
      <c r="B293" s="288"/>
      <c r="C293" s="1061"/>
      <c r="D293" s="291"/>
      <c r="E293" s="1044"/>
    </row>
    <row r="294" spans="1:5" x14ac:dyDescent="0.25">
      <c r="A294" s="290"/>
      <c r="B294" s="288"/>
      <c r="C294" s="1061"/>
      <c r="D294" s="291"/>
      <c r="E294" s="1044"/>
    </row>
    <row r="295" spans="1:5" x14ac:dyDescent="0.25">
      <c r="A295" s="290"/>
      <c r="B295" s="288"/>
      <c r="C295" s="1061"/>
      <c r="D295" s="291"/>
      <c r="E295" s="1044"/>
    </row>
    <row r="296" spans="1:5" x14ac:dyDescent="0.25">
      <c r="A296" s="290"/>
      <c r="B296" s="288"/>
      <c r="C296" s="1061"/>
      <c r="D296" s="291"/>
      <c r="E296" s="1044"/>
    </row>
    <row r="297" spans="1:5" x14ac:dyDescent="0.25">
      <c r="A297" s="290"/>
      <c r="B297" s="288"/>
      <c r="C297" s="1061"/>
      <c r="D297" s="291"/>
      <c r="E297" s="1044"/>
    </row>
    <row r="298" spans="1:5" x14ac:dyDescent="0.25">
      <c r="A298" s="290"/>
      <c r="B298" s="288"/>
      <c r="C298" s="1061"/>
      <c r="D298" s="291"/>
      <c r="E298" s="1044"/>
    </row>
    <row r="299" spans="1:5" x14ac:dyDescent="0.25">
      <c r="A299" s="290"/>
      <c r="B299" s="288"/>
      <c r="C299" s="1061"/>
      <c r="D299" s="291"/>
      <c r="E299" s="1044"/>
    </row>
    <row r="300" spans="1:5" x14ac:dyDescent="0.25">
      <c r="A300" s="290"/>
      <c r="B300" s="288"/>
      <c r="C300" s="1061"/>
      <c r="D300" s="291"/>
      <c r="E300" s="1044"/>
    </row>
    <row r="301" spans="1:5" x14ac:dyDescent="0.25">
      <c r="A301" s="290"/>
      <c r="B301" s="288"/>
      <c r="C301" s="1061"/>
      <c r="D301" s="291"/>
      <c r="E301" s="1044"/>
    </row>
    <row r="302" spans="1:5" x14ac:dyDescent="0.25">
      <c r="A302" s="290"/>
      <c r="B302" s="288"/>
      <c r="C302" s="1061"/>
      <c r="D302" s="291"/>
      <c r="E302" s="1044"/>
    </row>
    <row r="303" spans="1:5" x14ac:dyDescent="0.25">
      <c r="A303" s="290"/>
      <c r="B303" s="288"/>
      <c r="C303" s="1061"/>
      <c r="D303" s="291"/>
      <c r="E303" s="1044"/>
    </row>
    <row r="304" spans="1:5" x14ac:dyDescent="0.25">
      <c r="A304" s="290"/>
      <c r="B304" s="288"/>
      <c r="C304" s="1061"/>
      <c r="D304" s="291"/>
      <c r="E304" s="1044"/>
    </row>
    <row r="305" spans="1:5" x14ac:dyDescent="0.25">
      <c r="A305" s="290"/>
      <c r="B305" s="288"/>
      <c r="C305" s="1061"/>
      <c r="D305" s="291"/>
      <c r="E305" s="1044"/>
    </row>
    <row r="306" spans="1:5" x14ac:dyDescent="0.25">
      <c r="A306" s="290"/>
      <c r="B306" s="288"/>
      <c r="C306" s="1061"/>
      <c r="D306" s="291"/>
      <c r="E306" s="1044"/>
    </row>
    <row r="307" spans="1:5" x14ac:dyDescent="0.25">
      <c r="A307" s="290"/>
      <c r="B307" s="288"/>
      <c r="C307" s="1061"/>
      <c r="D307" s="291"/>
      <c r="E307" s="1044"/>
    </row>
    <row r="308" spans="1:5" x14ac:dyDescent="0.25">
      <c r="A308" s="290"/>
      <c r="B308" s="288"/>
      <c r="C308" s="1061"/>
      <c r="D308" s="291"/>
      <c r="E308" s="1044"/>
    </row>
    <row r="309" spans="1:5" x14ac:dyDescent="0.25">
      <c r="A309" s="290"/>
      <c r="B309" s="288"/>
      <c r="C309" s="1061"/>
      <c r="D309" s="291"/>
      <c r="E309" s="1044"/>
    </row>
    <row r="310" spans="1:5" x14ac:dyDescent="0.25">
      <c r="A310" s="290"/>
      <c r="B310" s="288"/>
      <c r="C310" s="1061"/>
      <c r="D310" s="291"/>
      <c r="E310" s="1044"/>
    </row>
    <row r="311" spans="1:5" x14ac:dyDescent="0.25">
      <c r="A311" s="290"/>
      <c r="B311" s="288"/>
      <c r="C311" s="1061"/>
      <c r="D311" s="291"/>
      <c r="E311" s="1044"/>
    </row>
    <row r="312" spans="1:5" x14ac:dyDescent="0.25">
      <c r="A312" s="290"/>
      <c r="B312" s="288"/>
      <c r="C312" s="1061"/>
      <c r="D312" s="291"/>
      <c r="E312" s="1044"/>
    </row>
    <row r="313" spans="1:5" x14ac:dyDescent="0.25">
      <c r="A313" s="290"/>
      <c r="B313" s="288"/>
      <c r="C313" s="1061"/>
      <c r="D313" s="291"/>
      <c r="E313" s="1044"/>
    </row>
    <row r="314" spans="1:5" x14ac:dyDescent="0.25">
      <c r="A314" s="290"/>
      <c r="B314" s="288"/>
      <c r="C314" s="1061"/>
      <c r="D314" s="291"/>
      <c r="E314" s="1044"/>
    </row>
    <row r="315" spans="1:5" x14ac:dyDescent="0.25">
      <c r="A315" s="290"/>
      <c r="B315" s="288"/>
      <c r="C315" s="1061"/>
      <c r="D315" s="291"/>
      <c r="E315" s="1044"/>
    </row>
    <row r="316" spans="1:5" x14ac:dyDescent="0.25">
      <c r="A316" s="290"/>
      <c r="B316" s="288"/>
      <c r="C316" s="1061"/>
      <c r="D316" s="291"/>
      <c r="E316" s="1044"/>
    </row>
    <row r="317" spans="1:5" x14ac:dyDescent="0.25">
      <c r="A317" s="290"/>
      <c r="B317" s="288"/>
      <c r="C317" s="1061"/>
      <c r="D317" s="291"/>
      <c r="E317" s="1044"/>
    </row>
    <row r="318" spans="1:5" x14ac:dyDescent="0.25">
      <c r="A318" s="290"/>
      <c r="B318" s="288"/>
      <c r="C318" s="1061"/>
      <c r="D318" s="291"/>
      <c r="E318" s="1044"/>
    </row>
    <row r="319" spans="1:5" x14ac:dyDescent="0.25">
      <c r="A319" s="290"/>
      <c r="B319" s="288"/>
      <c r="C319" s="1061"/>
      <c r="D319" s="291"/>
      <c r="E319" s="1044"/>
    </row>
    <row r="320" spans="1:5" x14ac:dyDescent="0.25">
      <c r="A320" s="290"/>
      <c r="B320" s="288"/>
      <c r="C320" s="1061"/>
      <c r="D320" s="291"/>
      <c r="E320" s="1044"/>
    </row>
    <row r="321" spans="1:5" x14ac:dyDescent="0.25">
      <c r="A321" s="290"/>
      <c r="B321" s="288"/>
      <c r="C321" s="1061"/>
      <c r="D321" s="291"/>
      <c r="E321" s="1044"/>
    </row>
    <row r="322" spans="1:5" x14ac:dyDescent="0.25">
      <c r="A322" s="290"/>
      <c r="B322" s="288"/>
      <c r="C322" s="1061"/>
      <c r="D322" s="291"/>
      <c r="E322" s="1044"/>
    </row>
    <row r="323" spans="1:5" x14ac:dyDescent="0.25">
      <c r="A323" s="290"/>
      <c r="B323" s="288"/>
      <c r="C323" s="1061"/>
      <c r="D323" s="291"/>
      <c r="E323" s="1044"/>
    </row>
    <row r="324" spans="1:5" x14ac:dyDescent="0.25">
      <c r="A324" s="290"/>
      <c r="B324" s="288"/>
      <c r="C324" s="1061"/>
      <c r="D324" s="291"/>
      <c r="E324" s="1044"/>
    </row>
    <row r="325" spans="1:5" x14ac:dyDescent="0.25">
      <c r="A325" s="290"/>
      <c r="B325" s="288"/>
      <c r="C325" s="1061"/>
      <c r="D325" s="291"/>
      <c r="E325" s="1044"/>
    </row>
    <row r="326" spans="1:5" x14ac:dyDescent="0.25">
      <c r="A326" s="290"/>
      <c r="B326" s="288"/>
      <c r="C326" s="1061"/>
      <c r="D326" s="291"/>
      <c r="E326" s="1044"/>
    </row>
    <row r="327" spans="1:5" x14ac:dyDescent="0.25">
      <c r="A327" s="290"/>
      <c r="B327" s="288"/>
      <c r="C327" s="1061"/>
      <c r="D327" s="291"/>
      <c r="E327" s="1044"/>
    </row>
    <row r="328" spans="1:5" x14ac:dyDescent="0.25">
      <c r="A328" s="290"/>
      <c r="B328" s="288"/>
      <c r="C328" s="1061"/>
      <c r="D328" s="291"/>
      <c r="E328" s="1044"/>
    </row>
    <row r="329" spans="1:5" x14ac:dyDescent="0.25">
      <c r="A329" s="290"/>
      <c r="B329" s="288"/>
      <c r="C329" s="1061"/>
      <c r="D329" s="291"/>
      <c r="E329" s="1044"/>
    </row>
    <row r="330" spans="1:5" x14ac:dyDescent="0.25">
      <c r="A330" s="290"/>
      <c r="B330" s="288"/>
      <c r="C330" s="1061"/>
      <c r="D330" s="291"/>
      <c r="E330" s="1044"/>
    </row>
    <row r="331" spans="1:5" x14ac:dyDescent="0.25">
      <c r="A331" s="290"/>
      <c r="B331" s="288"/>
      <c r="C331" s="1061"/>
      <c r="D331" s="291"/>
      <c r="E331" s="1044"/>
    </row>
    <row r="332" spans="1:5" x14ac:dyDescent="0.25">
      <c r="A332" s="290"/>
      <c r="B332" s="288"/>
      <c r="C332" s="1061"/>
      <c r="D332" s="291"/>
      <c r="E332" s="1044"/>
    </row>
    <row r="333" spans="1:5" x14ac:dyDescent="0.25">
      <c r="A333" s="290"/>
      <c r="B333" s="288"/>
      <c r="C333" s="1061"/>
      <c r="D333" s="291"/>
      <c r="E333" s="1044"/>
    </row>
    <row r="334" spans="1:5" x14ac:dyDescent="0.25">
      <c r="A334" s="290"/>
      <c r="B334" s="288"/>
      <c r="C334" s="1061"/>
      <c r="D334" s="291"/>
      <c r="E334" s="1044"/>
    </row>
    <row r="335" spans="1:5" x14ac:dyDescent="0.25">
      <c r="A335" s="290"/>
      <c r="B335" s="288"/>
      <c r="C335" s="1061"/>
      <c r="D335" s="291"/>
      <c r="E335" s="1044"/>
    </row>
    <row r="336" spans="1:5" x14ac:dyDescent="0.25">
      <c r="A336" s="290"/>
      <c r="B336" s="288"/>
      <c r="C336" s="1061"/>
      <c r="D336" s="291"/>
      <c r="E336" s="1044"/>
    </row>
    <row r="337" spans="1:5" x14ac:dyDescent="0.25">
      <c r="A337" s="290"/>
      <c r="B337" s="288"/>
      <c r="C337" s="1061"/>
      <c r="D337" s="291"/>
      <c r="E337" s="1044"/>
    </row>
    <row r="338" spans="1:5" x14ac:dyDescent="0.25">
      <c r="A338" s="290"/>
      <c r="B338" s="288"/>
      <c r="C338" s="1061"/>
      <c r="D338" s="291"/>
      <c r="E338" s="1044"/>
    </row>
    <row r="339" spans="1:5" x14ac:dyDescent="0.25">
      <c r="A339" s="290"/>
      <c r="B339" s="288"/>
      <c r="C339" s="1061"/>
      <c r="D339" s="291"/>
      <c r="E339" s="1044"/>
    </row>
    <row r="340" spans="1:5" x14ac:dyDescent="0.25">
      <c r="A340" s="290"/>
      <c r="B340" s="288"/>
      <c r="C340" s="1061"/>
      <c r="D340" s="291"/>
      <c r="E340" s="1044"/>
    </row>
    <row r="341" spans="1:5" x14ac:dyDescent="0.25">
      <c r="A341" s="290"/>
      <c r="B341" s="288"/>
      <c r="C341" s="1061"/>
      <c r="D341" s="291"/>
      <c r="E341" s="1044"/>
    </row>
    <row r="342" spans="1:5" x14ac:dyDescent="0.25">
      <c r="A342" s="290"/>
      <c r="B342" s="288"/>
      <c r="C342" s="1061"/>
      <c r="D342" s="291"/>
      <c r="E342" s="1044"/>
    </row>
    <row r="343" spans="1:5" x14ac:dyDescent="0.25">
      <c r="A343" s="290"/>
      <c r="B343" s="288"/>
      <c r="C343" s="1061"/>
      <c r="D343" s="291"/>
      <c r="E343" s="1044"/>
    </row>
    <row r="344" spans="1:5" x14ac:dyDescent="0.25">
      <c r="A344" s="290"/>
      <c r="B344" s="288"/>
      <c r="C344" s="1061"/>
      <c r="D344" s="291"/>
      <c r="E344" s="1044"/>
    </row>
    <row r="345" spans="1:5" x14ac:dyDescent="0.25">
      <c r="A345" s="290"/>
      <c r="B345" s="288"/>
      <c r="C345" s="1061"/>
      <c r="D345" s="291"/>
      <c r="E345" s="1044"/>
    </row>
    <row r="346" spans="1:5" x14ac:dyDescent="0.25">
      <c r="A346" s="290"/>
      <c r="B346" s="288"/>
      <c r="C346" s="1061"/>
      <c r="D346" s="291"/>
      <c r="E346" s="1044"/>
    </row>
    <row r="347" spans="1:5" x14ac:dyDescent="0.25">
      <c r="A347" s="290"/>
      <c r="B347" s="288"/>
      <c r="C347" s="1061"/>
      <c r="D347" s="291"/>
      <c r="E347" s="1044"/>
    </row>
    <row r="348" spans="1:5" x14ac:dyDescent="0.25">
      <c r="A348" s="290"/>
      <c r="B348" s="288"/>
      <c r="C348" s="1061"/>
      <c r="D348" s="291"/>
      <c r="E348" s="1044"/>
    </row>
    <row r="349" spans="1:5" x14ac:dyDescent="0.25">
      <c r="A349" s="290"/>
      <c r="B349" s="288"/>
      <c r="C349" s="1061"/>
      <c r="D349" s="291"/>
      <c r="E349" s="1044"/>
    </row>
    <row r="350" spans="1:5" x14ac:dyDescent="0.25">
      <c r="A350" s="290"/>
      <c r="B350" s="288"/>
      <c r="C350" s="1061"/>
      <c r="D350" s="291"/>
      <c r="E350" s="1044"/>
    </row>
    <row r="351" spans="1:5" x14ac:dyDescent="0.25">
      <c r="A351" s="290"/>
      <c r="B351" s="288"/>
      <c r="C351" s="1061"/>
      <c r="D351" s="291"/>
      <c r="E351" s="1044"/>
    </row>
    <row r="352" spans="1:5" x14ac:dyDescent="0.25">
      <c r="A352" s="290"/>
      <c r="B352" s="288"/>
      <c r="C352" s="1061"/>
      <c r="D352" s="291"/>
      <c r="E352" s="1044"/>
    </row>
    <row r="353" spans="1:5" x14ac:dyDescent="0.25">
      <c r="A353" s="290"/>
      <c r="B353" s="288"/>
      <c r="C353" s="1061"/>
      <c r="D353" s="291"/>
      <c r="E353" s="1044"/>
    </row>
    <row r="354" spans="1:5" x14ac:dyDescent="0.25">
      <c r="A354" s="290"/>
      <c r="B354" s="288"/>
      <c r="C354" s="1061"/>
      <c r="D354" s="291"/>
      <c r="E354" s="1044"/>
    </row>
    <row r="355" spans="1:5" x14ac:dyDescent="0.25">
      <c r="A355" s="290"/>
      <c r="B355" s="288"/>
      <c r="C355" s="1061"/>
      <c r="D355" s="291"/>
      <c r="E355" s="1044"/>
    </row>
    <row r="356" spans="1:5" x14ac:dyDescent="0.25">
      <c r="A356" s="290"/>
      <c r="B356" s="288"/>
      <c r="C356" s="1061"/>
      <c r="D356" s="291"/>
      <c r="E356" s="1044"/>
    </row>
    <row r="357" spans="1:5" x14ac:dyDescent="0.25">
      <c r="A357" s="290"/>
      <c r="B357" s="288"/>
      <c r="C357" s="1061"/>
      <c r="D357" s="291"/>
      <c r="E357" s="1044"/>
    </row>
    <row r="358" spans="1:5" x14ac:dyDescent="0.25">
      <c r="A358" s="290"/>
      <c r="B358" s="288"/>
      <c r="C358" s="1061"/>
      <c r="D358" s="291"/>
      <c r="E358" s="1044"/>
    </row>
    <row r="359" spans="1:5" x14ac:dyDescent="0.25">
      <c r="A359" s="290"/>
      <c r="B359" s="288"/>
      <c r="C359" s="1061"/>
      <c r="D359" s="291"/>
      <c r="E359" s="1044"/>
    </row>
    <row r="360" spans="1:5" x14ac:dyDescent="0.25">
      <c r="A360" s="290"/>
      <c r="B360" s="288"/>
      <c r="C360" s="1061"/>
      <c r="D360" s="291"/>
      <c r="E360" s="1044"/>
    </row>
    <row r="361" spans="1:5" x14ac:dyDescent="0.25">
      <c r="A361" s="290"/>
      <c r="B361" s="288"/>
      <c r="C361" s="1061"/>
      <c r="D361" s="291"/>
      <c r="E361" s="1044"/>
    </row>
    <row r="362" spans="1:5" x14ac:dyDescent="0.25">
      <c r="A362" s="290"/>
      <c r="B362" s="288"/>
      <c r="C362" s="1061"/>
      <c r="D362" s="291"/>
      <c r="E362" s="1044"/>
    </row>
    <row r="363" spans="1:5" x14ac:dyDescent="0.25">
      <c r="A363" s="290"/>
      <c r="B363" s="288"/>
      <c r="C363" s="1061"/>
      <c r="D363" s="291"/>
      <c r="E363" s="1044"/>
    </row>
    <row r="364" spans="1:5" x14ac:dyDescent="0.25">
      <c r="A364" s="290"/>
      <c r="B364" s="288"/>
      <c r="C364" s="1061"/>
      <c r="D364" s="291"/>
      <c r="E364" s="1044"/>
    </row>
    <row r="365" spans="1:5" x14ac:dyDescent="0.25">
      <c r="A365" s="290"/>
      <c r="B365" s="288"/>
      <c r="C365" s="1061"/>
      <c r="D365" s="291"/>
      <c r="E365" s="1044"/>
    </row>
    <row r="366" spans="1:5" x14ac:dyDescent="0.25">
      <c r="A366" s="290"/>
      <c r="B366" s="288"/>
      <c r="C366" s="1061"/>
      <c r="D366" s="291"/>
      <c r="E366" s="1044"/>
    </row>
    <row r="367" spans="1:5" x14ac:dyDescent="0.25">
      <c r="A367" s="290"/>
      <c r="B367" s="288"/>
      <c r="C367" s="1061"/>
      <c r="D367" s="291"/>
      <c r="E367" s="1044"/>
    </row>
    <row r="368" spans="1:5" x14ac:dyDescent="0.25">
      <c r="A368" s="290"/>
      <c r="B368" s="288"/>
      <c r="C368" s="1061"/>
      <c r="D368" s="291"/>
      <c r="E368" s="1044"/>
    </row>
    <row r="369" spans="1:5" x14ac:dyDescent="0.25">
      <c r="A369" s="290"/>
      <c r="B369" s="288"/>
      <c r="C369" s="1061"/>
      <c r="D369" s="291"/>
      <c r="E369" s="1044"/>
    </row>
    <row r="370" spans="1:5" x14ac:dyDescent="0.25">
      <c r="A370" s="290"/>
      <c r="B370" s="288"/>
      <c r="C370" s="1061"/>
      <c r="D370" s="291"/>
      <c r="E370" s="1044"/>
    </row>
    <row r="371" spans="1:5" x14ac:dyDescent="0.25">
      <c r="A371" s="290"/>
      <c r="B371" s="288"/>
      <c r="C371" s="1061"/>
      <c r="D371" s="291"/>
      <c r="E371" s="1044"/>
    </row>
    <row r="372" spans="1:5" x14ac:dyDescent="0.25">
      <c r="A372" s="290"/>
      <c r="B372" s="288"/>
      <c r="C372" s="1061"/>
      <c r="D372" s="291"/>
      <c r="E372" s="1044"/>
    </row>
    <row r="373" spans="1:5" x14ac:dyDescent="0.25">
      <c r="A373" s="290"/>
      <c r="B373" s="288"/>
      <c r="C373" s="1061"/>
      <c r="D373" s="291"/>
      <c r="E373" s="1044"/>
    </row>
    <row r="374" spans="1:5" x14ac:dyDescent="0.25">
      <c r="A374" s="290"/>
      <c r="B374" s="288"/>
      <c r="C374" s="1061"/>
      <c r="D374" s="291"/>
      <c r="E374" s="1044"/>
    </row>
    <row r="375" spans="1:5" x14ac:dyDescent="0.25">
      <c r="A375" s="290"/>
      <c r="B375" s="288"/>
      <c r="C375" s="1061"/>
      <c r="D375" s="291"/>
      <c r="E375" s="1044"/>
    </row>
    <row r="376" spans="1:5" x14ac:dyDescent="0.25">
      <c r="A376" s="290"/>
      <c r="B376" s="288"/>
      <c r="C376" s="1061"/>
      <c r="D376" s="291"/>
      <c r="E376" s="1044"/>
    </row>
    <row r="377" spans="1:5" x14ac:dyDescent="0.25">
      <c r="A377" s="290"/>
      <c r="B377" s="288"/>
      <c r="C377" s="1061"/>
      <c r="D377" s="291"/>
      <c r="E377" s="1044"/>
    </row>
    <row r="378" spans="1:5" x14ac:dyDescent="0.25">
      <c r="A378" s="290"/>
      <c r="B378" s="288"/>
      <c r="C378" s="1061"/>
      <c r="D378" s="291"/>
      <c r="E378" s="1044"/>
    </row>
    <row r="379" spans="1:5" x14ac:dyDescent="0.25">
      <c r="A379" s="290"/>
      <c r="B379" s="288"/>
      <c r="C379" s="1061"/>
      <c r="D379" s="291"/>
      <c r="E379" s="1044"/>
    </row>
    <row r="380" spans="1:5" x14ac:dyDescent="0.25">
      <c r="A380" s="290"/>
      <c r="B380" s="288"/>
      <c r="C380" s="1061"/>
      <c r="D380" s="291"/>
      <c r="E380" s="1044"/>
    </row>
    <row r="381" spans="1:5" x14ac:dyDescent="0.25">
      <c r="A381" s="290"/>
      <c r="B381" s="288"/>
      <c r="C381" s="1061"/>
      <c r="D381" s="291"/>
      <c r="E381" s="1044"/>
    </row>
    <row r="382" spans="1:5" x14ac:dyDescent="0.25">
      <c r="A382" s="290"/>
      <c r="B382" s="288"/>
      <c r="C382" s="1061"/>
      <c r="D382" s="291"/>
      <c r="E382" s="1044"/>
    </row>
    <row r="383" spans="1:5" x14ac:dyDescent="0.25">
      <c r="A383" s="290"/>
      <c r="B383" s="288"/>
      <c r="C383" s="1061"/>
      <c r="D383" s="291"/>
      <c r="E383" s="1044"/>
    </row>
    <row r="384" spans="1:5" x14ac:dyDescent="0.25">
      <c r="A384" s="290"/>
      <c r="B384" s="288"/>
      <c r="C384" s="1061"/>
      <c r="D384" s="291"/>
      <c r="E384" s="1044"/>
    </row>
    <row r="385" spans="1:5" x14ac:dyDescent="0.25">
      <c r="A385" s="290"/>
      <c r="B385" s="288"/>
      <c r="C385" s="1061"/>
      <c r="D385" s="291"/>
      <c r="E385" s="1044"/>
    </row>
    <row r="386" spans="1:5" x14ac:dyDescent="0.25">
      <c r="A386" s="290"/>
      <c r="B386" s="288"/>
      <c r="C386" s="1061"/>
      <c r="D386" s="291"/>
      <c r="E386" s="1044"/>
    </row>
    <row r="387" spans="1:5" x14ac:dyDescent="0.25">
      <c r="A387" s="290"/>
      <c r="B387" s="288"/>
      <c r="C387" s="1061"/>
      <c r="D387" s="291"/>
      <c r="E387" s="1044"/>
    </row>
    <row r="388" spans="1:5" x14ac:dyDescent="0.25">
      <c r="A388" s="290"/>
      <c r="B388" s="288"/>
      <c r="C388" s="1061"/>
      <c r="D388" s="291"/>
      <c r="E388" s="1044"/>
    </row>
    <row r="389" spans="1:5" x14ac:dyDescent="0.25">
      <c r="A389" s="290"/>
      <c r="B389" s="288"/>
      <c r="C389" s="1061"/>
      <c r="D389" s="291"/>
      <c r="E389" s="1044"/>
    </row>
    <row r="390" spans="1:5" x14ac:dyDescent="0.25">
      <c r="A390" s="290"/>
      <c r="B390" s="288"/>
      <c r="C390" s="1061"/>
      <c r="D390" s="291"/>
      <c r="E390" s="1044"/>
    </row>
    <row r="391" spans="1:5" x14ac:dyDescent="0.25">
      <c r="A391" s="290"/>
      <c r="B391" s="288"/>
      <c r="C391" s="1061"/>
      <c r="D391" s="291"/>
      <c r="E391" s="1044"/>
    </row>
    <row r="392" spans="1:5" x14ac:dyDescent="0.25">
      <c r="A392" s="290"/>
      <c r="B392" s="288"/>
      <c r="C392" s="1061"/>
      <c r="D392" s="291"/>
      <c r="E392" s="1044"/>
    </row>
    <row r="393" spans="1:5" x14ac:dyDescent="0.25">
      <c r="A393" s="290"/>
      <c r="B393" s="288"/>
      <c r="C393" s="1061"/>
      <c r="D393" s="291"/>
      <c r="E393" s="1044"/>
    </row>
    <row r="394" spans="1:5" x14ac:dyDescent="0.25">
      <c r="A394" s="290"/>
      <c r="B394" s="288"/>
      <c r="C394" s="1061"/>
      <c r="D394" s="291"/>
      <c r="E394" s="1044"/>
    </row>
    <row r="395" spans="1:5" x14ac:dyDescent="0.25">
      <c r="A395" s="290"/>
      <c r="B395" s="288"/>
      <c r="C395" s="1061"/>
      <c r="D395" s="291"/>
      <c r="E395" s="1044"/>
    </row>
    <row r="396" spans="1:5" x14ac:dyDescent="0.25">
      <c r="A396" s="290"/>
      <c r="B396" s="288"/>
      <c r="C396" s="1061"/>
      <c r="D396" s="291"/>
      <c r="E396" s="1044"/>
    </row>
    <row r="397" spans="1:5" x14ac:dyDescent="0.25">
      <c r="A397" s="290"/>
      <c r="B397" s="288"/>
      <c r="C397" s="1061"/>
      <c r="D397" s="291"/>
      <c r="E397" s="1044"/>
    </row>
    <row r="398" spans="1:5" x14ac:dyDescent="0.25">
      <c r="A398" s="290"/>
      <c r="B398" s="288"/>
      <c r="C398" s="1061"/>
      <c r="D398" s="291"/>
      <c r="E398" s="1044"/>
    </row>
    <row r="399" spans="1:5" x14ac:dyDescent="0.25">
      <c r="A399" s="290"/>
      <c r="B399" s="288"/>
      <c r="C399" s="1061"/>
      <c r="D399" s="291"/>
      <c r="E399" s="1044"/>
    </row>
    <row r="400" spans="1:5" x14ac:dyDescent="0.25">
      <c r="A400" s="290"/>
      <c r="B400" s="288"/>
      <c r="C400" s="1061"/>
      <c r="D400" s="291"/>
      <c r="E400" s="1044"/>
    </row>
    <row r="401" spans="1:5" x14ac:dyDescent="0.25">
      <c r="A401" s="290"/>
      <c r="B401" s="288"/>
      <c r="C401" s="1061"/>
      <c r="D401" s="291"/>
      <c r="E401" s="1044"/>
    </row>
    <row r="402" spans="1:5" x14ac:dyDescent="0.25">
      <c r="A402" s="290"/>
      <c r="B402" s="288"/>
      <c r="C402" s="1061"/>
      <c r="D402" s="291"/>
      <c r="E402" s="1044"/>
    </row>
    <row r="403" spans="1:5" x14ac:dyDescent="0.25">
      <c r="A403" s="290"/>
      <c r="B403" s="288"/>
      <c r="C403" s="1061"/>
      <c r="D403" s="291"/>
      <c r="E403" s="1044"/>
    </row>
    <row r="404" spans="1:5" x14ac:dyDescent="0.25">
      <c r="A404" s="290"/>
      <c r="B404" s="288"/>
      <c r="C404" s="1061"/>
      <c r="D404" s="291"/>
      <c r="E404" s="1044"/>
    </row>
    <row r="405" spans="1:5" x14ac:dyDescent="0.25">
      <c r="A405" s="290"/>
      <c r="B405" s="288"/>
      <c r="C405" s="1061"/>
      <c r="D405" s="291"/>
      <c r="E405" s="1044"/>
    </row>
    <row r="406" spans="1:5" x14ac:dyDescent="0.25">
      <c r="A406" s="290"/>
      <c r="B406" s="288"/>
      <c r="C406" s="1061"/>
      <c r="D406" s="291"/>
      <c r="E406" s="1044"/>
    </row>
    <row r="407" spans="1:5" x14ac:dyDescent="0.25">
      <c r="A407" s="290"/>
      <c r="B407" s="288"/>
      <c r="C407" s="1061"/>
      <c r="D407" s="291"/>
      <c r="E407" s="1044"/>
    </row>
    <row r="408" spans="1:5" x14ac:dyDescent="0.25">
      <c r="A408" s="290"/>
      <c r="B408" s="288"/>
      <c r="C408" s="1061"/>
      <c r="D408" s="291"/>
      <c r="E408" s="1044"/>
    </row>
    <row r="409" spans="1:5" x14ac:dyDescent="0.25">
      <c r="A409" s="290"/>
      <c r="B409" s="288"/>
      <c r="C409" s="1061"/>
      <c r="D409" s="291"/>
      <c r="E409" s="1044"/>
    </row>
    <row r="410" spans="1:5" x14ac:dyDescent="0.25">
      <c r="A410" s="290"/>
      <c r="B410" s="288"/>
      <c r="C410" s="1061"/>
      <c r="D410" s="291"/>
      <c r="E410" s="1044"/>
    </row>
    <row r="411" spans="1:5" x14ac:dyDescent="0.25">
      <c r="A411" s="290"/>
      <c r="B411" s="288"/>
      <c r="C411" s="1061"/>
      <c r="D411" s="291"/>
      <c r="E411" s="1044"/>
    </row>
    <row r="412" spans="1:5" x14ac:dyDescent="0.25">
      <c r="A412" s="290"/>
      <c r="B412" s="288"/>
      <c r="C412" s="1061"/>
      <c r="D412" s="291"/>
      <c r="E412" s="1044"/>
    </row>
    <row r="413" spans="1:5" x14ac:dyDescent="0.25">
      <c r="A413" s="290"/>
      <c r="B413" s="288"/>
      <c r="C413" s="1061"/>
      <c r="D413" s="291"/>
      <c r="E413" s="1044"/>
    </row>
    <row r="414" spans="1:5" x14ac:dyDescent="0.25">
      <c r="A414" s="290"/>
      <c r="B414" s="288"/>
      <c r="C414" s="1061"/>
      <c r="D414" s="291"/>
      <c r="E414" s="1044"/>
    </row>
    <row r="415" spans="1:5" x14ac:dyDescent="0.25">
      <c r="A415" s="290"/>
      <c r="B415" s="288"/>
      <c r="C415" s="1061"/>
      <c r="D415" s="291"/>
      <c r="E415" s="1044"/>
    </row>
    <row r="416" spans="1:5" x14ac:dyDescent="0.25">
      <c r="A416" s="290"/>
      <c r="B416" s="288"/>
      <c r="C416" s="1061"/>
      <c r="D416" s="291"/>
      <c r="E416" s="1044"/>
    </row>
    <row r="417" spans="1:5" x14ac:dyDescent="0.25">
      <c r="A417" s="290"/>
      <c r="B417" s="288"/>
      <c r="C417" s="1061"/>
      <c r="D417" s="291"/>
      <c r="E417" s="1044"/>
    </row>
    <row r="418" spans="1:5" x14ac:dyDescent="0.25">
      <c r="A418" s="290"/>
      <c r="B418" s="288"/>
      <c r="C418" s="1061"/>
      <c r="D418" s="291"/>
      <c r="E418" s="1044"/>
    </row>
    <row r="419" spans="1:5" x14ac:dyDescent="0.25">
      <c r="A419" s="290"/>
      <c r="B419" s="288"/>
      <c r="C419" s="1061"/>
      <c r="D419" s="291"/>
      <c r="E419" s="1044"/>
    </row>
    <row r="420" spans="1:5" x14ac:dyDescent="0.25">
      <c r="A420" s="290"/>
      <c r="B420" s="288"/>
      <c r="C420" s="1061"/>
      <c r="D420" s="291"/>
      <c r="E420" s="1044"/>
    </row>
    <row r="421" spans="1:5" x14ac:dyDescent="0.25">
      <c r="A421" s="290"/>
      <c r="B421" s="288"/>
      <c r="C421" s="1061"/>
      <c r="D421" s="291"/>
      <c r="E421" s="1044"/>
    </row>
    <row r="422" spans="1:5" x14ac:dyDescent="0.25">
      <c r="A422" s="290"/>
      <c r="B422" s="288"/>
      <c r="C422" s="1061"/>
      <c r="D422" s="291"/>
      <c r="E422" s="1044"/>
    </row>
    <row r="423" spans="1:5" x14ac:dyDescent="0.25">
      <c r="A423" s="290"/>
      <c r="B423" s="288"/>
      <c r="C423" s="1061"/>
      <c r="D423" s="291"/>
      <c r="E423" s="1044"/>
    </row>
    <row r="424" spans="1:5" x14ac:dyDescent="0.25">
      <c r="A424" s="290"/>
      <c r="B424" s="288"/>
      <c r="C424" s="1061"/>
      <c r="D424" s="291"/>
      <c r="E424" s="1044"/>
    </row>
    <row r="425" spans="1:5" x14ac:dyDescent="0.25">
      <c r="A425" s="290"/>
      <c r="B425" s="288"/>
      <c r="C425" s="1061"/>
      <c r="D425" s="291"/>
      <c r="E425" s="1044"/>
    </row>
    <row r="426" spans="1:5" x14ac:dyDescent="0.25">
      <c r="A426" s="290"/>
      <c r="B426" s="288"/>
      <c r="C426" s="1061"/>
      <c r="D426" s="291"/>
      <c r="E426" s="1044"/>
    </row>
    <row r="427" spans="1:5" x14ac:dyDescent="0.25">
      <c r="A427" s="290"/>
      <c r="B427" s="288"/>
      <c r="C427" s="1061"/>
      <c r="D427" s="291"/>
      <c r="E427" s="1044"/>
    </row>
    <row r="428" spans="1:5" x14ac:dyDescent="0.25">
      <c r="A428" s="290"/>
      <c r="B428" s="288"/>
      <c r="C428" s="1061"/>
      <c r="D428" s="291"/>
      <c r="E428" s="1044"/>
    </row>
    <row r="429" spans="1:5" x14ac:dyDescent="0.25">
      <c r="A429" s="290"/>
      <c r="B429" s="288"/>
      <c r="C429" s="1061"/>
      <c r="D429" s="291"/>
      <c r="E429" s="1044"/>
    </row>
    <row r="430" spans="1:5" x14ac:dyDescent="0.25">
      <c r="A430" s="290"/>
      <c r="B430" s="288"/>
      <c r="C430" s="1061"/>
      <c r="D430" s="291"/>
      <c r="E430" s="1044"/>
    </row>
    <row r="431" spans="1:5" x14ac:dyDescent="0.25">
      <c r="A431" s="290"/>
      <c r="B431" s="288"/>
      <c r="C431" s="1061"/>
      <c r="D431" s="291"/>
      <c r="E431" s="1044"/>
    </row>
    <row r="432" spans="1:5" x14ac:dyDescent="0.25">
      <c r="A432" s="290"/>
      <c r="B432" s="288"/>
      <c r="C432" s="1061"/>
      <c r="D432" s="291"/>
      <c r="E432" s="1044"/>
    </row>
    <row r="433" spans="1:5" x14ac:dyDescent="0.25">
      <c r="A433" s="290"/>
      <c r="B433" s="288"/>
      <c r="C433" s="1061"/>
      <c r="D433" s="291"/>
      <c r="E433" s="1044"/>
    </row>
    <row r="434" spans="1:5" x14ac:dyDescent="0.25">
      <c r="A434" s="290"/>
      <c r="B434" s="288"/>
      <c r="C434" s="1061"/>
      <c r="D434" s="291"/>
      <c r="E434" s="1044"/>
    </row>
    <row r="435" spans="1:5" x14ac:dyDescent="0.25">
      <c r="A435" s="290"/>
      <c r="B435" s="288"/>
      <c r="C435" s="1061"/>
      <c r="D435" s="291"/>
      <c r="E435" s="1044"/>
    </row>
    <row r="436" spans="1:5" x14ac:dyDescent="0.25">
      <c r="A436" s="290"/>
      <c r="B436" s="288"/>
      <c r="C436" s="1061"/>
      <c r="D436" s="291"/>
      <c r="E436" s="1044"/>
    </row>
    <row r="437" spans="1:5" x14ac:dyDescent="0.25">
      <c r="A437" s="290"/>
      <c r="B437" s="288"/>
      <c r="C437" s="1061"/>
      <c r="D437" s="291"/>
      <c r="E437" s="1044"/>
    </row>
    <row r="438" spans="1:5" x14ac:dyDescent="0.25">
      <c r="A438" s="290"/>
      <c r="B438" s="288"/>
      <c r="C438" s="1061"/>
      <c r="D438" s="291"/>
      <c r="E438" s="1044"/>
    </row>
    <row r="439" spans="1:5" x14ac:dyDescent="0.25">
      <c r="A439" s="290"/>
      <c r="B439" s="288"/>
      <c r="C439" s="1061"/>
      <c r="D439" s="291"/>
      <c r="E439" s="1044"/>
    </row>
    <row r="440" spans="1:5" x14ac:dyDescent="0.25">
      <c r="A440" s="290"/>
      <c r="B440" s="288"/>
      <c r="C440" s="1061"/>
      <c r="D440" s="291"/>
      <c r="E440" s="1044"/>
    </row>
    <row r="441" spans="1:5" x14ac:dyDescent="0.25">
      <c r="A441" s="290"/>
      <c r="B441" s="288"/>
      <c r="C441" s="1061"/>
      <c r="D441" s="291"/>
      <c r="E441" s="1044"/>
    </row>
    <row r="442" spans="1:5" x14ac:dyDescent="0.25">
      <c r="A442" s="290"/>
      <c r="B442" s="288"/>
      <c r="C442" s="1061"/>
      <c r="D442" s="291"/>
      <c r="E442" s="1044"/>
    </row>
    <row r="443" spans="1:5" x14ac:dyDescent="0.25">
      <c r="A443" s="290"/>
      <c r="B443" s="288"/>
      <c r="C443" s="1061"/>
      <c r="D443" s="291"/>
      <c r="E443" s="1044"/>
    </row>
    <row r="444" spans="1:5" x14ac:dyDescent="0.25">
      <c r="A444" s="290"/>
      <c r="B444" s="288"/>
      <c r="C444" s="1061"/>
      <c r="D444" s="291"/>
      <c r="E444" s="1044"/>
    </row>
    <row r="445" spans="1:5" x14ac:dyDescent="0.25">
      <c r="A445" s="290"/>
      <c r="B445" s="288"/>
      <c r="C445" s="1061"/>
      <c r="D445" s="291"/>
      <c r="E445" s="1044"/>
    </row>
    <row r="446" spans="1:5" x14ac:dyDescent="0.25">
      <c r="A446" s="290"/>
      <c r="B446" s="288"/>
      <c r="C446" s="1061"/>
      <c r="D446" s="291"/>
      <c r="E446" s="1044"/>
    </row>
    <row r="447" spans="1:5" x14ac:dyDescent="0.25">
      <c r="A447" s="290"/>
      <c r="B447" s="288"/>
      <c r="C447" s="1061"/>
      <c r="D447" s="291"/>
      <c r="E447" s="1044"/>
    </row>
    <row r="448" spans="1:5" x14ac:dyDescent="0.25">
      <c r="A448" s="290"/>
      <c r="B448" s="288"/>
      <c r="C448" s="1061"/>
      <c r="D448" s="291"/>
      <c r="E448" s="1044"/>
    </row>
    <row r="449" spans="1:5" x14ac:dyDescent="0.25">
      <c r="A449" s="290"/>
      <c r="B449" s="288"/>
      <c r="C449" s="1061"/>
      <c r="D449" s="291"/>
      <c r="E449" s="1044"/>
    </row>
    <row r="450" spans="1:5" x14ac:dyDescent="0.25">
      <c r="A450" s="290"/>
      <c r="B450" s="288"/>
      <c r="C450" s="1061"/>
      <c r="D450" s="291"/>
      <c r="E450" s="1044"/>
    </row>
    <row r="451" spans="1:5" x14ac:dyDescent="0.25">
      <c r="A451" s="290"/>
      <c r="B451" s="288"/>
      <c r="C451" s="1061"/>
      <c r="D451" s="291"/>
      <c r="E451" s="1044"/>
    </row>
    <row r="452" spans="1:5" x14ac:dyDescent="0.25">
      <c r="A452" s="290"/>
      <c r="B452" s="288"/>
      <c r="C452" s="1061"/>
      <c r="D452" s="291"/>
      <c r="E452" s="1044"/>
    </row>
    <row r="453" spans="1:5" x14ac:dyDescent="0.25">
      <c r="A453" s="290"/>
      <c r="B453" s="288"/>
      <c r="C453" s="1061"/>
      <c r="D453" s="291"/>
      <c r="E453" s="1044"/>
    </row>
    <row r="454" spans="1:5" x14ac:dyDescent="0.25">
      <c r="A454" s="290"/>
      <c r="B454" s="288"/>
      <c r="C454" s="1061"/>
      <c r="D454" s="291"/>
      <c r="E454" s="1044"/>
    </row>
    <row r="455" spans="1:5" x14ac:dyDescent="0.25">
      <c r="A455" s="290"/>
      <c r="B455" s="288"/>
      <c r="C455" s="1061"/>
      <c r="D455" s="291"/>
      <c r="E455" s="1044"/>
    </row>
    <row r="456" spans="1:5" x14ac:dyDescent="0.25">
      <c r="A456" s="290"/>
      <c r="B456" s="288"/>
      <c r="C456" s="1061"/>
      <c r="D456" s="291"/>
      <c r="E456" s="1044"/>
    </row>
    <row r="457" spans="1:5" x14ac:dyDescent="0.25">
      <c r="A457" s="290"/>
      <c r="B457" s="288"/>
      <c r="C457" s="1061"/>
      <c r="D457" s="291"/>
      <c r="E457" s="1044"/>
    </row>
    <row r="458" spans="1:5" x14ac:dyDescent="0.25">
      <c r="A458" s="290"/>
      <c r="B458" s="288"/>
      <c r="C458" s="1061"/>
      <c r="D458" s="291"/>
      <c r="E458" s="1044"/>
    </row>
    <row r="459" spans="1:5" x14ac:dyDescent="0.25">
      <c r="A459" s="290"/>
      <c r="B459" s="288"/>
      <c r="C459" s="1061"/>
      <c r="D459" s="291"/>
      <c r="E459" s="1044"/>
    </row>
    <row r="460" spans="1:5" x14ac:dyDescent="0.25">
      <c r="A460" s="290"/>
      <c r="B460" s="288"/>
      <c r="C460" s="1061"/>
      <c r="D460" s="291"/>
      <c r="E460" s="1044"/>
    </row>
    <row r="461" spans="1:5" x14ac:dyDescent="0.25">
      <c r="A461" s="290"/>
      <c r="B461" s="288"/>
      <c r="C461" s="1061"/>
      <c r="D461" s="291"/>
      <c r="E461" s="1044"/>
    </row>
    <row r="462" spans="1:5" x14ac:dyDescent="0.25">
      <c r="A462" s="290"/>
      <c r="B462" s="288"/>
      <c r="C462" s="1061"/>
      <c r="D462" s="291"/>
      <c r="E462" s="1044"/>
    </row>
    <row r="463" spans="1:5" x14ac:dyDescent="0.25">
      <c r="A463" s="290"/>
      <c r="B463" s="288"/>
      <c r="C463" s="1061"/>
      <c r="D463" s="291"/>
      <c r="E463" s="1044"/>
    </row>
    <row r="464" spans="1:5" x14ac:dyDescent="0.25">
      <c r="A464" s="290"/>
      <c r="B464" s="288"/>
      <c r="C464" s="1061"/>
      <c r="D464" s="291"/>
      <c r="E464" s="1044"/>
    </row>
    <row r="465" spans="1:5" x14ac:dyDescent="0.25">
      <c r="A465" s="290"/>
      <c r="B465" s="288"/>
      <c r="C465" s="1061"/>
      <c r="D465" s="291"/>
      <c r="E465" s="1044"/>
    </row>
    <row r="466" spans="1:5" x14ac:dyDescent="0.25">
      <c r="A466" s="290"/>
      <c r="B466" s="288"/>
      <c r="C466" s="1061"/>
      <c r="D466" s="291"/>
      <c r="E466" s="1044"/>
    </row>
    <row r="467" spans="1:5" x14ac:dyDescent="0.25">
      <c r="A467" s="290"/>
      <c r="B467" s="288"/>
      <c r="C467" s="1061"/>
      <c r="D467" s="291"/>
      <c r="E467" s="1044"/>
    </row>
    <row r="468" spans="1:5" x14ac:dyDescent="0.25">
      <c r="A468" s="290"/>
      <c r="B468" s="288"/>
      <c r="C468" s="1061"/>
      <c r="D468" s="291"/>
      <c r="E468" s="1044"/>
    </row>
    <row r="469" spans="1:5" x14ac:dyDescent="0.25">
      <c r="A469" s="290"/>
      <c r="B469" s="288"/>
      <c r="C469" s="1061"/>
      <c r="D469" s="291"/>
      <c r="E469" s="1044"/>
    </row>
    <row r="470" spans="1:5" x14ac:dyDescent="0.25">
      <c r="A470" s="290"/>
      <c r="B470" s="288"/>
      <c r="C470" s="1061"/>
      <c r="D470" s="291"/>
      <c r="E470" s="1044"/>
    </row>
    <row r="471" spans="1:5" x14ac:dyDescent="0.25">
      <c r="A471" s="290"/>
      <c r="B471" s="288"/>
      <c r="C471" s="1061"/>
      <c r="D471" s="291"/>
      <c r="E471" s="1044"/>
    </row>
    <row r="472" spans="1:5" x14ac:dyDescent="0.25">
      <c r="A472" s="290"/>
      <c r="B472" s="288"/>
      <c r="C472" s="1061"/>
      <c r="D472" s="291"/>
      <c r="E472" s="1044"/>
    </row>
    <row r="473" spans="1:5" x14ac:dyDescent="0.25">
      <c r="A473" s="290"/>
      <c r="B473" s="288"/>
      <c r="C473" s="1061"/>
      <c r="D473" s="291"/>
      <c r="E473" s="1044"/>
    </row>
    <row r="474" spans="1:5" x14ac:dyDescent="0.25">
      <c r="A474" s="290"/>
      <c r="B474" s="288"/>
      <c r="C474" s="1061"/>
      <c r="D474" s="291"/>
      <c r="E474" s="1044"/>
    </row>
    <row r="475" spans="1:5" x14ac:dyDescent="0.25">
      <c r="A475" s="290"/>
      <c r="B475" s="288"/>
      <c r="C475" s="1061"/>
      <c r="D475" s="291"/>
      <c r="E475" s="1044"/>
    </row>
    <row r="476" spans="1:5" x14ac:dyDescent="0.25">
      <c r="A476" s="290"/>
      <c r="B476" s="288"/>
      <c r="C476" s="1061"/>
      <c r="D476" s="291"/>
      <c r="E476" s="1044"/>
    </row>
    <row r="477" spans="1:5" x14ac:dyDescent="0.25">
      <c r="A477" s="290"/>
      <c r="B477" s="288"/>
      <c r="C477" s="1061"/>
      <c r="D477" s="291"/>
      <c r="E477" s="1044"/>
    </row>
    <row r="478" spans="1:5" x14ac:dyDescent="0.25">
      <c r="A478" s="290"/>
      <c r="B478" s="288"/>
      <c r="C478" s="1061"/>
      <c r="D478" s="291"/>
      <c r="E478" s="1044"/>
    </row>
    <row r="479" spans="1:5" x14ac:dyDescent="0.25">
      <c r="A479" s="290"/>
      <c r="B479" s="288"/>
      <c r="C479" s="1061"/>
      <c r="D479" s="291"/>
      <c r="E479" s="1044"/>
    </row>
    <row r="480" spans="1:5" x14ac:dyDescent="0.25">
      <c r="A480" s="290"/>
      <c r="B480" s="288"/>
      <c r="C480" s="1061"/>
      <c r="D480" s="291"/>
      <c r="E480" s="1044"/>
    </row>
    <row r="481" spans="1:5" x14ac:dyDescent="0.25">
      <c r="A481" s="290"/>
      <c r="B481" s="288"/>
      <c r="C481" s="1061"/>
      <c r="D481" s="291"/>
      <c r="E481" s="1044"/>
    </row>
    <row r="482" spans="1:5" x14ac:dyDescent="0.25">
      <c r="A482" s="290"/>
      <c r="B482" s="288"/>
      <c r="C482" s="1061"/>
      <c r="D482" s="291"/>
      <c r="E482" s="1044"/>
    </row>
    <row r="483" spans="1:5" x14ac:dyDescent="0.25">
      <c r="A483" s="290"/>
      <c r="B483" s="288"/>
      <c r="C483" s="1061"/>
      <c r="D483" s="291"/>
      <c r="E483" s="1044"/>
    </row>
    <row r="484" spans="1:5" x14ac:dyDescent="0.25">
      <c r="A484" s="290"/>
      <c r="B484" s="288"/>
      <c r="C484" s="1061"/>
      <c r="D484" s="291"/>
      <c r="E484" s="1044"/>
    </row>
    <row r="485" spans="1:5" x14ac:dyDescent="0.25">
      <c r="A485" s="290"/>
      <c r="B485" s="288"/>
      <c r="C485" s="1061"/>
      <c r="D485" s="291"/>
      <c r="E485" s="1044"/>
    </row>
    <row r="486" spans="1:5" x14ac:dyDescent="0.25">
      <c r="A486" s="290"/>
      <c r="B486" s="288"/>
      <c r="C486" s="1061"/>
      <c r="D486" s="291"/>
      <c r="E486" s="1044"/>
    </row>
    <row r="487" spans="1:5" x14ac:dyDescent="0.25">
      <c r="A487" s="290"/>
      <c r="B487" s="288"/>
      <c r="C487" s="1061"/>
      <c r="D487" s="291"/>
      <c r="E487" s="1044"/>
    </row>
    <row r="488" spans="1:5" x14ac:dyDescent="0.25">
      <c r="A488" s="290"/>
      <c r="B488" s="288"/>
      <c r="C488" s="1061"/>
      <c r="D488" s="291"/>
      <c r="E488" s="1044"/>
    </row>
    <row r="489" spans="1:5" x14ac:dyDescent="0.25">
      <c r="A489" s="290"/>
      <c r="B489" s="288"/>
      <c r="C489" s="1061"/>
      <c r="D489" s="291"/>
      <c r="E489" s="1044"/>
    </row>
    <row r="490" spans="1:5" x14ac:dyDescent="0.25">
      <c r="A490" s="290"/>
      <c r="B490" s="288"/>
      <c r="C490" s="1061"/>
      <c r="D490" s="291"/>
      <c r="E490" s="1044"/>
    </row>
    <row r="491" spans="1:5" x14ac:dyDescent="0.25">
      <c r="A491" s="290"/>
      <c r="B491" s="288"/>
      <c r="C491" s="1061"/>
      <c r="D491" s="291"/>
      <c r="E491" s="1044"/>
    </row>
    <row r="492" spans="1:5" x14ac:dyDescent="0.25">
      <c r="A492" s="290"/>
      <c r="B492" s="288"/>
      <c r="C492" s="1061"/>
      <c r="D492" s="291"/>
      <c r="E492" s="1044"/>
    </row>
    <row r="493" spans="1:5" x14ac:dyDescent="0.25">
      <c r="A493" s="290"/>
      <c r="B493" s="288"/>
      <c r="C493" s="1061"/>
      <c r="D493" s="291"/>
      <c r="E493" s="1044"/>
    </row>
    <row r="494" spans="1:5" x14ac:dyDescent="0.25">
      <c r="A494" s="290"/>
      <c r="B494" s="288"/>
      <c r="C494" s="1061"/>
      <c r="D494" s="291"/>
      <c r="E494" s="1044"/>
    </row>
    <row r="495" spans="1:5" x14ac:dyDescent="0.25">
      <c r="A495" s="290"/>
      <c r="B495" s="288"/>
      <c r="C495" s="1061"/>
      <c r="D495" s="291"/>
      <c r="E495" s="1044"/>
    </row>
    <row r="496" spans="1:5" x14ac:dyDescent="0.25">
      <c r="A496" s="290"/>
      <c r="B496" s="288"/>
      <c r="C496" s="1061"/>
      <c r="D496" s="291"/>
      <c r="E496" s="1044"/>
    </row>
    <row r="497" spans="1:5" x14ac:dyDescent="0.25">
      <c r="A497" s="290"/>
      <c r="B497" s="288"/>
      <c r="C497" s="1061"/>
      <c r="D497" s="291"/>
      <c r="E497" s="1044"/>
    </row>
    <row r="498" spans="1:5" x14ac:dyDescent="0.25">
      <c r="A498" s="290"/>
      <c r="B498" s="288"/>
      <c r="C498" s="1061"/>
      <c r="D498" s="291"/>
      <c r="E498" s="1044"/>
    </row>
    <row r="499" spans="1:5" x14ac:dyDescent="0.25">
      <c r="A499" s="290"/>
      <c r="B499" s="288"/>
      <c r="C499" s="1061"/>
      <c r="D499" s="291"/>
      <c r="E499" s="1044"/>
    </row>
    <row r="500" spans="1:5" x14ac:dyDescent="0.25">
      <c r="A500" s="290"/>
      <c r="B500" s="288"/>
      <c r="C500" s="1061"/>
      <c r="D500" s="291"/>
      <c r="E500" s="1044"/>
    </row>
    <row r="501" spans="1:5" x14ac:dyDescent="0.25">
      <c r="A501" s="290"/>
      <c r="B501" s="288"/>
      <c r="C501" s="1061"/>
      <c r="D501" s="291"/>
      <c r="E501" s="1044"/>
    </row>
    <row r="502" spans="1:5" x14ac:dyDescent="0.25">
      <c r="A502" s="290"/>
      <c r="B502" s="288"/>
      <c r="C502" s="1061"/>
      <c r="D502" s="291"/>
      <c r="E502" s="1044"/>
    </row>
    <row r="503" spans="1:5" x14ac:dyDescent="0.25">
      <c r="A503" s="290"/>
      <c r="B503" s="288"/>
      <c r="C503" s="1061"/>
      <c r="D503" s="291"/>
      <c r="E503" s="1044"/>
    </row>
    <row r="504" spans="1:5" x14ac:dyDescent="0.25">
      <c r="A504" s="290"/>
      <c r="B504" s="288"/>
      <c r="C504" s="1061"/>
      <c r="D504" s="291"/>
      <c r="E504" s="1044"/>
    </row>
    <row r="505" spans="1:5" x14ac:dyDescent="0.25">
      <c r="A505" s="290"/>
      <c r="B505" s="288"/>
      <c r="C505" s="1061"/>
      <c r="D505" s="291"/>
      <c r="E505" s="1044"/>
    </row>
    <row r="506" spans="1:5" x14ac:dyDescent="0.25">
      <c r="A506" s="290"/>
      <c r="B506" s="288"/>
      <c r="C506" s="1061"/>
      <c r="D506" s="291"/>
      <c r="E506" s="1044"/>
    </row>
    <row r="507" spans="1:5" x14ac:dyDescent="0.25">
      <c r="A507" s="290"/>
      <c r="B507" s="288"/>
      <c r="C507" s="1061"/>
      <c r="D507" s="291"/>
      <c r="E507" s="1044"/>
    </row>
    <row r="508" spans="1:5" x14ac:dyDescent="0.25">
      <c r="A508" s="290"/>
      <c r="B508" s="288"/>
      <c r="C508" s="1061"/>
      <c r="D508" s="291"/>
      <c r="E508" s="1044"/>
    </row>
    <row r="509" spans="1:5" x14ac:dyDescent="0.25">
      <c r="A509" s="290"/>
      <c r="B509" s="288"/>
      <c r="C509" s="1061"/>
      <c r="D509" s="291"/>
      <c r="E509" s="1044"/>
    </row>
    <row r="510" spans="1:5" x14ac:dyDescent="0.25">
      <c r="A510" s="290"/>
      <c r="B510" s="288"/>
      <c r="C510" s="1061"/>
      <c r="D510" s="291"/>
      <c r="E510" s="1044"/>
    </row>
    <row r="511" spans="1:5" x14ac:dyDescent="0.25">
      <c r="A511" s="290"/>
      <c r="B511" s="288"/>
      <c r="C511" s="1061"/>
      <c r="D511" s="291"/>
      <c r="E511" s="1044"/>
    </row>
    <row r="512" spans="1:5" x14ac:dyDescent="0.25">
      <c r="A512" s="290"/>
      <c r="B512" s="288"/>
      <c r="C512" s="1061"/>
      <c r="D512" s="291"/>
      <c r="E512" s="1044"/>
    </row>
    <row r="513" spans="1:5" x14ac:dyDescent="0.25">
      <c r="A513" s="290"/>
      <c r="B513" s="288"/>
      <c r="C513" s="1061"/>
      <c r="D513" s="291"/>
      <c r="E513" s="1044"/>
    </row>
    <row r="514" spans="1:5" x14ac:dyDescent="0.25">
      <c r="A514" s="290"/>
      <c r="B514" s="288"/>
      <c r="C514" s="1061"/>
      <c r="D514" s="291"/>
      <c r="E514" s="1044"/>
    </row>
    <row r="515" spans="1:5" x14ac:dyDescent="0.25">
      <c r="A515" s="290"/>
      <c r="B515" s="288"/>
      <c r="C515" s="1061"/>
      <c r="D515" s="291"/>
      <c r="E515" s="1044"/>
    </row>
    <row r="516" spans="1:5" x14ac:dyDescent="0.25">
      <c r="A516" s="290"/>
      <c r="B516" s="288"/>
      <c r="C516" s="1061"/>
      <c r="D516" s="291"/>
      <c r="E516" s="1044"/>
    </row>
    <row r="517" spans="1:5" x14ac:dyDescent="0.25">
      <c r="A517" s="290"/>
      <c r="B517" s="288"/>
      <c r="C517" s="1061"/>
      <c r="D517" s="291"/>
      <c r="E517" s="1044"/>
    </row>
    <row r="518" spans="1:5" x14ac:dyDescent="0.25">
      <c r="A518" s="290"/>
      <c r="B518" s="288"/>
      <c r="C518" s="1061"/>
      <c r="D518" s="291"/>
      <c r="E518" s="1044"/>
    </row>
    <row r="519" spans="1:5" x14ac:dyDescent="0.25">
      <c r="A519" s="290"/>
      <c r="B519" s="288"/>
      <c r="C519" s="1061"/>
      <c r="D519" s="291"/>
      <c r="E519" s="1044"/>
    </row>
    <row r="520" spans="1:5" x14ac:dyDescent="0.25">
      <c r="A520" s="290"/>
      <c r="B520" s="288"/>
      <c r="C520" s="1061"/>
      <c r="D520" s="291"/>
      <c r="E520" s="1044"/>
    </row>
    <row r="521" spans="1:5" x14ac:dyDescent="0.25">
      <c r="A521" s="290"/>
      <c r="B521" s="288"/>
      <c r="C521" s="1061"/>
      <c r="D521" s="291"/>
      <c r="E521" s="1044"/>
    </row>
    <row r="522" spans="1:5" x14ac:dyDescent="0.25">
      <c r="A522" s="290"/>
      <c r="B522" s="288"/>
      <c r="C522" s="1061"/>
      <c r="D522" s="291"/>
      <c r="E522" s="1044"/>
    </row>
    <row r="523" spans="1:5" x14ac:dyDescent="0.25">
      <c r="A523" s="290"/>
      <c r="B523" s="288"/>
      <c r="C523" s="1061"/>
      <c r="D523" s="291"/>
      <c r="E523" s="1044"/>
    </row>
    <row r="524" spans="1:5" x14ac:dyDescent="0.25">
      <c r="A524" s="290"/>
      <c r="B524" s="288"/>
      <c r="C524" s="1061"/>
      <c r="D524" s="291"/>
      <c r="E524" s="1044"/>
    </row>
    <row r="525" spans="1:5" x14ac:dyDescent="0.25">
      <c r="A525" s="290"/>
      <c r="B525" s="288"/>
      <c r="C525" s="1061"/>
      <c r="D525" s="291"/>
      <c r="E525" s="1044"/>
    </row>
    <row r="526" spans="1:5" x14ac:dyDescent="0.25">
      <c r="A526" s="290"/>
      <c r="B526" s="288"/>
      <c r="C526" s="1061"/>
      <c r="D526" s="291"/>
      <c r="E526" s="1044"/>
    </row>
    <row r="527" spans="1:5" x14ac:dyDescent="0.25">
      <c r="A527" s="290"/>
      <c r="B527" s="288"/>
      <c r="C527" s="1061"/>
      <c r="D527" s="291"/>
      <c r="E527" s="1044"/>
    </row>
    <row r="528" spans="1:5" x14ac:dyDescent="0.25">
      <c r="A528" s="290"/>
      <c r="B528" s="288"/>
      <c r="C528" s="1061"/>
      <c r="D528" s="291"/>
      <c r="E528" s="1044"/>
    </row>
    <row r="529" spans="1:5" x14ac:dyDescent="0.25">
      <c r="A529" s="290"/>
      <c r="B529" s="288"/>
      <c r="C529" s="1061"/>
      <c r="D529" s="291"/>
      <c r="E529" s="1044"/>
    </row>
    <row r="530" spans="1:5" x14ac:dyDescent="0.25">
      <c r="A530" s="290"/>
      <c r="B530" s="288"/>
      <c r="C530" s="1061"/>
      <c r="D530" s="291"/>
      <c r="E530" s="1044"/>
    </row>
    <row r="531" spans="1:5" x14ac:dyDescent="0.25">
      <c r="A531" s="290"/>
      <c r="B531" s="288"/>
      <c r="C531" s="1061"/>
      <c r="D531" s="291"/>
      <c r="E531" s="1044"/>
    </row>
    <row r="532" spans="1:5" x14ac:dyDescent="0.25">
      <c r="A532" s="290"/>
      <c r="B532" s="288"/>
      <c r="C532" s="1061"/>
      <c r="D532" s="291"/>
      <c r="E532" s="1044"/>
    </row>
    <row r="533" spans="1:5" x14ac:dyDescent="0.25">
      <c r="A533" s="290"/>
      <c r="B533" s="288"/>
      <c r="C533" s="1061"/>
      <c r="D533" s="291"/>
      <c r="E533" s="1044"/>
    </row>
    <row r="534" spans="1:5" x14ac:dyDescent="0.25">
      <c r="A534" s="290"/>
      <c r="B534" s="288"/>
      <c r="C534" s="1061"/>
      <c r="D534" s="291"/>
      <c r="E534" s="1044"/>
    </row>
    <row r="535" spans="1:5" x14ac:dyDescent="0.25">
      <c r="A535" s="290"/>
      <c r="B535" s="288"/>
      <c r="C535" s="1061"/>
      <c r="D535" s="291"/>
      <c r="E535" s="1044"/>
    </row>
    <row r="536" spans="1:5" x14ac:dyDescent="0.25">
      <c r="A536" s="290"/>
      <c r="B536" s="288"/>
      <c r="C536" s="1061"/>
      <c r="D536" s="291"/>
      <c r="E536" s="1044"/>
    </row>
    <row r="537" spans="1:5" x14ac:dyDescent="0.25">
      <c r="A537" s="290"/>
      <c r="B537" s="288"/>
      <c r="C537" s="1061"/>
      <c r="D537" s="291"/>
      <c r="E537" s="1044"/>
    </row>
    <row r="538" spans="1:5" x14ac:dyDescent="0.25">
      <c r="A538" s="290"/>
      <c r="B538" s="288"/>
      <c r="C538" s="1061"/>
      <c r="D538" s="291"/>
      <c r="E538" s="1044"/>
    </row>
    <row r="539" spans="1:5" x14ac:dyDescent="0.25">
      <c r="A539" s="290"/>
      <c r="B539" s="288"/>
      <c r="C539" s="1061"/>
      <c r="D539" s="291"/>
      <c r="E539" s="1044"/>
    </row>
    <row r="540" spans="1:5" x14ac:dyDescent="0.25">
      <c r="A540" s="290"/>
      <c r="B540" s="288"/>
      <c r="C540" s="1061"/>
      <c r="D540" s="291"/>
      <c r="E540" s="1044"/>
    </row>
    <row r="541" spans="1:5" x14ac:dyDescent="0.25">
      <c r="A541" s="290"/>
      <c r="B541" s="288"/>
      <c r="C541" s="1061"/>
      <c r="D541" s="291"/>
      <c r="E541" s="1044"/>
    </row>
    <row r="542" spans="1:5" x14ac:dyDescent="0.25">
      <c r="A542" s="290"/>
      <c r="B542" s="288"/>
      <c r="C542" s="1061"/>
      <c r="D542" s="291"/>
      <c r="E542" s="1044"/>
    </row>
    <row r="543" spans="1:5" x14ac:dyDescent="0.25">
      <c r="A543" s="290"/>
      <c r="B543" s="288"/>
      <c r="C543" s="1061"/>
      <c r="D543" s="291"/>
      <c r="E543" s="1044"/>
    </row>
    <row r="544" spans="1:5" x14ac:dyDescent="0.25">
      <c r="A544" s="290"/>
      <c r="B544" s="288"/>
      <c r="C544" s="1061"/>
      <c r="D544" s="291"/>
      <c r="E544" s="1044"/>
    </row>
    <row r="545" spans="1:5" x14ac:dyDescent="0.25">
      <c r="A545" s="290"/>
      <c r="B545" s="288"/>
      <c r="C545" s="1061"/>
      <c r="D545" s="291"/>
      <c r="E545" s="1044"/>
    </row>
    <row r="546" spans="1:5" x14ac:dyDescent="0.25">
      <c r="A546" s="290"/>
      <c r="B546" s="288"/>
      <c r="C546" s="1061"/>
      <c r="D546" s="291"/>
      <c r="E546" s="1044"/>
    </row>
    <row r="547" spans="1:5" x14ac:dyDescent="0.25">
      <c r="A547" s="290"/>
      <c r="B547" s="288"/>
      <c r="C547" s="1061"/>
      <c r="D547" s="291"/>
      <c r="E547" s="1044"/>
    </row>
    <row r="548" spans="1:5" x14ac:dyDescent="0.25">
      <c r="A548" s="290"/>
      <c r="B548" s="288"/>
      <c r="C548" s="1061"/>
      <c r="D548" s="291"/>
      <c r="E548" s="1044"/>
    </row>
    <row r="549" spans="1:5" x14ac:dyDescent="0.25">
      <c r="A549" s="290"/>
      <c r="B549" s="288"/>
      <c r="C549" s="1061"/>
      <c r="D549" s="291"/>
      <c r="E549" s="1044"/>
    </row>
    <row r="550" spans="1:5" x14ac:dyDescent="0.25">
      <c r="A550" s="290"/>
      <c r="B550" s="288"/>
      <c r="C550" s="1061"/>
      <c r="D550" s="291"/>
      <c r="E550" s="1044"/>
    </row>
    <row r="551" spans="1:5" x14ac:dyDescent="0.25">
      <c r="A551" s="290"/>
      <c r="B551" s="288"/>
      <c r="C551" s="1061"/>
      <c r="D551" s="291"/>
      <c r="E551" s="1044"/>
    </row>
    <row r="552" spans="1:5" x14ac:dyDescent="0.25">
      <c r="A552" s="290"/>
      <c r="B552" s="288"/>
      <c r="C552" s="1061"/>
      <c r="D552" s="291"/>
      <c r="E552" s="1044"/>
    </row>
    <row r="553" spans="1:5" x14ac:dyDescent="0.25">
      <c r="A553" s="290"/>
      <c r="B553" s="288"/>
      <c r="C553" s="1061"/>
      <c r="D553" s="291"/>
      <c r="E553" s="1044"/>
    </row>
    <row r="554" spans="1:5" x14ac:dyDescent="0.25">
      <c r="A554" s="290"/>
      <c r="B554" s="288"/>
      <c r="C554" s="1061"/>
      <c r="D554" s="291"/>
      <c r="E554" s="1044"/>
    </row>
    <row r="555" spans="1:5" x14ac:dyDescent="0.25">
      <c r="A555" s="290"/>
      <c r="B555" s="288"/>
      <c r="C555" s="1061"/>
      <c r="D555" s="291"/>
      <c r="E555" s="1044"/>
    </row>
    <row r="556" spans="1:5" x14ac:dyDescent="0.25">
      <c r="A556" s="290"/>
      <c r="B556" s="288"/>
      <c r="C556" s="1061"/>
      <c r="D556" s="291"/>
      <c r="E556" s="1044"/>
    </row>
    <row r="557" spans="1:5" x14ac:dyDescent="0.25">
      <c r="A557" s="290"/>
      <c r="B557" s="288"/>
      <c r="C557" s="1061"/>
      <c r="D557" s="291"/>
      <c r="E557" s="1044"/>
    </row>
    <row r="558" spans="1:5" x14ac:dyDescent="0.25">
      <c r="A558" s="290"/>
      <c r="B558" s="288"/>
      <c r="C558" s="1061"/>
      <c r="D558" s="291"/>
      <c r="E558" s="1044"/>
    </row>
    <row r="559" spans="1:5" x14ac:dyDescent="0.25">
      <c r="A559" s="290"/>
      <c r="B559" s="288"/>
      <c r="C559" s="1061"/>
      <c r="D559" s="291"/>
      <c r="E559" s="1044"/>
    </row>
    <row r="560" spans="1:5" x14ac:dyDescent="0.25">
      <c r="A560" s="290"/>
      <c r="B560" s="288"/>
      <c r="C560" s="1061"/>
      <c r="D560" s="291"/>
      <c r="E560" s="1044"/>
    </row>
    <row r="561" spans="1:5" x14ac:dyDescent="0.25">
      <c r="A561" s="290"/>
      <c r="B561" s="288"/>
      <c r="C561" s="1061"/>
      <c r="D561" s="291"/>
      <c r="E561" s="1044"/>
    </row>
    <row r="562" spans="1:5" x14ac:dyDescent="0.25">
      <c r="A562" s="290"/>
      <c r="B562" s="288"/>
      <c r="C562" s="1061"/>
      <c r="D562" s="291"/>
      <c r="E562" s="1044"/>
    </row>
    <row r="563" spans="1:5" x14ac:dyDescent="0.25">
      <c r="A563" s="290"/>
      <c r="B563" s="288"/>
      <c r="C563" s="1061"/>
      <c r="D563" s="291"/>
      <c r="E563" s="1044"/>
    </row>
    <row r="564" spans="1:5" x14ac:dyDescent="0.25">
      <c r="A564" s="290"/>
      <c r="B564" s="288"/>
      <c r="C564" s="1061"/>
      <c r="D564" s="291"/>
      <c r="E564" s="1044"/>
    </row>
    <row r="565" spans="1:5" x14ac:dyDescent="0.25">
      <c r="A565" s="290"/>
      <c r="B565" s="288"/>
      <c r="C565" s="1061"/>
      <c r="D565" s="291"/>
      <c r="E565" s="1044"/>
    </row>
    <row r="566" spans="1:5" x14ac:dyDescent="0.25">
      <c r="A566" s="290"/>
      <c r="B566" s="288"/>
      <c r="C566" s="1061"/>
      <c r="D566" s="291"/>
      <c r="E566" s="1044"/>
    </row>
    <row r="567" spans="1:5" x14ac:dyDescent="0.25">
      <c r="A567" s="290"/>
      <c r="B567" s="288"/>
      <c r="C567" s="1061"/>
      <c r="D567" s="291"/>
      <c r="E567" s="1044"/>
    </row>
    <row r="568" spans="1:5" x14ac:dyDescent="0.25">
      <c r="A568" s="290"/>
      <c r="B568" s="288"/>
      <c r="C568" s="1061"/>
      <c r="D568" s="291"/>
      <c r="E568" s="1044"/>
    </row>
    <row r="569" spans="1:5" x14ac:dyDescent="0.25">
      <c r="A569" s="290"/>
      <c r="B569" s="288"/>
      <c r="C569" s="1061"/>
      <c r="D569" s="291"/>
      <c r="E569" s="1044"/>
    </row>
    <row r="570" spans="1:5" x14ac:dyDescent="0.25">
      <c r="A570" s="290"/>
      <c r="B570" s="288"/>
      <c r="C570" s="1061"/>
      <c r="D570" s="291"/>
      <c r="E570" s="1044"/>
    </row>
    <row r="571" spans="1:5" x14ac:dyDescent="0.25">
      <c r="A571" s="290"/>
      <c r="B571" s="288"/>
      <c r="C571" s="1061"/>
      <c r="D571" s="291"/>
      <c r="E571" s="1044"/>
    </row>
    <row r="572" spans="1:5" x14ac:dyDescent="0.25">
      <c r="A572" s="290"/>
      <c r="B572" s="288"/>
      <c r="C572" s="1061"/>
      <c r="D572" s="291"/>
      <c r="E572" s="1044"/>
    </row>
    <row r="573" spans="1:5" x14ac:dyDescent="0.25">
      <c r="A573" s="290"/>
      <c r="B573" s="288"/>
      <c r="C573" s="1061"/>
      <c r="D573" s="291"/>
      <c r="E573" s="1044"/>
    </row>
    <row r="574" spans="1:5" x14ac:dyDescent="0.25">
      <c r="A574" s="290"/>
      <c r="B574" s="288"/>
      <c r="C574" s="1061"/>
      <c r="D574" s="291"/>
      <c r="E574" s="1044"/>
    </row>
    <row r="575" spans="1:5" x14ac:dyDescent="0.25">
      <c r="A575" s="290"/>
      <c r="B575" s="288"/>
      <c r="C575" s="1061"/>
      <c r="D575" s="291"/>
      <c r="E575" s="1044"/>
    </row>
    <row r="576" spans="1:5" x14ac:dyDescent="0.25">
      <c r="A576" s="290"/>
      <c r="B576" s="288"/>
      <c r="C576" s="1061"/>
      <c r="D576" s="291"/>
      <c r="E576" s="1044"/>
    </row>
    <row r="577" spans="1:5" x14ac:dyDescent="0.25">
      <c r="A577" s="290"/>
      <c r="B577" s="288"/>
      <c r="C577" s="1061"/>
      <c r="D577" s="291"/>
      <c r="E577" s="1044"/>
    </row>
    <row r="578" spans="1:5" x14ac:dyDescent="0.25">
      <c r="A578" s="290"/>
      <c r="B578" s="288"/>
      <c r="C578" s="1061"/>
      <c r="D578" s="291"/>
      <c r="E578" s="1044"/>
    </row>
    <row r="579" spans="1:5" x14ac:dyDescent="0.25">
      <c r="A579" s="290"/>
      <c r="B579" s="288"/>
      <c r="C579" s="1061"/>
      <c r="D579" s="291"/>
      <c r="E579" s="1044"/>
    </row>
    <row r="580" spans="1:5" x14ac:dyDescent="0.25">
      <c r="A580" s="290"/>
      <c r="B580" s="288"/>
      <c r="C580" s="1061"/>
      <c r="D580" s="291"/>
      <c r="E580" s="1044"/>
    </row>
    <row r="581" spans="1:5" x14ac:dyDescent="0.25">
      <c r="A581" s="290"/>
      <c r="B581" s="288"/>
      <c r="C581" s="1061"/>
      <c r="D581" s="291"/>
      <c r="E581" s="1044"/>
    </row>
    <row r="582" spans="1:5" x14ac:dyDescent="0.25">
      <c r="A582" s="290"/>
      <c r="B582" s="288"/>
      <c r="C582" s="1061"/>
      <c r="D582" s="291"/>
      <c r="E582" s="1044"/>
    </row>
    <row r="583" spans="1:5" x14ac:dyDescent="0.25">
      <c r="A583" s="290"/>
      <c r="B583" s="288"/>
      <c r="C583" s="1061"/>
      <c r="D583" s="291"/>
      <c r="E583" s="1044"/>
    </row>
    <row r="584" spans="1:5" x14ac:dyDescent="0.25">
      <c r="A584" s="290"/>
      <c r="B584" s="288"/>
      <c r="C584" s="1061"/>
      <c r="D584" s="291"/>
      <c r="E584" s="1044"/>
    </row>
    <row r="585" spans="1:5" x14ac:dyDescent="0.25">
      <c r="A585" s="290"/>
      <c r="B585" s="288"/>
      <c r="C585" s="1061"/>
      <c r="D585" s="291"/>
      <c r="E585" s="1044"/>
    </row>
    <row r="586" spans="1:5" x14ac:dyDescent="0.25">
      <c r="A586" s="290"/>
      <c r="B586" s="288"/>
      <c r="C586" s="1061"/>
      <c r="D586" s="291"/>
      <c r="E586" s="1044"/>
    </row>
    <row r="587" spans="1:5" x14ac:dyDescent="0.25">
      <c r="A587" s="290"/>
      <c r="B587" s="288"/>
      <c r="C587" s="1061"/>
      <c r="D587" s="291"/>
      <c r="E587" s="1044"/>
    </row>
    <row r="588" spans="1:5" x14ac:dyDescent="0.25">
      <c r="A588" s="290"/>
      <c r="B588" s="288"/>
      <c r="C588" s="1061"/>
      <c r="D588" s="291"/>
      <c r="E588" s="1044"/>
    </row>
    <row r="589" spans="1:5" x14ac:dyDescent="0.25">
      <c r="A589" s="290"/>
      <c r="B589" s="288"/>
      <c r="C589" s="1061"/>
      <c r="D589" s="291"/>
      <c r="E589" s="1044"/>
    </row>
    <row r="590" spans="1:5" x14ac:dyDescent="0.25">
      <c r="A590" s="290"/>
      <c r="B590" s="288"/>
      <c r="C590" s="1061"/>
      <c r="D590" s="291"/>
      <c r="E590" s="1044"/>
    </row>
    <row r="591" spans="1:5" x14ac:dyDescent="0.25">
      <c r="A591" s="290"/>
      <c r="B591" s="288"/>
      <c r="C591" s="1061"/>
      <c r="D591" s="291"/>
      <c r="E591" s="1044"/>
    </row>
    <row r="592" spans="1:5" x14ac:dyDescent="0.25">
      <c r="A592" s="290"/>
      <c r="B592" s="288"/>
      <c r="C592" s="1061"/>
      <c r="D592" s="291"/>
      <c r="E592" s="1044"/>
    </row>
    <row r="593" spans="1:5" x14ac:dyDescent="0.25">
      <c r="A593" s="290"/>
      <c r="B593" s="288"/>
      <c r="C593" s="1061"/>
      <c r="D593" s="291"/>
      <c r="E593" s="1044"/>
    </row>
    <row r="594" spans="1:5" x14ac:dyDescent="0.25">
      <c r="A594" s="290"/>
      <c r="B594" s="288"/>
      <c r="C594" s="1061"/>
      <c r="D594" s="291"/>
      <c r="E594" s="1044"/>
    </row>
    <row r="595" spans="1:5" x14ac:dyDescent="0.25">
      <c r="A595" s="290"/>
      <c r="B595" s="288"/>
      <c r="C595" s="1061"/>
      <c r="D595" s="291"/>
      <c r="E595" s="1044"/>
    </row>
    <row r="596" spans="1:5" x14ac:dyDescent="0.25">
      <c r="A596" s="290"/>
      <c r="B596" s="288"/>
      <c r="C596" s="1061"/>
      <c r="D596" s="291"/>
      <c r="E596" s="1044"/>
    </row>
    <row r="597" spans="1:5" x14ac:dyDescent="0.25">
      <c r="A597" s="290"/>
      <c r="B597" s="288"/>
      <c r="C597" s="1061"/>
      <c r="D597" s="291"/>
      <c r="E597" s="1044"/>
    </row>
    <row r="598" spans="1:5" x14ac:dyDescent="0.25">
      <c r="A598" s="290"/>
      <c r="B598" s="288"/>
      <c r="C598" s="1061"/>
      <c r="D598" s="291"/>
      <c r="E598" s="1044"/>
    </row>
    <row r="599" spans="1:5" x14ac:dyDescent="0.25">
      <c r="A599" s="290"/>
      <c r="B599" s="288"/>
      <c r="C599" s="1061"/>
      <c r="D599" s="291"/>
      <c r="E599" s="1044"/>
    </row>
    <row r="600" spans="1:5" x14ac:dyDescent="0.25">
      <c r="A600" s="290"/>
      <c r="B600" s="288"/>
      <c r="C600" s="1061"/>
      <c r="D600" s="291"/>
      <c r="E600" s="1044"/>
    </row>
    <row r="601" spans="1:5" x14ac:dyDescent="0.25">
      <c r="A601" s="290"/>
      <c r="B601" s="288"/>
      <c r="C601" s="1061"/>
      <c r="D601" s="291"/>
      <c r="E601" s="1044"/>
    </row>
    <row r="602" spans="1:5" x14ac:dyDescent="0.25">
      <c r="A602" s="290"/>
      <c r="B602" s="288"/>
      <c r="C602" s="1061"/>
      <c r="D602" s="291"/>
      <c r="E602" s="1044"/>
    </row>
    <row r="603" spans="1:5" x14ac:dyDescent="0.25">
      <c r="A603" s="290"/>
      <c r="B603" s="288"/>
      <c r="C603" s="1061"/>
      <c r="D603" s="291"/>
      <c r="E603" s="1044"/>
    </row>
    <row r="604" spans="1:5" x14ac:dyDescent="0.25">
      <c r="A604" s="290"/>
      <c r="B604" s="288"/>
      <c r="C604" s="1061"/>
      <c r="D604" s="291"/>
      <c r="E604" s="1044"/>
    </row>
    <row r="605" spans="1:5" x14ac:dyDescent="0.25">
      <c r="A605" s="290"/>
      <c r="B605" s="288"/>
      <c r="C605" s="1061"/>
      <c r="D605" s="291"/>
      <c r="E605" s="1044"/>
    </row>
    <row r="606" spans="1:5" x14ac:dyDescent="0.25">
      <c r="A606" s="290"/>
      <c r="B606" s="288"/>
      <c r="C606" s="1061"/>
      <c r="D606" s="291"/>
      <c r="E606" s="1044"/>
    </row>
    <row r="607" spans="1:5" x14ac:dyDescent="0.25">
      <c r="A607" s="290"/>
      <c r="B607" s="288"/>
      <c r="C607" s="1061"/>
      <c r="D607" s="291"/>
      <c r="E607" s="1044"/>
    </row>
    <row r="608" spans="1:5" x14ac:dyDescent="0.25">
      <c r="A608" s="290"/>
      <c r="B608" s="288"/>
      <c r="C608" s="1061"/>
      <c r="D608" s="291"/>
      <c r="E608" s="1044"/>
    </row>
    <row r="609" spans="1:5" x14ac:dyDescent="0.25">
      <c r="A609" s="290"/>
      <c r="B609" s="288"/>
      <c r="C609" s="1061"/>
      <c r="D609" s="291"/>
      <c r="E609" s="1044"/>
    </row>
    <row r="610" spans="1:5" x14ac:dyDescent="0.25">
      <c r="A610" s="290"/>
      <c r="B610" s="288"/>
      <c r="C610" s="1061"/>
      <c r="D610" s="291"/>
      <c r="E610" s="1044"/>
    </row>
    <row r="611" spans="1:5" x14ac:dyDescent="0.25">
      <c r="A611" s="290"/>
      <c r="B611" s="288"/>
      <c r="C611" s="1061"/>
      <c r="D611" s="291"/>
      <c r="E611" s="1044"/>
    </row>
    <row r="612" spans="1:5" x14ac:dyDescent="0.25">
      <c r="A612" s="290"/>
      <c r="B612" s="288"/>
      <c r="C612" s="1061"/>
      <c r="D612" s="291"/>
      <c r="E612" s="1044"/>
    </row>
    <row r="613" spans="1:5" x14ac:dyDescent="0.25">
      <c r="A613" s="290"/>
      <c r="B613" s="288"/>
      <c r="C613" s="1061"/>
      <c r="D613" s="291"/>
      <c r="E613" s="1044"/>
    </row>
    <row r="614" spans="1:5" x14ac:dyDescent="0.25">
      <c r="A614" s="290"/>
      <c r="B614" s="288"/>
      <c r="C614" s="1061"/>
      <c r="D614" s="291"/>
      <c r="E614" s="1044"/>
    </row>
    <row r="615" spans="1:5" x14ac:dyDescent="0.25">
      <c r="A615" s="290"/>
      <c r="B615" s="288"/>
      <c r="C615" s="1061"/>
      <c r="D615" s="291"/>
      <c r="E615" s="1044"/>
    </row>
    <row r="616" spans="1:5" x14ac:dyDescent="0.25">
      <c r="A616" s="290"/>
      <c r="B616" s="288"/>
      <c r="C616" s="1061"/>
      <c r="D616" s="291"/>
      <c r="E616" s="1044"/>
    </row>
    <row r="617" spans="1:5" x14ac:dyDescent="0.25">
      <c r="A617" s="290"/>
      <c r="B617" s="288"/>
      <c r="C617" s="1061"/>
      <c r="D617" s="291"/>
      <c r="E617" s="1044"/>
    </row>
    <row r="618" spans="1:5" x14ac:dyDescent="0.25">
      <c r="A618" s="290"/>
      <c r="B618" s="288"/>
      <c r="C618" s="1061"/>
      <c r="D618" s="291"/>
      <c r="E618" s="1044"/>
    </row>
    <row r="619" spans="1:5" x14ac:dyDescent="0.25">
      <c r="A619" s="290"/>
      <c r="B619" s="288"/>
      <c r="C619" s="1061"/>
      <c r="D619" s="291"/>
      <c r="E619" s="1044"/>
    </row>
    <row r="620" spans="1:5" x14ac:dyDescent="0.25">
      <c r="A620" s="290"/>
      <c r="B620" s="288"/>
      <c r="C620" s="1061"/>
      <c r="D620" s="291"/>
      <c r="E620" s="1044"/>
    </row>
    <row r="621" spans="1:5" x14ac:dyDescent="0.25">
      <c r="A621" s="290"/>
      <c r="B621" s="288"/>
      <c r="C621" s="1061"/>
      <c r="D621" s="291"/>
      <c r="E621" s="1044"/>
    </row>
    <row r="622" spans="1:5" x14ac:dyDescent="0.25">
      <c r="A622" s="290"/>
      <c r="B622" s="288"/>
      <c r="C622" s="1061"/>
      <c r="D622" s="291"/>
      <c r="E622" s="1044"/>
    </row>
    <row r="623" spans="1:5" x14ac:dyDescent="0.25">
      <c r="A623" s="290"/>
      <c r="B623" s="288"/>
      <c r="C623" s="1061"/>
      <c r="D623" s="291"/>
      <c r="E623" s="1044"/>
    </row>
    <row r="624" spans="1:5" x14ac:dyDescent="0.25">
      <c r="A624" s="290"/>
      <c r="B624" s="288"/>
      <c r="C624" s="1061"/>
      <c r="D624" s="291"/>
      <c r="E624" s="1044"/>
    </row>
    <row r="625" spans="1:5" x14ac:dyDescent="0.25">
      <c r="A625" s="290"/>
      <c r="B625" s="288"/>
      <c r="C625" s="1061"/>
      <c r="D625" s="291"/>
      <c r="E625" s="1044"/>
    </row>
    <row r="626" spans="1:5" x14ac:dyDescent="0.25">
      <c r="A626" s="290"/>
      <c r="B626" s="288"/>
      <c r="C626" s="1061"/>
      <c r="D626" s="291"/>
      <c r="E626" s="1044"/>
    </row>
    <row r="627" spans="1:5" x14ac:dyDescent="0.25">
      <c r="A627" s="290"/>
      <c r="B627" s="288"/>
      <c r="C627" s="1061"/>
      <c r="D627" s="291"/>
      <c r="E627" s="1044"/>
    </row>
    <row r="628" spans="1:5" x14ac:dyDescent="0.25">
      <c r="A628" s="290"/>
      <c r="B628" s="288"/>
      <c r="C628" s="1061"/>
      <c r="D628" s="291"/>
      <c r="E628" s="1044"/>
    </row>
    <row r="629" spans="1:5" x14ac:dyDescent="0.25">
      <c r="A629" s="290"/>
      <c r="B629" s="288"/>
      <c r="C629" s="1061"/>
      <c r="D629" s="291"/>
      <c r="E629" s="1044"/>
    </row>
    <row r="630" spans="1:5" x14ac:dyDescent="0.25">
      <c r="A630" s="290"/>
      <c r="B630" s="288"/>
      <c r="C630" s="1061"/>
      <c r="D630" s="291"/>
      <c r="E630" s="1044"/>
    </row>
    <row r="631" spans="1:5" x14ac:dyDescent="0.25">
      <c r="A631" s="290"/>
      <c r="B631" s="288"/>
      <c r="C631" s="1061"/>
      <c r="D631" s="291"/>
      <c r="E631" s="1044"/>
    </row>
    <row r="632" spans="1:5" x14ac:dyDescent="0.25">
      <c r="A632" s="290"/>
      <c r="B632" s="288"/>
      <c r="C632" s="1061"/>
      <c r="D632" s="291"/>
      <c r="E632" s="1044"/>
    </row>
    <row r="633" spans="1:5" x14ac:dyDescent="0.25">
      <c r="A633" s="290"/>
      <c r="B633" s="288"/>
      <c r="C633" s="1061"/>
      <c r="D633" s="291"/>
      <c r="E633" s="1044"/>
    </row>
    <row r="634" spans="1:5" x14ac:dyDescent="0.25">
      <c r="A634" s="290"/>
      <c r="B634" s="288"/>
      <c r="C634" s="1061"/>
      <c r="D634" s="291"/>
      <c r="E634" s="1044"/>
    </row>
    <row r="635" spans="1:5" x14ac:dyDescent="0.25">
      <c r="A635" s="290"/>
      <c r="B635" s="288"/>
      <c r="C635" s="1061"/>
      <c r="D635" s="291"/>
      <c r="E635" s="1044"/>
    </row>
    <row r="636" spans="1:5" x14ac:dyDescent="0.25">
      <c r="A636" s="290"/>
      <c r="B636" s="288"/>
      <c r="C636" s="1061"/>
      <c r="D636" s="291"/>
      <c r="E636" s="1044"/>
    </row>
    <row r="637" spans="1:5" x14ac:dyDescent="0.25">
      <c r="A637" s="290"/>
      <c r="B637" s="288"/>
      <c r="C637" s="1061"/>
      <c r="D637" s="291"/>
      <c r="E637" s="1044"/>
    </row>
    <row r="638" spans="1:5" x14ac:dyDescent="0.25">
      <c r="A638" s="290"/>
      <c r="B638" s="288"/>
      <c r="C638" s="1061"/>
      <c r="D638" s="291"/>
      <c r="E638" s="1044"/>
    </row>
    <row r="639" spans="1:5" x14ac:dyDescent="0.25">
      <c r="A639" s="290"/>
      <c r="B639" s="288"/>
      <c r="C639" s="1061"/>
      <c r="D639" s="291"/>
      <c r="E639" s="1044"/>
    </row>
    <row r="640" spans="1:5" x14ac:dyDescent="0.25">
      <c r="A640" s="290"/>
      <c r="B640" s="288"/>
      <c r="C640" s="1061"/>
      <c r="D640" s="291"/>
      <c r="E640" s="1044"/>
    </row>
    <row r="641" spans="1:5" x14ac:dyDescent="0.25">
      <c r="A641" s="290"/>
      <c r="B641" s="288"/>
      <c r="C641" s="1061"/>
      <c r="D641" s="291"/>
      <c r="E641" s="1044"/>
    </row>
    <row r="642" spans="1:5" x14ac:dyDescent="0.25">
      <c r="A642" s="290"/>
      <c r="B642" s="288"/>
      <c r="C642" s="1061"/>
      <c r="D642" s="291"/>
      <c r="E642" s="1044"/>
    </row>
    <row r="643" spans="1:5" x14ac:dyDescent="0.25">
      <c r="A643" s="290"/>
      <c r="B643" s="288"/>
      <c r="C643" s="1061"/>
      <c r="D643" s="291"/>
      <c r="E643" s="1044"/>
    </row>
    <row r="644" spans="1:5" x14ac:dyDescent="0.25">
      <c r="A644" s="290"/>
      <c r="B644" s="288"/>
      <c r="C644" s="1061"/>
      <c r="D644" s="291"/>
      <c r="E644" s="1044"/>
    </row>
    <row r="645" spans="1:5" x14ac:dyDescent="0.25">
      <c r="A645" s="290"/>
      <c r="B645" s="288"/>
      <c r="C645" s="1061"/>
      <c r="D645" s="291"/>
      <c r="E645" s="1044"/>
    </row>
    <row r="646" spans="1:5" x14ac:dyDescent="0.25">
      <c r="A646" s="290"/>
      <c r="B646" s="288"/>
      <c r="C646" s="1061"/>
      <c r="D646" s="291"/>
      <c r="E646" s="1044"/>
    </row>
    <row r="647" spans="1:5" x14ac:dyDescent="0.25">
      <c r="A647" s="290"/>
      <c r="B647" s="288"/>
      <c r="C647" s="1061"/>
      <c r="D647" s="291"/>
      <c r="E647" s="1044"/>
    </row>
    <row r="648" spans="1:5" x14ac:dyDescent="0.25">
      <c r="A648" s="290"/>
      <c r="B648" s="288"/>
      <c r="C648" s="1061"/>
      <c r="D648" s="291"/>
      <c r="E648" s="1044"/>
    </row>
    <row r="649" spans="1:5" x14ac:dyDescent="0.25">
      <c r="A649" s="290"/>
      <c r="B649" s="288"/>
      <c r="C649" s="1061"/>
      <c r="D649" s="291"/>
      <c r="E649" s="1044"/>
    </row>
    <row r="650" spans="1:5" x14ac:dyDescent="0.25">
      <c r="A650" s="290"/>
      <c r="B650" s="288"/>
      <c r="C650" s="1061"/>
      <c r="D650" s="291"/>
      <c r="E650" s="1044"/>
    </row>
    <row r="651" spans="1:5" x14ac:dyDescent="0.25">
      <c r="A651" s="290"/>
      <c r="B651" s="288"/>
      <c r="C651" s="1061"/>
      <c r="D651" s="291"/>
      <c r="E651" s="1044"/>
    </row>
    <row r="652" spans="1:5" x14ac:dyDescent="0.25">
      <c r="A652" s="290"/>
      <c r="B652" s="288"/>
      <c r="C652" s="1061"/>
      <c r="D652" s="291"/>
      <c r="E652" s="1044"/>
    </row>
    <row r="653" spans="1:5" x14ac:dyDescent="0.25">
      <c r="A653" s="290"/>
      <c r="B653" s="288"/>
      <c r="C653" s="1061"/>
      <c r="D653" s="291"/>
      <c r="E653" s="1044"/>
    </row>
    <row r="654" spans="1:5" x14ac:dyDescent="0.25">
      <c r="A654" s="290"/>
      <c r="B654" s="288"/>
      <c r="C654" s="1061"/>
      <c r="D654" s="291"/>
      <c r="E654" s="1044"/>
    </row>
    <row r="655" spans="1:5" x14ac:dyDescent="0.25">
      <c r="A655" s="290"/>
      <c r="B655" s="288"/>
      <c r="C655" s="1061"/>
      <c r="D655" s="291"/>
      <c r="E655" s="1044"/>
    </row>
    <row r="656" spans="1:5" x14ac:dyDescent="0.25">
      <c r="A656" s="290"/>
      <c r="B656" s="288"/>
      <c r="C656" s="1061"/>
      <c r="D656" s="291"/>
      <c r="E656" s="1044"/>
    </row>
    <row r="657" spans="1:5" x14ac:dyDescent="0.25">
      <c r="A657" s="290"/>
      <c r="B657" s="288"/>
      <c r="C657" s="1061"/>
      <c r="D657" s="291"/>
      <c r="E657" s="1044"/>
    </row>
    <row r="658" spans="1:5" x14ac:dyDescent="0.25">
      <c r="A658" s="290"/>
      <c r="B658" s="288"/>
      <c r="C658" s="1061"/>
      <c r="D658" s="291"/>
      <c r="E658" s="1044"/>
    </row>
    <row r="659" spans="1:5" x14ac:dyDescent="0.25">
      <c r="A659" s="290"/>
      <c r="B659" s="288"/>
      <c r="C659" s="1061"/>
      <c r="D659" s="291"/>
      <c r="E659" s="1044"/>
    </row>
    <row r="660" spans="1:5" x14ac:dyDescent="0.25">
      <c r="A660" s="290"/>
      <c r="B660" s="288"/>
      <c r="C660" s="1061"/>
      <c r="D660" s="291"/>
      <c r="E660" s="1044"/>
    </row>
    <row r="661" spans="1:5" x14ac:dyDescent="0.25">
      <c r="A661" s="290"/>
      <c r="B661" s="288"/>
      <c r="C661" s="1061"/>
      <c r="D661" s="291"/>
      <c r="E661" s="1044"/>
    </row>
    <row r="662" spans="1:5" x14ac:dyDescent="0.25">
      <c r="A662" s="290"/>
      <c r="B662" s="288"/>
      <c r="C662" s="1061"/>
      <c r="D662" s="291"/>
      <c r="E662" s="1044"/>
    </row>
    <row r="663" spans="1:5" x14ac:dyDescent="0.25">
      <c r="A663" s="290"/>
      <c r="B663" s="288"/>
      <c r="C663" s="1061"/>
      <c r="D663" s="291"/>
      <c r="E663" s="1044"/>
    </row>
    <row r="664" spans="1:5" x14ac:dyDescent="0.25">
      <c r="A664" s="290"/>
      <c r="B664" s="288"/>
      <c r="C664" s="1061"/>
      <c r="D664" s="291"/>
      <c r="E664" s="1044"/>
    </row>
    <row r="665" spans="1:5" x14ac:dyDescent="0.25">
      <c r="A665" s="290"/>
      <c r="B665" s="288"/>
      <c r="C665" s="1061"/>
      <c r="D665" s="291"/>
      <c r="E665" s="1044"/>
    </row>
    <row r="666" spans="1:5" x14ac:dyDescent="0.25">
      <c r="A666" s="290"/>
      <c r="B666" s="288"/>
      <c r="C666" s="1061"/>
      <c r="D666" s="291"/>
      <c r="E666" s="1044"/>
    </row>
    <row r="667" spans="1:5" x14ac:dyDescent="0.25">
      <c r="A667" s="290"/>
      <c r="B667" s="288"/>
      <c r="C667" s="1061"/>
      <c r="D667" s="291"/>
      <c r="E667" s="1044"/>
    </row>
    <row r="668" spans="1:5" x14ac:dyDescent="0.25">
      <c r="A668" s="290"/>
      <c r="B668" s="288"/>
      <c r="C668" s="1061"/>
      <c r="D668" s="291"/>
      <c r="E668" s="1044"/>
    </row>
    <row r="669" spans="1:5" x14ac:dyDescent="0.25">
      <c r="A669" s="290"/>
      <c r="B669" s="288"/>
      <c r="C669" s="1061"/>
      <c r="D669" s="291"/>
      <c r="E669" s="1044"/>
    </row>
    <row r="670" spans="1:5" x14ac:dyDescent="0.25">
      <c r="A670" s="290"/>
      <c r="B670" s="288"/>
      <c r="C670" s="1061"/>
      <c r="D670" s="291"/>
      <c r="E670" s="1044"/>
    </row>
    <row r="671" spans="1:5" x14ac:dyDescent="0.25">
      <c r="A671" s="290"/>
      <c r="B671" s="288"/>
      <c r="C671" s="1061"/>
      <c r="D671" s="291"/>
      <c r="E671" s="1044"/>
    </row>
    <row r="672" spans="1:5" x14ac:dyDescent="0.25">
      <c r="A672" s="290"/>
      <c r="B672" s="288"/>
      <c r="C672" s="1061"/>
      <c r="D672" s="291"/>
      <c r="E672" s="1044"/>
    </row>
    <row r="673" spans="1:5" x14ac:dyDescent="0.25">
      <c r="A673" s="290"/>
      <c r="B673" s="288"/>
      <c r="C673" s="1061"/>
      <c r="D673" s="291"/>
      <c r="E673" s="1044"/>
    </row>
    <row r="674" spans="1:5" x14ac:dyDescent="0.25">
      <c r="A674" s="290"/>
      <c r="B674" s="288"/>
      <c r="C674" s="1061"/>
      <c r="D674" s="291"/>
      <c r="E674" s="1044"/>
    </row>
    <row r="675" spans="1:5" x14ac:dyDescent="0.25">
      <c r="A675" s="290"/>
      <c r="B675" s="288"/>
      <c r="C675" s="1061"/>
      <c r="D675" s="291"/>
      <c r="E675" s="1044"/>
    </row>
    <row r="676" spans="1:5" x14ac:dyDescent="0.25">
      <c r="A676" s="290"/>
      <c r="B676" s="288"/>
      <c r="C676" s="1061"/>
      <c r="D676" s="291"/>
      <c r="E676" s="1044"/>
    </row>
    <row r="677" spans="1:5" x14ac:dyDescent="0.25">
      <c r="A677" s="290"/>
      <c r="B677" s="288"/>
      <c r="C677" s="1061"/>
      <c r="D677" s="291"/>
      <c r="E677" s="1044"/>
    </row>
    <row r="678" spans="1:5" x14ac:dyDescent="0.25">
      <c r="A678" s="290"/>
      <c r="B678" s="288"/>
      <c r="C678" s="1061"/>
      <c r="D678" s="291"/>
      <c r="E678" s="1044"/>
    </row>
    <row r="679" spans="1:5" x14ac:dyDescent="0.25">
      <c r="A679" s="290"/>
      <c r="B679" s="288"/>
      <c r="C679" s="1061"/>
      <c r="D679" s="291"/>
      <c r="E679" s="1044"/>
    </row>
    <row r="680" spans="1:5" x14ac:dyDescent="0.25">
      <c r="A680" s="290"/>
      <c r="B680" s="288"/>
      <c r="C680" s="1061"/>
      <c r="D680" s="291"/>
      <c r="E680" s="1044"/>
    </row>
    <row r="681" spans="1:5" x14ac:dyDescent="0.25">
      <c r="A681" s="290"/>
      <c r="B681" s="288"/>
      <c r="C681" s="1061"/>
      <c r="D681" s="291"/>
      <c r="E681" s="1044"/>
    </row>
    <row r="682" spans="1:5" x14ac:dyDescent="0.25">
      <c r="A682" s="290"/>
      <c r="B682" s="288"/>
      <c r="C682" s="1061"/>
      <c r="D682" s="291"/>
      <c r="E682" s="1044"/>
    </row>
    <row r="683" spans="1:5" x14ac:dyDescent="0.25">
      <c r="A683" s="290"/>
      <c r="B683" s="288"/>
      <c r="C683" s="1061"/>
      <c r="D683" s="291"/>
      <c r="E683" s="1044"/>
    </row>
    <row r="684" spans="1:5" x14ac:dyDescent="0.25">
      <c r="A684" s="290"/>
      <c r="B684" s="288"/>
      <c r="C684" s="1061"/>
      <c r="D684" s="291"/>
      <c r="E684" s="1044"/>
    </row>
    <row r="685" spans="1:5" x14ac:dyDescent="0.25">
      <c r="A685" s="290"/>
      <c r="B685" s="288"/>
      <c r="C685" s="1061"/>
      <c r="D685" s="291"/>
      <c r="E685" s="1044"/>
    </row>
    <row r="686" spans="1:5" x14ac:dyDescent="0.25">
      <c r="A686" s="290"/>
      <c r="B686" s="288"/>
      <c r="C686" s="1061"/>
      <c r="D686" s="291"/>
      <c r="E686" s="1044"/>
    </row>
    <row r="687" spans="1:5" x14ac:dyDescent="0.25">
      <c r="A687" s="290"/>
      <c r="B687" s="288"/>
      <c r="C687" s="1061"/>
      <c r="D687" s="291"/>
      <c r="E687" s="1044"/>
    </row>
    <row r="688" spans="1:5" x14ac:dyDescent="0.25">
      <c r="A688" s="290"/>
      <c r="B688" s="288"/>
      <c r="C688" s="1061"/>
      <c r="D688" s="291"/>
      <c r="E688" s="1044"/>
    </row>
    <row r="689" spans="1:5" x14ac:dyDescent="0.25">
      <c r="A689" s="290"/>
      <c r="B689" s="288"/>
      <c r="C689" s="1061"/>
      <c r="D689" s="291"/>
      <c r="E689" s="1044"/>
    </row>
    <row r="690" spans="1:5" x14ac:dyDescent="0.25">
      <c r="A690" s="290"/>
      <c r="B690" s="288"/>
      <c r="C690" s="1061"/>
      <c r="D690" s="291"/>
      <c r="E690" s="1044"/>
    </row>
    <row r="691" spans="1:5" x14ac:dyDescent="0.25">
      <c r="A691" s="290"/>
      <c r="B691" s="288"/>
      <c r="C691" s="1061"/>
      <c r="D691" s="291"/>
      <c r="E691" s="1044"/>
    </row>
    <row r="692" spans="1:5" x14ac:dyDescent="0.25">
      <c r="A692" s="290"/>
      <c r="B692" s="288"/>
      <c r="C692" s="1061"/>
      <c r="D692" s="291"/>
      <c r="E692" s="1044"/>
    </row>
    <row r="693" spans="1:5" x14ac:dyDescent="0.25">
      <c r="A693" s="290"/>
      <c r="B693" s="288"/>
      <c r="C693" s="1061"/>
      <c r="D693" s="291"/>
      <c r="E693" s="1044"/>
    </row>
    <row r="694" spans="1:5" x14ac:dyDescent="0.25">
      <c r="A694" s="290"/>
      <c r="B694" s="288"/>
      <c r="C694" s="1061"/>
      <c r="D694" s="291"/>
      <c r="E694" s="1044"/>
    </row>
    <row r="695" spans="1:5" x14ac:dyDescent="0.25">
      <c r="A695" s="290"/>
      <c r="B695" s="288"/>
      <c r="C695" s="1061"/>
      <c r="D695" s="291"/>
      <c r="E695" s="1044"/>
    </row>
    <row r="696" spans="1:5" x14ac:dyDescent="0.25">
      <c r="A696" s="290"/>
      <c r="B696" s="288"/>
      <c r="C696" s="1061"/>
      <c r="D696" s="291"/>
      <c r="E696" s="1044"/>
    </row>
    <row r="697" spans="1:5" x14ac:dyDescent="0.25">
      <c r="A697" s="290"/>
      <c r="B697" s="288"/>
      <c r="C697" s="1061"/>
      <c r="D697" s="291"/>
      <c r="E697" s="1044"/>
    </row>
    <row r="698" spans="1:5" x14ac:dyDescent="0.25">
      <c r="A698" s="290"/>
      <c r="B698" s="288"/>
      <c r="C698" s="1061"/>
      <c r="D698" s="291"/>
      <c r="E698" s="1044"/>
    </row>
    <row r="699" spans="1:5" x14ac:dyDescent="0.25">
      <c r="A699" s="290"/>
      <c r="B699" s="288"/>
      <c r="C699" s="1061"/>
      <c r="D699" s="291"/>
      <c r="E699" s="1044"/>
    </row>
    <row r="700" spans="1:5" x14ac:dyDescent="0.25">
      <c r="A700" s="290"/>
      <c r="B700" s="288"/>
      <c r="C700" s="1061"/>
      <c r="D700" s="291"/>
      <c r="E700" s="1044"/>
    </row>
    <row r="701" spans="1:5" x14ac:dyDescent="0.25">
      <c r="A701" s="290"/>
      <c r="B701" s="288"/>
      <c r="C701" s="1061"/>
      <c r="D701" s="291"/>
      <c r="E701" s="1044"/>
    </row>
    <row r="702" spans="1:5" x14ac:dyDescent="0.25">
      <c r="A702" s="290"/>
      <c r="B702" s="288"/>
      <c r="C702" s="1061"/>
      <c r="D702" s="291"/>
      <c r="E702" s="1044"/>
    </row>
    <row r="703" spans="1:5" x14ac:dyDescent="0.25">
      <c r="A703" s="290"/>
      <c r="B703" s="288"/>
      <c r="C703" s="1061"/>
      <c r="D703" s="291"/>
      <c r="E703" s="1044"/>
    </row>
    <row r="704" spans="1:5" x14ac:dyDescent="0.25">
      <c r="A704" s="290"/>
      <c r="B704" s="288"/>
      <c r="C704" s="1061"/>
      <c r="D704" s="291"/>
      <c r="E704" s="1044"/>
    </row>
    <row r="705" spans="1:5" x14ac:dyDescent="0.25">
      <c r="A705" s="290"/>
      <c r="B705" s="288"/>
      <c r="C705" s="1061"/>
      <c r="D705" s="291"/>
      <c r="E705" s="1044"/>
    </row>
    <row r="706" spans="1:5" x14ac:dyDescent="0.25">
      <c r="A706" s="290"/>
      <c r="B706" s="288"/>
      <c r="C706" s="1061"/>
      <c r="D706" s="291"/>
      <c r="E706" s="1044"/>
    </row>
    <row r="707" spans="1:5" x14ac:dyDescent="0.25">
      <c r="A707" s="290"/>
      <c r="B707" s="288"/>
      <c r="C707" s="1061"/>
      <c r="D707" s="291"/>
      <c r="E707" s="1044"/>
    </row>
    <row r="708" spans="1:5" x14ac:dyDescent="0.25">
      <c r="A708" s="290"/>
      <c r="B708" s="288"/>
      <c r="C708" s="1061"/>
      <c r="D708" s="291"/>
      <c r="E708" s="1044"/>
    </row>
    <row r="709" spans="1:5" x14ac:dyDescent="0.25">
      <c r="A709" s="290"/>
      <c r="B709" s="288"/>
      <c r="C709" s="1061"/>
      <c r="D709" s="291"/>
      <c r="E709" s="1044"/>
    </row>
    <row r="710" spans="1:5" x14ac:dyDescent="0.25">
      <c r="A710" s="290"/>
      <c r="B710" s="288"/>
      <c r="C710" s="1061"/>
      <c r="D710" s="291"/>
      <c r="E710" s="1044"/>
    </row>
    <row r="711" spans="1:5" x14ac:dyDescent="0.25">
      <c r="A711" s="290"/>
      <c r="B711" s="288"/>
      <c r="C711" s="1061"/>
      <c r="D711" s="291"/>
      <c r="E711" s="1044"/>
    </row>
    <row r="712" spans="1:5" x14ac:dyDescent="0.25">
      <c r="A712" s="290"/>
      <c r="B712" s="288"/>
      <c r="C712" s="1061"/>
      <c r="D712" s="291"/>
      <c r="E712" s="1044"/>
    </row>
    <row r="713" spans="1:5" x14ac:dyDescent="0.25">
      <c r="A713" s="290"/>
      <c r="B713" s="288"/>
      <c r="C713" s="1061"/>
      <c r="D713" s="291"/>
      <c r="E713" s="1044"/>
    </row>
    <row r="714" spans="1:5" x14ac:dyDescent="0.25">
      <c r="A714" s="290"/>
      <c r="B714" s="288"/>
      <c r="C714" s="1061"/>
      <c r="D714" s="291"/>
      <c r="E714" s="1044"/>
    </row>
    <row r="715" spans="1:5" x14ac:dyDescent="0.25">
      <c r="A715" s="290"/>
      <c r="B715" s="288"/>
      <c r="C715" s="1061"/>
      <c r="D715" s="291"/>
      <c r="E715" s="1044"/>
    </row>
    <row r="716" spans="1:5" x14ac:dyDescent="0.25">
      <c r="A716" s="290"/>
      <c r="B716" s="288"/>
      <c r="C716" s="1061"/>
      <c r="D716" s="291"/>
      <c r="E716" s="1044"/>
    </row>
    <row r="717" spans="1:5" x14ac:dyDescent="0.25">
      <c r="A717" s="290"/>
      <c r="B717" s="288"/>
      <c r="C717" s="1061"/>
      <c r="D717" s="291"/>
      <c r="E717" s="1044"/>
    </row>
    <row r="718" spans="1:5" x14ac:dyDescent="0.25">
      <c r="A718" s="290"/>
      <c r="B718" s="288"/>
      <c r="C718" s="1061"/>
      <c r="D718" s="291"/>
      <c r="E718" s="1044"/>
    </row>
    <row r="719" spans="1:5" x14ac:dyDescent="0.25">
      <c r="A719" s="290"/>
      <c r="B719" s="288"/>
      <c r="C719" s="1061"/>
      <c r="D719" s="291"/>
      <c r="E719" s="1044"/>
    </row>
    <row r="720" spans="1:5" x14ac:dyDescent="0.25">
      <c r="A720" s="290"/>
      <c r="B720" s="288"/>
      <c r="C720" s="1061"/>
      <c r="D720" s="291"/>
      <c r="E720" s="1044"/>
    </row>
    <row r="721" spans="1:5" x14ac:dyDescent="0.25">
      <c r="A721" s="290"/>
      <c r="B721" s="288"/>
      <c r="C721" s="1061"/>
      <c r="D721" s="291"/>
      <c r="E721" s="1044"/>
    </row>
    <row r="722" spans="1:5" x14ac:dyDescent="0.25">
      <c r="A722" s="290"/>
      <c r="B722" s="288"/>
      <c r="C722" s="1061"/>
      <c r="D722" s="291"/>
      <c r="E722" s="1044"/>
    </row>
    <row r="723" spans="1:5" x14ac:dyDescent="0.25">
      <c r="A723" s="290"/>
      <c r="B723" s="288"/>
      <c r="C723" s="1061"/>
      <c r="D723" s="291"/>
      <c r="E723" s="1044"/>
    </row>
    <row r="724" spans="1:5" x14ac:dyDescent="0.25">
      <c r="A724" s="290"/>
      <c r="B724" s="288"/>
      <c r="C724" s="1061"/>
      <c r="D724" s="291"/>
      <c r="E724" s="1044"/>
    </row>
    <row r="725" spans="1:5" x14ac:dyDescent="0.25">
      <c r="A725" s="290"/>
      <c r="B725" s="288"/>
      <c r="C725" s="1061"/>
      <c r="D725" s="291"/>
      <c r="E725" s="1044"/>
    </row>
    <row r="726" spans="1:5" x14ac:dyDescent="0.25">
      <c r="A726" s="290"/>
      <c r="B726" s="288"/>
      <c r="C726" s="1061"/>
      <c r="D726" s="291"/>
      <c r="E726" s="1044"/>
    </row>
    <row r="727" spans="1:5" x14ac:dyDescent="0.25">
      <c r="A727" s="290"/>
      <c r="B727" s="288"/>
      <c r="C727" s="1061"/>
      <c r="D727" s="291"/>
      <c r="E727" s="1044"/>
    </row>
    <row r="728" spans="1:5" x14ac:dyDescent="0.25">
      <c r="A728" s="290"/>
      <c r="B728" s="288"/>
      <c r="C728" s="1061"/>
      <c r="D728" s="291"/>
      <c r="E728" s="1044"/>
    </row>
    <row r="729" spans="1:5" x14ac:dyDescent="0.25">
      <c r="A729" s="290"/>
      <c r="B729" s="288"/>
      <c r="C729" s="1061"/>
      <c r="D729" s="291"/>
      <c r="E729" s="1044"/>
    </row>
    <row r="730" spans="1:5" x14ac:dyDescent="0.25">
      <c r="A730" s="290"/>
      <c r="B730" s="288"/>
      <c r="C730" s="1061"/>
      <c r="D730" s="291"/>
      <c r="E730" s="1044"/>
    </row>
    <row r="731" spans="1:5" x14ac:dyDescent="0.25">
      <c r="A731" s="290"/>
      <c r="B731" s="288"/>
      <c r="C731" s="1061"/>
      <c r="D731" s="291"/>
      <c r="E731" s="1044"/>
    </row>
    <row r="732" spans="1:5" x14ac:dyDescent="0.25">
      <c r="A732" s="290"/>
      <c r="B732" s="288"/>
      <c r="C732" s="1061"/>
      <c r="D732" s="291"/>
      <c r="E732" s="1044"/>
    </row>
    <row r="733" spans="1:5" x14ac:dyDescent="0.25">
      <c r="A733" s="290"/>
      <c r="B733" s="288"/>
      <c r="C733" s="1061"/>
      <c r="D733" s="291"/>
      <c r="E733" s="1044"/>
    </row>
    <row r="734" spans="1:5" x14ac:dyDescent="0.25">
      <c r="A734" s="290"/>
      <c r="B734" s="288"/>
      <c r="C734" s="1061"/>
      <c r="D734" s="291"/>
      <c r="E734" s="1044"/>
    </row>
    <row r="735" spans="1:5" x14ac:dyDescent="0.25">
      <c r="A735" s="290"/>
      <c r="B735" s="288"/>
      <c r="C735" s="1061"/>
      <c r="D735" s="291"/>
      <c r="E735" s="1044"/>
    </row>
    <row r="736" spans="1:5" x14ac:dyDescent="0.25">
      <c r="A736" s="290"/>
      <c r="B736" s="288"/>
      <c r="C736" s="1061"/>
      <c r="D736" s="291"/>
      <c r="E736" s="1044"/>
    </row>
    <row r="737" spans="1:5" x14ac:dyDescent="0.25">
      <c r="A737" s="290"/>
      <c r="B737" s="288"/>
      <c r="C737" s="1061"/>
      <c r="D737" s="291"/>
      <c r="E737" s="1044"/>
    </row>
    <row r="738" spans="1:5" x14ac:dyDescent="0.25">
      <c r="A738" s="290"/>
      <c r="B738" s="288"/>
      <c r="C738" s="1061"/>
      <c r="D738" s="291"/>
      <c r="E738" s="1044"/>
    </row>
    <row r="739" spans="1:5" x14ac:dyDescent="0.25">
      <c r="A739" s="290"/>
      <c r="B739" s="288"/>
      <c r="C739" s="1061"/>
      <c r="D739" s="291"/>
      <c r="E739" s="1044"/>
    </row>
    <row r="740" spans="1:5" x14ac:dyDescent="0.25">
      <c r="A740" s="290"/>
      <c r="B740" s="288"/>
      <c r="C740" s="1061"/>
      <c r="D740" s="291"/>
      <c r="E740" s="1044"/>
    </row>
    <row r="741" spans="1:5" x14ac:dyDescent="0.25">
      <c r="A741" s="290"/>
      <c r="B741" s="288"/>
      <c r="C741" s="1061"/>
      <c r="D741" s="291"/>
      <c r="E741" s="1044"/>
    </row>
    <row r="742" spans="1:5" x14ac:dyDescent="0.25">
      <c r="A742" s="290"/>
      <c r="B742" s="288"/>
      <c r="C742" s="1061"/>
      <c r="D742" s="291"/>
      <c r="E742" s="1044"/>
    </row>
    <row r="743" spans="1:5" x14ac:dyDescent="0.25">
      <c r="A743" s="290"/>
      <c r="B743" s="288"/>
      <c r="C743" s="1061"/>
      <c r="D743" s="291"/>
      <c r="E743" s="1044"/>
    </row>
    <row r="744" spans="1:5" x14ac:dyDescent="0.25">
      <c r="A744" s="290"/>
      <c r="B744" s="288"/>
      <c r="C744" s="1061"/>
      <c r="D744" s="291"/>
      <c r="E744" s="1044"/>
    </row>
    <row r="745" spans="1:5" x14ac:dyDescent="0.25">
      <c r="A745" s="290"/>
      <c r="B745" s="288"/>
      <c r="C745" s="1061"/>
      <c r="D745" s="291"/>
      <c r="E745" s="1044"/>
    </row>
    <row r="746" spans="1:5" x14ac:dyDescent="0.25">
      <c r="A746" s="290"/>
      <c r="B746" s="288"/>
      <c r="C746" s="1061"/>
      <c r="D746" s="291"/>
      <c r="E746" s="1044"/>
    </row>
    <row r="747" spans="1:5" x14ac:dyDescent="0.25">
      <c r="A747" s="290"/>
      <c r="B747" s="288"/>
      <c r="C747" s="1061"/>
      <c r="D747" s="291"/>
      <c r="E747" s="1044"/>
    </row>
    <row r="748" spans="1:5" x14ac:dyDescent="0.25">
      <c r="A748" s="290"/>
      <c r="B748" s="288"/>
      <c r="C748" s="1061"/>
      <c r="D748" s="291"/>
      <c r="E748" s="1044"/>
    </row>
    <row r="749" spans="1:5" x14ac:dyDescent="0.25">
      <c r="A749" s="290"/>
      <c r="B749" s="288"/>
      <c r="C749" s="1061"/>
      <c r="D749" s="291"/>
      <c r="E749" s="1044"/>
    </row>
    <row r="750" spans="1:5" x14ac:dyDescent="0.25">
      <c r="A750" s="290"/>
      <c r="B750" s="288"/>
      <c r="C750" s="1061"/>
      <c r="D750" s="291"/>
      <c r="E750" s="1044"/>
    </row>
    <row r="751" spans="1:5" x14ac:dyDescent="0.25">
      <c r="A751" s="290"/>
      <c r="B751" s="288"/>
      <c r="C751" s="1061"/>
      <c r="D751" s="291"/>
      <c r="E751" s="1044"/>
    </row>
    <row r="752" spans="1:5" x14ac:dyDescent="0.25">
      <c r="A752" s="290"/>
      <c r="B752" s="288"/>
      <c r="C752" s="1061"/>
      <c r="D752" s="291"/>
      <c r="E752" s="1044"/>
    </row>
    <row r="753" spans="1:5" x14ac:dyDescent="0.25">
      <c r="A753" s="290"/>
      <c r="B753" s="288"/>
      <c r="C753" s="1061"/>
      <c r="D753" s="291"/>
      <c r="E753" s="1044"/>
    </row>
    <row r="754" spans="1:5" x14ac:dyDescent="0.25">
      <c r="A754" s="290"/>
      <c r="B754" s="288"/>
      <c r="C754" s="1061"/>
      <c r="D754" s="291"/>
      <c r="E754" s="1044"/>
    </row>
    <row r="755" spans="1:5" x14ac:dyDescent="0.25">
      <c r="A755" s="290"/>
      <c r="B755" s="288"/>
      <c r="C755" s="1061"/>
      <c r="D755" s="291"/>
      <c r="E755" s="1044"/>
    </row>
    <row r="756" spans="1:5" x14ac:dyDescent="0.25">
      <c r="A756" s="290"/>
      <c r="B756" s="288"/>
      <c r="C756" s="1061"/>
      <c r="D756" s="291"/>
      <c r="E756" s="1044"/>
    </row>
    <row r="757" spans="1:5" x14ac:dyDescent="0.25">
      <c r="A757" s="290"/>
      <c r="B757" s="288"/>
      <c r="C757" s="1061"/>
      <c r="D757" s="291"/>
      <c r="E757" s="1044"/>
    </row>
    <row r="758" spans="1:5" x14ac:dyDescent="0.25">
      <c r="A758" s="290"/>
      <c r="B758" s="288"/>
      <c r="C758" s="1061"/>
      <c r="D758" s="291"/>
      <c r="E758" s="1044"/>
    </row>
    <row r="759" spans="1:5" x14ac:dyDescent="0.25">
      <c r="A759" s="290"/>
      <c r="B759" s="288"/>
      <c r="C759" s="1061"/>
      <c r="D759" s="291"/>
      <c r="E759" s="1044"/>
    </row>
    <row r="760" spans="1:5" x14ac:dyDescent="0.25">
      <c r="A760" s="290"/>
      <c r="B760" s="288"/>
      <c r="C760" s="1061"/>
      <c r="D760" s="291"/>
      <c r="E760" s="1044"/>
    </row>
    <row r="761" spans="1:5" x14ac:dyDescent="0.25">
      <c r="A761" s="290"/>
      <c r="B761" s="288"/>
      <c r="C761" s="1061"/>
      <c r="D761" s="291"/>
      <c r="E761" s="1044"/>
    </row>
    <row r="762" spans="1:5" x14ac:dyDescent="0.25">
      <c r="A762" s="290"/>
      <c r="B762" s="288"/>
      <c r="C762" s="1061"/>
      <c r="D762" s="291"/>
      <c r="E762" s="1044"/>
    </row>
    <row r="763" spans="1:5" x14ac:dyDescent="0.25">
      <c r="A763" s="290"/>
      <c r="B763" s="288"/>
      <c r="C763" s="1061"/>
      <c r="D763" s="291"/>
      <c r="E763" s="1044"/>
    </row>
    <row r="764" spans="1:5" x14ac:dyDescent="0.25">
      <c r="A764" s="290"/>
      <c r="B764" s="288"/>
      <c r="C764" s="1061"/>
      <c r="D764" s="291"/>
      <c r="E764" s="1044"/>
    </row>
    <row r="765" spans="1:5" x14ac:dyDescent="0.25">
      <c r="A765" s="290"/>
      <c r="B765" s="288"/>
      <c r="C765" s="1061"/>
      <c r="D765" s="291"/>
      <c r="E765" s="1044"/>
    </row>
    <row r="766" spans="1:5" x14ac:dyDescent="0.25">
      <c r="A766" s="290"/>
      <c r="B766" s="288"/>
      <c r="C766" s="1061"/>
      <c r="D766" s="291"/>
      <c r="E766" s="1044"/>
    </row>
    <row r="767" spans="1:5" x14ac:dyDescent="0.25">
      <c r="A767" s="290"/>
      <c r="B767" s="288"/>
      <c r="C767" s="1061"/>
      <c r="D767" s="291"/>
      <c r="E767" s="1044"/>
    </row>
    <row r="768" spans="1:5" x14ac:dyDescent="0.25">
      <c r="A768" s="290"/>
      <c r="B768" s="288"/>
      <c r="C768" s="1061"/>
      <c r="D768" s="291"/>
      <c r="E768" s="1044"/>
    </row>
    <row r="769" spans="1:5" x14ac:dyDescent="0.25">
      <c r="A769" s="290"/>
      <c r="B769" s="288"/>
      <c r="C769" s="1061"/>
      <c r="D769" s="291"/>
      <c r="E769" s="1044"/>
    </row>
    <row r="770" spans="1:5" x14ac:dyDescent="0.25">
      <c r="A770" s="290"/>
      <c r="B770" s="288"/>
      <c r="C770" s="1061"/>
      <c r="D770" s="291"/>
      <c r="E770" s="1044"/>
    </row>
    <row r="771" spans="1:5" x14ac:dyDescent="0.25">
      <c r="A771" s="290"/>
      <c r="B771" s="288"/>
      <c r="C771" s="1061"/>
      <c r="D771" s="291"/>
      <c r="E771" s="1044"/>
    </row>
    <row r="772" spans="1:5" x14ac:dyDescent="0.25">
      <c r="A772" s="290"/>
      <c r="B772" s="288"/>
      <c r="C772" s="1061"/>
      <c r="D772" s="291"/>
      <c r="E772" s="1044"/>
    </row>
    <row r="773" spans="1:5" x14ac:dyDescent="0.25">
      <c r="A773" s="290"/>
      <c r="B773" s="288"/>
      <c r="C773" s="1061"/>
      <c r="D773" s="291"/>
      <c r="E773" s="1044"/>
    </row>
    <row r="774" spans="1:5" x14ac:dyDescent="0.25">
      <c r="A774" s="290"/>
      <c r="B774" s="288"/>
      <c r="C774" s="1061"/>
      <c r="D774" s="291"/>
      <c r="E774" s="1044"/>
    </row>
    <row r="775" spans="1:5" x14ac:dyDescent="0.25">
      <c r="A775" s="290"/>
      <c r="B775" s="288"/>
      <c r="C775" s="1061"/>
      <c r="D775" s="291"/>
      <c r="E775" s="1044"/>
    </row>
    <row r="776" spans="1:5" x14ac:dyDescent="0.25">
      <c r="A776" s="290"/>
      <c r="B776" s="288"/>
      <c r="C776" s="1061"/>
      <c r="D776" s="291"/>
      <c r="E776" s="1044"/>
    </row>
    <row r="777" spans="1:5" x14ac:dyDescent="0.25">
      <c r="A777" s="290"/>
      <c r="B777" s="288"/>
      <c r="C777" s="1061"/>
      <c r="D777" s="291"/>
      <c r="E777" s="1044"/>
    </row>
    <row r="778" spans="1:5" x14ac:dyDescent="0.25">
      <c r="A778" s="290"/>
      <c r="B778" s="288"/>
      <c r="C778" s="1061"/>
      <c r="D778" s="291"/>
      <c r="E778" s="1044"/>
    </row>
    <row r="779" spans="1:5" x14ac:dyDescent="0.25">
      <c r="A779" s="290"/>
      <c r="B779" s="288"/>
      <c r="C779" s="1061"/>
      <c r="D779" s="291"/>
      <c r="E779" s="1044"/>
    </row>
    <row r="780" spans="1:5" x14ac:dyDescent="0.25">
      <c r="A780" s="290"/>
      <c r="B780" s="288"/>
      <c r="C780" s="1061"/>
      <c r="D780" s="291"/>
      <c r="E780" s="1044"/>
    </row>
    <row r="781" spans="1:5" x14ac:dyDescent="0.25">
      <c r="A781" s="290"/>
      <c r="B781" s="288"/>
      <c r="C781" s="1061"/>
      <c r="D781" s="291"/>
      <c r="E781" s="1044"/>
    </row>
    <row r="782" spans="1:5" x14ac:dyDescent="0.25">
      <c r="A782" s="290"/>
      <c r="B782" s="288"/>
      <c r="C782" s="1061"/>
      <c r="D782" s="291"/>
      <c r="E782" s="1044"/>
    </row>
    <row r="783" spans="1:5" x14ac:dyDescent="0.25">
      <c r="A783" s="290"/>
      <c r="B783" s="288"/>
      <c r="C783" s="1061"/>
      <c r="D783" s="291"/>
      <c r="E783" s="1044"/>
    </row>
    <row r="784" spans="1:5" x14ac:dyDescent="0.25">
      <c r="A784" s="290"/>
      <c r="B784" s="288"/>
      <c r="C784" s="1061"/>
      <c r="D784" s="291"/>
      <c r="E784" s="1044"/>
    </row>
    <row r="785" spans="1:5" x14ac:dyDescent="0.25">
      <c r="A785" s="290"/>
      <c r="B785" s="288"/>
      <c r="C785" s="1061"/>
      <c r="D785" s="291"/>
      <c r="E785" s="1044"/>
    </row>
    <row r="786" spans="1:5" x14ac:dyDescent="0.25">
      <c r="A786" s="290"/>
      <c r="B786" s="288"/>
      <c r="C786" s="1061"/>
      <c r="D786" s="291"/>
      <c r="E786" s="1044"/>
    </row>
    <row r="787" spans="1:5" x14ac:dyDescent="0.25">
      <c r="A787" s="290"/>
      <c r="B787" s="288"/>
      <c r="C787" s="1061"/>
      <c r="D787" s="291"/>
      <c r="E787" s="1044"/>
    </row>
    <row r="788" spans="1:5" x14ac:dyDescent="0.25">
      <c r="A788" s="290"/>
      <c r="B788" s="288"/>
      <c r="C788" s="1061"/>
      <c r="D788" s="291"/>
      <c r="E788" s="1044"/>
    </row>
    <row r="789" spans="1:5" x14ac:dyDescent="0.25">
      <c r="A789" s="290"/>
      <c r="B789" s="288"/>
      <c r="C789" s="1061"/>
      <c r="D789" s="291"/>
      <c r="E789" s="1044"/>
    </row>
    <row r="790" spans="1:5" x14ac:dyDescent="0.25">
      <c r="A790" s="290"/>
      <c r="B790" s="288"/>
      <c r="C790" s="1061"/>
      <c r="D790" s="291"/>
      <c r="E790" s="1044"/>
    </row>
    <row r="791" spans="1:5" x14ac:dyDescent="0.25">
      <c r="A791" s="290"/>
      <c r="B791" s="288"/>
      <c r="C791" s="1061"/>
      <c r="D791" s="291"/>
      <c r="E791" s="1044"/>
    </row>
    <row r="792" spans="1:5" x14ac:dyDescent="0.25">
      <c r="A792" s="290"/>
      <c r="B792" s="288"/>
      <c r="C792" s="1061"/>
      <c r="D792" s="291"/>
      <c r="E792" s="1044"/>
    </row>
    <row r="793" spans="1:5" x14ac:dyDescent="0.25">
      <c r="A793" s="290"/>
      <c r="B793" s="288"/>
      <c r="C793" s="1061"/>
      <c r="D793" s="291"/>
      <c r="E793" s="1044"/>
    </row>
    <row r="794" spans="1:5" x14ac:dyDescent="0.25">
      <c r="A794" s="290"/>
      <c r="B794" s="288"/>
      <c r="C794" s="1061"/>
      <c r="D794" s="291"/>
      <c r="E794" s="1044"/>
    </row>
    <row r="795" spans="1:5" x14ac:dyDescent="0.25">
      <c r="A795" s="290"/>
      <c r="B795" s="288"/>
      <c r="C795" s="1061"/>
      <c r="D795" s="291"/>
      <c r="E795" s="1044"/>
    </row>
    <row r="796" spans="1:5" x14ac:dyDescent="0.25">
      <c r="A796" s="290"/>
      <c r="B796" s="288"/>
      <c r="C796" s="1061"/>
      <c r="D796" s="291"/>
      <c r="E796" s="1044"/>
    </row>
    <row r="797" spans="1:5" x14ac:dyDescent="0.25">
      <c r="A797" s="290"/>
      <c r="B797" s="288"/>
      <c r="C797" s="1061"/>
      <c r="D797" s="291"/>
      <c r="E797" s="1044"/>
    </row>
    <row r="798" spans="1:5" x14ac:dyDescent="0.25">
      <c r="A798" s="290"/>
      <c r="B798" s="288"/>
      <c r="C798" s="1061"/>
      <c r="D798" s="291"/>
      <c r="E798" s="1044"/>
    </row>
    <row r="799" spans="1:5" x14ac:dyDescent="0.25">
      <c r="A799" s="290"/>
      <c r="B799" s="288"/>
      <c r="C799" s="1061"/>
      <c r="D799" s="291"/>
      <c r="E799" s="1044"/>
    </row>
    <row r="800" spans="1:5" x14ac:dyDescent="0.25">
      <c r="A800" s="290"/>
      <c r="B800" s="288"/>
      <c r="C800" s="1061"/>
      <c r="D800" s="291"/>
      <c r="E800" s="1044"/>
    </row>
    <row r="801" spans="1:5" x14ac:dyDescent="0.25">
      <c r="A801" s="290"/>
      <c r="B801" s="288"/>
      <c r="C801" s="1061"/>
      <c r="D801" s="291"/>
      <c r="E801" s="1044"/>
    </row>
    <row r="802" spans="1:5" x14ac:dyDescent="0.25">
      <c r="A802" s="290"/>
      <c r="B802" s="288"/>
      <c r="C802" s="1061"/>
      <c r="D802" s="291"/>
      <c r="E802" s="1044"/>
    </row>
    <row r="803" spans="1:5" x14ac:dyDescent="0.25">
      <c r="A803" s="290"/>
      <c r="B803" s="288"/>
      <c r="C803" s="1061"/>
      <c r="D803" s="291"/>
      <c r="E803" s="1044"/>
    </row>
    <row r="804" spans="1:5" x14ac:dyDescent="0.25">
      <c r="A804" s="290"/>
      <c r="B804" s="288"/>
      <c r="C804" s="1061"/>
      <c r="D804" s="291"/>
      <c r="E804" s="1044"/>
    </row>
    <row r="805" spans="1:5" x14ac:dyDescent="0.25">
      <c r="A805" s="290"/>
      <c r="B805" s="288"/>
      <c r="C805" s="1061"/>
      <c r="D805" s="291"/>
      <c r="E805" s="1044"/>
    </row>
    <row r="806" spans="1:5" x14ac:dyDescent="0.25">
      <c r="A806" s="290"/>
      <c r="B806" s="288"/>
      <c r="C806" s="1061"/>
      <c r="D806" s="291"/>
      <c r="E806" s="1044"/>
    </row>
    <row r="807" spans="1:5" x14ac:dyDescent="0.25">
      <c r="A807" s="290"/>
      <c r="B807" s="288"/>
      <c r="C807" s="1061"/>
      <c r="D807" s="291"/>
      <c r="E807" s="1044"/>
    </row>
    <row r="808" spans="1:5" x14ac:dyDescent="0.25">
      <c r="A808" s="290"/>
      <c r="B808" s="288"/>
      <c r="C808" s="1061"/>
      <c r="D808" s="291"/>
      <c r="E808" s="1044"/>
    </row>
    <row r="809" spans="1:5" x14ac:dyDescent="0.25">
      <c r="A809" s="290"/>
      <c r="B809" s="288"/>
      <c r="C809" s="1061"/>
      <c r="D809" s="291"/>
      <c r="E809" s="1044"/>
    </row>
    <row r="810" spans="1:5" x14ac:dyDescent="0.25">
      <c r="A810" s="290"/>
      <c r="B810" s="288"/>
      <c r="C810" s="1061"/>
      <c r="D810" s="291"/>
      <c r="E810" s="1044"/>
    </row>
    <row r="811" spans="1:5" x14ac:dyDescent="0.25">
      <c r="A811" s="290"/>
      <c r="B811" s="288"/>
      <c r="C811" s="1061"/>
      <c r="D811" s="291"/>
      <c r="E811" s="1044"/>
    </row>
    <row r="812" spans="1:5" x14ac:dyDescent="0.25">
      <c r="A812" s="290"/>
      <c r="B812" s="288"/>
      <c r="C812" s="1061"/>
      <c r="D812" s="291"/>
      <c r="E812" s="1044"/>
    </row>
    <row r="813" spans="1:5" x14ac:dyDescent="0.25">
      <c r="A813" s="290"/>
      <c r="B813" s="288"/>
      <c r="C813" s="1061"/>
      <c r="D813" s="291"/>
      <c r="E813" s="1044"/>
    </row>
    <row r="814" spans="1:5" x14ac:dyDescent="0.25">
      <c r="A814" s="290"/>
      <c r="B814" s="288"/>
      <c r="C814" s="1061"/>
      <c r="D814" s="291"/>
      <c r="E814" s="1044"/>
    </row>
    <row r="815" spans="1:5" x14ac:dyDescent="0.25">
      <c r="A815" s="290"/>
      <c r="B815" s="288"/>
      <c r="C815" s="1061"/>
      <c r="D815" s="291"/>
      <c r="E815" s="1044"/>
    </row>
    <row r="816" spans="1:5" x14ac:dyDescent="0.25">
      <c r="A816" s="290"/>
      <c r="B816" s="288"/>
      <c r="C816" s="1061"/>
      <c r="D816" s="291"/>
      <c r="E816" s="1044"/>
    </row>
    <row r="817" spans="1:5" x14ac:dyDescent="0.25">
      <c r="A817" s="290"/>
      <c r="B817" s="288"/>
      <c r="C817" s="1061"/>
      <c r="D817" s="291"/>
      <c r="E817" s="1044"/>
    </row>
    <row r="818" spans="1:5" x14ac:dyDescent="0.25">
      <c r="A818" s="290"/>
      <c r="B818" s="288"/>
      <c r="C818" s="1061"/>
      <c r="D818" s="291"/>
      <c r="E818" s="1044"/>
    </row>
    <row r="819" spans="1:5" x14ac:dyDescent="0.25">
      <c r="A819" s="290"/>
      <c r="B819" s="288"/>
      <c r="C819" s="1061"/>
      <c r="D819" s="291"/>
      <c r="E819" s="1044"/>
    </row>
    <row r="820" spans="1:5" x14ac:dyDescent="0.25">
      <c r="A820" s="290"/>
      <c r="B820" s="288"/>
      <c r="C820" s="1061"/>
      <c r="D820" s="291"/>
      <c r="E820" s="1044"/>
    </row>
    <row r="821" spans="1:5" x14ac:dyDescent="0.25">
      <c r="A821" s="290"/>
      <c r="B821" s="288"/>
      <c r="C821" s="1061"/>
      <c r="D821" s="291"/>
      <c r="E821" s="1044"/>
    </row>
    <row r="822" spans="1:5" x14ac:dyDescent="0.25">
      <c r="A822" s="290"/>
      <c r="B822" s="288"/>
      <c r="C822" s="1061"/>
      <c r="D822" s="291"/>
      <c r="E822" s="1044"/>
    </row>
    <row r="823" spans="1:5" x14ac:dyDescent="0.25">
      <c r="A823" s="290"/>
      <c r="B823" s="288"/>
      <c r="C823" s="1061"/>
      <c r="D823" s="291"/>
      <c r="E823" s="1044"/>
    </row>
    <row r="824" spans="1:5" x14ac:dyDescent="0.25">
      <c r="A824" s="290"/>
      <c r="B824" s="288"/>
      <c r="C824" s="1061"/>
      <c r="D824" s="291"/>
      <c r="E824" s="1044"/>
    </row>
    <row r="825" spans="1:5" x14ac:dyDescent="0.25">
      <c r="A825" s="290"/>
      <c r="B825" s="288"/>
      <c r="C825" s="1061"/>
      <c r="D825" s="291"/>
      <c r="E825" s="1044"/>
    </row>
    <row r="826" spans="1:5" x14ac:dyDescent="0.25">
      <c r="A826" s="290"/>
      <c r="B826" s="288"/>
      <c r="C826" s="1061"/>
      <c r="D826" s="291"/>
      <c r="E826" s="1044"/>
    </row>
    <row r="827" spans="1:5" x14ac:dyDescent="0.25">
      <c r="A827" s="290"/>
      <c r="B827" s="288"/>
      <c r="C827" s="1061"/>
      <c r="D827" s="291"/>
      <c r="E827" s="1044"/>
    </row>
    <row r="828" spans="1:5" x14ac:dyDescent="0.25">
      <c r="A828" s="290"/>
      <c r="B828" s="288"/>
      <c r="C828" s="1061"/>
      <c r="D828" s="291"/>
      <c r="E828" s="1044"/>
    </row>
    <row r="829" spans="1:5" x14ac:dyDescent="0.25">
      <c r="A829" s="290"/>
      <c r="B829" s="288"/>
      <c r="C829" s="1061"/>
      <c r="D829" s="291"/>
      <c r="E829" s="1044"/>
    </row>
    <row r="830" spans="1:5" x14ac:dyDescent="0.25">
      <c r="A830" s="290"/>
      <c r="B830" s="288"/>
      <c r="C830" s="1061"/>
      <c r="D830" s="291"/>
      <c r="E830" s="1044"/>
    </row>
    <row r="831" spans="1:5" x14ac:dyDescent="0.25">
      <c r="A831" s="290"/>
      <c r="B831" s="288"/>
      <c r="C831" s="1061"/>
      <c r="D831" s="291"/>
      <c r="E831" s="1044"/>
    </row>
    <row r="832" spans="1:5" x14ac:dyDescent="0.25">
      <c r="A832" s="290"/>
      <c r="B832" s="288"/>
      <c r="C832" s="1061"/>
      <c r="D832" s="291"/>
      <c r="E832" s="1044"/>
    </row>
    <row r="833" spans="1:5" x14ac:dyDescent="0.25">
      <c r="A833" s="290"/>
      <c r="B833" s="288"/>
      <c r="C833" s="1061"/>
      <c r="D833" s="291"/>
      <c r="E833" s="1044"/>
    </row>
    <row r="834" spans="1:5" x14ac:dyDescent="0.25">
      <c r="A834" s="290"/>
      <c r="B834" s="288"/>
      <c r="C834" s="1061"/>
      <c r="D834" s="291"/>
      <c r="E834" s="1044"/>
    </row>
    <row r="835" spans="1:5" x14ac:dyDescent="0.25">
      <c r="A835" s="290"/>
      <c r="B835" s="288"/>
      <c r="C835" s="1061"/>
      <c r="D835" s="291"/>
      <c r="E835" s="1044"/>
    </row>
    <row r="836" spans="1:5" x14ac:dyDescent="0.25">
      <c r="A836" s="290"/>
      <c r="B836" s="288"/>
      <c r="C836" s="1061"/>
      <c r="D836" s="291"/>
      <c r="E836" s="1044"/>
    </row>
    <row r="837" spans="1:5" x14ac:dyDescent="0.25">
      <c r="A837" s="290"/>
      <c r="B837" s="288"/>
      <c r="C837" s="1061"/>
      <c r="D837" s="291"/>
      <c r="E837" s="1044"/>
    </row>
    <row r="838" spans="1:5" x14ac:dyDescent="0.25">
      <c r="A838" s="290"/>
      <c r="B838" s="288"/>
      <c r="C838" s="1061"/>
      <c r="D838" s="291"/>
      <c r="E838" s="1044"/>
    </row>
    <row r="839" spans="1:5" x14ac:dyDescent="0.25">
      <c r="A839" s="290"/>
      <c r="B839" s="288"/>
      <c r="C839" s="1061"/>
      <c r="D839" s="291"/>
      <c r="E839" s="1044"/>
    </row>
    <row r="840" spans="1:5" x14ac:dyDescent="0.25">
      <c r="A840" s="290"/>
      <c r="B840" s="288"/>
      <c r="C840" s="1061"/>
      <c r="D840" s="291"/>
      <c r="E840" s="1044"/>
    </row>
    <row r="841" spans="1:5" x14ac:dyDescent="0.25">
      <c r="A841" s="290"/>
      <c r="B841" s="288"/>
      <c r="C841" s="1061"/>
      <c r="D841" s="291"/>
      <c r="E841" s="1044"/>
    </row>
    <row r="842" spans="1:5" x14ac:dyDescent="0.25">
      <c r="A842" s="290"/>
      <c r="B842" s="288"/>
      <c r="C842" s="1061"/>
      <c r="D842" s="291"/>
      <c r="E842" s="1044"/>
    </row>
    <row r="843" spans="1:5" x14ac:dyDescent="0.25">
      <c r="A843" s="290"/>
      <c r="B843" s="288"/>
      <c r="C843" s="1061"/>
      <c r="D843" s="291"/>
      <c r="E843" s="1044"/>
    </row>
    <row r="844" spans="1:5" x14ac:dyDescent="0.25">
      <c r="A844" s="290"/>
      <c r="B844" s="288"/>
      <c r="C844" s="1061"/>
      <c r="D844" s="291"/>
      <c r="E844" s="1044"/>
    </row>
    <row r="845" spans="1:5" x14ac:dyDescent="0.25">
      <c r="A845" s="290"/>
      <c r="B845" s="288"/>
      <c r="C845" s="1061"/>
      <c r="D845" s="291"/>
      <c r="E845" s="1044"/>
    </row>
    <row r="846" spans="1:5" x14ac:dyDescent="0.25">
      <c r="A846" s="290"/>
      <c r="B846" s="288"/>
      <c r="C846" s="1061"/>
      <c r="D846" s="291"/>
      <c r="E846" s="1044"/>
    </row>
    <row r="847" spans="1:5" x14ac:dyDescent="0.25">
      <c r="A847" s="290"/>
      <c r="B847" s="288"/>
      <c r="C847" s="1061"/>
      <c r="D847" s="291"/>
      <c r="E847" s="1044"/>
    </row>
    <row r="848" spans="1:5" x14ac:dyDescent="0.25">
      <c r="A848" s="290"/>
      <c r="B848" s="288"/>
      <c r="C848" s="1061"/>
      <c r="D848" s="291"/>
      <c r="E848" s="1044"/>
    </row>
    <row r="849" spans="1:5" x14ac:dyDescent="0.25">
      <c r="A849" s="290"/>
      <c r="B849" s="288"/>
      <c r="C849" s="1061"/>
      <c r="D849" s="291"/>
      <c r="E849" s="1044"/>
    </row>
    <row r="850" spans="1:5" x14ac:dyDescent="0.25">
      <c r="A850" s="290"/>
      <c r="B850" s="288"/>
      <c r="C850" s="1061"/>
      <c r="D850" s="291"/>
      <c r="E850" s="1044"/>
    </row>
    <row r="851" spans="1:5" x14ac:dyDescent="0.25">
      <c r="A851" s="290"/>
      <c r="B851" s="288"/>
      <c r="C851" s="1061"/>
      <c r="D851" s="291"/>
      <c r="E851" s="1044"/>
    </row>
    <row r="852" spans="1:5" x14ac:dyDescent="0.25">
      <c r="A852" s="290"/>
      <c r="B852" s="288"/>
      <c r="C852" s="1061"/>
      <c r="D852" s="291"/>
      <c r="E852" s="1044"/>
    </row>
    <row r="853" spans="1:5" x14ac:dyDescent="0.25">
      <c r="A853" s="290"/>
      <c r="B853" s="288"/>
      <c r="C853" s="1061"/>
      <c r="D853" s="291"/>
      <c r="E853" s="1044"/>
    </row>
    <row r="854" spans="1:5" x14ac:dyDescent="0.25">
      <c r="A854" s="290"/>
      <c r="B854" s="288"/>
      <c r="C854" s="1061"/>
      <c r="D854" s="291"/>
      <c r="E854" s="1044"/>
    </row>
    <row r="855" spans="1:5" x14ac:dyDescent="0.25">
      <c r="A855" s="290"/>
      <c r="B855" s="288"/>
      <c r="C855" s="1061"/>
      <c r="D855" s="291"/>
      <c r="E855" s="1044"/>
    </row>
    <row r="856" spans="1:5" x14ac:dyDescent="0.25">
      <c r="A856" s="290"/>
      <c r="B856" s="288"/>
      <c r="C856" s="1061"/>
      <c r="D856" s="291"/>
      <c r="E856" s="1044"/>
    </row>
    <row r="857" spans="1:5" x14ac:dyDescent="0.25">
      <c r="A857" s="290"/>
      <c r="B857" s="288"/>
      <c r="C857" s="1061"/>
      <c r="D857" s="291"/>
      <c r="E857" s="1044"/>
    </row>
    <row r="858" spans="1:5" x14ac:dyDescent="0.25">
      <c r="A858" s="290"/>
      <c r="B858" s="288"/>
      <c r="C858" s="1061"/>
      <c r="D858" s="291"/>
      <c r="E858" s="1044"/>
    </row>
    <row r="859" spans="1:5" x14ac:dyDescent="0.25">
      <c r="A859" s="290"/>
      <c r="B859" s="288"/>
      <c r="C859" s="1061"/>
      <c r="D859" s="291"/>
      <c r="E859" s="1044"/>
    </row>
    <row r="860" spans="1:5" x14ac:dyDescent="0.25">
      <c r="A860" s="290"/>
      <c r="B860" s="288"/>
      <c r="C860" s="1061"/>
      <c r="D860" s="291"/>
      <c r="E860" s="1044"/>
    </row>
    <row r="861" spans="1:5" x14ac:dyDescent="0.25">
      <c r="A861" s="290"/>
      <c r="B861" s="288"/>
      <c r="C861" s="1061"/>
      <c r="D861" s="291"/>
      <c r="E861" s="1044"/>
    </row>
    <row r="862" spans="1:5" x14ac:dyDescent="0.25">
      <c r="A862" s="290"/>
      <c r="B862" s="288"/>
      <c r="C862" s="1061"/>
      <c r="D862" s="291"/>
      <c r="E862" s="1044"/>
    </row>
    <row r="863" spans="1:5" x14ac:dyDescent="0.25">
      <c r="A863" s="290"/>
      <c r="B863" s="288"/>
      <c r="C863" s="1061"/>
      <c r="D863" s="291"/>
      <c r="E863" s="1044"/>
    </row>
    <row r="864" spans="1:5" x14ac:dyDescent="0.25">
      <c r="A864" s="290"/>
      <c r="B864" s="288"/>
      <c r="C864" s="1061"/>
      <c r="D864" s="291"/>
      <c r="E864" s="1044"/>
    </row>
    <row r="865" spans="1:5" x14ac:dyDescent="0.25">
      <c r="A865" s="290"/>
      <c r="B865" s="288"/>
      <c r="C865" s="1061"/>
      <c r="D865" s="291"/>
      <c r="E865" s="1044"/>
    </row>
    <row r="866" spans="1:5" x14ac:dyDescent="0.25">
      <c r="A866" s="290"/>
      <c r="B866" s="288"/>
      <c r="C866" s="1061"/>
      <c r="D866" s="291"/>
      <c r="E866" s="1044"/>
    </row>
    <row r="867" spans="1:5" x14ac:dyDescent="0.25">
      <c r="A867" s="290"/>
      <c r="B867" s="288"/>
      <c r="C867" s="1061"/>
      <c r="D867" s="291"/>
      <c r="E867" s="1044"/>
    </row>
    <row r="868" spans="1:5" x14ac:dyDescent="0.25">
      <c r="A868" s="290"/>
      <c r="B868" s="288"/>
      <c r="C868" s="1061"/>
      <c r="D868" s="291"/>
      <c r="E868" s="1044"/>
    </row>
    <row r="869" spans="1:5" x14ac:dyDescent="0.25">
      <c r="A869" s="290"/>
      <c r="B869" s="288"/>
      <c r="C869" s="1061"/>
      <c r="D869" s="291"/>
      <c r="E869" s="1044"/>
    </row>
    <row r="870" spans="1:5" x14ac:dyDescent="0.25">
      <c r="A870" s="290"/>
      <c r="B870" s="288"/>
      <c r="C870" s="1061"/>
      <c r="D870" s="291"/>
      <c r="E870" s="1044"/>
    </row>
    <row r="871" spans="1:5" x14ac:dyDescent="0.25">
      <c r="A871" s="290"/>
      <c r="B871" s="288"/>
      <c r="C871" s="1061"/>
      <c r="D871" s="291"/>
      <c r="E871" s="1044"/>
    </row>
    <row r="872" spans="1:5" x14ac:dyDescent="0.25">
      <c r="A872" s="290"/>
      <c r="B872" s="288"/>
      <c r="C872" s="1061"/>
      <c r="D872" s="291"/>
      <c r="E872" s="1044"/>
    </row>
    <row r="873" spans="1:5" x14ac:dyDescent="0.25">
      <c r="A873" s="290"/>
      <c r="B873" s="288"/>
      <c r="C873" s="1061"/>
      <c r="D873" s="291"/>
      <c r="E873" s="1044"/>
    </row>
    <row r="874" spans="1:5" x14ac:dyDescent="0.25">
      <c r="A874" s="290"/>
      <c r="B874" s="288"/>
      <c r="C874" s="1061"/>
      <c r="D874" s="291"/>
      <c r="E874" s="1044"/>
    </row>
    <row r="875" spans="1:5" x14ac:dyDescent="0.25">
      <c r="A875" s="290"/>
      <c r="B875" s="288"/>
      <c r="C875" s="1061"/>
      <c r="D875" s="291"/>
      <c r="E875" s="1044"/>
    </row>
    <row r="876" spans="1:5" x14ac:dyDescent="0.25">
      <c r="A876" s="290"/>
      <c r="B876" s="288"/>
      <c r="C876" s="1061"/>
      <c r="D876" s="291"/>
      <c r="E876" s="1044"/>
    </row>
    <row r="877" spans="1:5" x14ac:dyDescent="0.25">
      <c r="A877" s="290"/>
      <c r="B877" s="288"/>
      <c r="C877" s="1061"/>
      <c r="D877" s="291"/>
      <c r="E877" s="1044"/>
    </row>
    <row r="878" spans="1:5" x14ac:dyDescent="0.25">
      <c r="A878" s="290"/>
      <c r="B878" s="288"/>
      <c r="C878" s="1061"/>
      <c r="D878" s="291"/>
      <c r="E878" s="1044"/>
    </row>
    <row r="879" spans="1:5" x14ac:dyDescent="0.25">
      <c r="A879" s="290"/>
      <c r="B879" s="288"/>
      <c r="C879" s="1061"/>
      <c r="D879" s="291"/>
      <c r="E879" s="1044"/>
    </row>
    <row r="880" spans="1:5" x14ac:dyDescent="0.25">
      <c r="A880" s="290"/>
      <c r="B880" s="288"/>
      <c r="C880" s="1061"/>
      <c r="D880" s="291"/>
      <c r="E880" s="1044"/>
    </row>
    <row r="881" spans="1:5" x14ac:dyDescent="0.25">
      <c r="A881" s="290"/>
      <c r="B881" s="288"/>
      <c r="C881" s="1061"/>
      <c r="D881" s="291"/>
      <c r="E881" s="1044"/>
    </row>
    <row r="882" spans="1:5" x14ac:dyDescent="0.25">
      <c r="A882" s="290"/>
      <c r="B882" s="288"/>
      <c r="C882" s="1061"/>
      <c r="D882" s="291"/>
      <c r="E882" s="1044"/>
    </row>
    <row r="883" spans="1:5" x14ac:dyDescent="0.25">
      <c r="A883" s="290"/>
      <c r="B883" s="288"/>
      <c r="C883" s="1061"/>
      <c r="D883" s="291"/>
      <c r="E883" s="1044"/>
    </row>
    <row r="884" spans="1:5" x14ac:dyDescent="0.25">
      <c r="A884" s="290"/>
      <c r="B884" s="288"/>
      <c r="C884" s="1061"/>
      <c r="D884" s="291"/>
      <c r="E884" s="1044"/>
    </row>
    <row r="885" spans="1:5" x14ac:dyDescent="0.25">
      <c r="A885" s="290"/>
      <c r="B885" s="288"/>
      <c r="C885" s="1061"/>
      <c r="D885" s="291"/>
      <c r="E885" s="1044"/>
    </row>
    <row r="886" spans="1:5" x14ac:dyDescent="0.25">
      <c r="A886" s="290"/>
      <c r="B886" s="288"/>
      <c r="C886" s="1061"/>
      <c r="D886" s="291"/>
      <c r="E886" s="1044"/>
    </row>
    <row r="887" spans="1:5" x14ac:dyDescent="0.25">
      <c r="A887" s="290"/>
      <c r="B887" s="288"/>
      <c r="C887" s="1061"/>
      <c r="D887" s="291"/>
      <c r="E887" s="1044"/>
    </row>
    <row r="888" spans="1:5" x14ac:dyDescent="0.25">
      <c r="A888" s="290"/>
      <c r="B888" s="288"/>
      <c r="C888" s="1061"/>
      <c r="D888" s="291"/>
      <c r="E888" s="1044"/>
    </row>
    <row r="889" spans="1:5" x14ac:dyDescent="0.25">
      <c r="A889" s="290"/>
      <c r="B889" s="288"/>
      <c r="C889" s="1061"/>
      <c r="D889" s="291"/>
      <c r="E889" s="1044"/>
    </row>
    <row r="890" spans="1:5" x14ac:dyDescent="0.25">
      <c r="A890" s="290"/>
      <c r="B890" s="288"/>
      <c r="C890" s="1061"/>
      <c r="D890" s="291"/>
      <c r="E890" s="1044"/>
    </row>
    <row r="891" spans="1:5" x14ac:dyDescent="0.25">
      <c r="A891" s="290"/>
      <c r="B891" s="288"/>
      <c r="C891" s="1061"/>
      <c r="D891" s="291"/>
      <c r="E891" s="1044"/>
    </row>
    <row r="892" spans="1:5" x14ac:dyDescent="0.25">
      <c r="A892" s="290"/>
      <c r="B892" s="288"/>
      <c r="C892" s="1061"/>
      <c r="D892" s="291"/>
      <c r="E892" s="1044"/>
    </row>
    <row r="893" spans="1:5" x14ac:dyDescent="0.25">
      <c r="A893" s="290"/>
      <c r="B893" s="288"/>
      <c r="C893" s="1061"/>
      <c r="D893" s="291"/>
      <c r="E893" s="1044"/>
    </row>
    <row r="894" spans="1:5" x14ac:dyDescent="0.25">
      <c r="A894" s="290"/>
      <c r="B894" s="288"/>
      <c r="C894" s="1061"/>
      <c r="D894" s="291"/>
      <c r="E894" s="1044"/>
    </row>
    <row r="895" spans="1:5" x14ac:dyDescent="0.25">
      <c r="A895" s="290"/>
      <c r="B895" s="288"/>
      <c r="C895" s="1061"/>
      <c r="D895" s="291"/>
      <c r="E895" s="1044"/>
    </row>
    <row r="896" spans="1:5" x14ac:dyDescent="0.25">
      <c r="A896" s="290"/>
      <c r="B896" s="288"/>
      <c r="C896" s="1061"/>
      <c r="D896" s="291"/>
      <c r="E896" s="1044"/>
    </row>
    <row r="897" spans="1:5" x14ac:dyDescent="0.25">
      <c r="A897" s="290"/>
      <c r="B897" s="288"/>
      <c r="C897" s="1061"/>
      <c r="D897" s="291"/>
      <c r="E897" s="1044"/>
    </row>
    <row r="898" spans="1:5" x14ac:dyDescent="0.25">
      <c r="A898" s="290"/>
      <c r="B898" s="288"/>
      <c r="C898" s="1061"/>
      <c r="D898" s="291"/>
      <c r="E898" s="1044"/>
    </row>
    <row r="899" spans="1:5" x14ac:dyDescent="0.25">
      <c r="A899" s="290"/>
      <c r="B899" s="288"/>
      <c r="C899" s="1061"/>
      <c r="D899" s="291"/>
      <c r="E899" s="1044"/>
    </row>
    <row r="900" spans="1:5" x14ac:dyDescent="0.25">
      <c r="A900" s="290"/>
      <c r="B900" s="288"/>
      <c r="C900" s="1061"/>
      <c r="D900" s="291"/>
      <c r="E900" s="1044"/>
    </row>
    <row r="901" spans="1:5" x14ac:dyDescent="0.25">
      <c r="A901" s="290"/>
      <c r="B901" s="288"/>
      <c r="C901" s="1061"/>
      <c r="D901" s="291"/>
      <c r="E901" s="1044"/>
    </row>
    <row r="902" spans="1:5" x14ac:dyDescent="0.25">
      <c r="A902" s="290"/>
      <c r="B902" s="288"/>
      <c r="C902" s="1061"/>
      <c r="D902" s="291"/>
      <c r="E902" s="1044"/>
    </row>
    <row r="903" spans="1:5" x14ac:dyDescent="0.25">
      <c r="A903" s="290"/>
      <c r="B903" s="288"/>
      <c r="C903" s="1061"/>
      <c r="D903" s="291"/>
      <c r="E903" s="1044"/>
    </row>
    <row r="904" spans="1:5" x14ac:dyDescent="0.25">
      <c r="A904" s="290"/>
      <c r="B904" s="288"/>
      <c r="C904" s="1061"/>
      <c r="D904" s="291"/>
      <c r="E904" s="1044"/>
    </row>
    <row r="905" spans="1:5" x14ac:dyDescent="0.25">
      <c r="A905" s="290"/>
      <c r="B905" s="288"/>
      <c r="C905" s="1061"/>
      <c r="D905" s="291"/>
      <c r="E905" s="1044"/>
    </row>
    <row r="906" spans="1:5" x14ac:dyDescent="0.25">
      <c r="A906" s="290"/>
      <c r="B906" s="288"/>
      <c r="C906" s="1061"/>
      <c r="D906" s="291"/>
      <c r="E906" s="1044"/>
    </row>
    <row r="907" spans="1:5" x14ac:dyDescent="0.25">
      <c r="A907" s="290"/>
      <c r="B907" s="288"/>
      <c r="C907" s="1061"/>
      <c r="D907" s="291"/>
      <c r="E907" s="1044"/>
    </row>
    <row r="908" spans="1:5" x14ac:dyDescent="0.25">
      <c r="A908" s="290"/>
      <c r="B908" s="288"/>
      <c r="C908" s="1061"/>
      <c r="D908" s="291"/>
      <c r="E908" s="1044"/>
    </row>
    <row r="909" spans="1:5" x14ac:dyDescent="0.25">
      <c r="A909" s="290"/>
      <c r="B909" s="288"/>
      <c r="C909" s="1061"/>
      <c r="D909" s="291"/>
      <c r="E909" s="1044"/>
    </row>
    <row r="910" spans="1:5" x14ac:dyDescent="0.25">
      <c r="A910" s="290"/>
      <c r="B910" s="288"/>
      <c r="C910" s="1061"/>
      <c r="D910" s="291"/>
      <c r="E910" s="1044"/>
    </row>
    <row r="911" spans="1:5" x14ac:dyDescent="0.25">
      <c r="A911" s="290"/>
      <c r="B911" s="288"/>
      <c r="C911" s="1061"/>
      <c r="D911" s="291"/>
      <c r="E911" s="1044"/>
    </row>
    <row r="912" spans="1:5" x14ac:dyDescent="0.25">
      <c r="A912" s="290"/>
      <c r="B912" s="288"/>
      <c r="C912" s="1061"/>
      <c r="D912" s="291"/>
      <c r="E912" s="1044"/>
    </row>
    <row r="913" spans="1:5" x14ac:dyDescent="0.25">
      <c r="A913" s="290"/>
      <c r="B913" s="288"/>
      <c r="C913" s="1061"/>
      <c r="D913" s="291"/>
      <c r="E913" s="1044"/>
    </row>
    <row r="914" spans="1:5" x14ac:dyDescent="0.25">
      <c r="A914" s="290"/>
      <c r="B914" s="288"/>
      <c r="C914" s="1061"/>
      <c r="D914" s="291"/>
      <c r="E914" s="1044"/>
    </row>
    <row r="915" spans="1:5" x14ac:dyDescent="0.25">
      <c r="A915" s="290"/>
      <c r="B915" s="288"/>
      <c r="C915" s="1061"/>
      <c r="D915" s="291"/>
      <c r="E915" s="1044"/>
    </row>
    <row r="916" spans="1:5" x14ac:dyDescent="0.25">
      <c r="A916" s="290"/>
      <c r="B916" s="288"/>
      <c r="C916" s="1061"/>
      <c r="D916" s="291"/>
      <c r="E916" s="1044"/>
    </row>
    <row r="917" spans="1:5" x14ac:dyDescent="0.25">
      <c r="A917" s="290"/>
      <c r="B917" s="288"/>
      <c r="C917" s="1061"/>
      <c r="D917" s="291"/>
      <c r="E917" s="1044"/>
    </row>
    <row r="918" spans="1:5" x14ac:dyDescent="0.25">
      <c r="A918" s="290"/>
      <c r="B918" s="288"/>
      <c r="C918" s="1061"/>
      <c r="D918" s="291"/>
      <c r="E918" s="1044"/>
    </row>
    <row r="919" spans="1:5" x14ac:dyDescent="0.25">
      <c r="A919" s="290"/>
      <c r="B919" s="288"/>
      <c r="C919" s="1061"/>
      <c r="D919" s="291"/>
      <c r="E919" s="1044"/>
    </row>
    <row r="920" spans="1:5" x14ac:dyDescent="0.25">
      <c r="A920" s="290"/>
      <c r="B920" s="288"/>
      <c r="C920" s="1061"/>
      <c r="D920" s="291"/>
      <c r="E920" s="1044"/>
    </row>
    <row r="921" spans="1:5" x14ac:dyDescent="0.25">
      <c r="A921" s="290"/>
      <c r="B921" s="288"/>
      <c r="C921" s="1061"/>
      <c r="D921" s="291"/>
      <c r="E921" s="1044"/>
    </row>
    <row r="922" spans="1:5" x14ac:dyDescent="0.25">
      <c r="A922" s="290"/>
      <c r="B922" s="288"/>
      <c r="C922" s="1061"/>
      <c r="D922" s="291"/>
      <c r="E922" s="1044"/>
    </row>
    <row r="923" spans="1:5" x14ac:dyDescent="0.25">
      <c r="A923" s="290"/>
      <c r="B923" s="288"/>
      <c r="C923" s="1061"/>
      <c r="D923" s="291"/>
      <c r="E923" s="1044"/>
    </row>
    <row r="924" spans="1:5" x14ac:dyDescent="0.25">
      <c r="A924" s="290"/>
      <c r="B924" s="288"/>
      <c r="C924" s="1061"/>
      <c r="D924" s="291"/>
      <c r="E924" s="1044"/>
    </row>
    <row r="925" spans="1:5" x14ac:dyDescent="0.25">
      <c r="A925" s="290"/>
      <c r="B925" s="288"/>
      <c r="C925" s="1061"/>
      <c r="D925" s="291"/>
      <c r="E925" s="1044"/>
    </row>
    <row r="926" spans="1:5" x14ac:dyDescent="0.25">
      <c r="A926" s="290"/>
      <c r="B926" s="288"/>
      <c r="C926" s="1061"/>
      <c r="D926" s="291"/>
      <c r="E926" s="1044"/>
    </row>
    <row r="927" spans="1:5" x14ac:dyDescent="0.25">
      <c r="A927" s="290"/>
      <c r="B927" s="288"/>
      <c r="C927" s="1061"/>
      <c r="D927" s="291"/>
      <c r="E927" s="1044"/>
    </row>
    <row r="928" spans="1:5" x14ac:dyDescent="0.25">
      <c r="A928" s="290"/>
      <c r="B928" s="288"/>
      <c r="C928" s="1061"/>
      <c r="D928" s="291"/>
      <c r="E928" s="1044"/>
    </row>
    <row r="929" spans="1:5" x14ac:dyDescent="0.25">
      <c r="A929" s="290"/>
      <c r="B929" s="288"/>
      <c r="C929" s="1061"/>
      <c r="D929" s="291"/>
      <c r="E929" s="1044"/>
    </row>
    <row r="930" spans="1:5" x14ac:dyDescent="0.25">
      <c r="A930" s="290"/>
      <c r="B930" s="288"/>
      <c r="C930" s="1061"/>
      <c r="D930" s="291"/>
      <c r="E930" s="1044"/>
    </row>
    <row r="931" spans="1:5" x14ac:dyDescent="0.25">
      <c r="A931" s="290"/>
      <c r="B931" s="288"/>
      <c r="C931" s="1061"/>
      <c r="D931" s="291"/>
      <c r="E931" s="1044"/>
    </row>
    <row r="932" spans="1:5" x14ac:dyDescent="0.25">
      <c r="A932" s="290"/>
      <c r="B932" s="288"/>
      <c r="C932" s="1061"/>
      <c r="D932" s="291"/>
      <c r="E932" s="1044"/>
    </row>
    <row r="933" spans="1:5" x14ac:dyDescent="0.25">
      <c r="A933" s="290"/>
      <c r="B933" s="288"/>
      <c r="C933" s="1061"/>
      <c r="D933" s="291"/>
      <c r="E933" s="1044"/>
    </row>
    <row r="934" spans="1:5" x14ac:dyDescent="0.25">
      <c r="A934" s="290"/>
      <c r="B934" s="288"/>
      <c r="C934" s="1061"/>
      <c r="D934" s="291"/>
      <c r="E934" s="1044"/>
    </row>
    <row r="935" spans="1:5" x14ac:dyDescent="0.25">
      <c r="A935" s="290"/>
      <c r="B935" s="288"/>
      <c r="C935" s="1061"/>
      <c r="D935" s="291"/>
      <c r="E935" s="1044"/>
    </row>
    <row r="936" spans="1:5" x14ac:dyDescent="0.25">
      <c r="A936" s="290"/>
      <c r="B936" s="288"/>
      <c r="C936" s="1061"/>
      <c r="D936" s="291"/>
      <c r="E936" s="1044"/>
    </row>
    <row r="937" spans="1:5" x14ac:dyDescent="0.25">
      <c r="A937" s="290"/>
      <c r="B937" s="288"/>
      <c r="C937" s="1061"/>
      <c r="D937" s="291"/>
      <c r="E937" s="1044"/>
    </row>
    <row r="938" spans="1:5" x14ac:dyDescent="0.25">
      <c r="A938" s="290"/>
      <c r="B938" s="288"/>
      <c r="C938" s="1061"/>
      <c r="D938" s="291"/>
      <c r="E938" s="1044"/>
    </row>
    <row r="939" spans="1:5" x14ac:dyDescent="0.25">
      <c r="A939" s="290"/>
      <c r="B939" s="288"/>
      <c r="C939" s="1061"/>
      <c r="D939" s="291"/>
      <c r="E939" s="1044"/>
    </row>
    <row r="940" spans="1:5" x14ac:dyDescent="0.25">
      <c r="A940" s="290"/>
      <c r="B940" s="288"/>
      <c r="C940" s="1061"/>
      <c r="D940" s="291"/>
      <c r="E940" s="1044"/>
    </row>
    <row r="941" spans="1:5" x14ac:dyDescent="0.25">
      <c r="A941" s="290"/>
      <c r="B941" s="288"/>
      <c r="C941" s="1061"/>
      <c r="D941" s="291"/>
      <c r="E941" s="1044"/>
    </row>
    <row r="942" spans="1:5" x14ac:dyDescent="0.25">
      <c r="A942" s="290"/>
      <c r="B942" s="288"/>
      <c r="C942" s="1061"/>
      <c r="D942" s="291"/>
      <c r="E942" s="1044"/>
    </row>
    <row r="943" spans="1:5" x14ac:dyDescent="0.25">
      <c r="A943" s="290"/>
      <c r="B943" s="288"/>
      <c r="C943" s="1061"/>
      <c r="D943" s="291"/>
      <c r="E943" s="1044"/>
    </row>
    <row r="944" spans="1:5" x14ac:dyDescent="0.25">
      <c r="A944" s="290"/>
      <c r="B944" s="288"/>
      <c r="C944" s="1061"/>
      <c r="D944" s="291"/>
      <c r="E944" s="1044"/>
    </row>
    <row r="945" spans="1:5" x14ac:dyDescent="0.25">
      <c r="A945" s="290"/>
      <c r="B945" s="288"/>
      <c r="C945" s="1061"/>
      <c r="D945" s="291"/>
      <c r="E945" s="1044"/>
    </row>
    <row r="946" spans="1:5" x14ac:dyDescent="0.25">
      <c r="A946" s="290"/>
      <c r="B946" s="288"/>
      <c r="C946" s="1061"/>
      <c r="D946" s="291"/>
      <c r="E946" s="1044"/>
    </row>
    <row r="947" spans="1:5" x14ac:dyDescent="0.25">
      <c r="A947" s="290"/>
      <c r="B947" s="288"/>
      <c r="C947" s="1061"/>
      <c r="D947" s="291"/>
      <c r="E947" s="1044"/>
    </row>
    <row r="948" spans="1:5" x14ac:dyDescent="0.25">
      <c r="A948" s="290"/>
      <c r="B948" s="288"/>
      <c r="C948" s="1061"/>
      <c r="D948" s="291"/>
      <c r="E948" s="1044"/>
    </row>
    <row r="949" spans="1:5" x14ac:dyDescent="0.25">
      <c r="A949" s="290"/>
      <c r="B949" s="288"/>
      <c r="C949" s="1061"/>
      <c r="D949" s="291"/>
      <c r="E949" s="1044"/>
    </row>
    <row r="950" spans="1:5" x14ac:dyDescent="0.25">
      <c r="A950" s="290"/>
      <c r="B950" s="288"/>
      <c r="C950" s="1061"/>
      <c r="D950" s="291"/>
      <c r="E950" s="1044"/>
    </row>
    <row r="951" spans="1:5" x14ac:dyDescent="0.25">
      <c r="A951" s="290"/>
      <c r="B951" s="288"/>
      <c r="C951" s="1061"/>
      <c r="D951" s="291"/>
      <c r="E951" s="1044"/>
    </row>
    <row r="952" spans="1:5" x14ac:dyDescent="0.25">
      <c r="A952" s="290"/>
      <c r="B952" s="288"/>
      <c r="C952" s="1061"/>
      <c r="D952" s="291"/>
      <c r="E952" s="1044"/>
    </row>
    <row r="953" spans="1:5" x14ac:dyDescent="0.25">
      <c r="A953" s="290"/>
      <c r="B953" s="288"/>
      <c r="C953" s="1061"/>
      <c r="D953" s="291"/>
      <c r="E953" s="1044"/>
    </row>
    <row r="954" spans="1:5" x14ac:dyDescent="0.25">
      <c r="A954" s="290"/>
      <c r="B954" s="288"/>
      <c r="C954" s="1061"/>
      <c r="D954" s="291"/>
      <c r="E954" s="1044"/>
    </row>
    <row r="955" spans="1:5" x14ac:dyDescent="0.25">
      <c r="A955" s="290"/>
      <c r="B955" s="288"/>
      <c r="C955" s="1061"/>
      <c r="D955" s="291"/>
      <c r="E955" s="1044"/>
    </row>
    <row r="956" spans="1:5" x14ac:dyDescent="0.25">
      <c r="A956" s="290"/>
      <c r="B956" s="288"/>
      <c r="C956" s="1061"/>
      <c r="D956" s="291"/>
      <c r="E956" s="1044"/>
    </row>
    <row r="957" spans="1:5" x14ac:dyDescent="0.25">
      <c r="A957" s="290"/>
      <c r="B957" s="288"/>
      <c r="C957" s="1061"/>
      <c r="D957" s="291"/>
      <c r="E957" s="1044"/>
    </row>
    <row r="958" spans="1:5" x14ac:dyDescent="0.25">
      <c r="A958" s="290"/>
      <c r="B958" s="288"/>
      <c r="C958" s="1061"/>
      <c r="D958" s="291"/>
      <c r="E958" s="1044"/>
    </row>
    <row r="959" spans="1:5" x14ac:dyDescent="0.25">
      <c r="A959" s="290"/>
      <c r="B959" s="288"/>
      <c r="C959" s="1061"/>
      <c r="D959" s="291"/>
      <c r="E959" s="1044"/>
    </row>
    <row r="960" spans="1:5" x14ac:dyDescent="0.25">
      <c r="A960" s="290"/>
      <c r="B960" s="288"/>
      <c r="C960" s="1061"/>
      <c r="D960" s="291"/>
      <c r="E960" s="1044"/>
    </row>
    <row r="961" spans="1:5" x14ac:dyDescent="0.25">
      <c r="A961" s="290"/>
      <c r="B961" s="288"/>
      <c r="C961" s="1061"/>
      <c r="D961" s="291"/>
      <c r="E961" s="1044"/>
    </row>
    <row r="962" spans="1:5" x14ac:dyDescent="0.25">
      <c r="A962" s="290"/>
      <c r="B962" s="288"/>
      <c r="C962" s="1061"/>
      <c r="D962" s="291"/>
      <c r="E962" s="1044"/>
    </row>
    <row r="963" spans="1:5" x14ac:dyDescent="0.25">
      <c r="A963" s="290"/>
      <c r="B963" s="288"/>
      <c r="C963" s="1061"/>
      <c r="D963" s="291"/>
      <c r="E963" s="1044"/>
    </row>
    <row r="964" spans="1:5" x14ac:dyDescent="0.25">
      <c r="A964" s="290"/>
      <c r="B964" s="288"/>
      <c r="C964" s="1061"/>
      <c r="D964" s="291"/>
      <c r="E964" s="1044"/>
    </row>
    <row r="965" spans="1:5" x14ac:dyDescent="0.25">
      <c r="A965" s="290"/>
      <c r="B965" s="288"/>
      <c r="C965" s="1061"/>
      <c r="D965" s="291"/>
      <c r="E965" s="1044"/>
    </row>
    <row r="966" spans="1:5" x14ac:dyDescent="0.25">
      <c r="A966" s="290"/>
      <c r="B966" s="288"/>
      <c r="C966" s="1061"/>
      <c r="D966" s="291"/>
      <c r="E966" s="1044"/>
    </row>
    <row r="967" spans="1:5" x14ac:dyDescent="0.25">
      <c r="A967" s="290"/>
      <c r="B967" s="288"/>
      <c r="C967" s="1061"/>
      <c r="D967" s="291"/>
      <c r="E967" s="1044"/>
    </row>
    <row r="968" spans="1:5" x14ac:dyDescent="0.25">
      <c r="A968" s="290"/>
      <c r="B968" s="288"/>
      <c r="C968" s="1061"/>
      <c r="D968" s="291"/>
      <c r="E968" s="1044"/>
    </row>
    <row r="969" spans="1:5" x14ac:dyDescent="0.25">
      <c r="A969" s="290"/>
      <c r="B969" s="288"/>
      <c r="C969" s="1061"/>
      <c r="D969" s="291"/>
      <c r="E969" s="1044"/>
    </row>
    <row r="970" spans="1:5" x14ac:dyDescent="0.25">
      <c r="A970" s="290"/>
      <c r="B970" s="288"/>
      <c r="C970" s="1061"/>
      <c r="D970" s="291"/>
      <c r="E970" s="1044"/>
    </row>
    <row r="971" spans="1:5" x14ac:dyDescent="0.25">
      <c r="A971" s="290"/>
      <c r="B971" s="288"/>
      <c r="C971" s="1061"/>
      <c r="D971" s="291"/>
      <c r="E971" s="1044"/>
    </row>
    <row r="972" spans="1:5" x14ac:dyDescent="0.25">
      <c r="A972" s="290"/>
      <c r="B972" s="288"/>
      <c r="C972" s="1061"/>
      <c r="D972" s="291"/>
      <c r="E972" s="1044"/>
    </row>
    <row r="973" spans="1:5" x14ac:dyDescent="0.25">
      <c r="A973" s="290"/>
      <c r="B973" s="288"/>
      <c r="C973" s="1061"/>
      <c r="D973" s="291"/>
      <c r="E973" s="1044"/>
    </row>
    <row r="974" spans="1:5" x14ac:dyDescent="0.25">
      <c r="A974" s="290"/>
      <c r="B974" s="288"/>
      <c r="C974" s="1061"/>
      <c r="D974" s="291"/>
      <c r="E974" s="1044"/>
    </row>
    <row r="975" spans="1:5" x14ac:dyDescent="0.25">
      <c r="A975" s="290"/>
      <c r="B975" s="288"/>
      <c r="C975" s="1061"/>
      <c r="D975" s="291"/>
      <c r="E975" s="1044"/>
    </row>
    <row r="976" spans="1:5" x14ac:dyDescent="0.25">
      <c r="A976" s="290"/>
      <c r="B976" s="288"/>
      <c r="C976" s="1061"/>
      <c r="D976" s="291"/>
      <c r="E976" s="1044"/>
    </row>
    <row r="977" spans="1:5" x14ac:dyDescent="0.25">
      <c r="A977" s="290"/>
      <c r="B977" s="288"/>
      <c r="C977" s="1061"/>
      <c r="D977" s="291"/>
      <c r="E977" s="1044"/>
    </row>
    <row r="978" spans="1:5" x14ac:dyDescent="0.25">
      <c r="A978" s="290"/>
      <c r="B978" s="288"/>
      <c r="C978" s="1061"/>
      <c r="D978" s="291"/>
      <c r="E978" s="1044"/>
    </row>
    <row r="979" spans="1:5" x14ac:dyDescent="0.25">
      <c r="A979" s="290"/>
      <c r="B979" s="288"/>
      <c r="C979" s="1061"/>
      <c r="D979" s="291"/>
      <c r="E979" s="1044"/>
    </row>
    <row r="980" spans="1:5" x14ac:dyDescent="0.25">
      <c r="A980" s="290"/>
      <c r="B980" s="288"/>
      <c r="C980" s="1061"/>
      <c r="D980" s="291"/>
      <c r="E980" s="1044"/>
    </row>
    <row r="981" spans="1:5" x14ac:dyDescent="0.25">
      <c r="A981" s="290"/>
      <c r="B981" s="288"/>
      <c r="C981" s="1061"/>
      <c r="D981" s="291"/>
      <c r="E981" s="1044"/>
    </row>
    <row r="982" spans="1:5" x14ac:dyDescent="0.25">
      <c r="A982" s="290"/>
      <c r="B982" s="288"/>
      <c r="C982" s="1061"/>
      <c r="D982" s="291"/>
      <c r="E982" s="1044"/>
    </row>
    <row r="983" spans="1:5" x14ac:dyDescent="0.25">
      <c r="A983" s="290"/>
      <c r="B983" s="288"/>
      <c r="C983" s="1061"/>
      <c r="D983" s="291"/>
      <c r="E983" s="1044"/>
    </row>
    <row r="984" spans="1:5" x14ac:dyDescent="0.25">
      <c r="A984" s="290"/>
      <c r="B984" s="288"/>
      <c r="C984" s="1061"/>
      <c r="D984" s="291"/>
      <c r="E984" s="1044"/>
    </row>
    <row r="985" spans="1:5" x14ac:dyDescent="0.25">
      <c r="A985" s="290"/>
      <c r="B985" s="288"/>
      <c r="C985" s="1061"/>
      <c r="D985" s="291"/>
      <c r="E985" s="1044"/>
    </row>
    <row r="986" spans="1:5" x14ac:dyDescent="0.25">
      <c r="A986" s="290"/>
      <c r="B986" s="288"/>
      <c r="C986" s="1061"/>
      <c r="D986" s="291"/>
      <c r="E986" s="1044"/>
    </row>
    <row r="987" spans="1:5" x14ac:dyDescent="0.25">
      <c r="A987" s="290"/>
      <c r="B987" s="288"/>
      <c r="C987" s="1061"/>
      <c r="D987" s="291"/>
      <c r="E987" s="1044"/>
    </row>
    <row r="988" spans="1:5" x14ac:dyDescent="0.25">
      <c r="A988" s="290"/>
      <c r="B988" s="288"/>
      <c r="C988" s="1061"/>
      <c r="D988" s="291"/>
      <c r="E988" s="1044"/>
    </row>
    <row r="989" spans="1:5" x14ac:dyDescent="0.25">
      <c r="A989" s="290"/>
      <c r="B989" s="288"/>
      <c r="C989" s="1061"/>
      <c r="D989" s="291"/>
      <c r="E989" s="1044"/>
    </row>
    <row r="990" spans="1:5" x14ac:dyDescent="0.25">
      <c r="A990" s="290"/>
      <c r="B990" s="288"/>
      <c r="C990" s="1061"/>
      <c r="D990" s="291"/>
      <c r="E990" s="1044"/>
    </row>
    <row r="991" spans="1:5" x14ac:dyDescent="0.25">
      <c r="A991" s="290"/>
      <c r="B991" s="288"/>
      <c r="C991" s="1061"/>
      <c r="D991" s="291"/>
      <c r="E991" s="1044"/>
    </row>
    <row r="992" spans="1:5" x14ac:dyDescent="0.25">
      <c r="A992" s="290"/>
      <c r="B992" s="288"/>
      <c r="C992" s="1061"/>
      <c r="D992" s="291"/>
      <c r="E992" s="1044"/>
    </row>
    <row r="993" spans="1:5" x14ac:dyDescent="0.25">
      <c r="A993" s="290"/>
      <c r="B993" s="288"/>
      <c r="C993" s="1061"/>
      <c r="D993" s="291"/>
      <c r="E993" s="1044"/>
    </row>
    <row r="994" spans="1:5" x14ac:dyDescent="0.25">
      <c r="A994" s="290"/>
      <c r="B994" s="288"/>
      <c r="C994" s="1061"/>
      <c r="D994" s="291"/>
      <c r="E994" s="1044"/>
    </row>
    <row r="995" spans="1:5" x14ac:dyDescent="0.25">
      <c r="A995" s="290"/>
      <c r="B995" s="288"/>
      <c r="C995" s="1061"/>
      <c r="D995" s="291"/>
      <c r="E995" s="1044"/>
    </row>
    <row r="996" spans="1:5" x14ac:dyDescent="0.25">
      <c r="A996" s="290"/>
      <c r="B996" s="288"/>
      <c r="C996" s="1061"/>
      <c r="D996" s="291"/>
      <c r="E996" s="1044"/>
    </row>
    <row r="997" spans="1:5" x14ac:dyDescent="0.25">
      <c r="A997" s="290"/>
      <c r="B997" s="288"/>
      <c r="C997" s="1061"/>
      <c r="D997" s="291"/>
      <c r="E997" s="1044"/>
    </row>
    <row r="998" spans="1:5" x14ac:dyDescent="0.25">
      <c r="A998" s="290"/>
      <c r="B998" s="288"/>
      <c r="C998" s="1061"/>
      <c r="D998" s="291"/>
      <c r="E998" s="1044"/>
    </row>
    <row r="999" spans="1:5" x14ac:dyDescent="0.25">
      <c r="A999" s="290"/>
      <c r="B999" s="288"/>
      <c r="C999" s="1061"/>
      <c r="D999" s="291"/>
      <c r="E999" s="1044"/>
    </row>
    <row r="1000" spans="1:5" x14ac:dyDescent="0.25">
      <c r="A1000" s="290"/>
      <c r="B1000" s="288"/>
      <c r="C1000" s="1061"/>
      <c r="D1000" s="291"/>
      <c r="E1000" s="1044"/>
    </row>
    <row r="1001" spans="1:5" x14ac:dyDescent="0.25">
      <c r="A1001" s="290"/>
      <c r="B1001" s="288"/>
      <c r="C1001" s="1061"/>
      <c r="D1001" s="291"/>
      <c r="E1001" s="1044"/>
    </row>
    <row r="1002" spans="1:5" x14ac:dyDescent="0.25">
      <c r="A1002" s="290"/>
      <c r="B1002" s="288"/>
      <c r="C1002" s="1061"/>
      <c r="D1002" s="291"/>
      <c r="E1002" s="1044"/>
    </row>
    <row r="1003" spans="1:5" x14ac:dyDescent="0.25">
      <c r="A1003" s="290"/>
      <c r="B1003" s="288"/>
      <c r="C1003" s="1061"/>
      <c r="D1003" s="291"/>
      <c r="E1003" s="1044"/>
    </row>
    <row r="1004" spans="1:5" x14ac:dyDescent="0.25">
      <c r="A1004" s="290"/>
      <c r="B1004" s="288"/>
      <c r="C1004" s="1061"/>
      <c r="D1004" s="291"/>
      <c r="E1004" s="1044"/>
    </row>
    <row r="1005" spans="1:5" x14ac:dyDescent="0.25">
      <c r="A1005" s="290"/>
      <c r="B1005" s="288"/>
      <c r="C1005" s="1061"/>
      <c r="D1005" s="291"/>
      <c r="E1005" s="1044"/>
    </row>
    <row r="1006" spans="1:5" x14ac:dyDescent="0.25">
      <c r="A1006" s="290"/>
      <c r="B1006" s="288"/>
      <c r="C1006" s="1061"/>
      <c r="D1006" s="291"/>
      <c r="E1006" s="1044"/>
    </row>
    <row r="1007" spans="1:5" x14ac:dyDescent="0.25">
      <c r="A1007" s="290"/>
      <c r="B1007" s="288"/>
      <c r="C1007" s="1061"/>
      <c r="D1007" s="291"/>
      <c r="E1007" s="1044"/>
    </row>
    <row r="1008" spans="1:5" x14ac:dyDescent="0.25">
      <c r="A1008" s="290"/>
      <c r="B1008" s="288"/>
      <c r="C1008" s="1061"/>
      <c r="D1008" s="291"/>
      <c r="E1008" s="1044"/>
    </row>
    <row r="1009" spans="1:5" x14ac:dyDescent="0.25">
      <c r="A1009" s="290"/>
      <c r="B1009" s="288"/>
      <c r="C1009" s="1061"/>
      <c r="D1009" s="291"/>
      <c r="E1009" s="1044"/>
    </row>
    <row r="1010" spans="1:5" x14ac:dyDescent="0.25">
      <c r="A1010" s="290"/>
      <c r="B1010" s="288"/>
      <c r="C1010" s="1061"/>
      <c r="D1010" s="291"/>
      <c r="E1010" s="1044"/>
    </row>
    <row r="1011" spans="1:5" x14ac:dyDescent="0.25">
      <c r="A1011" s="290"/>
      <c r="B1011" s="288"/>
      <c r="C1011" s="1061"/>
      <c r="D1011" s="291"/>
      <c r="E1011" s="1044"/>
    </row>
    <row r="1012" spans="1:5" x14ac:dyDescent="0.25">
      <c r="A1012" s="290"/>
      <c r="B1012" s="288"/>
      <c r="C1012" s="1061"/>
      <c r="D1012" s="291"/>
      <c r="E1012" s="1044"/>
    </row>
    <row r="1013" spans="1:5" x14ac:dyDescent="0.25">
      <c r="A1013" s="290"/>
      <c r="B1013" s="288"/>
      <c r="C1013" s="1061"/>
      <c r="D1013" s="291"/>
      <c r="E1013" s="1044"/>
    </row>
    <row r="1014" spans="1:5" x14ac:dyDescent="0.25">
      <c r="A1014" s="290"/>
      <c r="B1014" s="288"/>
      <c r="C1014" s="1061"/>
      <c r="D1014" s="291"/>
      <c r="E1014" s="1044"/>
    </row>
    <row r="1015" spans="1:5" x14ac:dyDescent="0.25">
      <c r="A1015" s="290"/>
      <c r="B1015" s="288"/>
      <c r="C1015" s="1061"/>
      <c r="D1015" s="291"/>
      <c r="E1015" s="1044"/>
    </row>
    <row r="1016" spans="1:5" x14ac:dyDescent="0.25">
      <c r="A1016" s="290"/>
      <c r="B1016" s="288"/>
      <c r="C1016" s="1061"/>
      <c r="D1016" s="291"/>
      <c r="E1016" s="1044"/>
    </row>
    <row r="1017" spans="1:5" x14ac:dyDescent="0.25">
      <c r="A1017" s="290"/>
      <c r="B1017" s="288"/>
      <c r="C1017" s="1061"/>
      <c r="D1017" s="291"/>
      <c r="E1017" s="1044"/>
    </row>
    <row r="1018" spans="1:5" x14ac:dyDescent="0.25">
      <c r="A1018" s="290"/>
      <c r="B1018" s="288"/>
      <c r="C1018" s="1061"/>
      <c r="D1018" s="291"/>
      <c r="E1018" s="1044"/>
    </row>
    <row r="1019" spans="1:5" x14ac:dyDescent="0.25">
      <c r="A1019" s="290"/>
      <c r="B1019" s="288"/>
      <c r="C1019" s="1061"/>
      <c r="D1019" s="291"/>
      <c r="E1019" s="1044"/>
    </row>
    <row r="1020" spans="1:5" x14ac:dyDescent="0.25">
      <c r="A1020" s="290"/>
      <c r="B1020" s="288"/>
      <c r="C1020" s="1061"/>
      <c r="D1020" s="291"/>
      <c r="E1020" s="1044"/>
    </row>
    <row r="1021" spans="1:5" x14ac:dyDescent="0.25">
      <c r="A1021" s="290"/>
      <c r="B1021" s="288"/>
      <c r="C1021" s="1061"/>
      <c r="D1021" s="291"/>
      <c r="E1021" s="1044"/>
    </row>
    <row r="1022" spans="1:5" x14ac:dyDescent="0.25">
      <c r="A1022" s="290"/>
      <c r="B1022" s="288"/>
      <c r="C1022" s="1061"/>
      <c r="D1022" s="291"/>
      <c r="E1022" s="1044"/>
    </row>
    <row r="1023" spans="1:5" x14ac:dyDescent="0.25">
      <c r="A1023" s="290"/>
      <c r="B1023" s="288"/>
      <c r="C1023" s="1061"/>
      <c r="D1023" s="291"/>
      <c r="E1023" s="1044"/>
    </row>
    <row r="1024" spans="1:5" x14ac:dyDescent="0.25">
      <c r="A1024" s="290"/>
      <c r="B1024" s="288"/>
      <c r="C1024" s="1061"/>
      <c r="D1024" s="291"/>
      <c r="E1024" s="1044"/>
    </row>
    <row r="1025" spans="1:5" x14ac:dyDescent="0.25">
      <c r="A1025" s="290"/>
      <c r="B1025" s="288"/>
      <c r="C1025" s="1061"/>
      <c r="D1025" s="291"/>
      <c r="E1025" s="1044"/>
    </row>
    <row r="1026" spans="1:5" x14ac:dyDescent="0.25">
      <c r="A1026" s="290"/>
      <c r="B1026" s="288"/>
      <c r="C1026" s="1061"/>
      <c r="D1026" s="291"/>
      <c r="E1026" s="1044"/>
    </row>
    <row r="1027" spans="1:5" x14ac:dyDescent="0.25">
      <c r="A1027" s="290"/>
      <c r="B1027" s="288"/>
      <c r="C1027" s="1061"/>
      <c r="D1027" s="291"/>
      <c r="E1027" s="1044"/>
    </row>
    <row r="1028" spans="1:5" x14ac:dyDescent="0.25">
      <c r="A1028" s="290"/>
      <c r="B1028" s="288"/>
      <c r="C1028" s="1061"/>
      <c r="D1028" s="291"/>
      <c r="E1028" s="1044"/>
    </row>
    <row r="1029" spans="1:5" x14ac:dyDescent="0.25">
      <c r="A1029" s="290"/>
      <c r="B1029" s="288"/>
      <c r="C1029" s="1061"/>
      <c r="D1029" s="291"/>
      <c r="E1029" s="1044"/>
    </row>
    <row r="1030" spans="1:5" x14ac:dyDescent="0.25">
      <c r="A1030" s="290"/>
      <c r="B1030" s="288"/>
      <c r="C1030" s="1061"/>
      <c r="D1030" s="291"/>
      <c r="E1030" s="1044"/>
    </row>
    <row r="1031" spans="1:5" x14ac:dyDescent="0.25">
      <c r="A1031" s="290"/>
      <c r="B1031" s="288"/>
      <c r="C1031" s="1061"/>
      <c r="D1031" s="291"/>
      <c r="E1031" s="1044"/>
    </row>
    <row r="1032" spans="1:5" x14ac:dyDescent="0.25">
      <c r="A1032" s="290"/>
      <c r="B1032" s="288"/>
      <c r="C1032" s="1061"/>
      <c r="D1032" s="291"/>
      <c r="E1032" s="1044"/>
    </row>
    <row r="1033" spans="1:5" x14ac:dyDescent="0.25">
      <c r="A1033" s="290"/>
      <c r="B1033" s="288"/>
      <c r="C1033" s="1061"/>
      <c r="D1033" s="291"/>
      <c r="E1033" s="1044"/>
    </row>
    <row r="1034" spans="1:5" x14ac:dyDescent="0.25">
      <c r="A1034" s="290"/>
      <c r="B1034" s="288"/>
      <c r="C1034" s="1061"/>
      <c r="D1034" s="291"/>
      <c r="E1034" s="1044"/>
    </row>
    <row r="1035" spans="1:5" x14ac:dyDescent="0.25">
      <c r="A1035" s="290"/>
      <c r="B1035" s="288"/>
      <c r="C1035" s="1061"/>
      <c r="D1035" s="291"/>
      <c r="E1035" s="1044"/>
    </row>
    <row r="1036" spans="1:5" x14ac:dyDescent="0.25">
      <c r="A1036" s="290"/>
      <c r="B1036" s="288"/>
      <c r="C1036" s="1061"/>
      <c r="D1036" s="291"/>
      <c r="E1036" s="1044"/>
    </row>
    <row r="1037" spans="1:5" x14ac:dyDescent="0.25">
      <c r="A1037" s="290"/>
      <c r="B1037" s="288"/>
      <c r="C1037" s="1061"/>
      <c r="D1037" s="291"/>
      <c r="E1037" s="1044"/>
    </row>
    <row r="1038" spans="1:5" x14ac:dyDescent="0.25">
      <c r="A1038" s="290"/>
      <c r="B1038" s="288"/>
      <c r="C1038" s="1061"/>
      <c r="D1038" s="291"/>
      <c r="E1038" s="1044"/>
    </row>
    <row r="1039" spans="1:5" x14ac:dyDescent="0.25">
      <c r="A1039" s="290"/>
      <c r="B1039" s="288"/>
      <c r="C1039" s="1061"/>
      <c r="D1039" s="291"/>
      <c r="E1039" s="1044"/>
    </row>
    <row r="1040" spans="1:5" x14ac:dyDescent="0.25">
      <c r="A1040" s="290"/>
      <c r="B1040" s="288"/>
      <c r="C1040" s="1061"/>
      <c r="D1040" s="291"/>
      <c r="E1040" s="1044"/>
    </row>
    <row r="1041" spans="1:5" x14ac:dyDescent="0.25">
      <c r="A1041" s="290"/>
      <c r="B1041" s="288"/>
      <c r="C1041" s="1061"/>
      <c r="D1041" s="291"/>
      <c r="E1041" s="1044"/>
    </row>
    <row r="1042" spans="1:5" x14ac:dyDescent="0.25">
      <c r="A1042" s="290"/>
      <c r="B1042" s="288"/>
      <c r="C1042" s="1061"/>
      <c r="D1042" s="291"/>
      <c r="E1042" s="1044"/>
    </row>
    <row r="1043" spans="1:5" x14ac:dyDescent="0.25">
      <c r="A1043" s="290"/>
      <c r="B1043" s="288"/>
      <c r="C1043" s="1061"/>
      <c r="D1043" s="291"/>
      <c r="E1043" s="1044"/>
    </row>
    <row r="1044" spans="1:5" x14ac:dyDescent="0.25">
      <c r="A1044" s="290"/>
      <c r="B1044" s="288"/>
      <c r="C1044" s="1061"/>
      <c r="D1044" s="291"/>
      <c r="E1044" s="1044"/>
    </row>
    <row r="1045" spans="1:5" x14ac:dyDescent="0.25">
      <c r="A1045" s="290"/>
      <c r="B1045" s="288"/>
      <c r="C1045" s="1061"/>
      <c r="D1045" s="291"/>
      <c r="E1045" s="1044"/>
    </row>
    <row r="1046" spans="1:5" x14ac:dyDescent="0.25">
      <c r="A1046" s="290"/>
      <c r="B1046" s="288"/>
      <c r="C1046" s="1061"/>
      <c r="D1046" s="291"/>
      <c r="E1046" s="1044"/>
    </row>
    <row r="1047" spans="1:5" x14ac:dyDescent="0.25">
      <c r="A1047" s="290"/>
      <c r="B1047" s="288"/>
      <c r="C1047" s="1061"/>
      <c r="D1047" s="291"/>
      <c r="E1047" s="1044"/>
    </row>
    <row r="1048" spans="1:5" x14ac:dyDescent="0.25">
      <c r="A1048" s="290"/>
      <c r="B1048" s="288"/>
      <c r="C1048" s="1061"/>
      <c r="D1048" s="291"/>
      <c r="E1048" s="1044"/>
    </row>
    <row r="1049" spans="1:5" x14ac:dyDescent="0.25">
      <c r="A1049" s="290"/>
      <c r="B1049" s="288"/>
      <c r="C1049" s="1061"/>
      <c r="D1049" s="291"/>
      <c r="E1049" s="1044"/>
    </row>
    <row r="1050" spans="1:5" x14ac:dyDescent="0.25">
      <c r="A1050" s="290"/>
      <c r="B1050" s="288"/>
      <c r="C1050" s="1061"/>
      <c r="D1050" s="291"/>
      <c r="E1050" s="1044"/>
    </row>
    <row r="1051" spans="1:5" x14ac:dyDescent="0.25">
      <c r="A1051" s="290"/>
      <c r="B1051" s="288"/>
      <c r="C1051" s="1061"/>
      <c r="D1051" s="291"/>
      <c r="E1051" s="1044"/>
    </row>
    <row r="1052" spans="1:5" x14ac:dyDescent="0.25">
      <c r="A1052" s="290"/>
      <c r="B1052" s="288"/>
      <c r="C1052" s="1061"/>
      <c r="D1052" s="291"/>
      <c r="E1052" s="1044"/>
    </row>
    <row r="1053" spans="1:5" x14ac:dyDescent="0.25">
      <c r="A1053" s="290"/>
      <c r="B1053" s="288"/>
      <c r="C1053" s="1061"/>
      <c r="D1053" s="291"/>
      <c r="E1053" s="1044"/>
    </row>
    <row r="1054" spans="1:5" x14ac:dyDescent="0.25">
      <c r="A1054" s="290"/>
      <c r="B1054" s="288"/>
      <c r="C1054" s="1061"/>
      <c r="D1054" s="291"/>
      <c r="E1054" s="1044"/>
    </row>
    <row r="1055" spans="1:5" x14ac:dyDescent="0.25">
      <c r="A1055" s="290"/>
      <c r="B1055" s="288"/>
      <c r="C1055" s="1061"/>
      <c r="D1055" s="291"/>
      <c r="E1055" s="1044"/>
    </row>
    <row r="1056" spans="1:5" x14ac:dyDescent="0.25">
      <c r="A1056" s="290"/>
      <c r="B1056" s="288"/>
      <c r="C1056" s="1061"/>
      <c r="D1056" s="291"/>
      <c r="E1056" s="1044"/>
    </row>
    <row r="1057" spans="1:5" x14ac:dyDescent="0.25">
      <c r="A1057" s="290"/>
      <c r="B1057" s="288"/>
      <c r="C1057" s="1061"/>
      <c r="D1057" s="291"/>
      <c r="E1057" s="1044"/>
    </row>
    <row r="1058" spans="1:5" x14ac:dyDescent="0.25">
      <c r="A1058" s="290"/>
      <c r="B1058" s="288"/>
      <c r="C1058" s="1061"/>
      <c r="D1058" s="291"/>
      <c r="E1058" s="1044"/>
    </row>
    <row r="1059" spans="1:5" x14ac:dyDescent="0.25">
      <c r="A1059" s="290"/>
      <c r="B1059" s="288"/>
      <c r="C1059" s="1061"/>
      <c r="D1059" s="291"/>
      <c r="E1059" s="1044"/>
    </row>
    <row r="1060" spans="1:5" x14ac:dyDescent="0.25">
      <c r="A1060" s="290"/>
      <c r="B1060" s="288"/>
      <c r="C1060" s="1061"/>
      <c r="D1060" s="291"/>
      <c r="E1060" s="1044"/>
    </row>
    <row r="1061" spans="1:5" x14ac:dyDescent="0.25">
      <c r="A1061" s="290"/>
      <c r="B1061" s="288"/>
      <c r="C1061" s="1061"/>
      <c r="D1061" s="291"/>
      <c r="E1061" s="1044"/>
    </row>
    <row r="1062" spans="1:5" x14ac:dyDescent="0.25">
      <c r="A1062" s="290"/>
      <c r="B1062" s="288"/>
      <c r="C1062" s="1061"/>
      <c r="D1062" s="291"/>
      <c r="E1062" s="1044"/>
    </row>
    <row r="1063" spans="1:5" x14ac:dyDescent="0.25">
      <c r="A1063" s="290"/>
      <c r="B1063" s="288"/>
      <c r="C1063" s="1061"/>
      <c r="D1063" s="291"/>
      <c r="E1063" s="1044"/>
    </row>
    <row r="1064" spans="1:5" x14ac:dyDescent="0.25">
      <c r="A1064" s="290"/>
      <c r="B1064" s="288"/>
      <c r="C1064" s="1061"/>
      <c r="D1064" s="291"/>
      <c r="E1064" s="1044"/>
    </row>
    <row r="1065" spans="1:5" x14ac:dyDescent="0.25">
      <c r="A1065" s="290"/>
      <c r="B1065" s="288"/>
      <c r="C1065" s="1061"/>
      <c r="D1065" s="291"/>
      <c r="E1065" s="1044"/>
    </row>
    <row r="1066" spans="1:5" x14ac:dyDescent="0.25">
      <c r="A1066" s="290"/>
      <c r="B1066" s="288"/>
      <c r="C1066" s="1061"/>
      <c r="D1066" s="291"/>
      <c r="E1066" s="1044"/>
    </row>
    <row r="1067" spans="1:5" x14ac:dyDescent="0.25">
      <c r="A1067" s="290"/>
      <c r="B1067" s="288"/>
      <c r="C1067" s="1061"/>
      <c r="D1067" s="291"/>
      <c r="E1067" s="1044"/>
    </row>
    <row r="1068" spans="1:5" x14ac:dyDescent="0.25">
      <c r="A1068" s="290"/>
      <c r="B1068" s="288"/>
      <c r="C1068" s="1061"/>
      <c r="D1068" s="291"/>
      <c r="E1068" s="1044"/>
    </row>
    <row r="1069" spans="1:5" x14ac:dyDescent="0.25">
      <c r="A1069" s="290"/>
      <c r="B1069" s="288"/>
      <c r="C1069" s="1061"/>
      <c r="D1069" s="291"/>
      <c r="E1069" s="1044"/>
    </row>
    <row r="1070" spans="1:5" x14ac:dyDescent="0.25">
      <c r="A1070" s="290"/>
      <c r="B1070" s="288"/>
      <c r="C1070" s="1061"/>
      <c r="D1070" s="291"/>
      <c r="E1070" s="1044"/>
    </row>
    <row r="1071" spans="1:5" x14ac:dyDescent="0.25">
      <c r="A1071" s="290"/>
      <c r="B1071" s="288"/>
      <c r="C1071" s="1061"/>
      <c r="D1071" s="291"/>
      <c r="E1071" s="1044"/>
    </row>
    <row r="1072" spans="1:5" x14ac:dyDescent="0.25">
      <c r="A1072" s="290"/>
      <c r="B1072" s="288"/>
      <c r="C1072" s="1061"/>
      <c r="D1072" s="291"/>
      <c r="E1072" s="1044"/>
    </row>
    <row r="1073" spans="1:5" x14ac:dyDescent="0.25">
      <c r="A1073" s="290"/>
      <c r="B1073" s="288"/>
      <c r="C1073" s="1061"/>
      <c r="D1073" s="291"/>
      <c r="E1073" s="1044"/>
    </row>
    <row r="1074" spans="1:5" x14ac:dyDescent="0.25">
      <c r="A1074" s="290"/>
      <c r="B1074" s="288"/>
      <c r="C1074" s="1061"/>
      <c r="D1074" s="291"/>
      <c r="E1074" s="1044"/>
    </row>
    <row r="1075" spans="1:5" x14ac:dyDescent="0.25">
      <c r="A1075" s="290"/>
      <c r="B1075" s="288"/>
      <c r="C1075" s="1061"/>
      <c r="D1075" s="291"/>
      <c r="E1075" s="1044"/>
    </row>
    <row r="1076" spans="1:5" x14ac:dyDescent="0.25">
      <c r="A1076" s="290"/>
      <c r="B1076" s="288"/>
      <c r="C1076" s="1061"/>
      <c r="D1076" s="291"/>
      <c r="E1076" s="1044"/>
    </row>
    <row r="1077" spans="1:5" x14ac:dyDescent="0.25">
      <c r="A1077" s="290"/>
      <c r="B1077" s="288"/>
      <c r="C1077" s="1061"/>
      <c r="D1077" s="291"/>
      <c r="E1077" s="1044"/>
    </row>
    <row r="1078" spans="1:5" x14ac:dyDescent="0.25">
      <c r="A1078" s="290"/>
      <c r="B1078" s="288"/>
      <c r="C1078" s="1061"/>
      <c r="D1078" s="291"/>
      <c r="E1078" s="1044"/>
    </row>
    <row r="1079" spans="1:5" x14ac:dyDescent="0.25">
      <c r="A1079" s="290"/>
      <c r="B1079" s="288"/>
      <c r="C1079" s="1061"/>
      <c r="D1079" s="291"/>
      <c r="E1079" s="1044"/>
    </row>
    <row r="1080" spans="1:5" x14ac:dyDescent="0.25">
      <c r="A1080" s="290"/>
      <c r="B1080" s="288"/>
      <c r="C1080" s="1061"/>
      <c r="D1080" s="291"/>
      <c r="E1080" s="1044"/>
    </row>
    <row r="1081" spans="1:5" x14ac:dyDescent="0.25">
      <c r="A1081" s="290"/>
      <c r="B1081" s="288"/>
      <c r="C1081" s="1061"/>
      <c r="D1081" s="291"/>
      <c r="E1081" s="1044"/>
    </row>
    <row r="1082" spans="1:5" x14ac:dyDescent="0.25">
      <c r="A1082" s="290"/>
      <c r="B1082" s="288"/>
      <c r="C1082" s="1061"/>
      <c r="D1082" s="291"/>
      <c r="E1082" s="1044"/>
    </row>
    <row r="1083" spans="1:5" x14ac:dyDescent="0.25">
      <c r="A1083" s="290"/>
      <c r="B1083" s="288"/>
      <c r="C1083" s="1061"/>
      <c r="D1083" s="291"/>
      <c r="E1083" s="1044"/>
    </row>
    <row r="1084" spans="1:5" x14ac:dyDescent="0.25">
      <c r="A1084" s="290"/>
      <c r="B1084" s="288"/>
      <c r="C1084" s="1061"/>
      <c r="D1084" s="291"/>
      <c r="E1084" s="1044"/>
    </row>
    <row r="1085" spans="1:5" x14ac:dyDescent="0.25">
      <c r="A1085" s="290"/>
      <c r="B1085" s="288"/>
      <c r="C1085" s="1061"/>
      <c r="D1085" s="291"/>
      <c r="E1085" s="1044"/>
    </row>
    <row r="1086" spans="1:5" x14ac:dyDescent="0.25">
      <c r="A1086" s="290"/>
      <c r="B1086" s="288"/>
      <c r="C1086" s="1061"/>
      <c r="D1086" s="291"/>
      <c r="E1086" s="1044"/>
    </row>
    <row r="1087" spans="1:5" x14ac:dyDescent="0.25">
      <c r="A1087" s="290"/>
      <c r="B1087" s="288"/>
      <c r="C1087" s="1061"/>
      <c r="D1087" s="291"/>
      <c r="E1087" s="1044"/>
    </row>
    <row r="1088" spans="1:5" x14ac:dyDescent="0.25">
      <c r="A1088" s="290"/>
      <c r="B1088" s="288"/>
      <c r="C1088" s="1061"/>
      <c r="D1088" s="291"/>
      <c r="E1088" s="1044"/>
    </row>
    <row r="1089" spans="1:5" x14ac:dyDescent="0.25">
      <c r="A1089" s="290"/>
      <c r="B1089" s="288"/>
      <c r="C1089" s="1061"/>
      <c r="D1089" s="291"/>
      <c r="E1089" s="1044"/>
    </row>
    <row r="1090" spans="1:5" x14ac:dyDescent="0.25">
      <c r="A1090" s="290"/>
      <c r="B1090" s="288"/>
      <c r="C1090" s="1061"/>
      <c r="D1090" s="291"/>
      <c r="E1090" s="1044"/>
    </row>
    <row r="1091" spans="1:5" x14ac:dyDescent="0.25">
      <c r="A1091" s="290"/>
      <c r="B1091" s="288"/>
      <c r="C1091" s="1061"/>
      <c r="D1091" s="291"/>
      <c r="E1091" s="1044"/>
    </row>
    <row r="1092" spans="1:5" x14ac:dyDescent="0.25">
      <c r="A1092" s="290"/>
      <c r="B1092" s="288"/>
      <c r="C1092" s="1061"/>
      <c r="D1092" s="291"/>
      <c r="E1092" s="1044"/>
    </row>
    <row r="1093" spans="1:5" x14ac:dyDescent="0.25">
      <c r="A1093" s="290"/>
      <c r="B1093" s="288"/>
      <c r="C1093" s="1061"/>
      <c r="D1093" s="291"/>
      <c r="E1093" s="1044"/>
    </row>
    <row r="1094" spans="1:5" x14ac:dyDescent="0.25">
      <c r="A1094" s="290"/>
      <c r="B1094" s="288"/>
      <c r="C1094" s="1061"/>
      <c r="D1094" s="291"/>
      <c r="E1094" s="1044"/>
    </row>
    <row r="1095" spans="1:5" x14ac:dyDescent="0.25">
      <c r="A1095" s="290"/>
      <c r="B1095" s="288"/>
      <c r="C1095" s="1061"/>
      <c r="D1095" s="291"/>
      <c r="E1095" s="1044"/>
    </row>
    <row r="1096" spans="1:5" x14ac:dyDescent="0.25">
      <c r="A1096" s="290"/>
      <c r="B1096" s="288"/>
      <c r="C1096" s="1061"/>
      <c r="D1096" s="291"/>
      <c r="E1096" s="1044"/>
    </row>
    <row r="1097" spans="1:5" x14ac:dyDescent="0.25">
      <c r="A1097" s="290"/>
      <c r="B1097" s="288"/>
      <c r="C1097" s="1061"/>
      <c r="D1097" s="291"/>
      <c r="E1097" s="1044"/>
    </row>
    <row r="1098" spans="1:5" x14ac:dyDescent="0.25">
      <c r="A1098" s="290"/>
      <c r="B1098" s="288"/>
      <c r="C1098" s="1061"/>
      <c r="D1098" s="291"/>
      <c r="E1098" s="1044"/>
    </row>
    <row r="1099" spans="1:5" x14ac:dyDescent="0.25">
      <c r="A1099" s="290"/>
      <c r="B1099" s="288"/>
      <c r="C1099" s="1061"/>
      <c r="D1099" s="291"/>
      <c r="E1099" s="1044"/>
    </row>
    <row r="1100" spans="1:5" x14ac:dyDescent="0.25">
      <c r="A1100" s="290"/>
      <c r="B1100" s="288"/>
      <c r="C1100" s="1061"/>
      <c r="D1100" s="291"/>
      <c r="E1100" s="1044"/>
    </row>
    <row r="1101" spans="1:5" x14ac:dyDescent="0.25">
      <c r="A1101" s="290"/>
      <c r="B1101" s="288"/>
      <c r="C1101" s="1061"/>
      <c r="D1101" s="291"/>
      <c r="E1101" s="1044"/>
    </row>
    <row r="1102" spans="1:5" x14ac:dyDescent="0.25">
      <c r="A1102" s="290"/>
      <c r="B1102" s="288"/>
      <c r="C1102" s="1061"/>
      <c r="D1102" s="291"/>
      <c r="E1102" s="1044"/>
    </row>
    <row r="1103" spans="1:5" x14ac:dyDescent="0.25">
      <c r="A1103" s="290"/>
      <c r="B1103" s="288"/>
      <c r="C1103" s="1061"/>
      <c r="D1103" s="291"/>
      <c r="E1103" s="1044"/>
    </row>
    <row r="1104" spans="1:5" x14ac:dyDescent="0.25">
      <c r="A1104" s="290"/>
      <c r="B1104" s="288"/>
      <c r="C1104" s="1061"/>
      <c r="D1104" s="291"/>
      <c r="E1104" s="1044"/>
    </row>
    <row r="1105" spans="1:5" x14ac:dyDescent="0.25">
      <c r="A1105" s="290"/>
      <c r="B1105" s="288"/>
      <c r="C1105" s="1061"/>
      <c r="D1105" s="291"/>
      <c r="E1105" s="1044"/>
    </row>
    <row r="1106" spans="1:5" x14ac:dyDescent="0.25">
      <c r="A1106" s="290"/>
      <c r="B1106" s="288"/>
      <c r="C1106" s="1061"/>
      <c r="D1106" s="291"/>
      <c r="E1106" s="1044"/>
    </row>
    <row r="1107" spans="1:5" x14ac:dyDescent="0.25">
      <c r="A1107" s="290"/>
      <c r="B1107" s="288"/>
      <c r="C1107" s="1061"/>
      <c r="D1107" s="291"/>
      <c r="E1107" s="1044"/>
    </row>
    <row r="1108" spans="1:5" x14ac:dyDescent="0.25">
      <c r="A1108" s="290"/>
      <c r="B1108" s="288"/>
      <c r="C1108" s="1061"/>
      <c r="D1108" s="291"/>
      <c r="E1108" s="1044"/>
    </row>
    <row r="1109" spans="1:5" x14ac:dyDescent="0.25">
      <c r="A1109" s="290"/>
      <c r="B1109" s="288"/>
      <c r="C1109" s="1061"/>
      <c r="D1109" s="291"/>
      <c r="E1109" s="1044"/>
    </row>
    <row r="1110" spans="1:5" x14ac:dyDescent="0.25">
      <c r="A1110" s="290"/>
      <c r="B1110" s="288"/>
      <c r="C1110" s="1061"/>
      <c r="D1110" s="291"/>
      <c r="E1110" s="1044"/>
    </row>
    <row r="1111" spans="1:5" x14ac:dyDescent="0.25">
      <c r="A1111" s="290"/>
      <c r="B1111" s="288"/>
      <c r="C1111" s="1061"/>
      <c r="D1111" s="291"/>
      <c r="E1111" s="1044"/>
    </row>
    <row r="1112" spans="1:5" x14ac:dyDescent="0.25">
      <c r="A1112" s="290"/>
      <c r="B1112" s="288"/>
      <c r="C1112" s="1061"/>
      <c r="D1112" s="291"/>
      <c r="E1112" s="1044"/>
    </row>
    <row r="1113" spans="1:5" x14ac:dyDescent="0.25">
      <c r="A1113" s="290"/>
      <c r="B1113" s="288"/>
      <c r="C1113" s="1061"/>
      <c r="D1113" s="291"/>
      <c r="E1113" s="1044"/>
    </row>
    <row r="1114" spans="1:5" x14ac:dyDescent="0.25">
      <c r="A1114" s="290"/>
      <c r="B1114" s="288"/>
      <c r="C1114" s="1061"/>
      <c r="D1114" s="291"/>
      <c r="E1114" s="1044"/>
    </row>
    <row r="1115" spans="1:5" x14ac:dyDescent="0.25">
      <c r="A1115" s="290"/>
      <c r="B1115" s="288"/>
      <c r="C1115" s="1061"/>
      <c r="D1115" s="291"/>
      <c r="E1115" s="1044"/>
    </row>
    <row r="1116" spans="1:5" x14ac:dyDescent="0.25">
      <c r="A1116" s="290"/>
      <c r="B1116" s="288"/>
      <c r="C1116" s="1061"/>
      <c r="D1116" s="291"/>
      <c r="E1116" s="1044"/>
    </row>
    <row r="1117" spans="1:5" x14ac:dyDescent="0.25">
      <c r="A1117" s="290"/>
      <c r="B1117" s="288"/>
      <c r="C1117" s="1061"/>
      <c r="D1117" s="291"/>
      <c r="E1117" s="1044"/>
    </row>
    <row r="1118" spans="1:5" x14ac:dyDescent="0.25">
      <c r="A1118" s="290"/>
      <c r="B1118" s="288"/>
      <c r="C1118" s="1061"/>
      <c r="D1118" s="291"/>
      <c r="E1118" s="1044"/>
    </row>
    <row r="1119" spans="1:5" x14ac:dyDescent="0.25">
      <c r="A1119" s="290"/>
      <c r="B1119" s="288"/>
      <c r="C1119" s="1061"/>
      <c r="D1119" s="291"/>
      <c r="E1119" s="1044"/>
    </row>
    <row r="1120" spans="1:5" x14ac:dyDescent="0.25">
      <c r="A1120" s="290"/>
      <c r="B1120" s="288"/>
      <c r="C1120" s="1061"/>
      <c r="D1120" s="291"/>
      <c r="E1120" s="1044"/>
    </row>
    <row r="1121" spans="1:5" x14ac:dyDescent="0.25">
      <c r="A1121" s="290"/>
      <c r="B1121" s="288"/>
      <c r="C1121" s="1061"/>
      <c r="D1121" s="291"/>
      <c r="E1121" s="1044"/>
    </row>
    <row r="1122" spans="1:5" x14ac:dyDescent="0.25">
      <c r="A1122" s="290"/>
      <c r="B1122" s="288"/>
      <c r="C1122" s="1061"/>
      <c r="D1122" s="291"/>
      <c r="E1122" s="1044"/>
    </row>
    <row r="1123" spans="1:5" x14ac:dyDescent="0.25">
      <c r="A1123" s="290"/>
      <c r="B1123" s="288"/>
      <c r="C1123" s="1061"/>
      <c r="D1123" s="291"/>
      <c r="E1123" s="1044"/>
    </row>
    <row r="1124" spans="1:5" x14ac:dyDescent="0.25">
      <c r="A1124" s="290"/>
      <c r="B1124" s="288"/>
      <c r="C1124" s="1061"/>
      <c r="D1124" s="291"/>
      <c r="E1124" s="1044"/>
    </row>
    <row r="1125" spans="1:5" x14ac:dyDescent="0.25">
      <c r="A1125" s="290"/>
      <c r="B1125" s="288"/>
      <c r="C1125" s="1061"/>
      <c r="D1125" s="291"/>
      <c r="E1125" s="1044"/>
    </row>
    <row r="1126" spans="1:5" x14ac:dyDescent="0.25">
      <c r="A1126" s="290"/>
      <c r="B1126" s="288"/>
      <c r="C1126" s="1061"/>
      <c r="D1126" s="291"/>
      <c r="E1126" s="1044"/>
    </row>
    <row r="1127" spans="1:5" x14ac:dyDescent="0.25">
      <c r="A1127" s="290"/>
      <c r="B1127" s="288"/>
      <c r="C1127" s="1061"/>
      <c r="D1127" s="291"/>
      <c r="E1127" s="1044"/>
    </row>
    <row r="1128" spans="1:5" x14ac:dyDescent="0.25">
      <c r="A1128" s="290"/>
      <c r="B1128" s="288"/>
      <c r="C1128" s="1061"/>
      <c r="D1128" s="291"/>
      <c r="E1128" s="1044"/>
    </row>
    <row r="1129" spans="1:5" x14ac:dyDescent="0.25">
      <c r="A1129" s="290"/>
      <c r="B1129" s="288"/>
      <c r="C1129" s="1061"/>
      <c r="D1129" s="291"/>
      <c r="E1129" s="1044"/>
    </row>
    <row r="1130" spans="1:5" x14ac:dyDescent="0.25">
      <c r="A1130" s="290"/>
      <c r="B1130" s="288"/>
      <c r="C1130" s="1061"/>
      <c r="D1130" s="291"/>
      <c r="E1130" s="1044"/>
    </row>
    <row r="1131" spans="1:5" x14ac:dyDescent="0.25">
      <c r="A1131" s="290"/>
      <c r="B1131" s="288"/>
      <c r="C1131" s="1061"/>
      <c r="D1131" s="291"/>
      <c r="E1131" s="1044"/>
    </row>
    <row r="1132" spans="1:5" x14ac:dyDescent="0.25">
      <c r="A1132" s="290"/>
      <c r="B1132" s="288"/>
      <c r="C1132" s="1061"/>
      <c r="D1132" s="291"/>
      <c r="E1132" s="1044"/>
    </row>
    <row r="1133" spans="1:5" x14ac:dyDescent="0.25">
      <c r="A1133" s="290"/>
      <c r="B1133" s="288"/>
      <c r="C1133" s="1061"/>
      <c r="D1133" s="291"/>
      <c r="E1133" s="1044"/>
    </row>
    <row r="1134" spans="1:5" x14ac:dyDescent="0.25">
      <c r="A1134" s="290"/>
      <c r="B1134" s="288"/>
      <c r="C1134" s="1061"/>
      <c r="D1134" s="291"/>
      <c r="E1134" s="1044"/>
    </row>
    <row r="1135" spans="1:5" x14ac:dyDescent="0.25">
      <c r="A1135" s="290"/>
      <c r="B1135" s="288"/>
      <c r="C1135" s="1061"/>
      <c r="D1135" s="291"/>
      <c r="E1135" s="1044"/>
    </row>
    <row r="1136" spans="1:5" x14ac:dyDescent="0.25">
      <c r="A1136" s="290"/>
      <c r="B1136" s="288"/>
      <c r="C1136" s="1061"/>
      <c r="D1136" s="291"/>
      <c r="E1136" s="1044"/>
    </row>
    <row r="1137" spans="1:5" x14ac:dyDescent="0.25">
      <c r="A1137" s="290"/>
      <c r="B1137" s="288"/>
      <c r="C1137" s="1061"/>
      <c r="D1137" s="291"/>
      <c r="E1137" s="1044"/>
    </row>
    <row r="1138" spans="1:5" x14ac:dyDescent="0.25">
      <c r="A1138" s="290"/>
      <c r="B1138" s="288"/>
      <c r="C1138" s="1061"/>
      <c r="D1138" s="291"/>
      <c r="E1138" s="1044"/>
    </row>
    <row r="1139" spans="1:5" x14ac:dyDescent="0.25">
      <c r="A1139" s="290"/>
      <c r="B1139" s="288"/>
      <c r="C1139" s="1061"/>
      <c r="D1139" s="291"/>
      <c r="E1139" s="1044"/>
    </row>
    <row r="1140" spans="1:5" x14ac:dyDescent="0.25">
      <c r="A1140" s="290"/>
      <c r="B1140" s="288"/>
      <c r="C1140" s="1061"/>
      <c r="D1140" s="291"/>
      <c r="E1140" s="1044"/>
    </row>
    <row r="1141" spans="1:5" x14ac:dyDescent="0.25">
      <c r="A1141" s="290"/>
      <c r="B1141" s="288"/>
      <c r="C1141" s="1061"/>
      <c r="D1141" s="291"/>
      <c r="E1141" s="1044"/>
    </row>
    <row r="1142" spans="1:5" x14ac:dyDescent="0.25">
      <c r="A1142" s="290"/>
      <c r="B1142" s="288"/>
      <c r="C1142" s="1061"/>
      <c r="D1142" s="291"/>
      <c r="E1142" s="1044"/>
    </row>
    <row r="1143" spans="1:5" x14ac:dyDescent="0.25">
      <c r="A1143" s="290"/>
      <c r="B1143" s="288"/>
      <c r="C1143" s="1061"/>
      <c r="D1143" s="291"/>
      <c r="E1143" s="1044"/>
    </row>
    <row r="1144" spans="1:5" x14ac:dyDescent="0.25">
      <c r="A1144" s="290"/>
      <c r="B1144" s="288"/>
      <c r="C1144" s="1061"/>
      <c r="D1144" s="291"/>
      <c r="E1144" s="1044"/>
    </row>
    <row r="1145" spans="1:5" x14ac:dyDescent="0.25">
      <c r="A1145" s="290"/>
      <c r="B1145" s="288"/>
      <c r="C1145" s="1061"/>
      <c r="D1145" s="291"/>
      <c r="E1145" s="1044"/>
    </row>
    <row r="1146" spans="1:5" x14ac:dyDescent="0.25">
      <c r="A1146" s="290"/>
      <c r="B1146" s="288"/>
      <c r="C1146" s="1061"/>
      <c r="D1146" s="291"/>
      <c r="E1146" s="1044"/>
    </row>
    <row r="1147" spans="1:5" x14ac:dyDescent="0.25">
      <c r="A1147" s="290"/>
      <c r="B1147" s="288"/>
      <c r="C1147" s="1061"/>
      <c r="D1147" s="291"/>
      <c r="E1147" s="1044"/>
    </row>
    <row r="1148" spans="1:5" x14ac:dyDescent="0.25">
      <c r="A1148" s="290"/>
      <c r="B1148" s="288"/>
      <c r="C1148" s="1061"/>
      <c r="D1148" s="291"/>
      <c r="E1148" s="1044"/>
    </row>
    <row r="1149" spans="1:5" x14ac:dyDescent="0.25">
      <c r="A1149" s="290"/>
      <c r="B1149" s="288"/>
      <c r="C1149" s="1061"/>
      <c r="D1149" s="291"/>
      <c r="E1149" s="1044"/>
    </row>
    <row r="1150" spans="1:5" x14ac:dyDescent="0.25">
      <c r="A1150" s="290"/>
      <c r="B1150" s="288"/>
      <c r="C1150" s="1061"/>
      <c r="D1150" s="291"/>
      <c r="E1150" s="1044"/>
    </row>
    <row r="1151" spans="1:5" x14ac:dyDescent="0.25">
      <c r="A1151" s="290"/>
      <c r="B1151" s="288"/>
      <c r="C1151" s="1061"/>
      <c r="D1151" s="291"/>
      <c r="E1151" s="1044"/>
    </row>
    <row r="1152" spans="1:5" x14ac:dyDescent="0.25">
      <c r="A1152" s="290"/>
      <c r="B1152" s="288"/>
      <c r="C1152" s="1061"/>
      <c r="D1152" s="291"/>
      <c r="E1152" s="1044"/>
    </row>
    <row r="1153" spans="1:5" x14ac:dyDescent="0.25">
      <c r="A1153" s="290"/>
      <c r="B1153" s="288"/>
      <c r="C1153" s="1061"/>
      <c r="D1153" s="291"/>
      <c r="E1153" s="1044"/>
    </row>
    <row r="1154" spans="1:5" x14ac:dyDescent="0.25">
      <c r="A1154" s="290"/>
      <c r="B1154" s="288"/>
      <c r="C1154" s="1061"/>
      <c r="D1154" s="291"/>
      <c r="E1154" s="1044"/>
    </row>
    <row r="1155" spans="1:5" x14ac:dyDescent="0.25">
      <c r="A1155" s="290"/>
      <c r="B1155" s="288"/>
      <c r="C1155" s="1061"/>
      <c r="D1155" s="291"/>
      <c r="E1155" s="1044"/>
    </row>
    <row r="1156" spans="1:5" x14ac:dyDescent="0.25">
      <c r="A1156" s="290"/>
      <c r="B1156" s="288"/>
      <c r="C1156" s="1061"/>
      <c r="D1156" s="291"/>
      <c r="E1156" s="1044"/>
    </row>
    <row r="1157" spans="1:5" x14ac:dyDescent="0.25">
      <c r="A1157" s="290"/>
      <c r="B1157" s="288"/>
      <c r="C1157" s="1061"/>
      <c r="D1157" s="291"/>
      <c r="E1157" s="1044"/>
    </row>
    <row r="1158" spans="1:5" x14ac:dyDescent="0.25">
      <c r="A1158" s="290"/>
      <c r="B1158" s="288"/>
      <c r="C1158" s="1061"/>
      <c r="D1158" s="291"/>
      <c r="E1158" s="1044"/>
    </row>
    <row r="1159" spans="1:5" x14ac:dyDescent="0.25">
      <c r="A1159" s="290"/>
      <c r="B1159" s="288"/>
      <c r="C1159" s="1061"/>
      <c r="D1159" s="291"/>
      <c r="E1159" s="1044"/>
    </row>
    <row r="1160" spans="1:5" x14ac:dyDescent="0.25">
      <c r="A1160" s="290"/>
      <c r="B1160" s="288"/>
      <c r="C1160" s="1061"/>
      <c r="D1160" s="291"/>
      <c r="E1160" s="1044"/>
    </row>
    <row r="1161" spans="1:5" x14ac:dyDescent="0.25">
      <c r="A1161" s="290"/>
      <c r="B1161" s="288"/>
      <c r="C1161" s="1061"/>
      <c r="D1161" s="291"/>
      <c r="E1161" s="1044"/>
    </row>
    <row r="1162" spans="1:5" x14ac:dyDescent="0.25">
      <c r="A1162" s="290"/>
      <c r="B1162" s="288"/>
      <c r="C1162" s="1061"/>
      <c r="D1162" s="291"/>
      <c r="E1162" s="1044"/>
    </row>
    <row r="1163" spans="1:5" x14ac:dyDescent="0.25">
      <c r="A1163" s="290"/>
      <c r="B1163" s="288"/>
      <c r="C1163" s="1061"/>
      <c r="D1163" s="291"/>
      <c r="E1163" s="1044"/>
    </row>
    <row r="1164" spans="1:5" x14ac:dyDescent="0.25">
      <c r="A1164" s="290"/>
      <c r="B1164" s="288"/>
      <c r="C1164" s="1061"/>
      <c r="D1164" s="291"/>
      <c r="E1164" s="1044"/>
    </row>
    <row r="1165" spans="1:5" x14ac:dyDescent="0.25">
      <c r="A1165" s="290"/>
      <c r="B1165" s="288"/>
      <c r="C1165" s="1061"/>
      <c r="D1165" s="291"/>
      <c r="E1165" s="1044"/>
    </row>
    <row r="1166" spans="1:5" x14ac:dyDescent="0.25">
      <c r="A1166" s="290"/>
      <c r="B1166" s="288"/>
      <c r="C1166" s="1061"/>
      <c r="D1166" s="291"/>
      <c r="E1166" s="1044"/>
    </row>
    <row r="1167" spans="1:5" x14ac:dyDescent="0.25">
      <c r="A1167" s="290"/>
      <c r="B1167" s="288"/>
      <c r="C1167" s="1061"/>
      <c r="D1167" s="291"/>
      <c r="E1167" s="1044"/>
    </row>
    <row r="1168" spans="1:5" x14ac:dyDescent="0.25">
      <c r="A1168" s="290"/>
      <c r="B1168" s="288"/>
      <c r="C1168" s="1061"/>
      <c r="D1168" s="291"/>
      <c r="E1168" s="1044"/>
    </row>
    <row r="1169" spans="1:5" x14ac:dyDescent="0.25">
      <c r="A1169" s="290"/>
      <c r="B1169" s="288"/>
      <c r="C1169" s="1061"/>
      <c r="D1169" s="291"/>
      <c r="E1169" s="1044"/>
    </row>
    <row r="1170" spans="1:5" x14ac:dyDescent="0.25">
      <c r="A1170" s="290"/>
      <c r="B1170" s="288"/>
      <c r="C1170" s="1061"/>
      <c r="D1170" s="291"/>
      <c r="E1170" s="1044"/>
    </row>
    <row r="1171" spans="1:5" x14ac:dyDescent="0.25">
      <c r="A1171" s="290"/>
      <c r="B1171" s="288"/>
      <c r="C1171" s="1061"/>
      <c r="D1171" s="291"/>
      <c r="E1171" s="1044"/>
    </row>
    <row r="1172" spans="1:5" x14ac:dyDescent="0.25">
      <c r="A1172" s="290"/>
      <c r="B1172" s="288"/>
      <c r="C1172" s="1061"/>
      <c r="D1172" s="291"/>
      <c r="E1172" s="1044"/>
    </row>
    <row r="1173" spans="1:5" x14ac:dyDescent="0.25">
      <c r="A1173" s="290"/>
      <c r="B1173" s="288"/>
      <c r="C1173" s="1061"/>
      <c r="D1173" s="291"/>
      <c r="E1173" s="1044"/>
    </row>
    <row r="1174" spans="1:5" x14ac:dyDescent="0.25">
      <c r="A1174" s="290"/>
      <c r="B1174" s="288"/>
      <c r="C1174" s="1061"/>
      <c r="D1174" s="291"/>
      <c r="E1174" s="1044"/>
    </row>
    <row r="1175" spans="1:5" x14ac:dyDescent="0.25">
      <c r="A1175" s="290"/>
      <c r="B1175" s="288"/>
      <c r="C1175" s="1061"/>
      <c r="D1175" s="291"/>
      <c r="E1175" s="1044"/>
    </row>
    <row r="1176" spans="1:5" x14ac:dyDescent="0.25">
      <c r="A1176" s="290"/>
      <c r="B1176" s="288"/>
      <c r="C1176" s="1061"/>
      <c r="D1176" s="291"/>
      <c r="E1176" s="1044"/>
    </row>
    <row r="1177" spans="1:5" x14ac:dyDescent="0.25">
      <c r="A1177" s="290"/>
      <c r="B1177" s="288"/>
      <c r="C1177" s="1061"/>
      <c r="D1177" s="291"/>
      <c r="E1177" s="1044"/>
    </row>
    <row r="1178" spans="1:5" x14ac:dyDescent="0.25">
      <c r="A1178" s="290"/>
      <c r="B1178" s="288"/>
      <c r="C1178" s="1061"/>
      <c r="D1178" s="291"/>
      <c r="E1178" s="1044"/>
    </row>
    <row r="1179" spans="1:5" x14ac:dyDescent="0.25">
      <c r="A1179" s="290"/>
      <c r="B1179" s="288"/>
      <c r="C1179" s="1061"/>
      <c r="D1179" s="291"/>
      <c r="E1179" s="1044"/>
    </row>
    <row r="1180" spans="1:5" x14ac:dyDescent="0.25">
      <c r="A1180" s="290"/>
      <c r="B1180" s="288"/>
      <c r="C1180" s="1061"/>
      <c r="D1180" s="291"/>
      <c r="E1180" s="1044"/>
    </row>
    <row r="1181" spans="1:5" x14ac:dyDescent="0.25">
      <c r="A1181" s="290"/>
      <c r="B1181" s="288"/>
      <c r="C1181" s="1061"/>
      <c r="D1181" s="291"/>
      <c r="E1181" s="1044"/>
    </row>
    <row r="1182" spans="1:5" x14ac:dyDescent="0.25">
      <c r="A1182" s="290"/>
      <c r="B1182" s="288"/>
      <c r="C1182" s="1061"/>
      <c r="D1182" s="291"/>
      <c r="E1182" s="1044"/>
    </row>
    <row r="1183" spans="1:5" x14ac:dyDescent="0.25">
      <c r="A1183" s="290"/>
      <c r="B1183" s="288"/>
      <c r="C1183" s="1061"/>
      <c r="D1183" s="291"/>
      <c r="E1183" s="1044"/>
    </row>
    <row r="1184" spans="1:5" x14ac:dyDescent="0.25">
      <c r="A1184" s="290"/>
      <c r="B1184" s="288"/>
      <c r="C1184" s="1061"/>
      <c r="D1184" s="291"/>
      <c r="E1184" s="1044"/>
    </row>
    <row r="1185" spans="1:5" x14ac:dyDescent="0.25">
      <c r="A1185" s="290"/>
      <c r="B1185" s="288"/>
      <c r="C1185" s="1061"/>
      <c r="D1185" s="291"/>
      <c r="E1185" s="1044"/>
    </row>
    <row r="1186" spans="1:5" x14ac:dyDescent="0.25">
      <c r="A1186" s="290"/>
      <c r="B1186" s="288"/>
      <c r="C1186" s="1061"/>
      <c r="D1186" s="291"/>
      <c r="E1186" s="1044"/>
    </row>
    <row r="1187" spans="1:5" x14ac:dyDescent="0.25">
      <c r="A1187" s="290"/>
      <c r="B1187" s="288"/>
      <c r="C1187" s="1061"/>
      <c r="D1187" s="291"/>
      <c r="E1187" s="1044"/>
    </row>
    <row r="1188" spans="1:5" x14ac:dyDescent="0.25">
      <c r="A1188" s="290"/>
      <c r="B1188" s="288"/>
      <c r="C1188" s="1061"/>
      <c r="D1188" s="291"/>
      <c r="E1188" s="1044"/>
    </row>
    <row r="1189" spans="1:5" x14ac:dyDescent="0.25">
      <c r="A1189" s="290"/>
      <c r="B1189" s="288"/>
      <c r="C1189" s="1061"/>
      <c r="D1189" s="291"/>
      <c r="E1189" s="1044"/>
    </row>
    <row r="1190" spans="1:5" x14ac:dyDescent="0.25">
      <c r="A1190" s="290"/>
      <c r="B1190" s="288"/>
      <c r="C1190" s="1061"/>
      <c r="D1190" s="291"/>
      <c r="E1190" s="1044"/>
    </row>
    <row r="1191" spans="1:5" x14ac:dyDescent="0.25">
      <c r="A1191" s="290"/>
      <c r="B1191" s="288"/>
      <c r="C1191" s="1061"/>
      <c r="D1191" s="291"/>
      <c r="E1191" s="1044"/>
    </row>
    <row r="1192" spans="1:5" x14ac:dyDescent="0.25">
      <c r="A1192" s="290"/>
      <c r="B1192" s="288"/>
      <c r="C1192" s="1061"/>
      <c r="D1192" s="291"/>
      <c r="E1192" s="1044"/>
    </row>
    <row r="1193" spans="1:5" x14ac:dyDescent="0.25">
      <c r="A1193" s="290"/>
      <c r="B1193" s="288"/>
      <c r="C1193" s="1061"/>
      <c r="D1193" s="291"/>
      <c r="E1193" s="1044"/>
    </row>
    <row r="1194" spans="1:5" x14ac:dyDescent="0.25">
      <c r="A1194" s="290"/>
      <c r="B1194" s="288"/>
      <c r="C1194" s="1061"/>
      <c r="D1194" s="291"/>
      <c r="E1194" s="1044"/>
    </row>
    <row r="1195" spans="1:5" x14ac:dyDescent="0.25">
      <c r="A1195" s="290"/>
      <c r="B1195" s="288"/>
      <c r="C1195" s="1061"/>
      <c r="D1195" s="291"/>
      <c r="E1195" s="1044"/>
    </row>
    <row r="1196" spans="1:5" x14ac:dyDescent="0.25">
      <c r="A1196" s="290"/>
      <c r="B1196" s="288"/>
      <c r="C1196" s="1061"/>
      <c r="D1196" s="291"/>
      <c r="E1196" s="1044"/>
    </row>
    <row r="1197" spans="1:5" x14ac:dyDescent="0.25">
      <c r="A1197" s="290"/>
      <c r="B1197" s="288"/>
      <c r="C1197" s="1061"/>
      <c r="D1197" s="291"/>
      <c r="E1197" s="1044"/>
    </row>
    <row r="1198" spans="1:5" x14ac:dyDescent="0.25">
      <c r="A1198" s="290"/>
      <c r="B1198" s="288"/>
      <c r="C1198" s="1061"/>
      <c r="D1198" s="291"/>
      <c r="E1198" s="1044"/>
    </row>
    <row r="1199" spans="1:5" x14ac:dyDescent="0.25">
      <c r="A1199" s="290"/>
      <c r="B1199" s="288"/>
      <c r="C1199" s="1061"/>
      <c r="D1199" s="291"/>
      <c r="E1199" s="1044"/>
    </row>
    <row r="1200" spans="1:5" x14ac:dyDescent="0.25">
      <c r="A1200" s="290"/>
      <c r="B1200" s="288"/>
      <c r="C1200" s="1061"/>
      <c r="D1200" s="291"/>
      <c r="E1200" s="1044"/>
    </row>
    <row r="1201" spans="1:5" x14ac:dyDescent="0.25">
      <c r="A1201" s="290"/>
      <c r="B1201" s="288"/>
      <c r="C1201" s="1061"/>
      <c r="D1201" s="291"/>
      <c r="E1201" s="1044"/>
    </row>
    <row r="1202" spans="1:5" x14ac:dyDescent="0.25">
      <c r="A1202" s="290"/>
      <c r="B1202" s="288"/>
      <c r="C1202" s="1061"/>
      <c r="D1202" s="291"/>
      <c r="E1202" s="1044"/>
    </row>
    <row r="1203" spans="1:5" x14ac:dyDescent="0.25">
      <c r="A1203" s="290"/>
      <c r="B1203" s="288"/>
      <c r="C1203" s="1061"/>
      <c r="D1203" s="291"/>
      <c r="E1203" s="1044"/>
    </row>
    <row r="1204" spans="1:5" x14ac:dyDescent="0.25">
      <c r="A1204" s="290"/>
      <c r="B1204" s="288"/>
      <c r="C1204" s="1061"/>
      <c r="D1204" s="291"/>
      <c r="E1204" s="1044"/>
    </row>
    <row r="1205" spans="1:5" x14ac:dyDescent="0.25">
      <c r="A1205" s="290"/>
      <c r="B1205" s="288"/>
      <c r="C1205" s="1061"/>
      <c r="D1205" s="291"/>
      <c r="E1205" s="1044"/>
    </row>
    <row r="1206" spans="1:5" x14ac:dyDescent="0.25">
      <c r="A1206" s="290"/>
      <c r="B1206" s="288"/>
      <c r="C1206" s="1061"/>
      <c r="D1206" s="291"/>
      <c r="E1206" s="1044"/>
    </row>
    <row r="1207" spans="1:5" x14ac:dyDescent="0.25">
      <c r="A1207" s="290"/>
      <c r="B1207" s="288"/>
      <c r="C1207" s="1061"/>
      <c r="D1207" s="291"/>
      <c r="E1207" s="1044"/>
    </row>
    <row r="1208" spans="1:5" x14ac:dyDescent="0.25">
      <c r="A1208" s="290"/>
      <c r="B1208" s="288"/>
      <c r="C1208" s="1061"/>
      <c r="D1208" s="291"/>
      <c r="E1208" s="1044"/>
    </row>
    <row r="1209" spans="1:5" x14ac:dyDescent="0.25">
      <c r="A1209" s="290"/>
      <c r="B1209" s="288"/>
      <c r="C1209" s="1061"/>
      <c r="D1209" s="291"/>
      <c r="E1209" s="1044"/>
    </row>
    <row r="1210" spans="1:5" x14ac:dyDescent="0.25">
      <c r="A1210" s="290"/>
      <c r="B1210" s="288"/>
      <c r="C1210" s="1061"/>
      <c r="D1210" s="291"/>
      <c r="E1210" s="1044"/>
    </row>
    <row r="1211" spans="1:5" x14ac:dyDescent="0.25">
      <c r="A1211" s="290"/>
      <c r="B1211" s="288"/>
      <c r="C1211" s="1061"/>
      <c r="D1211" s="291"/>
      <c r="E1211" s="1044"/>
    </row>
    <row r="1212" spans="1:5" x14ac:dyDescent="0.25">
      <c r="A1212" s="290"/>
      <c r="B1212" s="288"/>
      <c r="C1212" s="1061"/>
      <c r="D1212" s="291"/>
      <c r="E1212" s="1044"/>
    </row>
    <row r="1213" spans="1:5" x14ac:dyDescent="0.25">
      <c r="A1213" s="290"/>
      <c r="B1213" s="288"/>
      <c r="C1213" s="1061"/>
      <c r="D1213" s="291"/>
      <c r="E1213" s="1044"/>
    </row>
    <row r="1214" spans="1:5" x14ac:dyDescent="0.25">
      <c r="A1214" s="290"/>
      <c r="B1214" s="288"/>
      <c r="C1214" s="1061"/>
      <c r="D1214" s="291"/>
      <c r="E1214" s="1044"/>
    </row>
    <row r="1215" spans="1:5" x14ac:dyDescent="0.25">
      <c r="A1215" s="290"/>
      <c r="B1215" s="288"/>
      <c r="C1215" s="1061"/>
      <c r="D1215" s="291"/>
      <c r="E1215" s="1044"/>
    </row>
    <row r="1216" spans="1:5" x14ac:dyDescent="0.25">
      <c r="A1216" s="290"/>
      <c r="B1216" s="288"/>
      <c r="C1216" s="1061"/>
      <c r="D1216" s="291"/>
      <c r="E1216" s="1044"/>
    </row>
    <row r="1217" spans="1:5" x14ac:dyDescent="0.25">
      <c r="A1217" s="290"/>
      <c r="B1217" s="288"/>
      <c r="C1217" s="1061"/>
      <c r="D1217" s="291"/>
      <c r="E1217" s="1044"/>
    </row>
    <row r="1218" spans="1:5" x14ac:dyDescent="0.25">
      <c r="A1218" s="290"/>
      <c r="B1218" s="288"/>
      <c r="C1218" s="1061"/>
      <c r="D1218" s="291"/>
      <c r="E1218" s="1044"/>
    </row>
    <row r="1219" spans="1:5" x14ac:dyDescent="0.25">
      <c r="A1219" s="290"/>
      <c r="B1219" s="288"/>
      <c r="C1219" s="1061"/>
      <c r="D1219" s="291"/>
      <c r="E1219" s="1044"/>
    </row>
    <row r="1220" spans="1:5" x14ac:dyDescent="0.25">
      <c r="A1220" s="290"/>
      <c r="B1220" s="288"/>
      <c r="C1220" s="1061"/>
      <c r="D1220" s="291"/>
      <c r="E1220" s="1044"/>
    </row>
    <row r="1221" spans="1:5" x14ac:dyDescent="0.25">
      <c r="A1221" s="290"/>
      <c r="B1221" s="288"/>
      <c r="C1221" s="1061"/>
      <c r="D1221" s="291"/>
      <c r="E1221" s="1044"/>
    </row>
    <row r="1222" spans="1:5" x14ac:dyDescent="0.25">
      <c r="A1222" s="290"/>
      <c r="B1222" s="288"/>
      <c r="C1222" s="1061"/>
      <c r="D1222" s="291"/>
      <c r="E1222" s="1044"/>
    </row>
    <row r="1223" spans="1:5" x14ac:dyDescent="0.25">
      <c r="A1223" s="290"/>
      <c r="B1223" s="288"/>
      <c r="C1223" s="1061"/>
      <c r="D1223" s="291"/>
      <c r="E1223" s="1044"/>
    </row>
    <row r="1224" spans="1:5" x14ac:dyDescent="0.25">
      <c r="A1224" s="290"/>
      <c r="B1224" s="288"/>
      <c r="C1224" s="1061"/>
      <c r="D1224" s="291"/>
      <c r="E1224" s="1044"/>
    </row>
    <row r="1225" spans="1:5" x14ac:dyDescent="0.25">
      <c r="A1225" s="290"/>
      <c r="B1225" s="288"/>
      <c r="C1225" s="1061"/>
      <c r="D1225" s="291"/>
      <c r="E1225" s="1044"/>
    </row>
    <row r="1226" spans="1:5" x14ac:dyDescent="0.25">
      <c r="A1226" s="290"/>
      <c r="B1226" s="288"/>
      <c r="C1226" s="1061"/>
      <c r="D1226" s="291"/>
      <c r="E1226" s="1044"/>
    </row>
    <row r="1227" spans="1:5" x14ac:dyDescent="0.25">
      <c r="A1227" s="290"/>
      <c r="B1227" s="288"/>
      <c r="C1227" s="1061"/>
      <c r="D1227" s="291"/>
      <c r="E1227" s="1044"/>
    </row>
    <row r="1228" spans="1:5" x14ac:dyDescent="0.25">
      <c r="A1228" s="290"/>
      <c r="B1228" s="288"/>
      <c r="C1228" s="1061"/>
      <c r="D1228" s="291"/>
      <c r="E1228" s="1044"/>
    </row>
    <row r="1229" spans="1:5" x14ac:dyDescent="0.25">
      <c r="A1229" s="290"/>
      <c r="B1229" s="288"/>
      <c r="C1229" s="1061"/>
      <c r="D1229" s="291"/>
      <c r="E1229" s="1044"/>
    </row>
    <row r="1230" spans="1:5" x14ac:dyDescent="0.25">
      <c r="A1230" s="290"/>
      <c r="B1230" s="288"/>
      <c r="C1230" s="1061"/>
      <c r="D1230" s="291"/>
      <c r="E1230" s="1044"/>
    </row>
    <row r="1231" spans="1:5" x14ac:dyDescent="0.25">
      <c r="A1231" s="290"/>
      <c r="B1231" s="288"/>
      <c r="C1231" s="1061"/>
      <c r="D1231" s="291"/>
      <c r="E1231" s="1044"/>
    </row>
    <row r="1232" spans="1:5" x14ac:dyDescent="0.25">
      <c r="A1232" s="290"/>
      <c r="B1232" s="288"/>
      <c r="C1232" s="1061"/>
      <c r="D1232" s="291"/>
      <c r="E1232" s="1044"/>
    </row>
    <row r="1233" spans="1:5" x14ac:dyDescent="0.25">
      <c r="A1233" s="290"/>
      <c r="B1233" s="288"/>
      <c r="C1233" s="1061"/>
      <c r="D1233" s="291"/>
      <c r="E1233" s="1044"/>
    </row>
    <row r="1234" spans="1:5" x14ac:dyDescent="0.25">
      <c r="A1234" s="290"/>
      <c r="B1234" s="288"/>
      <c r="C1234" s="1061"/>
      <c r="D1234" s="291"/>
      <c r="E1234" s="1044"/>
    </row>
    <row r="1235" spans="1:5" x14ac:dyDescent="0.25">
      <c r="A1235" s="290"/>
      <c r="B1235" s="288"/>
      <c r="C1235" s="1061"/>
      <c r="D1235" s="291"/>
      <c r="E1235" s="1044"/>
    </row>
    <row r="1236" spans="1:5" x14ac:dyDescent="0.25">
      <c r="A1236" s="290"/>
      <c r="B1236" s="288"/>
      <c r="C1236" s="1061"/>
      <c r="D1236" s="291"/>
      <c r="E1236" s="1044"/>
    </row>
    <row r="1237" spans="1:5" x14ac:dyDescent="0.25">
      <c r="A1237" s="290"/>
      <c r="B1237" s="288"/>
      <c r="C1237" s="1061"/>
      <c r="D1237" s="291"/>
      <c r="E1237" s="1044"/>
    </row>
    <row r="1238" spans="1:5" x14ac:dyDescent="0.25">
      <c r="A1238" s="290"/>
      <c r="B1238" s="288"/>
      <c r="C1238" s="1061"/>
      <c r="D1238" s="291"/>
      <c r="E1238" s="1044"/>
    </row>
    <row r="1239" spans="1:5" x14ac:dyDescent="0.25">
      <c r="A1239" s="290"/>
      <c r="B1239" s="288"/>
      <c r="C1239" s="1061"/>
      <c r="D1239" s="291"/>
      <c r="E1239" s="1044"/>
    </row>
    <row r="1240" spans="1:5" x14ac:dyDescent="0.25">
      <c r="A1240" s="290"/>
      <c r="B1240" s="288"/>
      <c r="C1240" s="1061"/>
      <c r="D1240" s="291"/>
      <c r="E1240" s="1044"/>
    </row>
    <row r="1241" spans="1:5" x14ac:dyDescent="0.25">
      <c r="A1241" s="290"/>
      <c r="B1241" s="288"/>
      <c r="C1241" s="1061"/>
      <c r="D1241" s="291"/>
      <c r="E1241" s="1044"/>
    </row>
    <row r="1242" spans="1:5" x14ac:dyDescent="0.25">
      <c r="A1242" s="290"/>
      <c r="B1242" s="288"/>
      <c r="C1242" s="1061"/>
      <c r="D1242" s="291"/>
      <c r="E1242" s="1044"/>
    </row>
    <row r="1243" spans="1:5" x14ac:dyDescent="0.25">
      <c r="A1243" s="290"/>
      <c r="B1243" s="288"/>
      <c r="C1243" s="1061"/>
      <c r="D1243" s="291"/>
      <c r="E1243" s="1044"/>
    </row>
    <row r="1244" spans="1:5" x14ac:dyDescent="0.25">
      <c r="A1244" s="290"/>
      <c r="B1244" s="288"/>
      <c r="C1244" s="1061"/>
      <c r="D1244" s="291"/>
      <c r="E1244" s="1044"/>
    </row>
    <row r="1245" spans="1:5" x14ac:dyDescent="0.25">
      <c r="A1245" s="290"/>
      <c r="B1245" s="288"/>
      <c r="C1245" s="1061"/>
      <c r="D1245" s="291"/>
      <c r="E1245" s="1044"/>
    </row>
    <row r="1246" spans="1:5" x14ac:dyDescent="0.25">
      <c r="A1246" s="290"/>
      <c r="B1246" s="288"/>
      <c r="C1246" s="1061"/>
      <c r="D1246" s="291"/>
      <c r="E1246" s="1044"/>
    </row>
    <row r="1247" spans="1:5" x14ac:dyDescent="0.25">
      <c r="A1247" s="290"/>
      <c r="B1247" s="288"/>
      <c r="C1247" s="1061"/>
      <c r="D1247" s="291"/>
      <c r="E1247" s="1044"/>
    </row>
    <row r="1248" spans="1:5" x14ac:dyDescent="0.25">
      <c r="A1248" s="290"/>
      <c r="B1248" s="288"/>
      <c r="C1248" s="1061"/>
      <c r="D1248" s="291"/>
      <c r="E1248" s="1044"/>
    </row>
    <row r="1249" spans="1:5" x14ac:dyDescent="0.25">
      <c r="A1249" s="290"/>
      <c r="B1249" s="288"/>
      <c r="C1249" s="1061"/>
      <c r="D1249" s="291"/>
      <c r="E1249" s="1044"/>
    </row>
    <row r="1250" spans="1:5" x14ac:dyDescent="0.25">
      <c r="A1250" s="290"/>
      <c r="B1250" s="288"/>
      <c r="C1250" s="1061"/>
      <c r="D1250" s="291"/>
      <c r="E1250" s="1044"/>
    </row>
    <row r="1251" spans="1:5" x14ac:dyDescent="0.25">
      <c r="A1251" s="290"/>
      <c r="B1251" s="288"/>
      <c r="C1251" s="1061"/>
      <c r="D1251" s="291"/>
      <c r="E1251" s="1044"/>
    </row>
    <row r="1252" spans="1:5" x14ac:dyDescent="0.25">
      <c r="A1252" s="290"/>
      <c r="B1252" s="288"/>
      <c r="C1252" s="1061"/>
      <c r="D1252" s="291"/>
      <c r="E1252" s="1044"/>
    </row>
    <row r="1253" spans="1:5" x14ac:dyDescent="0.25">
      <c r="A1253" s="290"/>
      <c r="B1253" s="288"/>
      <c r="C1253" s="1061"/>
      <c r="D1253" s="291"/>
      <c r="E1253" s="1044"/>
    </row>
    <row r="1254" spans="1:5" x14ac:dyDescent="0.25">
      <c r="A1254" s="290"/>
      <c r="B1254" s="288"/>
      <c r="C1254" s="1061"/>
      <c r="D1254" s="291"/>
      <c r="E1254" s="1044"/>
    </row>
    <row r="1255" spans="1:5" x14ac:dyDescent="0.25">
      <c r="A1255" s="290"/>
      <c r="B1255" s="288"/>
      <c r="C1255" s="1061"/>
      <c r="D1255" s="291"/>
      <c r="E1255" s="1044"/>
    </row>
    <row r="1256" spans="1:5" x14ac:dyDescent="0.25">
      <c r="A1256" s="290"/>
      <c r="B1256" s="288"/>
      <c r="C1256" s="1061"/>
      <c r="D1256" s="291"/>
      <c r="E1256" s="1044"/>
    </row>
    <row r="1257" spans="1:5" x14ac:dyDescent="0.25">
      <c r="A1257" s="290"/>
      <c r="B1257" s="288"/>
      <c r="C1257" s="1061"/>
      <c r="D1257" s="291"/>
      <c r="E1257" s="1044"/>
    </row>
    <row r="1258" spans="1:5" x14ac:dyDescent="0.25">
      <c r="A1258" s="290"/>
      <c r="B1258" s="288"/>
      <c r="C1258" s="1061"/>
      <c r="D1258" s="291"/>
      <c r="E1258" s="1044"/>
    </row>
    <row r="1259" spans="1:5" x14ac:dyDescent="0.25">
      <c r="A1259" s="290"/>
      <c r="B1259" s="288"/>
      <c r="C1259" s="1061"/>
      <c r="D1259" s="291"/>
      <c r="E1259" s="1044"/>
    </row>
    <row r="1260" spans="1:5" x14ac:dyDescent="0.25">
      <c r="A1260" s="290"/>
      <c r="B1260" s="288"/>
      <c r="C1260" s="1061"/>
      <c r="D1260" s="291"/>
      <c r="E1260" s="1044"/>
    </row>
    <row r="1261" spans="1:5" x14ac:dyDescent="0.25">
      <c r="A1261" s="290"/>
      <c r="B1261" s="288"/>
      <c r="C1261" s="1061"/>
      <c r="D1261" s="291"/>
      <c r="E1261" s="1044"/>
    </row>
    <row r="1262" spans="1:5" x14ac:dyDescent="0.25">
      <c r="A1262" s="290"/>
      <c r="B1262" s="288"/>
      <c r="C1262" s="1061"/>
      <c r="D1262" s="291"/>
      <c r="E1262" s="1044"/>
    </row>
    <row r="1263" spans="1:5" x14ac:dyDescent="0.25">
      <c r="A1263" s="290"/>
      <c r="B1263" s="288"/>
      <c r="C1263" s="1061"/>
      <c r="D1263" s="291"/>
      <c r="E1263" s="1044"/>
    </row>
    <row r="1264" spans="1:5" x14ac:dyDescent="0.25">
      <c r="A1264" s="290"/>
      <c r="B1264" s="288"/>
      <c r="C1264" s="1061"/>
      <c r="D1264" s="291"/>
      <c r="E1264" s="1044"/>
    </row>
    <row r="1265" spans="1:5" x14ac:dyDescent="0.25">
      <c r="A1265" s="290"/>
      <c r="B1265" s="288"/>
      <c r="C1265" s="1061"/>
      <c r="D1265" s="291"/>
      <c r="E1265" s="1044"/>
    </row>
    <row r="1266" spans="1:5" x14ac:dyDescent="0.25">
      <c r="A1266" s="290"/>
      <c r="B1266" s="288"/>
      <c r="C1266" s="1061"/>
      <c r="D1266" s="291"/>
      <c r="E1266" s="1044"/>
    </row>
    <row r="1267" spans="1:5" x14ac:dyDescent="0.25">
      <c r="A1267" s="290"/>
      <c r="B1267" s="288"/>
      <c r="C1267" s="1061"/>
      <c r="D1267" s="291"/>
      <c r="E1267" s="1044"/>
    </row>
    <row r="1268" spans="1:5" x14ac:dyDescent="0.25">
      <c r="A1268" s="290"/>
      <c r="B1268" s="288"/>
      <c r="C1268" s="1061"/>
      <c r="D1268" s="291"/>
      <c r="E1268" s="1044"/>
    </row>
    <row r="1269" spans="1:5" x14ac:dyDescent="0.25">
      <c r="A1269" s="290"/>
      <c r="B1269" s="288"/>
      <c r="C1269" s="1061"/>
      <c r="D1269" s="291"/>
      <c r="E1269" s="1044"/>
    </row>
    <row r="1270" spans="1:5" x14ac:dyDescent="0.25">
      <c r="A1270" s="290"/>
      <c r="B1270" s="288"/>
      <c r="C1270" s="1061"/>
      <c r="D1270" s="291"/>
      <c r="E1270" s="1044"/>
    </row>
    <row r="1271" spans="1:5" x14ac:dyDescent="0.25">
      <c r="A1271" s="290"/>
      <c r="B1271" s="288"/>
      <c r="C1271" s="1061"/>
      <c r="D1271" s="291"/>
      <c r="E1271" s="1044"/>
    </row>
    <row r="1272" spans="1:5" x14ac:dyDescent="0.25">
      <c r="A1272" s="290"/>
      <c r="B1272" s="288"/>
      <c r="C1272" s="1061"/>
      <c r="D1272" s="291"/>
      <c r="E1272" s="1044"/>
    </row>
    <row r="1273" spans="1:5" x14ac:dyDescent="0.25">
      <c r="A1273" s="290"/>
      <c r="B1273" s="288"/>
      <c r="C1273" s="1061"/>
      <c r="D1273" s="291"/>
      <c r="E1273" s="1044"/>
    </row>
    <row r="1274" spans="1:5" x14ac:dyDescent="0.25">
      <c r="A1274" s="290"/>
      <c r="B1274" s="288"/>
      <c r="C1274" s="1061"/>
      <c r="D1274" s="291"/>
      <c r="E1274" s="1044"/>
    </row>
    <row r="1275" spans="1:5" x14ac:dyDescent="0.25">
      <c r="A1275" s="290"/>
      <c r="B1275" s="288"/>
      <c r="C1275" s="1061"/>
      <c r="D1275" s="291"/>
      <c r="E1275" s="1044"/>
    </row>
    <row r="1276" spans="1:5" x14ac:dyDescent="0.25">
      <c r="A1276" s="290"/>
      <c r="B1276" s="288"/>
      <c r="C1276" s="1061"/>
      <c r="D1276" s="291"/>
      <c r="E1276" s="1044"/>
    </row>
    <row r="1277" spans="1:5" x14ac:dyDescent="0.25">
      <c r="A1277" s="290"/>
      <c r="B1277" s="288"/>
      <c r="C1277" s="1061"/>
      <c r="D1277" s="291"/>
      <c r="E1277" s="1044"/>
    </row>
    <row r="1278" spans="1:5" x14ac:dyDescent="0.25">
      <c r="A1278" s="290"/>
      <c r="B1278" s="288"/>
      <c r="C1278" s="1061"/>
      <c r="D1278" s="291"/>
      <c r="E1278" s="1044"/>
    </row>
    <row r="1279" spans="1:5" x14ac:dyDescent="0.25">
      <c r="A1279" s="290"/>
      <c r="B1279" s="288"/>
      <c r="C1279" s="1061"/>
      <c r="D1279" s="291"/>
      <c r="E1279" s="1044"/>
    </row>
    <row r="1280" spans="1:5" x14ac:dyDescent="0.25">
      <c r="A1280" s="290"/>
      <c r="B1280" s="288"/>
      <c r="C1280" s="1061"/>
      <c r="D1280" s="291"/>
      <c r="E1280" s="1044"/>
    </row>
    <row r="1281" spans="1:5" x14ac:dyDescent="0.25">
      <c r="A1281" s="290"/>
      <c r="B1281" s="288"/>
      <c r="C1281" s="1061"/>
      <c r="D1281" s="291"/>
      <c r="E1281" s="1044"/>
    </row>
    <row r="1282" spans="1:5" x14ac:dyDescent="0.25">
      <c r="A1282" s="290"/>
      <c r="B1282" s="288"/>
      <c r="C1282" s="1061"/>
      <c r="D1282" s="291"/>
      <c r="E1282" s="1044"/>
    </row>
    <row r="1283" spans="1:5" x14ac:dyDescent="0.25">
      <c r="A1283" s="290"/>
      <c r="B1283" s="288"/>
      <c r="C1283" s="1061"/>
      <c r="D1283" s="291"/>
      <c r="E1283" s="1044"/>
    </row>
    <row r="1284" spans="1:5" x14ac:dyDescent="0.25">
      <c r="A1284" s="290"/>
      <c r="B1284" s="288"/>
      <c r="C1284" s="1061"/>
      <c r="D1284" s="291"/>
      <c r="E1284" s="1044"/>
    </row>
    <row r="1285" spans="1:5" x14ac:dyDescent="0.25">
      <c r="A1285" s="290"/>
      <c r="B1285" s="288"/>
      <c r="C1285" s="1061"/>
      <c r="D1285" s="291"/>
      <c r="E1285" s="1044"/>
    </row>
    <row r="1286" spans="1:5" x14ac:dyDescent="0.25">
      <c r="A1286" s="290"/>
      <c r="B1286" s="288"/>
      <c r="C1286" s="1061"/>
      <c r="D1286" s="291"/>
      <c r="E1286" s="1044"/>
    </row>
    <row r="1287" spans="1:5" x14ac:dyDescent="0.25">
      <c r="A1287" s="290"/>
      <c r="B1287" s="288"/>
      <c r="C1287" s="1061"/>
      <c r="D1287" s="291"/>
      <c r="E1287" s="1044"/>
    </row>
    <row r="1288" spans="1:5" x14ac:dyDescent="0.25">
      <c r="A1288" s="290"/>
      <c r="B1288" s="288"/>
      <c r="C1288" s="1061"/>
      <c r="D1288" s="291"/>
      <c r="E1288" s="1044"/>
    </row>
    <row r="1289" spans="1:5" x14ac:dyDescent="0.25">
      <c r="A1289" s="290"/>
      <c r="B1289" s="288"/>
      <c r="C1289" s="1061"/>
      <c r="D1289" s="291"/>
      <c r="E1289" s="1044"/>
    </row>
    <row r="1290" spans="1:5" x14ac:dyDescent="0.25">
      <c r="A1290" s="290"/>
      <c r="B1290" s="288"/>
      <c r="C1290" s="1061"/>
      <c r="D1290" s="291"/>
      <c r="E1290" s="1044"/>
    </row>
    <row r="1291" spans="1:5" x14ac:dyDescent="0.25">
      <c r="A1291" s="290"/>
      <c r="B1291" s="288"/>
      <c r="C1291" s="1061"/>
      <c r="D1291" s="291"/>
      <c r="E1291" s="1044"/>
    </row>
    <row r="1292" spans="1:5" x14ac:dyDescent="0.25">
      <c r="A1292" s="290"/>
      <c r="B1292" s="288"/>
      <c r="C1292" s="1061"/>
      <c r="D1292" s="291"/>
      <c r="E1292" s="1044"/>
    </row>
    <row r="1293" spans="1:5" x14ac:dyDescent="0.25">
      <c r="A1293" s="290"/>
      <c r="B1293" s="288"/>
      <c r="C1293" s="1061"/>
      <c r="D1293" s="291"/>
      <c r="E1293" s="1044"/>
    </row>
    <row r="1294" spans="1:5" x14ac:dyDescent="0.25">
      <c r="A1294" s="290"/>
      <c r="B1294" s="288"/>
      <c r="C1294" s="1061"/>
      <c r="D1294" s="291"/>
      <c r="E1294" s="1044"/>
    </row>
    <row r="1295" spans="1:5" x14ac:dyDescent="0.25">
      <c r="A1295" s="290"/>
      <c r="B1295" s="288"/>
      <c r="C1295" s="1061"/>
      <c r="D1295" s="291"/>
      <c r="E1295" s="1044"/>
    </row>
    <row r="1296" spans="1:5" x14ac:dyDescent="0.25">
      <c r="A1296" s="290"/>
      <c r="B1296" s="288"/>
      <c r="C1296" s="1061"/>
      <c r="D1296" s="291"/>
      <c r="E1296" s="1044"/>
    </row>
    <row r="1297" spans="1:5" x14ac:dyDescent="0.25">
      <c r="A1297" s="290"/>
      <c r="B1297" s="288"/>
      <c r="C1297" s="1061"/>
      <c r="D1297" s="291"/>
      <c r="E1297" s="1044"/>
    </row>
    <row r="1298" spans="1:5" x14ac:dyDescent="0.25">
      <c r="A1298" s="290"/>
      <c r="B1298" s="288"/>
      <c r="C1298" s="1061"/>
      <c r="D1298" s="291"/>
      <c r="E1298" s="1044"/>
    </row>
    <row r="1299" spans="1:5" x14ac:dyDescent="0.25">
      <c r="A1299" s="290"/>
      <c r="B1299" s="288"/>
      <c r="C1299" s="1061"/>
      <c r="D1299" s="291"/>
      <c r="E1299" s="1044"/>
    </row>
    <row r="1300" spans="1:5" x14ac:dyDescent="0.25">
      <c r="A1300" s="290"/>
      <c r="B1300" s="288"/>
      <c r="C1300" s="1061"/>
      <c r="D1300" s="291"/>
      <c r="E1300" s="1044"/>
    </row>
    <row r="1301" spans="1:5" x14ac:dyDescent="0.25">
      <c r="A1301" s="290"/>
      <c r="B1301" s="288"/>
      <c r="C1301" s="1061"/>
      <c r="D1301" s="291"/>
      <c r="E1301" s="1044"/>
    </row>
    <row r="1302" spans="1:5" x14ac:dyDescent="0.25">
      <c r="A1302" s="290"/>
      <c r="B1302" s="288"/>
      <c r="C1302" s="1061"/>
      <c r="D1302" s="291"/>
      <c r="E1302" s="1044"/>
    </row>
    <row r="1303" spans="1:5" x14ac:dyDescent="0.25">
      <c r="A1303" s="290"/>
      <c r="B1303" s="288"/>
      <c r="C1303" s="1061"/>
      <c r="D1303" s="291"/>
      <c r="E1303" s="1044"/>
    </row>
    <row r="1304" spans="1:5" x14ac:dyDescent="0.25">
      <c r="A1304" s="290"/>
      <c r="B1304" s="288"/>
      <c r="C1304" s="1061"/>
      <c r="D1304" s="291"/>
      <c r="E1304" s="1044"/>
    </row>
    <row r="1305" spans="1:5" x14ac:dyDescent="0.25">
      <c r="A1305" s="290"/>
      <c r="B1305" s="288"/>
      <c r="C1305" s="1061"/>
      <c r="D1305" s="291"/>
      <c r="E1305" s="1044"/>
    </row>
    <row r="1306" spans="1:5" x14ac:dyDescent="0.25">
      <c r="A1306" s="290"/>
      <c r="B1306" s="288"/>
      <c r="C1306" s="1061"/>
      <c r="D1306" s="291"/>
      <c r="E1306" s="1044"/>
    </row>
    <row r="1307" spans="1:5" x14ac:dyDescent="0.25">
      <c r="A1307" s="290"/>
      <c r="B1307" s="288"/>
      <c r="C1307" s="1061"/>
      <c r="D1307" s="291"/>
      <c r="E1307" s="1044"/>
    </row>
    <row r="1308" spans="1:5" x14ac:dyDescent="0.25">
      <c r="A1308" s="290"/>
      <c r="B1308" s="288"/>
      <c r="C1308" s="1061"/>
      <c r="D1308" s="291"/>
      <c r="E1308" s="1044"/>
    </row>
    <row r="1309" spans="1:5" x14ac:dyDescent="0.25">
      <c r="A1309" s="290"/>
      <c r="B1309" s="288"/>
      <c r="C1309" s="1061"/>
      <c r="D1309" s="291"/>
      <c r="E1309" s="1044"/>
    </row>
    <row r="1310" spans="1:5" x14ac:dyDescent="0.25">
      <c r="A1310" s="290"/>
      <c r="B1310" s="288"/>
      <c r="C1310" s="1061"/>
      <c r="D1310" s="291"/>
      <c r="E1310" s="1044"/>
    </row>
    <row r="1311" spans="1:5" x14ac:dyDescent="0.25">
      <c r="A1311" s="290"/>
      <c r="B1311" s="288"/>
      <c r="C1311" s="1061"/>
      <c r="D1311" s="291"/>
      <c r="E1311" s="1044"/>
    </row>
    <row r="1312" spans="1:5" x14ac:dyDescent="0.25">
      <c r="A1312" s="290"/>
      <c r="B1312" s="288"/>
      <c r="C1312" s="1061"/>
      <c r="D1312" s="291"/>
      <c r="E1312" s="1044"/>
    </row>
    <row r="1313" spans="1:5" x14ac:dyDescent="0.25">
      <c r="A1313" s="290"/>
      <c r="B1313" s="288"/>
      <c r="C1313" s="1061"/>
      <c r="D1313" s="291"/>
      <c r="E1313" s="1044"/>
    </row>
    <row r="1314" spans="1:5" x14ac:dyDescent="0.25">
      <c r="A1314" s="290"/>
      <c r="B1314" s="288"/>
      <c r="C1314" s="1061"/>
      <c r="D1314" s="291"/>
      <c r="E1314" s="1044"/>
    </row>
    <row r="1315" spans="1:5" x14ac:dyDescent="0.25">
      <c r="A1315" s="290"/>
      <c r="B1315" s="288"/>
      <c r="C1315" s="1061"/>
      <c r="D1315" s="291"/>
      <c r="E1315" s="1044"/>
    </row>
    <row r="1316" spans="1:5" x14ac:dyDescent="0.25">
      <c r="A1316" s="290"/>
      <c r="B1316" s="288"/>
      <c r="C1316" s="1061"/>
      <c r="D1316" s="291"/>
      <c r="E1316" s="1044"/>
    </row>
    <row r="1317" spans="1:5" x14ac:dyDescent="0.25">
      <c r="A1317" s="290"/>
      <c r="B1317" s="288"/>
      <c r="C1317" s="1061"/>
      <c r="D1317" s="291"/>
      <c r="E1317" s="1044"/>
    </row>
    <row r="1318" spans="1:5" x14ac:dyDescent="0.25">
      <c r="A1318" s="290"/>
      <c r="B1318" s="288"/>
      <c r="C1318" s="1061"/>
      <c r="D1318" s="291"/>
      <c r="E1318" s="1044"/>
    </row>
    <row r="1319" spans="1:5" x14ac:dyDescent="0.25">
      <c r="A1319" s="290"/>
      <c r="B1319" s="288"/>
      <c r="C1319" s="1061"/>
      <c r="D1319" s="291"/>
      <c r="E1319" s="1044"/>
    </row>
    <row r="1320" spans="1:5" x14ac:dyDescent="0.25">
      <c r="A1320" s="290"/>
      <c r="B1320" s="288"/>
      <c r="C1320" s="1061"/>
      <c r="D1320" s="291"/>
      <c r="E1320" s="1044"/>
    </row>
    <row r="1321" spans="1:5" x14ac:dyDescent="0.25">
      <c r="A1321" s="290"/>
      <c r="B1321" s="288"/>
      <c r="C1321" s="1061"/>
      <c r="D1321" s="291"/>
      <c r="E1321" s="1044"/>
    </row>
    <row r="1322" spans="1:5" x14ac:dyDescent="0.25">
      <c r="A1322" s="290"/>
      <c r="B1322" s="288"/>
      <c r="C1322" s="1061"/>
      <c r="D1322" s="291"/>
      <c r="E1322" s="1044"/>
    </row>
    <row r="1323" spans="1:5" x14ac:dyDescent="0.25">
      <c r="A1323" s="290"/>
      <c r="B1323" s="288"/>
      <c r="C1323" s="1061"/>
      <c r="D1323" s="291"/>
      <c r="E1323" s="1044"/>
    </row>
    <row r="1324" spans="1:5" x14ac:dyDescent="0.25">
      <c r="A1324" s="290"/>
      <c r="B1324" s="288"/>
      <c r="C1324" s="1061"/>
      <c r="D1324" s="291"/>
      <c r="E1324" s="1044"/>
    </row>
    <row r="1325" spans="1:5" x14ac:dyDescent="0.25">
      <c r="A1325" s="290"/>
      <c r="B1325" s="288"/>
      <c r="C1325" s="1061"/>
      <c r="D1325" s="291"/>
      <c r="E1325" s="1044"/>
    </row>
    <row r="1326" spans="1:5" x14ac:dyDescent="0.25">
      <c r="A1326" s="290"/>
      <c r="B1326" s="288"/>
      <c r="C1326" s="1061"/>
      <c r="D1326" s="291"/>
      <c r="E1326" s="1044"/>
    </row>
    <row r="1327" spans="1:5" x14ac:dyDescent="0.25">
      <c r="A1327" s="290"/>
      <c r="B1327" s="288"/>
      <c r="C1327" s="1061"/>
      <c r="D1327" s="291"/>
      <c r="E1327" s="1044"/>
    </row>
    <row r="1328" spans="1:5" x14ac:dyDescent="0.25">
      <c r="A1328" s="290"/>
      <c r="B1328" s="288"/>
      <c r="C1328" s="1061"/>
      <c r="D1328" s="291"/>
      <c r="E1328" s="1044"/>
    </row>
    <row r="1329" spans="1:5" x14ac:dyDescent="0.25">
      <c r="A1329" s="290"/>
      <c r="B1329" s="288"/>
      <c r="C1329" s="1061"/>
      <c r="D1329" s="291"/>
      <c r="E1329" s="1044"/>
    </row>
    <row r="1330" spans="1:5" x14ac:dyDescent="0.25">
      <c r="A1330" s="290"/>
      <c r="B1330" s="288"/>
      <c r="C1330" s="1061"/>
      <c r="D1330" s="291"/>
      <c r="E1330" s="1044"/>
    </row>
    <row r="1331" spans="1:5" x14ac:dyDescent="0.25">
      <c r="A1331" s="290"/>
      <c r="B1331" s="288"/>
      <c r="C1331" s="1061"/>
      <c r="D1331" s="291"/>
      <c r="E1331" s="1044"/>
    </row>
    <row r="1332" spans="1:5" x14ac:dyDescent="0.25">
      <c r="A1332" s="290"/>
      <c r="B1332" s="288"/>
      <c r="C1332" s="1061"/>
      <c r="D1332" s="291"/>
      <c r="E1332" s="1044"/>
    </row>
    <row r="1333" spans="1:5" x14ac:dyDescent="0.25">
      <c r="A1333" s="290"/>
      <c r="B1333" s="288"/>
      <c r="C1333" s="1061"/>
      <c r="D1333" s="291"/>
      <c r="E1333" s="1044"/>
    </row>
    <row r="1334" spans="1:5" x14ac:dyDescent="0.25">
      <c r="A1334" s="290"/>
      <c r="B1334" s="288"/>
      <c r="C1334" s="1061"/>
      <c r="D1334" s="291"/>
      <c r="E1334" s="1044"/>
    </row>
    <row r="1335" spans="1:5" x14ac:dyDescent="0.25">
      <c r="A1335" s="290"/>
      <c r="B1335" s="288"/>
      <c r="C1335" s="1061"/>
      <c r="D1335" s="291"/>
      <c r="E1335" s="1044"/>
    </row>
    <row r="1336" spans="1:5" x14ac:dyDescent="0.25">
      <c r="A1336" s="290"/>
      <c r="B1336" s="288"/>
      <c r="C1336" s="1061"/>
      <c r="D1336" s="291"/>
      <c r="E1336" s="1044"/>
    </row>
    <row r="1337" spans="1:5" x14ac:dyDescent="0.25">
      <c r="A1337" s="290"/>
      <c r="B1337" s="288"/>
      <c r="C1337" s="1061"/>
      <c r="D1337" s="291"/>
      <c r="E1337" s="1044"/>
    </row>
    <row r="1338" spans="1:5" x14ac:dyDescent="0.25">
      <c r="A1338" s="290"/>
      <c r="B1338" s="288"/>
      <c r="C1338" s="1061"/>
      <c r="D1338" s="291"/>
      <c r="E1338" s="1044"/>
    </row>
    <row r="1339" spans="1:5" x14ac:dyDescent="0.25">
      <c r="A1339" s="290"/>
      <c r="B1339" s="288"/>
      <c r="C1339" s="1061"/>
      <c r="D1339" s="291"/>
      <c r="E1339" s="1044"/>
    </row>
    <row r="1340" spans="1:5" x14ac:dyDescent="0.25">
      <c r="A1340" s="290"/>
      <c r="B1340" s="288"/>
      <c r="C1340" s="1061"/>
      <c r="D1340" s="291"/>
      <c r="E1340" s="1044"/>
    </row>
    <row r="1341" spans="1:5" x14ac:dyDescent="0.25">
      <c r="A1341" s="290"/>
      <c r="B1341" s="288"/>
      <c r="C1341" s="1061"/>
      <c r="D1341" s="291"/>
      <c r="E1341" s="1044"/>
    </row>
    <row r="1342" spans="1:5" x14ac:dyDescent="0.25">
      <c r="A1342" s="290"/>
      <c r="B1342" s="288"/>
      <c r="C1342" s="1061"/>
      <c r="D1342" s="291"/>
      <c r="E1342" s="1044"/>
    </row>
    <row r="1343" spans="1:5" x14ac:dyDescent="0.25">
      <c r="A1343" s="290"/>
      <c r="B1343" s="288"/>
      <c r="C1343" s="1061"/>
      <c r="D1343" s="291"/>
      <c r="E1343" s="1044"/>
    </row>
    <row r="1344" spans="1:5" x14ac:dyDescent="0.25">
      <c r="A1344" s="290"/>
      <c r="B1344" s="288"/>
      <c r="C1344" s="1061"/>
      <c r="D1344" s="291"/>
      <c r="E1344" s="1044"/>
    </row>
    <row r="1345" spans="1:5" x14ac:dyDescent="0.25">
      <c r="A1345" s="290"/>
      <c r="B1345" s="288"/>
      <c r="C1345" s="1061"/>
      <c r="D1345" s="291"/>
      <c r="E1345" s="1044"/>
    </row>
    <row r="1346" spans="1:5" x14ac:dyDescent="0.25">
      <c r="A1346" s="290"/>
      <c r="B1346" s="288"/>
      <c r="C1346" s="1061"/>
      <c r="D1346" s="291"/>
      <c r="E1346" s="1044"/>
    </row>
    <row r="1347" spans="1:5" x14ac:dyDescent="0.25">
      <c r="A1347" s="290"/>
      <c r="B1347" s="288"/>
      <c r="C1347" s="1061"/>
      <c r="D1347" s="291"/>
      <c r="E1347" s="1044"/>
    </row>
    <row r="1348" spans="1:5" x14ac:dyDescent="0.25">
      <c r="A1348" s="290"/>
      <c r="B1348" s="288"/>
      <c r="C1348" s="1061"/>
      <c r="D1348" s="291"/>
      <c r="E1348" s="1044"/>
    </row>
    <row r="1349" spans="1:5" x14ac:dyDescent="0.25">
      <c r="A1349" s="290"/>
      <c r="B1349" s="288"/>
      <c r="C1349" s="1061"/>
      <c r="D1349" s="291"/>
      <c r="E1349" s="1044"/>
    </row>
    <row r="1350" spans="1:5" x14ac:dyDescent="0.25">
      <c r="A1350" s="290"/>
      <c r="B1350" s="288"/>
      <c r="C1350" s="1061"/>
      <c r="D1350" s="291"/>
      <c r="E1350" s="1044"/>
    </row>
    <row r="1351" spans="1:5" x14ac:dyDescent="0.25">
      <c r="A1351" s="290"/>
      <c r="B1351" s="288"/>
      <c r="C1351" s="1061"/>
      <c r="D1351" s="291"/>
      <c r="E1351" s="1044"/>
    </row>
    <row r="1352" spans="1:5" x14ac:dyDescent="0.25">
      <c r="A1352" s="290"/>
      <c r="B1352" s="288"/>
      <c r="C1352" s="1061"/>
      <c r="D1352" s="291"/>
      <c r="E1352" s="1044"/>
    </row>
    <row r="1353" spans="1:5" x14ac:dyDescent="0.25">
      <c r="A1353" s="290"/>
      <c r="B1353" s="288"/>
      <c r="C1353" s="1061"/>
      <c r="D1353" s="291"/>
      <c r="E1353" s="1044"/>
    </row>
    <row r="1354" spans="1:5" x14ac:dyDescent="0.25">
      <c r="A1354" s="290"/>
      <c r="B1354" s="288"/>
      <c r="C1354" s="1061"/>
      <c r="D1354" s="291"/>
      <c r="E1354" s="1044"/>
    </row>
    <row r="1355" spans="1:5" x14ac:dyDescent="0.25">
      <c r="A1355" s="290"/>
      <c r="B1355" s="288"/>
      <c r="C1355" s="1061"/>
      <c r="D1355" s="291"/>
      <c r="E1355" s="1044"/>
    </row>
    <row r="1356" spans="1:5" x14ac:dyDescent="0.25">
      <c r="A1356" s="290"/>
      <c r="B1356" s="288"/>
      <c r="C1356" s="1061"/>
      <c r="D1356" s="291"/>
      <c r="E1356" s="1044"/>
    </row>
    <row r="1357" spans="1:5" x14ac:dyDescent="0.25">
      <c r="A1357" s="290"/>
      <c r="B1357" s="288"/>
      <c r="C1357" s="1061"/>
      <c r="D1357" s="291"/>
      <c r="E1357" s="1044"/>
    </row>
    <row r="1358" spans="1:5" x14ac:dyDescent="0.25">
      <c r="A1358" s="290"/>
      <c r="B1358" s="288"/>
      <c r="C1358" s="1061"/>
      <c r="D1358" s="291"/>
      <c r="E1358" s="1044"/>
    </row>
    <row r="1359" spans="1:5" x14ac:dyDescent="0.25">
      <c r="A1359" s="290"/>
      <c r="B1359" s="288"/>
      <c r="C1359" s="1061"/>
      <c r="D1359" s="291"/>
      <c r="E1359" s="1044"/>
    </row>
    <row r="1360" spans="1:5" x14ac:dyDescent="0.25">
      <c r="A1360" s="290"/>
      <c r="B1360" s="288"/>
      <c r="C1360" s="1061"/>
      <c r="D1360" s="291"/>
      <c r="E1360" s="1044"/>
    </row>
    <row r="1361" spans="1:5" x14ac:dyDescent="0.25">
      <c r="A1361" s="290"/>
      <c r="B1361" s="288"/>
      <c r="C1361" s="1061"/>
      <c r="D1361" s="291"/>
      <c r="E1361" s="1044"/>
    </row>
    <row r="1362" spans="1:5" x14ac:dyDescent="0.25">
      <c r="A1362" s="290"/>
      <c r="B1362" s="288"/>
      <c r="C1362" s="1061"/>
      <c r="D1362" s="291"/>
      <c r="E1362" s="1044"/>
    </row>
    <row r="1363" spans="1:5" x14ac:dyDescent="0.25">
      <c r="A1363" s="290"/>
      <c r="B1363" s="288"/>
      <c r="C1363" s="1061"/>
      <c r="D1363" s="291"/>
      <c r="E1363" s="1044"/>
    </row>
    <row r="1364" spans="1:5" x14ac:dyDescent="0.25">
      <c r="A1364" s="290"/>
      <c r="B1364" s="288"/>
      <c r="C1364" s="1061"/>
      <c r="D1364" s="291"/>
      <c r="E1364" s="1044"/>
    </row>
    <row r="1365" spans="1:5" x14ac:dyDescent="0.25">
      <c r="A1365" s="290"/>
      <c r="B1365" s="288"/>
      <c r="C1365" s="1061"/>
      <c r="D1365" s="291"/>
      <c r="E1365" s="1044"/>
    </row>
    <row r="1366" spans="1:5" x14ac:dyDescent="0.25">
      <c r="A1366" s="290"/>
      <c r="B1366" s="288"/>
      <c r="C1366" s="1061"/>
      <c r="D1366" s="291"/>
      <c r="E1366" s="1044"/>
    </row>
    <row r="1367" spans="1:5" x14ac:dyDescent="0.25">
      <c r="A1367" s="290"/>
      <c r="B1367" s="288"/>
      <c r="C1367" s="1061"/>
      <c r="D1367" s="291"/>
      <c r="E1367" s="1044"/>
    </row>
    <row r="1368" spans="1:5" x14ac:dyDescent="0.25">
      <c r="A1368" s="290"/>
      <c r="B1368" s="288"/>
      <c r="C1368" s="1061"/>
      <c r="D1368" s="291"/>
      <c r="E1368" s="1044"/>
    </row>
    <row r="1369" spans="1:5" x14ac:dyDescent="0.25">
      <c r="A1369" s="290"/>
      <c r="B1369" s="288"/>
      <c r="C1369" s="1061"/>
      <c r="D1369" s="291"/>
      <c r="E1369" s="1044"/>
    </row>
    <row r="1370" spans="1:5" x14ac:dyDescent="0.25">
      <c r="A1370" s="290"/>
      <c r="B1370" s="288"/>
      <c r="C1370" s="1061"/>
      <c r="D1370" s="291"/>
      <c r="E1370" s="1044"/>
    </row>
    <row r="1371" spans="1:5" x14ac:dyDescent="0.25">
      <c r="A1371" s="290"/>
      <c r="B1371" s="288"/>
      <c r="C1371" s="1061"/>
      <c r="D1371" s="291"/>
      <c r="E1371" s="1044"/>
    </row>
    <row r="1372" spans="1:5" x14ac:dyDescent="0.25">
      <c r="A1372" s="290"/>
      <c r="B1372" s="288"/>
      <c r="C1372" s="1061"/>
      <c r="D1372" s="291"/>
      <c r="E1372" s="1044"/>
    </row>
    <row r="1373" spans="1:5" x14ac:dyDescent="0.25">
      <c r="A1373" s="290"/>
      <c r="B1373" s="288"/>
      <c r="C1373" s="1061"/>
      <c r="D1373" s="291"/>
      <c r="E1373" s="1044"/>
    </row>
    <row r="1374" spans="1:5" x14ac:dyDescent="0.25">
      <c r="A1374" s="290"/>
      <c r="B1374" s="288"/>
      <c r="C1374" s="1061"/>
      <c r="D1374" s="291"/>
      <c r="E1374" s="1044"/>
    </row>
    <row r="1375" spans="1:5" x14ac:dyDescent="0.25">
      <c r="A1375" s="290"/>
      <c r="B1375" s="288"/>
      <c r="C1375" s="1061"/>
      <c r="D1375" s="291"/>
      <c r="E1375" s="1044"/>
    </row>
    <row r="1376" spans="1:5" x14ac:dyDescent="0.25">
      <c r="A1376" s="290"/>
      <c r="B1376" s="288"/>
      <c r="C1376" s="1061"/>
      <c r="D1376" s="291"/>
      <c r="E1376" s="1044"/>
    </row>
    <row r="1377" spans="1:5" x14ac:dyDescent="0.25">
      <c r="A1377" s="290"/>
      <c r="B1377" s="288"/>
      <c r="C1377" s="1061"/>
      <c r="D1377" s="291"/>
      <c r="E1377" s="1044"/>
    </row>
    <row r="1378" spans="1:5" x14ac:dyDescent="0.25">
      <c r="A1378" s="290"/>
      <c r="B1378" s="288"/>
      <c r="C1378" s="1061"/>
      <c r="D1378" s="291"/>
      <c r="E1378" s="1044"/>
    </row>
    <row r="1379" spans="1:5" x14ac:dyDescent="0.25">
      <c r="A1379" s="290"/>
      <c r="B1379" s="288"/>
      <c r="C1379" s="1061"/>
      <c r="D1379" s="291"/>
      <c r="E1379" s="1044"/>
    </row>
    <row r="1380" spans="1:5" x14ac:dyDescent="0.25">
      <c r="A1380" s="290"/>
      <c r="B1380" s="288"/>
      <c r="C1380" s="1061"/>
      <c r="D1380" s="291"/>
      <c r="E1380" s="1044"/>
    </row>
    <row r="1381" spans="1:5" x14ac:dyDescent="0.25">
      <c r="A1381" s="290"/>
      <c r="B1381" s="288"/>
      <c r="C1381" s="1061"/>
      <c r="D1381" s="291"/>
      <c r="E1381" s="1044"/>
    </row>
    <row r="1382" spans="1:5" x14ac:dyDescent="0.25">
      <c r="A1382" s="290"/>
      <c r="B1382" s="288"/>
      <c r="C1382" s="1061"/>
      <c r="D1382" s="291"/>
      <c r="E1382" s="1044"/>
    </row>
    <row r="1383" spans="1:5" x14ac:dyDescent="0.25">
      <c r="A1383" s="290"/>
      <c r="B1383" s="288"/>
      <c r="C1383" s="1061"/>
      <c r="D1383" s="291"/>
      <c r="E1383" s="1044"/>
    </row>
    <row r="1384" spans="1:5" x14ac:dyDescent="0.25">
      <c r="A1384" s="290"/>
      <c r="B1384" s="288"/>
      <c r="C1384" s="1061"/>
      <c r="D1384" s="291"/>
      <c r="E1384" s="1044"/>
    </row>
    <row r="1385" spans="1:5" x14ac:dyDescent="0.25">
      <c r="A1385" s="290"/>
      <c r="B1385" s="288"/>
      <c r="C1385" s="1061"/>
      <c r="D1385" s="291"/>
      <c r="E1385" s="1044"/>
    </row>
    <row r="1386" spans="1:5" x14ac:dyDescent="0.25">
      <c r="A1386" s="290"/>
      <c r="B1386" s="288"/>
      <c r="C1386" s="1061"/>
      <c r="D1386" s="291"/>
      <c r="E1386" s="1044"/>
    </row>
    <row r="1387" spans="1:5" x14ac:dyDescent="0.25">
      <c r="A1387" s="290"/>
      <c r="B1387" s="288"/>
      <c r="C1387" s="1061"/>
      <c r="D1387" s="291"/>
      <c r="E1387" s="1044"/>
    </row>
    <row r="1388" spans="1:5" x14ac:dyDescent="0.25">
      <c r="A1388" s="290"/>
      <c r="B1388" s="288"/>
      <c r="C1388" s="1061"/>
      <c r="D1388" s="291"/>
      <c r="E1388" s="1044"/>
    </row>
    <row r="1389" spans="1:5" x14ac:dyDescent="0.25">
      <c r="A1389" s="290"/>
      <c r="B1389" s="288"/>
      <c r="C1389" s="1061"/>
      <c r="D1389" s="291"/>
      <c r="E1389" s="1044"/>
    </row>
    <row r="1390" spans="1:5" x14ac:dyDescent="0.25">
      <c r="A1390" s="290"/>
      <c r="B1390" s="288"/>
      <c r="C1390" s="1061"/>
      <c r="D1390" s="291"/>
      <c r="E1390" s="1044"/>
    </row>
    <row r="1391" spans="1:5" x14ac:dyDescent="0.25">
      <c r="A1391" s="290"/>
      <c r="B1391" s="288"/>
      <c r="C1391" s="1061"/>
      <c r="D1391" s="291"/>
      <c r="E1391" s="1044"/>
    </row>
    <row r="1392" spans="1:5" x14ac:dyDescent="0.25">
      <c r="A1392" s="290"/>
      <c r="B1392" s="288"/>
      <c r="C1392" s="1061"/>
      <c r="D1392" s="291"/>
      <c r="E1392" s="1044"/>
    </row>
    <row r="1393" spans="1:5" x14ac:dyDescent="0.25">
      <c r="A1393" s="290"/>
      <c r="B1393" s="288"/>
      <c r="C1393" s="1061"/>
      <c r="D1393" s="291"/>
      <c r="E1393" s="1044"/>
    </row>
    <row r="1394" spans="1:5" x14ac:dyDescent="0.25">
      <c r="A1394" s="290"/>
      <c r="B1394" s="288"/>
      <c r="C1394" s="1061"/>
      <c r="D1394" s="291"/>
      <c r="E1394" s="1044"/>
    </row>
    <row r="1395" spans="1:5" x14ac:dyDescent="0.25">
      <c r="A1395" s="290"/>
      <c r="B1395" s="288"/>
      <c r="C1395" s="1061"/>
      <c r="D1395" s="291"/>
      <c r="E1395" s="1044"/>
    </row>
    <row r="1396" spans="1:5" x14ac:dyDescent="0.25">
      <c r="A1396" s="290"/>
      <c r="B1396" s="288"/>
      <c r="C1396" s="1061"/>
      <c r="D1396" s="291"/>
      <c r="E1396" s="1044"/>
    </row>
    <row r="1397" spans="1:5" x14ac:dyDescent="0.25">
      <c r="A1397" s="290"/>
      <c r="B1397" s="288"/>
      <c r="C1397" s="1061"/>
      <c r="D1397" s="291"/>
      <c r="E1397" s="1044"/>
    </row>
    <row r="1398" spans="1:5" x14ac:dyDescent="0.25">
      <c r="A1398" s="290"/>
      <c r="B1398" s="288"/>
      <c r="C1398" s="1061"/>
      <c r="D1398" s="291"/>
      <c r="E1398" s="1044"/>
    </row>
    <row r="1399" spans="1:5" x14ac:dyDescent="0.25">
      <c r="A1399" s="290"/>
      <c r="B1399" s="288"/>
      <c r="C1399" s="1061"/>
      <c r="D1399" s="291"/>
      <c r="E1399" s="1044"/>
    </row>
    <row r="1400" spans="1:5" x14ac:dyDescent="0.25">
      <c r="A1400" s="290"/>
      <c r="B1400" s="288"/>
      <c r="C1400" s="1061"/>
      <c r="D1400" s="291"/>
      <c r="E1400" s="1044"/>
    </row>
    <row r="1401" spans="1:5" x14ac:dyDescent="0.25">
      <c r="A1401" s="290"/>
      <c r="B1401" s="288"/>
      <c r="C1401" s="1061"/>
      <c r="D1401" s="291"/>
      <c r="E1401" s="1044"/>
    </row>
    <row r="1402" spans="1:5" x14ac:dyDescent="0.25">
      <c r="A1402" s="290"/>
      <c r="B1402" s="288"/>
      <c r="C1402" s="1061"/>
      <c r="D1402" s="291"/>
      <c r="E1402" s="1044"/>
    </row>
    <row r="1403" spans="1:5" x14ac:dyDescent="0.25">
      <c r="A1403" s="290"/>
      <c r="B1403" s="288"/>
      <c r="C1403" s="1061"/>
      <c r="D1403" s="291"/>
      <c r="E1403" s="1044"/>
    </row>
    <row r="1404" spans="1:5" x14ac:dyDescent="0.25">
      <c r="A1404" s="290"/>
      <c r="B1404" s="288"/>
      <c r="C1404" s="1061"/>
      <c r="D1404" s="291"/>
      <c r="E1404" s="1044"/>
    </row>
    <row r="1405" spans="1:5" x14ac:dyDescent="0.25">
      <c r="A1405" s="290"/>
      <c r="B1405" s="288"/>
      <c r="C1405" s="1061"/>
      <c r="D1405" s="291"/>
      <c r="E1405" s="1044"/>
    </row>
    <row r="1406" spans="1:5" x14ac:dyDescent="0.25">
      <c r="A1406" s="290"/>
      <c r="B1406" s="288"/>
      <c r="C1406" s="1061"/>
      <c r="D1406" s="291"/>
      <c r="E1406" s="1044"/>
    </row>
    <row r="1407" spans="1:5" x14ac:dyDescent="0.25">
      <c r="A1407" s="290"/>
      <c r="B1407" s="288"/>
      <c r="C1407" s="1061"/>
      <c r="D1407" s="291"/>
      <c r="E1407" s="1044"/>
    </row>
    <row r="1408" spans="1:5" x14ac:dyDescent="0.25">
      <c r="A1408" s="290"/>
      <c r="B1408" s="288"/>
      <c r="C1408" s="1061"/>
      <c r="D1408" s="291"/>
      <c r="E1408" s="1044"/>
    </row>
    <row r="1409" spans="1:5" x14ac:dyDescent="0.25">
      <c r="A1409" s="290"/>
      <c r="B1409" s="288"/>
      <c r="C1409" s="1061"/>
      <c r="D1409" s="291"/>
      <c r="E1409" s="1044"/>
    </row>
    <row r="1410" spans="1:5" x14ac:dyDescent="0.25">
      <c r="A1410" s="290"/>
      <c r="B1410" s="288"/>
      <c r="C1410" s="1061"/>
      <c r="D1410" s="291"/>
      <c r="E1410" s="1044"/>
    </row>
    <row r="1411" spans="1:5" x14ac:dyDescent="0.25">
      <c r="A1411" s="290"/>
      <c r="B1411" s="288"/>
      <c r="C1411" s="1061"/>
      <c r="D1411" s="291"/>
      <c r="E1411" s="1044"/>
    </row>
    <row r="1412" spans="1:5" x14ac:dyDescent="0.25">
      <c r="A1412" s="290"/>
      <c r="B1412" s="288"/>
      <c r="C1412" s="1061"/>
      <c r="D1412" s="291"/>
      <c r="E1412" s="1044"/>
    </row>
    <row r="1413" spans="1:5" x14ac:dyDescent="0.25">
      <c r="A1413" s="290"/>
      <c r="B1413" s="288"/>
      <c r="C1413" s="1061"/>
      <c r="D1413" s="291"/>
      <c r="E1413" s="1044"/>
    </row>
    <row r="1414" spans="1:5" x14ac:dyDescent="0.25">
      <c r="A1414" s="290"/>
      <c r="B1414" s="288"/>
      <c r="C1414" s="1061"/>
      <c r="D1414" s="291"/>
      <c r="E1414" s="1044"/>
    </row>
    <row r="1415" spans="1:5" x14ac:dyDescent="0.25">
      <c r="A1415" s="290"/>
      <c r="B1415" s="288"/>
      <c r="C1415" s="1061"/>
      <c r="D1415" s="291"/>
      <c r="E1415" s="1044"/>
    </row>
    <row r="1416" spans="1:5" x14ac:dyDescent="0.25">
      <c r="A1416" s="290"/>
      <c r="B1416" s="288"/>
      <c r="C1416" s="1061"/>
      <c r="D1416" s="291"/>
      <c r="E1416" s="1044"/>
    </row>
    <row r="1417" spans="1:5" x14ac:dyDescent="0.25">
      <c r="A1417" s="290"/>
      <c r="B1417" s="288"/>
      <c r="C1417" s="1061"/>
      <c r="D1417" s="291"/>
      <c r="E1417" s="1044"/>
    </row>
    <row r="1418" spans="1:5" x14ac:dyDescent="0.25">
      <c r="A1418" s="290"/>
      <c r="B1418" s="288"/>
      <c r="C1418" s="1061"/>
      <c r="D1418" s="291"/>
      <c r="E1418" s="1044"/>
    </row>
    <row r="1419" spans="1:5" x14ac:dyDescent="0.25">
      <c r="A1419" s="290"/>
      <c r="B1419" s="288"/>
      <c r="C1419" s="1061"/>
      <c r="D1419" s="291"/>
      <c r="E1419" s="1044"/>
    </row>
    <row r="1420" spans="1:5" x14ac:dyDescent="0.25">
      <c r="A1420" s="290"/>
      <c r="B1420" s="288"/>
      <c r="C1420" s="1061"/>
      <c r="D1420" s="291"/>
      <c r="E1420" s="1044"/>
    </row>
    <row r="1421" spans="1:5" x14ac:dyDescent="0.25">
      <c r="A1421" s="290"/>
      <c r="B1421" s="288"/>
      <c r="C1421" s="1061"/>
      <c r="D1421" s="291"/>
      <c r="E1421" s="1044"/>
    </row>
    <row r="1422" spans="1:5" x14ac:dyDescent="0.25">
      <c r="A1422" s="290"/>
      <c r="B1422" s="288"/>
      <c r="C1422" s="1061"/>
      <c r="D1422" s="291"/>
      <c r="E1422" s="1044"/>
    </row>
    <row r="1423" spans="1:5" x14ac:dyDescent="0.25">
      <c r="A1423" s="290"/>
      <c r="B1423" s="288"/>
      <c r="C1423" s="1061"/>
      <c r="D1423" s="291"/>
      <c r="E1423" s="1044"/>
    </row>
    <row r="1424" spans="1:5" x14ac:dyDescent="0.25">
      <c r="A1424" s="290"/>
      <c r="B1424" s="288"/>
      <c r="C1424" s="1061"/>
      <c r="D1424" s="291"/>
      <c r="E1424" s="1044"/>
    </row>
    <row r="1425" spans="1:5" x14ac:dyDescent="0.25">
      <c r="A1425" s="290"/>
      <c r="B1425" s="288"/>
      <c r="C1425" s="1061"/>
      <c r="D1425" s="291"/>
      <c r="E1425" s="1044"/>
    </row>
    <row r="1426" spans="1:5" x14ac:dyDescent="0.25">
      <c r="A1426" s="290"/>
      <c r="B1426" s="288"/>
      <c r="C1426" s="1061"/>
      <c r="D1426" s="291"/>
      <c r="E1426" s="1044"/>
    </row>
    <row r="1427" spans="1:5" x14ac:dyDescent="0.25">
      <c r="A1427" s="290"/>
      <c r="B1427" s="288"/>
      <c r="C1427" s="1061"/>
      <c r="D1427" s="291"/>
      <c r="E1427" s="1044"/>
    </row>
    <row r="1428" spans="1:5" x14ac:dyDescent="0.25">
      <c r="A1428" s="290"/>
      <c r="B1428" s="288"/>
      <c r="C1428" s="1061"/>
      <c r="D1428" s="291"/>
      <c r="E1428" s="1044"/>
    </row>
    <row r="1429" spans="1:5" x14ac:dyDescent="0.25">
      <c r="A1429" s="290"/>
      <c r="B1429" s="288"/>
      <c r="C1429" s="1061"/>
      <c r="D1429" s="291"/>
      <c r="E1429" s="1044"/>
    </row>
    <row r="1430" spans="1:5" x14ac:dyDescent="0.25">
      <c r="A1430" s="290"/>
      <c r="B1430" s="288"/>
      <c r="C1430" s="1061"/>
      <c r="D1430" s="291"/>
      <c r="E1430" s="1044"/>
    </row>
    <row r="1431" spans="1:5" x14ac:dyDescent="0.25">
      <c r="A1431" s="290"/>
      <c r="B1431" s="288"/>
      <c r="C1431" s="1061"/>
      <c r="D1431" s="291"/>
      <c r="E1431" s="1044"/>
    </row>
    <row r="1432" spans="1:5" x14ac:dyDescent="0.25">
      <c r="A1432" s="290"/>
      <c r="B1432" s="288"/>
      <c r="C1432" s="1061"/>
      <c r="D1432" s="291"/>
      <c r="E1432" s="1044"/>
    </row>
    <row r="1433" spans="1:5" x14ac:dyDescent="0.25">
      <c r="A1433" s="290"/>
      <c r="B1433" s="288"/>
      <c r="C1433" s="1061"/>
      <c r="D1433" s="291"/>
      <c r="E1433" s="1044"/>
    </row>
    <row r="1434" spans="1:5" x14ac:dyDescent="0.25">
      <c r="A1434" s="290"/>
      <c r="B1434" s="288"/>
      <c r="C1434" s="1061"/>
      <c r="D1434" s="291"/>
      <c r="E1434" s="1044"/>
    </row>
    <row r="1435" spans="1:5" x14ac:dyDescent="0.25">
      <c r="A1435" s="290"/>
      <c r="B1435" s="288"/>
      <c r="C1435" s="1061"/>
      <c r="D1435" s="291"/>
      <c r="E1435" s="1044"/>
    </row>
    <row r="1436" spans="1:5" x14ac:dyDescent="0.25">
      <c r="A1436" s="290"/>
      <c r="B1436" s="288"/>
      <c r="C1436" s="1061"/>
      <c r="D1436" s="291"/>
      <c r="E1436" s="1044"/>
    </row>
    <row r="1437" spans="1:5" x14ac:dyDescent="0.25">
      <c r="A1437" s="290"/>
      <c r="B1437" s="288"/>
      <c r="C1437" s="1061"/>
      <c r="D1437" s="291"/>
      <c r="E1437" s="1044"/>
    </row>
    <row r="1438" spans="1:5" x14ac:dyDescent="0.25">
      <c r="A1438" s="290"/>
      <c r="B1438" s="288"/>
      <c r="C1438" s="1061"/>
      <c r="D1438" s="291"/>
      <c r="E1438" s="1044"/>
    </row>
    <row r="1439" spans="1:5" x14ac:dyDescent="0.25">
      <c r="A1439" s="290"/>
      <c r="B1439" s="288"/>
      <c r="C1439" s="1061"/>
      <c r="D1439" s="291"/>
      <c r="E1439" s="1044"/>
    </row>
    <row r="1440" spans="1:5" x14ac:dyDescent="0.25">
      <c r="A1440" s="290"/>
      <c r="B1440" s="288"/>
      <c r="C1440" s="1061"/>
      <c r="D1440" s="291"/>
      <c r="E1440" s="1044"/>
    </row>
    <row r="1441" spans="1:5" x14ac:dyDescent="0.25">
      <c r="A1441" s="290"/>
      <c r="B1441" s="288"/>
      <c r="C1441" s="1061"/>
      <c r="D1441" s="291"/>
      <c r="E1441" s="1044"/>
    </row>
    <row r="1442" spans="1:5" x14ac:dyDescent="0.25">
      <c r="A1442" s="290"/>
      <c r="B1442" s="288"/>
      <c r="C1442" s="1061"/>
      <c r="D1442" s="291"/>
      <c r="E1442" s="1044"/>
    </row>
    <row r="1443" spans="1:5" x14ac:dyDescent="0.25">
      <c r="A1443" s="290"/>
      <c r="B1443" s="288"/>
      <c r="C1443" s="1061"/>
      <c r="D1443" s="291"/>
      <c r="E1443" s="1044"/>
    </row>
    <row r="1444" spans="1:5" x14ac:dyDescent="0.25">
      <c r="A1444" s="290"/>
      <c r="B1444" s="288"/>
      <c r="C1444" s="1061"/>
      <c r="D1444" s="291"/>
      <c r="E1444" s="1044"/>
    </row>
    <row r="1445" spans="1:5" x14ac:dyDescent="0.25">
      <c r="A1445" s="290"/>
      <c r="B1445" s="288"/>
      <c r="C1445" s="1061"/>
      <c r="D1445" s="291"/>
      <c r="E1445" s="1044"/>
    </row>
    <row r="1446" spans="1:5" x14ac:dyDescent="0.25">
      <c r="A1446" s="290"/>
      <c r="B1446" s="288"/>
      <c r="C1446" s="1061"/>
      <c r="D1446" s="291"/>
      <c r="E1446" s="1044"/>
    </row>
    <row r="1447" spans="1:5" x14ac:dyDescent="0.25">
      <c r="A1447" s="290"/>
      <c r="B1447" s="288"/>
      <c r="C1447" s="1061"/>
      <c r="D1447" s="291"/>
      <c r="E1447" s="1044"/>
    </row>
    <row r="1448" spans="1:5" x14ac:dyDescent="0.25">
      <c r="A1448" s="290"/>
      <c r="B1448" s="288"/>
      <c r="C1448" s="1061"/>
      <c r="D1448" s="291"/>
      <c r="E1448" s="1044"/>
    </row>
    <row r="1449" spans="1:5" x14ac:dyDescent="0.25">
      <c r="A1449" s="290"/>
      <c r="B1449" s="288"/>
      <c r="C1449" s="1061"/>
      <c r="D1449" s="291"/>
      <c r="E1449" s="1044"/>
    </row>
    <row r="1450" spans="1:5" x14ac:dyDescent="0.25">
      <c r="A1450" s="290"/>
      <c r="B1450" s="288"/>
      <c r="C1450" s="1061"/>
      <c r="D1450" s="291"/>
      <c r="E1450" s="1044"/>
    </row>
    <row r="1451" spans="1:5" x14ac:dyDescent="0.25">
      <c r="A1451" s="290"/>
      <c r="B1451" s="288"/>
      <c r="C1451" s="1061"/>
      <c r="D1451" s="291"/>
      <c r="E1451" s="1044"/>
    </row>
    <row r="1452" spans="1:5" x14ac:dyDescent="0.25">
      <c r="A1452" s="290"/>
      <c r="B1452" s="288"/>
      <c r="C1452" s="1061"/>
      <c r="D1452" s="291"/>
      <c r="E1452" s="1044"/>
    </row>
    <row r="1453" spans="1:5" x14ac:dyDescent="0.25">
      <c r="A1453" s="290"/>
      <c r="B1453" s="288"/>
      <c r="C1453" s="1061"/>
      <c r="D1453" s="291"/>
      <c r="E1453" s="1044"/>
    </row>
    <row r="1454" spans="1:5" x14ac:dyDescent="0.25">
      <c r="A1454" s="290"/>
      <c r="B1454" s="288"/>
      <c r="C1454" s="1061"/>
      <c r="D1454" s="291"/>
      <c r="E1454" s="1044"/>
    </row>
    <row r="1455" spans="1:5" x14ac:dyDescent="0.25">
      <c r="A1455" s="290"/>
      <c r="B1455" s="288"/>
      <c r="C1455" s="1061"/>
      <c r="D1455" s="291"/>
      <c r="E1455" s="1044"/>
    </row>
    <row r="1456" spans="1:5" x14ac:dyDescent="0.25">
      <c r="A1456" s="290"/>
      <c r="B1456" s="288"/>
      <c r="C1456" s="1061"/>
      <c r="D1456" s="291"/>
      <c r="E1456" s="1044"/>
    </row>
    <row r="1457" spans="1:5" x14ac:dyDescent="0.25">
      <c r="A1457" s="290"/>
      <c r="B1457" s="288"/>
      <c r="C1457" s="1061"/>
      <c r="D1457" s="291"/>
      <c r="E1457" s="1044"/>
    </row>
    <row r="1458" spans="1:5" x14ac:dyDescent="0.25">
      <c r="A1458" s="290"/>
      <c r="B1458" s="288"/>
      <c r="C1458" s="1061"/>
      <c r="D1458" s="291"/>
      <c r="E1458" s="1044"/>
    </row>
    <row r="1459" spans="1:5" x14ac:dyDescent="0.25">
      <c r="A1459" s="290"/>
      <c r="B1459" s="288"/>
      <c r="C1459" s="1061"/>
      <c r="D1459" s="291"/>
      <c r="E1459" s="1044"/>
    </row>
    <row r="1460" spans="1:5" x14ac:dyDescent="0.25">
      <c r="A1460" s="290"/>
      <c r="B1460" s="288"/>
      <c r="C1460" s="1061"/>
      <c r="D1460" s="291"/>
      <c r="E1460" s="1044"/>
    </row>
    <row r="1461" spans="1:5" x14ac:dyDescent="0.25">
      <c r="A1461" s="290"/>
      <c r="B1461" s="288"/>
      <c r="C1461" s="1061"/>
      <c r="D1461" s="291"/>
      <c r="E1461" s="1044"/>
    </row>
    <row r="1462" spans="1:5" x14ac:dyDescent="0.25">
      <c r="A1462" s="290"/>
      <c r="B1462" s="288"/>
      <c r="C1462" s="1061"/>
      <c r="D1462" s="291"/>
      <c r="E1462" s="1044"/>
    </row>
    <row r="1463" spans="1:5" x14ac:dyDescent="0.25">
      <c r="A1463" s="290"/>
      <c r="B1463" s="288"/>
      <c r="C1463" s="1061"/>
      <c r="D1463" s="291"/>
      <c r="E1463" s="1044"/>
    </row>
    <row r="1464" spans="1:5" x14ac:dyDescent="0.25">
      <c r="A1464" s="290"/>
      <c r="B1464" s="288"/>
      <c r="C1464" s="1061"/>
      <c r="D1464" s="291"/>
      <c r="E1464" s="1044"/>
    </row>
    <row r="1465" spans="1:5" x14ac:dyDescent="0.25">
      <c r="A1465" s="290"/>
      <c r="B1465" s="288"/>
      <c r="C1465" s="1061"/>
      <c r="D1465" s="291"/>
      <c r="E1465" s="1044"/>
    </row>
    <row r="1466" spans="1:5" x14ac:dyDescent="0.25">
      <c r="A1466" s="290"/>
      <c r="B1466" s="288"/>
      <c r="C1466" s="1061"/>
      <c r="D1466" s="291"/>
      <c r="E1466" s="1044"/>
    </row>
    <row r="1467" spans="1:5" x14ac:dyDescent="0.25">
      <c r="A1467" s="290"/>
      <c r="B1467" s="288"/>
      <c r="C1467" s="1061"/>
      <c r="D1467" s="291"/>
      <c r="E1467" s="1044"/>
    </row>
    <row r="1468" spans="1:5" x14ac:dyDescent="0.25">
      <c r="A1468" s="290"/>
      <c r="B1468" s="288"/>
      <c r="C1468" s="1061"/>
      <c r="D1468" s="291"/>
      <c r="E1468" s="1044"/>
    </row>
    <row r="1469" spans="1:5" x14ac:dyDescent="0.25">
      <c r="A1469" s="290"/>
      <c r="B1469" s="288"/>
      <c r="C1469" s="1061"/>
      <c r="D1469" s="291"/>
      <c r="E1469" s="1044"/>
    </row>
    <row r="1470" spans="1:5" x14ac:dyDescent="0.25">
      <c r="A1470" s="290"/>
      <c r="B1470" s="288"/>
      <c r="C1470" s="1061"/>
      <c r="D1470" s="291"/>
      <c r="E1470" s="1044"/>
    </row>
    <row r="1471" spans="1:5" x14ac:dyDescent="0.25">
      <c r="A1471" s="290"/>
      <c r="B1471" s="288"/>
      <c r="C1471" s="1061"/>
      <c r="D1471" s="291"/>
      <c r="E1471" s="1044"/>
    </row>
    <row r="1472" spans="1:5" x14ac:dyDescent="0.25">
      <c r="A1472" s="290"/>
      <c r="B1472" s="288"/>
      <c r="C1472" s="1061"/>
      <c r="D1472" s="291"/>
      <c r="E1472" s="1044"/>
    </row>
    <row r="1473" spans="1:5" x14ac:dyDescent="0.25">
      <c r="A1473" s="290"/>
      <c r="B1473" s="288"/>
      <c r="C1473" s="1061"/>
      <c r="D1473" s="291"/>
      <c r="E1473" s="1044"/>
    </row>
    <row r="1474" spans="1:5" x14ac:dyDescent="0.25">
      <c r="A1474" s="290"/>
      <c r="B1474" s="288"/>
      <c r="C1474" s="1061"/>
      <c r="D1474" s="291"/>
      <c r="E1474" s="1044"/>
    </row>
    <row r="1475" spans="1:5" x14ac:dyDescent="0.25">
      <c r="A1475" s="290"/>
      <c r="B1475" s="288"/>
      <c r="C1475" s="1061"/>
      <c r="D1475" s="291"/>
      <c r="E1475" s="1044"/>
    </row>
    <row r="1476" spans="1:5" x14ac:dyDescent="0.25">
      <c r="A1476" s="290"/>
      <c r="B1476" s="288"/>
      <c r="C1476" s="1061"/>
      <c r="D1476" s="291"/>
      <c r="E1476" s="1044"/>
    </row>
    <row r="1477" spans="1:5" x14ac:dyDescent="0.25">
      <c r="A1477" s="290"/>
      <c r="B1477" s="288"/>
      <c r="C1477" s="1061"/>
      <c r="D1477" s="291"/>
      <c r="E1477" s="1044"/>
    </row>
    <row r="1478" spans="1:5" x14ac:dyDescent="0.25">
      <c r="A1478" s="290"/>
      <c r="B1478" s="288"/>
      <c r="C1478" s="1061"/>
      <c r="D1478" s="291"/>
      <c r="E1478" s="1044"/>
    </row>
    <row r="1479" spans="1:5" x14ac:dyDescent="0.25">
      <c r="A1479" s="290"/>
      <c r="B1479" s="288"/>
      <c r="C1479" s="1061"/>
      <c r="D1479" s="291"/>
      <c r="E1479" s="1044"/>
    </row>
    <row r="1480" spans="1:5" x14ac:dyDescent="0.25">
      <c r="A1480" s="290"/>
      <c r="B1480" s="288"/>
      <c r="C1480" s="1061"/>
      <c r="D1480" s="291"/>
      <c r="E1480" s="1044"/>
    </row>
    <row r="1481" spans="1:5" x14ac:dyDescent="0.25">
      <c r="A1481" s="290"/>
      <c r="B1481" s="288"/>
      <c r="C1481" s="1061"/>
      <c r="D1481" s="291"/>
      <c r="E1481" s="1044"/>
    </row>
    <row r="1482" spans="1:5" x14ac:dyDescent="0.25">
      <c r="A1482" s="290"/>
      <c r="B1482" s="288"/>
      <c r="C1482" s="1061"/>
      <c r="D1482" s="291"/>
      <c r="E1482" s="1044"/>
    </row>
    <row r="1483" spans="1:5" x14ac:dyDescent="0.25">
      <c r="A1483" s="290"/>
      <c r="B1483" s="288"/>
      <c r="C1483" s="1061"/>
      <c r="D1483" s="291"/>
      <c r="E1483" s="1044"/>
    </row>
    <row r="1484" spans="1:5" x14ac:dyDescent="0.25">
      <c r="A1484" s="290"/>
      <c r="B1484" s="288"/>
      <c r="C1484" s="1061"/>
      <c r="D1484" s="291"/>
      <c r="E1484" s="1044"/>
    </row>
    <row r="1485" spans="1:5" x14ac:dyDescent="0.25">
      <c r="A1485" s="290"/>
      <c r="B1485" s="288"/>
      <c r="C1485" s="1061"/>
      <c r="D1485" s="291"/>
      <c r="E1485" s="1044"/>
    </row>
    <row r="1486" spans="1:5" x14ac:dyDescent="0.25">
      <c r="A1486" s="290"/>
      <c r="B1486" s="288"/>
      <c r="C1486" s="1061"/>
      <c r="D1486" s="291"/>
      <c r="E1486" s="1044"/>
    </row>
    <row r="1487" spans="1:5" x14ac:dyDescent="0.25">
      <c r="A1487" s="290"/>
      <c r="B1487" s="288"/>
      <c r="C1487" s="1061"/>
      <c r="D1487" s="291"/>
      <c r="E1487" s="1044"/>
    </row>
    <row r="1488" spans="1:5" x14ac:dyDescent="0.25">
      <c r="A1488" s="290"/>
      <c r="B1488" s="288"/>
      <c r="C1488" s="1061"/>
      <c r="D1488" s="291"/>
      <c r="E1488" s="1044"/>
    </row>
    <row r="1489" spans="1:5" x14ac:dyDescent="0.25">
      <c r="A1489" s="290"/>
      <c r="B1489" s="288"/>
      <c r="C1489" s="1061"/>
      <c r="D1489" s="291"/>
      <c r="E1489" s="1044"/>
    </row>
    <row r="1490" spans="1:5" x14ac:dyDescent="0.25">
      <c r="A1490" s="290"/>
      <c r="B1490" s="288"/>
      <c r="C1490" s="1061"/>
      <c r="D1490" s="291"/>
      <c r="E1490" s="1044"/>
    </row>
    <row r="1491" spans="1:5" x14ac:dyDescent="0.25">
      <c r="A1491" s="290"/>
      <c r="B1491" s="288"/>
      <c r="C1491" s="1061"/>
      <c r="D1491" s="291"/>
      <c r="E1491" s="1044"/>
    </row>
    <row r="1492" spans="1:5" x14ac:dyDescent="0.25">
      <c r="A1492" s="290"/>
      <c r="B1492" s="288"/>
      <c r="C1492" s="1061"/>
      <c r="D1492" s="291"/>
      <c r="E1492" s="1044"/>
    </row>
    <row r="1493" spans="1:5" x14ac:dyDescent="0.25">
      <c r="A1493" s="290"/>
      <c r="B1493" s="288"/>
      <c r="C1493" s="1061"/>
      <c r="D1493" s="291"/>
      <c r="E1493" s="1044"/>
    </row>
    <row r="1494" spans="1:5" x14ac:dyDescent="0.25">
      <c r="A1494" s="290"/>
      <c r="B1494" s="288"/>
      <c r="C1494" s="1061"/>
      <c r="D1494" s="291"/>
      <c r="E1494" s="1044"/>
    </row>
    <row r="1495" spans="1:5" x14ac:dyDescent="0.25">
      <c r="A1495" s="290"/>
      <c r="B1495" s="288"/>
      <c r="C1495" s="1061"/>
      <c r="D1495" s="291"/>
      <c r="E1495" s="1044"/>
    </row>
    <row r="1496" spans="1:5" x14ac:dyDescent="0.25">
      <c r="A1496" s="290"/>
      <c r="B1496" s="288"/>
      <c r="C1496" s="1061"/>
      <c r="D1496" s="291"/>
      <c r="E1496" s="1044"/>
    </row>
    <row r="1497" spans="1:5" x14ac:dyDescent="0.25">
      <c r="A1497" s="290"/>
      <c r="B1497" s="288"/>
      <c r="C1497" s="1061"/>
      <c r="D1497" s="291"/>
      <c r="E1497" s="1044"/>
    </row>
    <row r="1498" spans="1:5" x14ac:dyDescent="0.25">
      <c r="A1498" s="290"/>
      <c r="B1498" s="288"/>
      <c r="C1498" s="1061"/>
      <c r="D1498" s="291"/>
      <c r="E1498" s="1044"/>
    </row>
    <row r="1499" spans="1:5" x14ac:dyDescent="0.25">
      <c r="A1499" s="290"/>
      <c r="B1499" s="288"/>
      <c r="C1499" s="1061"/>
      <c r="D1499" s="291"/>
      <c r="E1499" s="1044"/>
    </row>
    <row r="1500" spans="1:5" x14ac:dyDescent="0.25">
      <c r="A1500" s="290"/>
      <c r="B1500" s="288"/>
      <c r="C1500" s="1061"/>
      <c r="D1500" s="291"/>
      <c r="E1500" s="1044"/>
    </row>
    <row r="1501" spans="1:5" x14ac:dyDescent="0.25">
      <c r="A1501" s="290"/>
      <c r="B1501" s="288"/>
      <c r="C1501" s="1061"/>
      <c r="D1501" s="291"/>
      <c r="E1501" s="1044"/>
    </row>
    <row r="1502" spans="1:5" x14ac:dyDescent="0.25">
      <c r="A1502" s="290"/>
      <c r="B1502" s="288"/>
      <c r="C1502" s="1061"/>
      <c r="D1502" s="291"/>
      <c r="E1502" s="1044"/>
    </row>
    <row r="1503" spans="1:5" x14ac:dyDescent="0.25">
      <c r="A1503" s="290"/>
      <c r="B1503" s="288"/>
      <c r="C1503" s="1061"/>
      <c r="D1503" s="291"/>
      <c r="E1503" s="1044"/>
    </row>
    <row r="1504" spans="1:5" x14ac:dyDescent="0.25">
      <c r="A1504" s="290"/>
      <c r="B1504" s="288"/>
      <c r="C1504" s="1061"/>
      <c r="D1504" s="291"/>
      <c r="E1504" s="1044"/>
    </row>
    <row r="1505" spans="1:5" x14ac:dyDescent="0.25">
      <c r="A1505" s="290"/>
      <c r="B1505" s="288"/>
      <c r="C1505" s="1061"/>
      <c r="D1505" s="291"/>
      <c r="E1505" s="1044"/>
    </row>
    <row r="1506" spans="1:5" x14ac:dyDescent="0.25">
      <c r="A1506" s="290"/>
      <c r="B1506" s="288"/>
      <c r="C1506" s="1061"/>
      <c r="D1506" s="291"/>
      <c r="E1506" s="1044"/>
    </row>
    <row r="1507" spans="1:5" x14ac:dyDescent="0.25">
      <c r="A1507" s="290"/>
      <c r="B1507" s="288"/>
      <c r="C1507" s="1061"/>
      <c r="D1507" s="291"/>
      <c r="E1507" s="1044"/>
    </row>
    <row r="1508" spans="1:5" x14ac:dyDescent="0.25">
      <c r="A1508" s="290"/>
      <c r="B1508" s="288"/>
      <c r="C1508" s="1061"/>
      <c r="D1508" s="291"/>
      <c r="E1508" s="1044"/>
    </row>
    <row r="1509" spans="1:5" x14ac:dyDescent="0.25">
      <c r="A1509" s="290"/>
      <c r="B1509" s="288"/>
      <c r="C1509" s="1061"/>
      <c r="D1509" s="291"/>
      <c r="E1509" s="1044"/>
    </row>
    <row r="1510" spans="1:5" x14ac:dyDescent="0.25">
      <c r="A1510" s="290"/>
      <c r="B1510" s="288"/>
      <c r="C1510" s="1061"/>
      <c r="D1510" s="291"/>
      <c r="E1510" s="1044"/>
    </row>
    <row r="1511" spans="1:5" x14ac:dyDescent="0.25">
      <c r="A1511" s="290"/>
      <c r="B1511" s="288"/>
      <c r="C1511" s="1061"/>
      <c r="D1511" s="291"/>
      <c r="E1511" s="1044"/>
    </row>
    <row r="1512" spans="1:5" x14ac:dyDescent="0.25">
      <c r="A1512" s="290"/>
      <c r="B1512" s="288"/>
      <c r="C1512" s="1061"/>
      <c r="D1512" s="291"/>
      <c r="E1512" s="1044"/>
    </row>
    <row r="1513" spans="1:5" x14ac:dyDescent="0.25">
      <c r="A1513" s="290"/>
      <c r="B1513" s="288"/>
      <c r="C1513" s="1061"/>
      <c r="D1513" s="291"/>
      <c r="E1513" s="1044"/>
    </row>
    <row r="1514" spans="1:5" x14ac:dyDescent="0.25">
      <c r="A1514" s="290"/>
      <c r="B1514" s="288"/>
      <c r="C1514" s="1061"/>
      <c r="D1514" s="291"/>
      <c r="E1514" s="1044"/>
    </row>
    <row r="1515" spans="1:5" x14ac:dyDescent="0.25">
      <c r="A1515" s="290"/>
      <c r="B1515" s="288"/>
      <c r="C1515" s="1061"/>
      <c r="D1515" s="291"/>
      <c r="E1515" s="1044"/>
    </row>
    <row r="1516" spans="1:5" x14ac:dyDescent="0.25">
      <c r="A1516" s="290"/>
      <c r="B1516" s="288"/>
      <c r="C1516" s="1061"/>
      <c r="D1516" s="291"/>
      <c r="E1516" s="1044"/>
    </row>
    <row r="1517" spans="1:5" x14ac:dyDescent="0.25">
      <c r="A1517" s="290"/>
      <c r="B1517" s="288"/>
      <c r="C1517" s="1061"/>
      <c r="D1517" s="291"/>
      <c r="E1517" s="1044"/>
    </row>
    <row r="1518" spans="1:5" x14ac:dyDescent="0.25">
      <c r="A1518" s="290"/>
      <c r="B1518" s="288"/>
      <c r="C1518" s="1061"/>
      <c r="D1518" s="291"/>
      <c r="E1518" s="1044"/>
    </row>
    <row r="1519" spans="1:5" x14ac:dyDescent="0.25">
      <c r="A1519" s="290"/>
      <c r="B1519" s="288"/>
      <c r="C1519" s="1061"/>
      <c r="D1519" s="291"/>
      <c r="E1519" s="1044"/>
    </row>
    <row r="1520" spans="1:5" x14ac:dyDescent="0.25">
      <c r="A1520" s="290"/>
      <c r="B1520" s="288"/>
      <c r="C1520" s="1061"/>
      <c r="D1520" s="291"/>
      <c r="E1520" s="1044"/>
    </row>
    <row r="1521" spans="1:5" x14ac:dyDescent="0.25">
      <c r="A1521" s="290"/>
      <c r="B1521" s="288"/>
      <c r="C1521" s="1061"/>
      <c r="D1521" s="291"/>
      <c r="E1521" s="1044"/>
    </row>
    <row r="1522" spans="1:5" x14ac:dyDescent="0.25">
      <c r="A1522" s="290"/>
      <c r="B1522" s="288"/>
      <c r="C1522" s="1061"/>
      <c r="D1522" s="291"/>
      <c r="E1522" s="1044"/>
    </row>
    <row r="1523" spans="1:5" x14ac:dyDescent="0.25">
      <c r="A1523" s="290"/>
      <c r="B1523" s="288"/>
      <c r="C1523" s="1061"/>
      <c r="D1523" s="291"/>
      <c r="E1523" s="1044"/>
    </row>
    <row r="1524" spans="1:5" x14ac:dyDescent="0.25">
      <c r="A1524" s="290"/>
      <c r="B1524" s="288"/>
      <c r="C1524" s="1061"/>
      <c r="D1524" s="291"/>
      <c r="E1524" s="1044"/>
    </row>
    <row r="1525" spans="1:5" x14ac:dyDescent="0.25">
      <c r="A1525" s="290"/>
      <c r="B1525" s="288"/>
      <c r="C1525" s="1061"/>
      <c r="D1525" s="291"/>
      <c r="E1525" s="1044"/>
    </row>
    <row r="1526" spans="1:5" x14ac:dyDescent="0.25">
      <c r="A1526" s="290"/>
      <c r="B1526" s="288"/>
      <c r="C1526" s="1061"/>
      <c r="D1526" s="291"/>
      <c r="E1526" s="1044"/>
    </row>
    <row r="1527" spans="1:5" x14ac:dyDescent="0.25">
      <c r="A1527" s="290"/>
      <c r="B1527" s="288"/>
      <c r="C1527" s="1061"/>
      <c r="D1527" s="291"/>
      <c r="E1527" s="1044"/>
    </row>
    <row r="1528" spans="1:5" x14ac:dyDescent="0.25">
      <c r="A1528" s="290"/>
      <c r="B1528" s="288"/>
      <c r="C1528" s="1061"/>
      <c r="D1528" s="291"/>
      <c r="E1528" s="1044"/>
    </row>
    <row r="1529" spans="1:5" x14ac:dyDescent="0.25">
      <c r="A1529" s="290"/>
      <c r="B1529" s="288"/>
      <c r="C1529" s="1061"/>
      <c r="D1529" s="291"/>
      <c r="E1529" s="1044"/>
    </row>
    <row r="1530" spans="1:5" x14ac:dyDescent="0.25">
      <c r="A1530" s="290"/>
      <c r="B1530" s="288"/>
      <c r="C1530" s="1061"/>
      <c r="D1530" s="291"/>
      <c r="E1530" s="1044"/>
    </row>
    <row r="1531" spans="1:5" x14ac:dyDescent="0.25">
      <c r="A1531" s="290"/>
      <c r="B1531" s="288"/>
      <c r="C1531" s="1061"/>
      <c r="D1531" s="291"/>
      <c r="E1531" s="1044"/>
    </row>
    <row r="1532" spans="1:5" x14ac:dyDescent="0.25">
      <c r="A1532" s="290"/>
      <c r="B1532" s="288"/>
      <c r="C1532" s="1061"/>
      <c r="D1532" s="291"/>
      <c r="E1532" s="1044"/>
    </row>
    <row r="1533" spans="1:5" x14ac:dyDescent="0.25">
      <c r="A1533" s="290"/>
      <c r="B1533" s="288"/>
      <c r="C1533" s="1061"/>
      <c r="D1533" s="291"/>
      <c r="E1533" s="1044"/>
    </row>
    <row r="1534" spans="1:5" x14ac:dyDescent="0.25">
      <c r="A1534" s="290"/>
      <c r="B1534" s="288"/>
      <c r="C1534" s="1061"/>
      <c r="D1534" s="291"/>
      <c r="E1534" s="1044"/>
    </row>
    <row r="1535" spans="1:5" x14ac:dyDescent="0.25">
      <c r="A1535" s="290"/>
      <c r="B1535" s="288"/>
      <c r="C1535" s="1061"/>
      <c r="D1535" s="291"/>
      <c r="E1535" s="1044"/>
    </row>
    <row r="1536" spans="1:5" x14ac:dyDescent="0.25">
      <c r="A1536" s="290"/>
      <c r="B1536" s="288"/>
      <c r="C1536" s="1061"/>
      <c r="D1536" s="291"/>
      <c r="E1536" s="1044"/>
    </row>
    <row r="1537" spans="1:5" x14ac:dyDescent="0.25">
      <c r="A1537" s="290"/>
      <c r="B1537" s="288"/>
      <c r="C1537" s="1061"/>
      <c r="D1537" s="291"/>
      <c r="E1537" s="1044"/>
    </row>
    <row r="1538" spans="1:5" x14ac:dyDescent="0.25">
      <c r="A1538" s="290"/>
      <c r="B1538" s="288"/>
      <c r="C1538" s="1061"/>
      <c r="D1538" s="291"/>
      <c r="E1538" s="1044"/>
    </row>
    <row r="1539" spans="1:5" x14ac:dyDescent="0.25">
      <c r="A1539" s="290"/>
      <c r="B1539" s="288"/>
      <c r="C1539" s="1061"/>
      <c r="D1539" s="291"/>
      <c r="E1539" s="1044"/>
    </row>
    <row r="1540" spans="1:5" x14ac:dyDescent="0.25">
      <c r="A1540" s="290"/>
      <c r="B1540" s="288"/>
      <c r="C1540" s="1061"/>
      <c r="D1540" s="291"/>
      <c r="E1540" s="1044"/>
    </row>
    <row r="1541" spans="1:5" x14ac:dyDescent="0.25">
      <c r="A1541" s="290"/>
      <c r="B1541" s="288"/>
      <c r="C1541" s="1061"/>
      <c r="D1541" s="291"/>
      <c r="E1541" s="1044"/>
    </row>
    <row r="1542" spans="1:5" x14ac:dyDescent="0.25">
      <c r="A1542" s="290"/>
      <c r="B1542" s="288"/>
      <c r="C1542" s="1061"/>
      <c r="D1542" s="291"/>
      <c r="E1542" s="1044"/>
    </row>
    <row r="1543" spans="1:5" x14ac:dyDescent="0.25">
      <c r="A1543" s="290"/>
      <c r="B1543" s="288"/>
      <c r="C1543" s="1061"/>
      <c r="D1543" s="291"/>
      <c r="E1543" s="1044"/>
    </row>
    <row r="1544" spans="1:5" x14ac:dyDescent="0.25">
      <c r="A1544" s="290"/>
      <c r="B1544" s="288"/>
      <c r="C1544" s="1061"/>
      <c r="D1544" s="291"/>
      <c r="E1544" s="1044"/>
    </row>
    <row r="1545" spans="1:5" x14ac:dyDescent="0.25">
      <c r="A1545" s="290"/>
      <c r="B1545" s="288"/>
      <c r="C1545" s="1061"/>
      <c r="D1545" s="291"/>
      <c r="E1545" s="1044"/>
    </row>
    <row r="1546" spans="1:5" x14ac:dyDescent="0.25">
      <c r="A1546" s="290"/>
      <c r="B1546" s="288"/>
      <c r="C1546" s="1061"/>
      <c r="D1546" s="291"/>
      <c r="E1546" s="1044"/>
    </row>
    <row r="1547" spans="1:5" x14ac:dyDescent="0.25">
      <c r="A1547" s="290"/>
      <c r="B1547" s="288"/>
      <c r="C1547" s="1061"/>
      <c r="D1547" s="291"/>
      <c r="E1547" s="1044"/>
    </row>
    <row r="1548" spans="1:5" x14ac:dyDescent="0.25">
      <c r="A1548" s="290"/>
      <c r="B1548" s="288"/>
      <c r="C1548" s="1061"/>
      <c r="D1548" s="291"/>
      <c r="E1548" s="1044"/>
    </row>
    <row r="1549" spans="1:5" x14ac:dyDescent="0.25">
      <c r="A1549" s="290"/>
      <c r="B1549" s="288"/>
      <c r="C1549" s="1061"/>
      <c r="D1549" s="291"/>
      <c r="E1549" s="1044"/>
    </row>
    <row r="1550" spans="1:5" x14ac:dyDescent="0.25">
      <c r="A1550" s="290"/>
      <c r="B1550" s="288"/>
      <c r="C1550" s="1061"/>
      <c r="D1550" s="291"/>
      <c r="E1550" s="1044"/>
    </row>
    <row r="1551" spans="1:5" x14ac:dyDescent="0.25">
      <c r="A1551" s="290"/>
      <c r="B1551" s="288"/>
      <c r="C1551" s="1061"/>
      <c r="D1551" s="291"/>
      <c r="E1551" s="1044"/>
    </row>
    <row r="1552" spans="1:5" x14ac:dyDescent="0.25">
      <c r="A1552" s="290"/>
      <c r="B1552" s="288"/>
      <c r="C1552" s="1061"/>
      <c r="D1552" s="291"/>
      <c r="E1552" s="1044"/>
    </row>
    <row r="1553" spans="1:5" x14ac:dyDescent="0.25">
      <c r="A1553" s="290"/>
      <c r="B1553" s="288"/>
      <c r="C1553" s="1061"/>
      <c r="D1553" s="291"/>
      <c r="E1553" s="1044"/>
    </row>
    <row r="1554" spans="1:5" x14ac:dyDescent="0.25">
      <c r="A1554" s="290"/>
      <c r="B1554" s="288"/>
      <c r="C1554" s="1061"/>
      <c r="D1554" s="291"/>
      <c r="E1554" s="1044"/>
    </row>
    <row r="1555" spans="1:5" x14ac:dyDescent="0.25">
      <c r="A1555" s="290"/>
      <c r="B1555" s="288"/>
      <c r="C1555" s="1061"/>
      <c r="D1555" s="291"/>
      <c r="E1555" s="1044"/>
    </row>
    <row r="1556" spans="1:5" x14ac:dyDescent="0.25">
      <c r="A1556" s="290"/>
      <c r="B1556" s="288"/>
      <c r="C1556" s="1061"/>
      <c r="D1556" s="291"/>
      <c r="E1556" s="1044"/>
    </row>
    <row r="1557" spans="1:5" x14ac:dyDescent="0.25">
      <c r="A1557" s="290"/>
      <c r="B1557" s="288"/>
      <c r="C1557" s="1061"/>
      <c r="D1557" s="291"/>
      <c r="E1557" s="1044"/>
    </row>
    <row r="1558" spans="1:5" x14ac:dyDescent="0.25">
      <c r="A1558" s="290"/>
      <c r="B1558" s="288"/>
      <c r="C1558" s="1061"/>
      <c r="D1558" s="291"/>
      <c r="E1558" s="1044"/>
    </row>
    <row r="1559" spans="1:5" x14ac:dyDescent="0.25">
      <c r="A1559" s="290"/>
      <c r="B1559" s="288"/>
      <c r="C1559" s="1061"/>
      <c r="D1559" s="291"/>
      <c r="E1559" s="1044"/>
    </row>
    <row r="1560" spans="1:5" x14ac:dyDescent="0.25">
      <c r="A1560" s="290"/>
      <c r="B1560" s="288"/>
      <c r="C1560" s="1061"/>
      <c r="D1560" s="291"/>
      <c r="E1560" s="1044"/>
    </row>
    <row r="1561" spans="1:5" x14ac:dyDescent="0.25">
      <c r="A1561" s="290"/>
      <c r="B1561" s="288"/>
      <c r="C1561" s="1061"/>
      <c r="D1561" s="291"/>
      <c r="E1561" s="1044"/>
    </row>
    <row r="1562" spans="1:5" x14ac:dyDescent="0.25">
      <c r="A1562" s="290"/>
      <c r="B1562" s="288"/>
      <c r="C1562" s="1061"/>
      <c r="D1562" s="291"/>
      <c r="E1562" s="1044"/>
    </row>
    <row r="1563" spans="1:5" x14ac:dyDescent="0.25">
      <c r="A1563" s="290"/>
      <c r="B1563" s="288"/>
      <c r="C1563" s="1061"/>
      <c r="D1563" s="291"/>
      <c r="E1563" s="1044"/>
    </row>
    <row r="1564" spans="1:5" x14ac:dyDescent="0.25">
      <c r="A1564" s="290"/>
      <c r="B1564" s="288"/>
      <c r="C1564" s="1061"/>
      <c r="D1564" s="291"/>
      <c r="E1564" s="1044"/>
    </row>
    <row r="1565" spans="1:5" x14ac:dyDescent="0.25">
      <c r="A1565" s="290"/>
      <c r="B1565" s="288"/>
      <c r="C1565" s="1061"/>
      <c r="D1565" s="291"/>
      <c r="E1565" s="1044"/>
    </row>
    <row r="1566" spans="1:5" x14ac:dyDescent="0.25">
      <c r="A1566" s="290"/>
      <c r="B1566" s="288"/>
      <c r="C1566" s="1061"/>
      <c r="D1566" s="291"/>
      <c r="E1566" s="1044"/>
    </row>
    <row r="1567" spans="1:5" x14ac:dyDescent="0.25">
      <c r="A1567" s="290"/>
      <c r="B1567" s="288"/>
      <c r="C1567" s="1061"/>
      <c r="D1567" s="291"/>
      <c r="E1567" s="1044"/>
    </row>
    <row r="1568" spans="1:5" x14ac:dyDescent="0.25">
      <c r="A1568" s="290"/>
      <c r="B1568" s="288"/>
      <c r="C1568" s="1061"/>
      <c r="D1568" s="291"/>
      <c r="E1568" s="1044"/>
    </row>
    <row r="1569" spans="1:5" x14ac:dyDescent="0.25">
      <c r="A1569" s="290"/>
      <c r="B1569" s="288"/>
      <c r="C1569" s="1061"/>
      <c r="D1569" s="291"/>
      <c r="E1569" s="1044"/>
    </row>
    <row r="1570" spans="1:5" x14ac:dyDescent="0.25">
      <c r="A1570" s="290"/>
      <c r="B1570" s="288"/>
      <c r="C1570" s="1061"/>
      <c r="D1570" s="291"/>
      <c r="E1570" s="1044"/>
    </row>
    <row r="1571" spans="1:5" x14ac:dyDescent="0.25">
      <c r="A1571" s="290"/>
      <c r="B1571" s="288"/>
      <c r="C1571" s="1061"/>
      <c r="D1571" s="291"/>
      <c r="E1571" s="1044"/>
    </row>
    <row r="1572" spans="1:5" x14ac:dyDescent="0.25">
      <c r="A1572" s="290"/>
      <c r="B1572" s="288"/>
      <c r="C1572" s="1061"/>
      <c r="D1572" s="291"/>
      <c r="E1572" s="1044"/>
    </row>
    <row r="1573" spans="1:5" x14ac:dyDescent="0.25">
      <c r="A1573" s="290"/>
      <c r="B1573" s="288"/>
      <c r="C1573" s="1061"/>
      <c r="D1573" s="291"/>
      <c r="E1573" s="1044"/>
    </row>
    <row r="1574" spans="1:5" x14ac:dyDescent="0.25">
      <c r="A1574" s="290"/>
      <c r="B1574" s="288"/>
      <c r="C1574" s="1061"/>
      <c r="D1574" s="291"/>
      <c r="E1574" s="1044"/>
    </row>
    <row r="1575" spans="1:5" x14ac:dyDescent="0.25">
      <c r="A1575" s="290"/>
      <c r="B1575" s="288"/>
      <c r="C1575" s="1061"/>
      <c r="D1575" s="291"/>
      <c r="E1575" s="1044"/>
    </row>
    <row r="1576" spans="1:5" x14ac:dyDescent="0.25">
      <c r="A1576" s="290"/>
      <c r="B1576" s="288"/>
      <c r="C1576" s="1061"/>
      <c r="D1576" s="291"/>
      <c r="E1576" s="1044"/>
    </row>
    <row r="1577" spans="1:5" x14ac:dyDescent="0.25">
      <c r="A1577" s="290"/>
      <c r="B1577" s="288"/>
      <c r="C1577" s="1061"/>
      <c r="D1577" s="291"/>
      <c r="E1577" s="1044"/>
    </row>
    <row r="1578" spans="1:5" x14ac:dyDescent="0.25">
      <c r="A1578" s="290"/>
      <c r="B1578" s="288"/>
      <c r="C1578" s="1061"/>
      <c r="D1578" s="291"/>
      <c r="E1578" s="1044"/>
    </row>
    <row r="1579" spans="1:5" x14ac:dyDescent="0.25">
      <c r="A1579" s="290"/>
      <c r="B1579" s="288"/>
      <c r="C1579" s="1061"/>
      <c r="D1579" s="291"/>
      <c r="E1579" s="1044"/>
    </row>
    <row r="1580" spans="1:5" x14ac:dyDescent="0.25">
      <c r="A1580" s="290"/>
      <c r="B1580" s="288"/>
      <c r="C1580" s="1061"/>
      <c r="D1580" s="291"/>
      <c r="E1580" s="1044"/>
    </row>
    <row r="1581" spans="1:5" x14ac:dyDescent="0.25">
      <c r="A1581" s="290"/>
      <c r="B1581" s="288"/>
      <c r="C1581" s="1061"/>
      <c r="D1581" s="291"/>
      <c r="E1581" s="1044"/>
    </row>
    <row r="1582" spans="1:5" x14ac:dyDescent="0.25">
      <c r="A1582" s="290"/>
      <c r="B1582" s="288"/>
      <c r="C1582" s="1061"/>
      <c r="D1582" s="291"/>
      <c r="E1582" s="1044"/>
    </row>
    <row r="1583" spans="1:5" x14ac:dyDescent="0.25">
      <c r="A1583" s="290"/>
      <c r="B1583" s="288"/>
      <c r="C1583" s="1061"/>
      <c r="D1583" s="291"/>
      <c r="E1583" s="1044"/>
    </row>
    <row r="1584" spans="1:5" x14ac:dyDescent="0.25">
      <c r="A1584" s="290"/>
      <c r="B1584" s="288"/>
      <c r="C1584" s="1061"/>
      <c r="D1584" s="291"/>
      <c r="E1584" s="1044"/>
    </row>
    <row r="1585" spans="1:5" x14ac:dyDescent="0.25">
      <c r="A1585" s="290"/>
      <c r="B1585" s="288"/>
      <c r="C1585" s="1061"/>
      <c r="D1585" s="291"/>
      <c r="E1585" s="1044"/>
    </row>
    <row r="1586" spans="1:5" x14ac:dyDescent="0.25">
      <c r="A1586" s="290"/>
      <c r="B1586" s="288"/>
      <c r="C1586" s="1061"/>
      <c r="D1586" s="291"/>
      <c r="E1586" s="1044"/>
    </row>
    <row r="1587" spans="1:5" x14ac:dyDescent="0.25">
      <c r="A1587" s="290"/>
      <c r="B1587" s="288"/>
      <c r="C1587" s="1061"/>
      <c r="D1587" s="291"/>
      <c r="E1587" s="1044"/>
    </row>
    <row r="1588" spans="1:5" x14ac:dyDescent="0.25">
      <c r="A1588" s="290"/>
      <c r="B1588" s="288"/>
      <c r="C1588" s="1061"/>
      <c r="D1588" s="291"/>
      <c r="E1588" s="1044"/>
    </row>
    <row r="1589" spans="1:5" x14ac:dyDescent="0.25">
      <c r="A1589" s="290"/>
      <c r="B1589" s="288"/>
      <c r="C1589" s="1061"/>
      <c r="D1589" s="291"/>
      <c r="E1589" s="1044"/>
    </row>
    <row r="1590" spans="1:5" x14ac:dyDescent="0.25">
      <c r="A1590" s="290"/>
      <c r="B1590" s="288"/>
      <c r="C1590" s="1061"/>
      <c r="D1590" s="291"/>
      <c r="E1590" s="1044"/>
    </row>
    <row r="1591" spans="1:5" x14ac:dyDescent="0.25">
      <c r="A1591" s="290"/>
      <c r="B1591" s="288"/>
      <c r="C1591" s="1061"/>
      <c r="D1591" s="291"/>
      <c r="E1591" s="1044"/>
    </row>
    <row r="1592" spans="1:5" x14ac:dyDescent="0.25">
      <c r="A1592" s="290"/>
      <c r="B1592" s="288"/>
      <c r="C1592" s="1061"/>
      <c r="D1592" s="291"/>
      <c r="E1592" s="1044"/>
    </row>
    <row r="1593" spans="1:5" x14ac:dyDescent="0.25">
      <c r="A1593" s="290"/>
      <c r="B1593" s="288"/>
      <c r="C1593" s="1061"/>
      <c r="D1593" s="291"/>
      <c r="E1593" s="1044"/>
    </row>
    <row r="1594" spans="1:5" x14ac:dyDescent="0.25">
      <c r="A1594" s="290"/>
      <c r="B1594" s="288"/>
      <c r="C1594" s="1061"/>
      <c r="D1594" s="291"/>
      <c r="E1594" s="1044"/>
    </row>
    <row r="1595" spans="1:5" x14ac:dyDescent="0.25">
      <c r="A1595" s="290"/>
      <c r="B1595" s="288"/>
      <c r="C1595" s="1061"/>
      <c r="D1595" s="291"/>
      <c r="E1595" s="1044"/>
    </row>
    <row r="1596" spans="1:5" x14ac:dyDescent="0.25">
      <c r="A1596" s="290"/>
      <c r="B1596" s="288"/>
      <c r="C1596" s="1061"/>
      <c r="D1596" s="291"/>
      <c r="E1596" s="1044"/>
    </row>
    <row r="1597" spans="1:5" x14ac:dyDescent="0.25">
      <c r="A1597" s="290"/>
      <c r="B1597" s="288"/>
      <c r="C1597" s="1061"/>
      <c r="D1597" s="291"/>
      <c r="E1597" s="1044"/>
    </row>
    <row r="1598" spans="1:5" x14ac:dyDescent="0.25">
      <c r="A1598" s="290"/>
      <c r="B1598" s="288"/>
      <c r="C1598" s="1061"/>
      <c r="D1598" s="291"/>
      <c r="E1598" s="1044"/>
    </row>
    <row r="1599" spans="1:5" x14ac:dyDescent="0.25">
      <c r="A1599" s="290"/>
      <c r="B1599" s="288"/>
      <c r="C1599" s="1061"/>
      <c r="D1599" s="291"/>
      <c r="E1599" s="1044"/>
    </row>
    <row r="1600" spans="1:5" x14ac:dyDescent="0.25">
      <c r="A1600" s="290"/>
      <c r="B1600" s="288"/>
      <c r="C1600" s="1061"/>
      <c r="D1600" s="291"/>
      <c r="E1600" s="1044"/>
    </row>
    <row r="1601" spans="1:5" x14ac:dyDescent="0.25">
      <c r="A1601" s="290"/>
      <c r="B1601" s="288"/>
      <c r="C1601" s="1061"/>
      <c r="D1601" s="291"/>
      <c r="E1601" s="1044"/>
    </row>
    <row r="1602" spans="1:5" x14ac:dyDescent="0.25">
      <c r="A1602" s="290"/>
      <c r="B1602" s="288"/>
      <c r="C1602" s="1061"/>
      <c r="D1602" s="291"/>
      <c r="E1602" s="1044"/>
    </row>
    <row r="1603" spans="1:5" x14ac:dyDescent="0.25">
      <c r="A1603" s="290"/>
      <c r="B1603" s="288"/>
      <c r="C1603" s="1061"/>
      <c r="D1603" s="291"/>
      <c r="E1603" s="1044"/>
    </row>
    <row r="1604" spans="1:5" x14ac:dyDescent="0.25">
      <c r="A1604" s="290"/>
      <c r="B1604" s="288"/>
      <c r="C1604" s="1061"/>
      <c r="D1604" s="291"/>
      <c r="E1604" s="1044"/>
    </row>
    <row r="1605" spans="1:5" x14ac:dyDescent="0.25">
      <c r="A1605" s="290"/>
      <c r="B1605" s="288"/>
      <c r="C1605" s="1061"/>
      <c r="D1605" s="291"/>
      <c r="E1605" s="1044"/>
    </row>
    <row r="1606" spans="1:5" x14ac:dyDescent="0.25">
      <c r="A1606" s="290"/>
      <c r="B1606" s="288"/>
      <c r="C1606" s="1061"/>
      <c r="D1606" s="291"/>
      <c r="E1606" s="1044"/>
    </row>
    <row r="1607" spans="1:5" x14ac:dyDescent="0.25">
      <c r="A1607" s="290"/>
      <c r="B1607" s="288"/>
      <c r="C1607" s="1061"/>
      <c r="D1607" s="291"/>
      <c r="E1607" s="1044"/>
    </row>
    <row r="1608" spans="1:5" x14ac:dyDescent="0.25">
      <c r="A1608" s="290"/>
      <c r="B1608" s="288"/>
      <c r="C1608" s="1061"/>
      <c r="D1608" s="291"/>
      <c r="E1608" s="1044"/>
    </row>
    <row r="1609" spans="1:5" x14ac:dyDescent="0.25">
      <c r="A1609" s="290"/>
      <c r="B1609" s="288"/>
      <c r="C1609" s="1061"/>
      <c r="D1609" s="291"/>
      <c r="E1609" s="1044"/>
    </row>
    <row r="1610" spans="1:5" x14ac:dyDescent="0.25">
      <c r="A1610" s="290"/>
      <c r="B1610" s="288"/>
      <c r="C1610" s="1061"/>
      <c r="D1610" s="291"/>
      <c r="E1610" s="1044"/>
    </row>
    <row r="1611" spans="1:5" x14ac:dyDescent="0.25">
      <c r="A1611" s="290"/>
      <c r="B1611" s="288"/>
      <c r="C1611" s="1061"/>
      <c r="D1611" s="291"/>
      <c r="E1611" s="1044"/>
    </row>
    <row r="1612" spans="1:5" x14ac:dyDescent="0.25">
      <c r="A1612" s="290"/>
      <c r="B1612" s="288"/>
      <c r="C1612" s="1061"/>
      <c r="D1612" s="291"/>
      <c r="E1612" s="1044"/>
    </row>
    <row r="1613" spans="1:5" x14ac:dyDescent="0.25">
      <c r="A1613" s="290"/>
      <c r="B1613" s="288"/>
      <c r="C1613" s="1061"/>
      <c r="D1613" s="291"/>
      <c r="E1613" s="1044"/>
    </row>
    <row r="1614" spans="1:5" x14ac:dyDescent="0.25">
      <c r="A1614" s="290"/>
      <c r="B1614" s="288"/>
      <c r="C1614" s="1061"/>
      <c r="D1614" s="291"/>
      <c r="E1614" s="1044"/>
    </row>
    <row r="1615" spans="1:5" x14ac:dyDescent="0.25">
      <c r="A1615" s="290"/>
      <c r="B1615" s="288"/>
      <c r="C1615" s="1061"/>
      <c r="D1615" s="291"/>
      <c r="E1615" s="1044"/>
    </row>
    <row r="1616" spans="1:5" x14ac:dyDescent="0.25">
      <c r="A1616" s="290"/>
      <c r="B1616" s="288"/>
      <c r="C1616" s="1061"/>
      <c r="D1616" s="291"/>
      <c r="E1616" s="1044"/>
    </row>
    <row r="1617" spans="1:5" x14ac:dyDescent="0.25">
      <c r="A1617" s="290"/>
      <c r="B1617" s="288"/>
      <c r="C1617" s="1061"/>
      <c r="D1617" s="291"/>
      <c r="E1617" s="1044"/>
    </row>
    <row r="1618" spans="1:5" x14ac:dyDescent="0.25">
      <c r="A1618" s="290"/>
      <c r="B1618" s="288"/>
      <c r="C1618" s="1061"/>
      <c r="D1618" s="291"/>
      <c r="E1618" s="1044"/>
    </row>
    <row r="1619" spans="1:5" x14ac:dyDescent="0.25">
      <c r="A1619" s="290"/>
      <c r="B1619" s="288"/>
      <c r="C1619" s="1061"/>
      <c r="D1619" s="291"/>
      <c r="E1619" s="1044"/>
    </row>
    <row r="1620" spans="1:5" x14ac:dyDescent="0.25">
      <c r="A1620" s="290"/>
      <c r="B1620" s="288"/>
      <c r="C1620" s="1061"/>
      <c r="D1620" s="291"/>
      <c r="E1620" s="1044"/>
    </row>
    <row r="1621" spans="1:5" x14ac:dyDescent="0.25">
      <c r="A1621" s="290"/>
      <c r="B1621" s="288"/>
      <c r="C1621" s="1061"/>
      <c r="D1621" s="291"/>
      <c r="E1621" s="1044"/>
    </row>
    <row r="1622" spans="1:5" x14ac:dyDescent="0.25">
      <c r="A1622" s="290"/>
      <c r="B1622" s="288"/>
      <c r="C1622" s="1061"/>
      <c r="D1622" s="291"/>
      <c r="E1622" s="1044"/>
    </row>
    <row r="1623" spans="1:5" x14ac:dyDescent="0.25">
      <c r="A1623" s="290"/>
      <c r="B1623" s="288"/>
      <c r="C1623" s="1061"/>
      <c r="D1623" s="291"/>
      <c r="E1623" s="1044"/>
    </row>
    <row r="1624" spans="1:5" x14ac:dyDescent="0.25">
      <c r="A1624" s="290"/>
      <c r="B1624" s="288"/>
      <c r="C1624" s="1061"/>
      <c r="D1624" s="291"/>
      <c r="E1624" s="1044"/>
    </row>
    <row r="1625" spans="1:5" x14ac:dyDescent="0.25">
      <c r="A1625" s="290"/>
      <c r="B1625" s="288"/>
      <c r="C1625" s="1061"/>
      <c r="D1625" s="291"/>
      <c r="E1625" s="1044"/>
    </row>
    <row r="1626" spans="1:5" x14ac:dyDescent="0.25">
      <c r="A1626" s="290"/>
      <c r="B1626" s="288"/>
      <c r="C1626" s="1061"/>
      <c r="D1626" s="291"/>
      <c r="E1626" s="1044"/>
    </row>
    <row r="1627" spans="1:5" x14ac:dyDescent="0.25">
      <c r="A1627" s="290"/>
      <c r="B1627" s="288"/>
      <c r="C1627" s="1061"/>
      <c r="D1627" s="291"/>
      <c r="E1627" s="1044"/>
    </row>
    <row r="1628" spans="1:5" x14ac:dyDescent="0.25">
      <c r="A1628" s="290"/>
      <c r="B1628" s="288"/>
      <c r="C1628" s="1061"/>
      <c r="D1628" s="291"/>
      <c r="E1628" s="1044"/>
    </row>
    <row r="1629" spans="1:5" x14ac:dyDescent="0.25">
      <c r="A1629" s="290"/>
      <c r="B1629" s="288"/>
      <c r="C1629" s="1061"/>
      <c r="D1629" s="291"/>
      <c r="E1629" s="1044"/>
    </row>
    <row r="1630" spans="1:5" x14ac:dyDescent="0.25">
      <c r="A1630" s="290"/>
      <c r="B1630" s="288"/>
      <c r="C1630" s="1061"/>
      <c r="D1630" s="291"/>
      <c r="E1630" s="1044"/>
    </row>
    <row r="1631" spans="1:5" x14ac:dyDescent="0.25">
      <c r="A1631" s="290"/>
      <c r="B1631" s="288"/>
      <c r="C1631" s="1061"/>
      <c r="D1631" s="291"/>
      <c r="E1631" s="1044"/>
    </row>
    <row r="1632" spans="1:5" x14ac:dyDescent="0.25">
      <c r="A1632" s="290"/>
      <c r="B1632" s="288"/>
      <c r="C1632" s="1061"/>
      <c r="D1632" s="291"/>
      <c r="E1632" s="1044"/>
    </row>
    <row r="1633" spans="1:5" x14ac:dyDescent="0.25">
      <c r="A1633" s="290"/>
      <c r="B1633" s="288"/>
      <c r="C1633" s="1061"/>
      <c r="D1633" s="291"/>
      <c r="E1633" s="1044"/>
    </row>
    <row r="1634" spans="1:5" x14ac:dyDescent="0.25">
      <c r="A1634" s="290"/>
      <c r="B1634" s="288"/>
      <c r="C1634" s="1061"/>
      <c r="D1634" s="291"/>
      <c r="E1634" s="1044"/>
    </row>
    <row r="1635" spans="1:5" x14ac:dyDescent="0.25">
      <c r="A1635" s="290"/>
      <c r="B1635" s="288"/>
      <c r="C1635" s="1061"/>
      <c r="D1635" s="291"/>
      <c r="E1635" s="1044"/>
    </row>
    <row r="1636" spans="1:5" x14ac:dyDescent="0.25">
      <c r="A1636" s="290"/>
      <c r="B1636" s="288"/>
      <c r="C1636" s="1061"/>
      <c r="D1636" s="291"/>
      <c r="E1636" s="1044"/>
    </row>
    <row r="1637" spans="1:5" x14ac:dyDescent="0.25">
      <c r="A1637" s="290"/>
      <c r="B1637" s="288"/>
      <c r="C1637" s="1061"/>
      <c r="D1637" s="291"/>
      <c r="E1637" s="1044"/>
    </row>
    <row r="1638" spans="1:5" x14ac:dyDescent="0.25">
      <c r="A1638" s="290"/>
      <c r="B1638" s="288"/>
      <c r="C1638" s="1061"/>
      <c r="D1638" s="291"/>
      <c r="E1638" s="1044"/>
    </row>
    <row r="1639" spans="1:5" x14ac:dyDescent="0.25">
      <c r="A1639" s="290"/>
      <c r="B1639" s="288"/>
      <c r="C1639" s="1061"/>
      <c r="D1639" s="291"/>
      <c r="E1639" s="1044"/>
    </row>
    <row r="1640" spans="1:5" x14ac:dyDescent="0.25">
      <c r="A1640" s="290"/>
      <c r="B1640" s="288"/>
      <c r="C1640" s="1061"/>
      <c r="D1640" s="291"/>
      <c r="E1640" s="1044"/>
    </row>
    <row r="1641" spans="1:5" x14ac:dyDescent="0.25">
      <c r="A1641" s="290"/>
      <c r="B1641" s="288"/>
      <c r="C1641" s="1061"/>
      <c r="D1641" s="291"/>
      <c r="E1641" s="1044"/>
    </row>
    <row r="1642" spans="1:5" x14ac:dyDescent="0.25">
      <c r="A1642" s="290"/>
      <c r="B1642" s="288"/>
      <c r="C1642" s="1061"/>
      <c r="D1642" s="291"/>
      <c r="E1642" s="1044"/>
    </row>
    <row r="1643" spans="1:5" x14ac:dyDescent="0.25">
      <c r="A1643" s="290"/>
      <c r="B1643" s="288"/>
      <c r="C1643" s="1061"/>
      <c r="D1643" s="291"/>
      <c r="E1643" s="1044"/>
    </row>
    <row r="1644" spans="1:5" x14ac:dyDescent="0.25">
      <c r="A1644" s="290"/>
      <c r="B1644" s="288"/>
      <c r="C1644" s="1061"/>
      <c r="D1644" s="291"/>
      <c r="E1644" s="1044"/>
    </row>
    <row r="1645" spans="1:5" x14ac:dyDescent="0.25">
      <c r="A1645" s="290"/>
      <c r="B1645" s="288"/>
      <c r="C1645" s="1061"/>
      <c r="D1645" s="291"/>
      <c r="E1645" s="1044"/>
    </row>
    <row r="1646" spans="1:5" x14ac:dyDescent="0.25">
      <c r="A1646" s="290"/>
      <c r="B1646" s="288"/>
      <c r="C1646" s="1061"/>
      <c r="D1646" s="291"/>
      <c r="E1646" s="1044"/>
    </row>
    <row r="1647" spans="1:5" x14ac:dyDescent="0.25">
      <c r="A1647" s="290"/>
      <c r="B1647" s="288"/>
      <c r="C1647" s="1061"/>
      <c r="D1647" s="291"/>
      <c r="E1647" s="1044"/>
    </row>
    <row r="1648" spans="1:5" x14ac:dyDescent="0.25">
      <c r="A1648" s="290"/>
      <c r="B1648" s="288"/>
      <c r="C1648" s="1061"/>
      <c r="D1648" s="291"/>
      <c r="E1648" s="1044"/>
    </row>
    <row r="1649" spans="1:5" x14ac:dyDescent="0.25">
      <c r="A1649" s="290"/>
      <c r="B1649" s="288"/>
      <c r="C1649" s="1061"/>
      <c r="D1649" s="291"/>
      <c r="E1649" s="1044"/>
    </row>
    <row r="1650" spans="1:5" x14ac:dyDescent="0.25">
      <c r="A1650" s="290"/>
      <c r="B1650" s="288"/>
      <c r="C1650" s="1061"/>
      <c r="D1650" s="291"/>
      <c r="E1650" s="1044"/>
    </row>
    <row r="1651" spans="1:5" x14ac:dyDescent="0.25">
      <c r="A1651" s="290"/>
      <c r="B1651" s="288"/>
      <c r="C1651" s="1061"/>
      <c r="D1651" s="291"/>
      <c r="E1651" s="1044"/>
    </row>
    <row r="1652" spans="1:5" x14ac:dyDescent="0.25">
      <c r="A1652" s="290"/>
      <c r="B1652" s="288"/>
      <c r="C1652" s="1061"/>
      <c r="D1652" s="291"/>
      <c r="E1652" s="1044"/>
    </row>
    <row r="1653" spans="1:5" x14ac:dyDescent="0.25">
      <c r="A1653" s="290"/>
      <c r="B1653" s="288"/>
      <c r="C1653" s="1061"/>
      <c r="D1653" s="291"/>
      <c r="E1653" s="1044"/>
    </row>
    <row r="1654" spans="1:5" x14ac:dyDescent="0.25">
      <c r="A1654" s="290"/>
      <c r="B1654" s="288"/>
      <c r="C1654" s="1061"/>
      <c r="D1654" s="291"/>
      <c r="E1654" s="1044"/>
    </row>
    <row r="1655" spans="1:5" x14ac:dyDescent="0.25">
      <c r="A1655" s="290"/>
      <c r="B1655" s="288"/>
      <c r="C1655" s="1061"/>
      <c r="D1655" s="291"/>
      <c r="E1655" s="1044"/>
    </row>
    <row r="1656" spans="1:5" x14ac:dyDescent="0.25">
      <c r="A1656" s="290"/>
      <c r="B1656" s="288"/>
      <c r="C1656" s="1061"/>
      <c r="D1656" s="291"/>
      <c r="E1656" s="1044"/>
    </row>
    <row r="1657" spans="1:5" x14ac:dyDescent="0.25">
      <c r="A1657" s="290"/>
      <c r="B1657" s="288"/>
      <c r="C1657" s="1061"/>
      <c r="D1657" s="291"/>
      <c r="E1657" s="1044"/>
    </row>
    <row r="1658" spans="1:5" x14ac:dyDescent="0.25">
      <c r="A1658" s="290"/>
      <c r="B1658" s="288"/>
      <c r="C1658" s="1061"/>
      <c r="D1658" s="291"/>
      <c r="E1658" s="1044"/>
    </row>
    <row r="1659" spans="1:5" x14ac:dyDescent="0.25">
      <c r="A1659" s="290"/>
      <c r="B1659" s="288"/>
      <c r="C1659" s="1061"/>
      <c r="D1659" s="291"/>
      <c r="E1659" s="1044"/>
    </row>
    <row r="1660" spans="1:5" x14ac:dyDescent="0.25">
      <c r="A1660" s="290"/>
      <c r="B1660" s="288"/>
      <c r="C1660" s="1061"/>
      <c r="D1660" s="291"/>
      <c r="E1660" s="1044"/>
    </row>
    <row r="1661" spans="1:5" x14ac:dyDescent="0.25">
      <c r="A1661" s="290"/>
      <c r="B1661" s="288"/>
      <c r="C1661" s="1061"/>
      <c r="D1661" s="291"/>
      <c r="E1661" s="1044"/>
    </row>
    <row r="1662" spans="1:5" x14ac:dyDescent="0.25">
      <c r="A1662" s="290"/>
      <c r="B1662" s="288"/>
      <c r="C1662" s="1061"/>
      <c r="D1662" s="291"/>
      <c r="E1662" s="1044"/>
    </row>
    <row r="1663" spans="1:5" x14ac:dyDescent="0.25">
      <c r="A1663" s="290"/>
      <c r="B1663" s="288"/>
      <c r="C1663" s="1061"/>
      <c r="D1663" s="291"/>
      <c r="E1663" s="1044"/>
    </row>
    <row r="1664" spans="1:5" x14ac:dyDescent="0.25">
      <c r="A1664" s="290"/>
      <c r="B1664" s="288"/>
      <c r="C1664" s="1061"/>
      <c r="D1664" s="291"/>
      <c r="E1664" s="1044"/>
    </row>
    <row r="1665" spans="1:5" x14ac:dyDescent="0.25">
      <c r="A1665" s="290"/>
      <c r="B1665" s="288"/>
      <c r="C1665" s="1061"/>
      <c r="D1665" s="291"/>
      <c r="E1665" s="1044"/>
    </row>
    <row r="1666" spans="1:5" x14ac:dyDescent="0.25">
      <c r="A1666" s="290"/>
      <c r="B1666" s="288"/>
      <c r="C1666" s="1061"/>
      <c r="D1666" s="291"/>
      <c r="E1666" s="1044"/>
    </row>
    <row r="1667" spans="1:5" x14ac:dyDescent="0.25">
      <c r="A1667" s="290"/>
      <c r="B1667" s="288"/>
      <c r="C1667" s="1061"/>
      <c r="D1667" s="291"/>
      <c r="E1667" s="1044"/>
    </row>
    <row r="1668" spans="1:5" x14ac:dyDescent="0.25">
      <c r="A1668" s="290"/>
      <c r="B1668" s="288"/>
      <c r="C1668" s="1061"/>
      <c r="D1668" s="291"/>
      <c r="E1668" s="1044"/>
    </row>
    <row r="1669" spans="1:5" x14ac:dyDescent="0.25">
      <c r="A1669" s="290"/>
      <c r="B1669" s="288"/>
      <c r="C1669" s="1061"/>
      <c r="D1669" s="291"/>
      <c r="E1669" s="1044"/>
    </row>
    <row r="1670" spans="1:5" x14ac:dyDescent="0.25">
      <c r="A1670" s="290"/>
      <c r="B1670" s="288"/>
      <c r="C1670" s="1061"/>
      <c r="D1670" s="291"/>
      <c r="E1670" s="1044"/>
    </row>
    <row r="1671" spans="1:5" x14ac:dyDescent="0.25">
      <c r="A1671" s="290"/>
      <c r="B1671" s="288"/>
      <c r="C1671" s="1061"/>
      <c r="D1671" s="291"/>
      <c r="E1671" s="1044"/>
    </row>
    <row r="1672" spans="1:5" x14ac:dyDescent="0.25">
      <c r="A1672" s="290"/>
      <c r="B1672" s="288"/>
      <c r="C1672" s="1061"/>
      <c r="D1672" s="291"/>
      <c r="E1672" s="1044"/>
    </row>
    <row r="1673" spans="1:5" x14ac:dyDescent="0.25">
      <c r="A1673" s="290"/>
      <c r="B1673" s="288"/>
      <c r="C1673" s="1061"/>
      <c r="D1673" s="291"/>
      <c r="E1673" s="1044"/>
    </row>
    <row r="1674" spans="1:5" x14ac:dyDescent="0.25">
      <c r="A1674" s="290"/>
      <c r="B1674" s="288"/>
      <c r="C1674" s="1061"/>
      <c r="D1674" s="291"/>
      <c r="E1674" s="1044"/>
    </row>
    <row r="1675" spans="1:5" x14ac:dyDescent="0.25">
      <c r="A1675" s="290"/>
      <c r="B1675" s="288"/>
      <c r="C1675" s="1061"/>
      <c r="D1675" s="291"/>
      <c r="E1675" s="1044"/>
    </row>
    <row r="1676" spans="1:5" x14ac:dyDescent="0.25">
      <c r="A1676" s="290"/>
      <c r="B1676" s="288"/>
      <c r="C1676" s="1061"/>
      <c r="D1676" s="291"/>
      <c r="E1676" s="1044"/>
    </row>
    <row r="1677" spans="1:5" x14ac:dyDescent="0.25">
      <c r="A1677" s="290"/>
      <c r="B1677" s="288"/>
      <c r="C1677" s="1061"/>
      <c r="D1677" s="291"/>
      <c r="E1677" s="1044"/>
    </row>
    <row r="1678" spans="1:5" x14ac:dyDescent="0.25">
      <c r="A1678" s="290"/>
      <c r="B1678" s="288"/>
      <c r="C1678" s="1061"/>
      <c r="D1678" s="291"/>
      <c r="E1678" s="1044"/>
    </row>
    <row r="1679" spans="1:5" x14ac:dyDescent="0.25">
      <c r="A1679" s="290"/>
      <c r="B1679" s="288"/>
      <c r="C1679" s="1061"/>
      <c r="D1679" s="291"/>
      <c r="E1679" s="1044"/>
    </row>
    <row r="1680" spans="1:5" x14ac:dyDescent="0.25">
      <c r="A1680" s="290"/>
      <c r="B1680" s="288"/>
      <c r="C1680" s="1061"/>
      <c r="D1680" s="291"/>
      <c r="E1680" s="1044"/>
    </row>
    <row r="1681" spans="1:5" x14ac:dyDescent="0.25">
      <c r="A1681" s="290"/>
      <c r="B1681" s="288"/>
      <c r="C1681" s="1061"/>
      <c r="D1681" s="291"/>
      <c r="E1681" s="1044"/>
    </row>
    <row r="1682" spans="1:5" x14ac:dyDescent="0.25">
      <c r="A1682" s="290"/>
      <c r="B1682" s="288"/>
      <c r="C1682" s="1061"/>
      <c r="D1682" s="291"/>
      <c r="E1682" s="1044"/>
    </row>
    <row r="1683" spans="1:5" x14ac:dyDescent="0.25">
      <c r="A1683" s="290"/>
      <c r="B1683" s="288"/>
      <c r="C1683" s="1061"/>
      <c r="D1683" s="291"/>
      <c r="E1683" s="1044"/>
    </row>
    <row r="1684" spans="1:5" x14ac:dyDescent="0.25">
      <c r="A1684" s="290"/>
      <c r="B1684" s="288"/>
      <c r="C1684" s="1061"/>
      <c r="D1684" s="291"/>
      <c r="E1684" s="1044"/>
    </row>
    <row r="1685" spans="1:5" x14ac:dyDescent="0.25">
      <c r="A1685" s="290"/>
      <c r="B1685" s="288"/>
      <c r="C1685" s="1061"/>
      <c r="D1685" s="291"/>
      <c r="E1685" s="1044"/>
    </row>
    <row r="1686" spans="1:5" x14ac:dyDescent="0.25">
      <c r="A1686" s="290"/>
      <c r="B1686" s="288"/>
      <c r="C1686" s="1061"/>
      <c r="D1686" s="291"/>
      <c r="E1686" s="1044"/>
    </row>
    <row r="1687" spans="1:5" x14ac:dyDescent="0.25">
      <c r="A1687" s="290"/>
      <c r="B1687" s="288"/>
      <c r="C1687" s="1061"/>
      <c r="D1687" s="291"/>
      <c r="E1687" s="1044"/>
    </row>
    <row r="1688" spans="1:5" x14ac:dyDescent="0.25">
      <c r="A1688" s="290"/>
      <c r="B1688" s="288"/>
      <c r="C1688" s="1061"/>
      <c r="D1688" s="291"/>
      <c r="E1688" s="1044"/>
    </row>
    <row r="1689" spans="1:5" x14ac:dyDescent="0.25">
      <c r="A1689" s="290"/>
      <c r="B1689" s="288"/>
      <c r="C1689" s="1061"/>
      <c r="D1689" s="291"/>
      <c r="E1689" s="1044"/>
    </row>
    <row r="1690" spans="1:5" x14ac:dyDescent="0.25">
      <c r="A1690" s="290"/>
      <c r="B1690" s="288"/>
      <c r="C1690" s="1061"/>
      <c r="D1690" s="291"/>
      <c r="E1690" s="1044"/>
    </row>
    <row r="1691" spans="1:5" x14ac:dyDescent="0.25">
      <c r="A1691" s="290"/>
      <c r="B1691" s="288"/>
      <c r="C1691" s="1061"/>
      <c r="D1691" s="291"/>
      <c r="E1691" s="1044"/>
    </row>
    <row r="1692" spans="1:5" x14ac:dyDescent="0.25">
      <c r="A1692" s="290"/>
      <c r="B1692" s="288"/>
      <c r="C1692" s="1061"/>
      <c r="D1692" s="291"/>
      <c r="E1692" s="1044"/>
    </row>
    <row r="1693" spans="1:5" x14ac:dyDescent="0.25">
      <c r="A1693" s="290"/>
      <c r="B1693" s="288"/>
      <c r="C1693" s="1061"/>
      <c r="D1693" s="291"/>
      <c r="E1693" s="1044"/>
    </row>
    <row r="1694" spans="1:5" x14ac:dyDescent="0.25">
      <c r="A1694" s="290"/>
      <c r="B1694" s="288"/>
      <c r="C1694" s="1061"/>
      <c r="D1694" s="291"/>
      <c r="E1694" s="1044"/>
    </row>
    <row r="1695" spans="1:5" x14ac:dyDescent="0.25">
      <c r="A1695" s="290"/>
      <c r="B1695" s="288"/>
      <c r="C1695" s="1061"/>
      <c r="D1695" s="291"/>
      <c r="E1695" s="1044"/>
    </row>
    <row r="1696" spans="1:5" x14ac:dyDescent="0.25">
      <c r="A1696" s="290"/>
      <c r="B1696" s="288"/>
      <c r="C1696" s="1061"/>
      <c r="D1696" s="291"/>
      <c r="E1696" s="1044"/>
    </row>
    <row r="1697" spans="1:5" x14ac:dyDescent="0.25">
      <c r="A1697" s="290"/>
      <c r="B1697" s="288"/>
      <c r="C1697" s="1061"/>
      <c r="D1697" s="291"/>
      <c r="E1697" s="1044"/>
    </row>
    <row r="1698" spans="1:5" x14ac:dyDescent="0.25">
      <c r="A1698" s="290"/>
      <c r="B1698" s="288"/>
      <c r="C1698" s="1061"/>
      <c r="D1698" s="291"/>
      <c r="E1698" s="1044"/>
    </row>
    <row r="1699" spans="1:5" x14ac:dyDescent="0.25">
      <c r="A1699" s="290"/>
      <c r="B1699" s="288"/>
      <c r="C1699" s="1061"/>
      <c r="D1699" s="291"/>
      <c r="E1699" s="1044"/>
    </row>
    <row r="1700" spans="1:5" x14ac:dyDescent="0.25">
      <c r="A1700" s="290"/>
      <c r="B1700" s="288"/>
      <c r="C1700" s="1061"/>
      <c r="D1700" s="291"/>
      <c r="E1700" s="1044"/>
    </row>
    <row r="1701" spans="1:5" x14ac:dyDescent="0.25">
      <c r="A1701" s="290"/>
      <c r="B1701" s="288"/>
      <c r="C1701" s="1061"/>
      <c r="D1701" s="291"/>
      <c r="E1701" s="1044"/>
    </row>
    <row r="1702" spans="1:5" x14ac:dyDescent="0.25">
      <c r="A1702" s="290"/>
      <c r="B1702" s="288"/>
      <c r="C1702" s="1061"/>
      <c r="D1702" s="291"/>
      <c r="E1702" s="1044"/>
    </row>
    <row r="1703" spans="1:5" x14ac:dyDescent="0.25">
      <c r="A1703" s="290"/>
      <c r="B1703" s="288"/>
      <c r="C1703" s="1061"/>
      <c r="D1703" s="291"/>
      <c r="E1703" s="1044"/>
    </row>
    <row r="1704" spans="1:5" x14ac:dyDescent="0.25">
      <c r="A1704" s="290"/>
      <c r="B1704" s="288"/>
      <c r="C1704" s="1061"/>
      <c r="D1704" s="291"/>
      <c r="E1704" s="1044"/>
    </row>
    <row r="1705" spans="1:5" x14ac:dyDescent="0.25">
      <c r="A1705" s="290"/>
      <c r="B1705" s="288"/>
      <c r="C1705" s="1061"/>
      <c r="D1705" s="291"/>
      <c r="E1705" s="1044"/>
    </row>
    <row r="1706" spans="1:5" x14ac:dyDescent="0.25">
      <c r="A1706" s="290"/>
      <c r="B1706" s="288"/>
      <c r="C1706" s="1061"/>
      <c r="D1706" s="291"/>
      <c r="E1706" s="1044"/>
    </row>
    <row r="1707" spans="1:5" x14ac:dyDescent="0.25">
      <c r="A1707" s="290"/>
      <c r="B1707" s="288"/>
      <c r="C1707" s="1061"/>
      <c r="D1707" s="291"/>
      <c r="E1707" s="1044"/>
    </row>
    <row r="1708" spans="1:5" x14ac:dyDescent="0.25">
      <c r="A1708" s="290"/>
      <c r="B1708" s="288"/>
      <c r="C1708" s="1061"/>
      <c r="D1708" s="291"/>
      <c r="E1708" s="1044"/>
    </row>
    <row r="1709" spans="1:5" x14ac:dyDescent="0.25">
      <c r="A1709" s="290"/>
      <c r="B1709" s="288"/>
      <c r="C1709" s="1061"/>
      <c r="D1709" s="291"/>
      <c r="E1709" s="1044"/>
    </row>
    <row r="1710" spans="1:5" x14ac:dyDescent="0.25">
      <c r="A1710" s="290"/>
      <c r="B1710" s="288"/>
      <c r="C1710" s="1061"/>
      <c r="D1710" s="291"/>
      <c r="E1710" s="1044"/>
    </row>
    <row r="1711" spans="1:5" x14ac:dyDescent="0.25">
      <c r="A1711" s="290"/>
      <c r="B1711" s="288"/>
      <c r="C1711" s="1061"/>
      <c r="D1711" s="291"/>
      <c r="E1711" s="1044"/>
    </row>
    <row r="1712" spans="1:5" x14ac:dyDescent="0.25">
      <c r="A1712" s="290"/>
      <c r="B1712" s="288"/>
      <c r="C1712" s="1061"/>
      <c r="D1712" s="291"/>
      <c r="E1712" s="1044"/>
    </row>
    <row r="1713" spans="1:5" x14ac:dyDescent="0.25">
      <c r="A1713" s="290"/>
      <c r="B1713" s="288"/>
      <c r="C1713" s="1061"/>
      <c r="D1713" s="291"/>
      <c r="E1713" s="1044"/>
    </row>
    <row r="1714" spans="1:5" x14ac:dyDescent="0.25">
      <c r="A1714" s="290"/>
      <c r="B1714" s="288"/>
      <c r="C1714" s="1061"/>
      <c r="D1714" s="291"/>
      <c r="E1714" s="1044"/>
    </row>
    <row r="1715" spans="1:5" x14ac:dyDescent="0.25">
      <c r="A1715" s="290"/>
      <c r="B1715" s="288"/>
      <c r="C1715" s="1061"/>
      <c r="D1715" s="291"/>
      <c r="E1715" s="1044"/>
    </row>
    <row r="1716" spans="1:5" x14ac:dyDescent="0.25">
      <c r="A1716" s="290"/>
      <c r="B1716" s="288"/>
      <c r="C1716" s="1061"/>
      <c r="D1716" s="291"/>
      <c r="E1716" s="1044"/>
    </row>
    <row r="1717" spans="1:5" x14ac:dyDescent="0.25">
      <c r="A1717" s="290"/>
      <c r="B1717" s="288"/>
      <c r="C1717" s="1061"/>
      <c r="D1717" s="291"/>
      <c r="E1717" s="1044"/>
    </row>
    <row r="1718" spans="1:5" x14ac:dyDescent="0.25">
      <c r="A1718" s="290"/>
      <c r="B1718" s="288"/>
      <c r="C1718" s="1061"/>
      <c r="D1718" s="291"/>
      <c r="E1718" s="1044"/>
    </row>
    <row r="1719" spans="1:5" x14ac:dyDescent="0.25">
      <c r="A1719" s="290"/>
      <c r="B1719" s="288"/>
      <c r="C1719" s="1061"/>
      <c r="D1719" s="291"/>
      <c r="E1719" s="1044"/>
    </row>
    <row r="1720" spans="1:5" x14ac:dyDescent="0.25">
      <c r="A1720" s="290"/>
      <c r="B1720" s="288"/>
      <c r="C1720" s="1061"/>
      <c r="D1720" s="291"/>
      <c r="E1720" s="1044"/>
    </row>
    <row r="1721" spans="1:5" x14ac:dyDescent="0.25">
      <c r="A1721" s="290"/>
      <c r="B1721" s="288"/>
      <c r="C1721" s="1061"/>
      <c r="D1721" s="291"/>
      <c r="E1721" s="1044"/>
    </row>
    <row r="1722" spans="1:5" x14ac:dyDescent="0.25">
      <c r="A1722" s="290"/>
      <c r="B1722" s="288"/>
      <c r="C1722" s="1061"/>
      <c r="D1722" s="291"/>
      <c r="E1722" s="1044"/>
    </row>
    <row r="1723" spans="1:5" x14ac:dyDescent="0.25">
      <c r="A1723" s="290"/>
      <c r="B1723" s="288"/>
      <c r="C1723" s="1061"/>
      <c r="D1723" s="291"/>
      <c r="E1723" s="1044"/>
    </row>
    <row r="1724" spans="1:5" x14ac:dyDescent="0.25">
      <c r="A1724" s="290"/>
      <c r="B1724" s="288"/>
      <c r="C1724" s="1061"/>
      <c r="D1724" s="291"/>
      <c r="E1724" s="1044"/>
    </row>
    <row r="1725" spans="1:5" x14ac:dyDescent="0.25">
      <c r="A1725" s="290"/>
      <c r="B1725" s="288"/>
      <c r="C1725" s="1061"/>
      <c r="D1725" s="291"/>
      <c r="E1725" s="1044"/>
    </row>
    <row r="1726" spans="1:5" x14ac:dyDescent="0.25">
      <c r="A1726" s="290"/>
      <c r="B1726" s="288"/>
      <c r="C1726" s="1061"/>
      <c r="D1726" s="291"/>
      <c r="E1726" s="1044"/>
    </row>
    <row r="1727" spans="1:5" x14ac:dyDescent="0.25">
      <c r="A1727" s="290"/>
      <c r="B1727" s="288"/>
      <c r="C1727" s="1061"/>
      <c r="D1727" s="291"/>
      <c r="E1727" s="1044"/>
    </row>
    <row r="1728" spans="1:5" x14ac:dyDescent="0.25">
      <c r="A1728" s="290"/>
      <c r="B1728" s="288"/>
      <c r="C1728" s="1061"/>
      <c r="D1728" s="291"/>
      <c r="E1728" s="1044"/>
    </row>
    <row r="1729" spans="1:5" x14ac:dyDescent="0.25">
      <c r="A1729" s="290"/>
      <c r="B1729" s="288"/>
      <c r="C1729" s="1061"/>
      <c r="D1729" s="291"/>
      <c r="E1729" s="1044"/>
    </row>
    <row r="1730" spans="1:5" x14ac:dyDescent="0.25">
      <c r="A1730" s="290"/>
      <c r="B1730" s="288"/>
      <c r="C1730" s="1061"/>
      <c r="D1730" s="291"/>
      <c r="E1730" s="1044"/>
    </row>
    <row r="1731" spans="1:5" x14ac:dyDescent="0.25">
      <c r="A1731" s="290"/>
      <c r="B1731" s="288"/>
      <c r="C1731" s="1061"/>
      <c r="D1731" s="291"/>
      <c r="E1731" s="1044"/>
    </row>
    <row r="1732" spans="1:5" x14ac:dyDescent="0.25">
      <c r="A1732" s="290"/>
      <c r="B1732" s="288"/>
      <c r="C1732" s="1061"/>
      <c r="D1732" s="291"/>
      <c r="E1732" s="1044"/>
    </row>
    <row r="1733" spans="1:5" x14ac:dyDescent="0.25">
      <c r="A1733" s="290"/>
      <c r="B1733" s="288"/>
      <c r="C1733" s="1061"/>
      <c r="D1733" s="291"/>
      <c r="E1733" s="1044"/>
    </row>
    <row r="1734" spans="1:5" x14ac:dyDescent="0.25">
      <c r="A1734" s="290"/>
      <c r="B1734" s="288"/>
      <c r="C1734" s="1061"/>
      <c r="D1734" s="291"/>
      <c r="E1734" s="1044"/>
    </row>
    <row r="1735" spans="1:5" x14ac:dyDescent="0.25">
      <c r="A1735" s="290"/>
      <c r="B1735" s="288"/>
      <c r="C1735" s="1061"/>
      <c r="D1735" s="291"/>
      <c r="E1735" s="1044"/>
    </row>
    <row r="1736" spans="1:5" x14ac:dyDescent="0.25">
      <c r="A1736" s="290"/>
      <c r="B1736" s="288"/>
      <c r="C1736" s="1061"/>
      <c r="D1736" s="291"/>
      <c r="E1736" s="1044"/>
    </row>
    <row r="1737" spans="1:5" x14ac:dyDescent="0.25">
      <c r="A1737" s="290"/>
      <c r="B1737" s="288"/>
      <c r="C1737" s="1061"/>
      <c r="D1737" s="291"/>
      <c r="E1737" s="1044"/>
    </row>
    <row r="1738" spans="1:5" x14ac:dyDescent="0.25">
      <c r="A1738" s="290"/>
      <c r="B1738" s="288"/>
      <c r="C1738" s="1061"/>
      <c r="D1738" s="291"/>
      <c r="E1738" s="1044"/>
    </row>
    <row r="1739" spans="1:5" x14ac:dyDescent="0.25">
      <c r="A1739" s="290"/>
      <c r="B1739" s="288"/>
      <c r="C1739" s="1061"/>
      <c r="D1739" s="291"/>
      <c r="E1739" s="1044"/>
    </row>
    <row r="1740" spans="1:5" x14ac:dyDescent="0.25">
      <c r="A1740" s="290"/>
      <c r="B1740" s="288"/>
      <c r="C1740" s="1061"/>
      <c r="D1740" s="291"/>
      <c r="E1740" s="1044"/>
    </row>
    <row r="1741" spans="1:5" x14ac:dyDescent="0.25">
      <c r="A1741" s="290"/>
      <c r="B1741" s="288"/>
      <c r="C1741" s="1061"/>
      <c r="D1741" s="291"/>
      <c r="E1741" s="1044"/>
    </row>
    <row r="1742" spans="1:5" x14ac:dyDescent="0.25">
      <c r="A1742" s="290"/>
      <c r="B1742" s="288"/>
      <c r="C1742" s="1061"/>
      <c r="D1742" s="291"/>
      <c r="E1742" s="1044"/>
    </row>
    <row r="1743" spans="1:5" x14ac:dyDescent="0.25">
      <c r="A1743" s="290"/>
      <c r="B1743" s="288"/>
      <c r="C1743" s="1061"/>
      <c r="D1743" s="291"/>
      <c r="E1743" s="1044"/>
    </row>
    <row r="1744" spans="1:5" x14ac:dyDescent="0.25">
      <c r="A1744" s="290"/>
      <c r="B1744" s="288"/>
      <c r="C1744" s="1061"/>
      <c r="D1744" s="291"/>
      <c r="E1744" s="1044"/>
    </row>
    <row r="1745" spans="1:5" x14ac:dyDescent="0.25">
      <c r="A1745" s="290"/>
      <c r="B1745" s="288"/>
      <c r="C1745" s="1061"/>
      <c r="D1745" s="291"/>
      <c r="E1745" s="1044"/>
    </row>
    <row r="1746" spans="1:5" x14ac:dyDescent="0.25">
      <c r="A1746" s="290"/>
      <c r="B1746" s="288"/>
      <c r="C1746" s="1061"/>
      <c r="D1746" s="291"/>
      <c r="E1746" s="1044"/>
    </row>
    <row r="1747" spans="1:5" x14ac:dyDescent="0.25">
      <c r="A1747" s="290"/>
      <c r="B1747" s="288"/>
      <c r="C1747" s="1061"/>
      <c r="D1747" s="291"/>
      <c r="E1747" s="1044"/>
    </row>
    <row r="1748" spans="1:5" x14ac:dyDescent="0.25">
      <c r="A1748" s="290"/>
      <c r="B1748" s="288"/>
      <c r="C1748" s="1061"/>
      <c r="D1748" s="291"/>
      <c r="E1748" s="1044"/>
    </row>
    <row r="1749" spans="1:5" x14ac:dyDescent="0.25">
      <c r="A1749" s="290"/>
      <c r="B1749" s="288"/>
      <c r="C1749" s="1061"/>
      <c r="D1749" s="291"/>
      <c r="E1749" s="1044"/>
    </row>
    <row r="1750" spans="1:5" x14ac:dyDescent="0.25">
      <c r="A1750" s="290"/>
      <c r="B1750" s="288"/>
      <c r="C1750" s="1061"/>
      <c r="D1750" s="291"/>
      <c r="E1750" s="1044"/>
    </row>
    <row r="1751" spans="1:5" x14ac:dyDescent="0.25">
      <c r="A1751" s="290"/>
      <c r="B1751" s="288"/>
      <c r="C1751" s="1061"/>
      <c r="D1751" s="291"/>
      <c r="E1751" s="1044"/>
    </row>
    <row r="1752" spans="1:5" x14ac:dyDescent="0.25">
      <c r="A1752" s="290"/>
      <c r="B1752" s="288"/>
      <c r="C1752" s="1061"/>
      <c r="D1752" s="291"/>
      <c r="E1752" s="1044"/>
    </row>
    <row r="1753" spans="1:5" x14ac:dyDescent="0.25">
      <c r="A1753" s="290"/>
      <c r="B1753" s="288"/>
      <c r="C1753" s="1061"/>
      <c r="D1753" s="291"/>
      <c r="E1753" s="1044"/>
    </row>
    <row r="1754" spans="1:5" x14ac:dyDescent="0.25">
      <c r="A1754" s="290"/>
      <c r="B1754" s="288"/>
      <c r="C1754" s="1061"/>
      <c r="D1754" s="291"/>
      <c r="E1754" s="1044"/>
    </row>
    <row r="1755" spans="1:5" x14ac:dyDescent="0.25">
      <c r="A1755" s="290"/>
      <c r="B1755" s="288"/>
      <c r="C1755" s="1061"/>
      <c r="D1755" s="291"/>
      <c r="E1755" s="1044"/>
    </row>
    <row r="1756" spans="1:5" x14ac:dyDescent="0.25">
      <c r="A1756" s="290"/>
      <c r="B1756" s="288"/>
      <c r="C1756" s="1061"/>
      <c r="D1756" s="291"/>
      <c r="E1756" s="1044"/>
    </row>
    <row r="1757" spans="1:5" x14ac:dyDescent="0.25">
      <c r="A1757" s="290"/>
      <c r="B1757" s="288"/>
      <c r="C1757" s="1061"/>
      <c r="D1757" s="291"/>
      <c r="E1757" s="1044"/>
    </row>
    <row r="1758" spans="1:5" x14ac:dyDescent="0.25">
      <c r="A1758" s="290"/>
      <c r="B1758" s="288"/>
      <c r="C1758" s="1061"/>
      <c r="D1758" s="291"/>
      <c r="E1758" s="1044"/>
    </row>
    <row r="1759" spans="1:5" x14ac:dyDescent="0.25">
      <c r="A1759" s="290"/>
      <c r="B1759" s="288"/>
      <c r="C1759" s="1061"/>
      <c r="D1759" s="291"/>
      <c r="E1759" s="1044"/>
    </row>
    <row r="1760" spans="1:5" x14ac:dyDescent="0.25">
      <c r="A1760" s="290"/>
      <c r="B1760" s="288"/>
      <c r="C1760" s="1061"/>
      <c r="D1760" s="291"/>
      <c r="E1760" s="1044"/>
    </row>
    <row r="1761" spans="1:5" x14ac:dyDescent="0.25">
      <c r="A1761" s="290"/>
      <c r="B1761" s="288"/>
      <c r="C1761" s="1061"/>
      <c r="D1761" s="291"/>
      <c r="E1761" s="1044"/>
    </row>
    <row r="1762" spans="1:5" x14ac:dyDescent="0.25">
      <c r="A1762" s="290"/>
      <c r="B1762" s="288"/>
      <c r="C1762" s="1061"/>
      <c r="D1762" s="291"/>
      <c r="E1762" s="1044"/>
    </row>
    <row r="1763" spans="1:5" x14ac:dyDescent="0.25">
      <c r="A1763" s="290"/>
      <c r="B1763" s="288"/>
      <c r="C1763" s="1061"/>
      <c r="D1763" s="291"/>
      <c r="E1763" s="1044"/>
    </row>
    <row r="1764" spans="1:5" x14ac:dyDescent="0.25">
      <c r="A1764" s="290"/>
      <c r="B1764" s="288"/>
      <c r="C1764" s="1061"/>
      <c r="D1764" s="291"/>
      <c r="E1764" s="1044"/>
    </row>
    <row r="1765" spans="1:5" x14ac:dyDescent="0.25">
      <c r="A1765" s="290"/>
      <c r="B1765" s="288"/>
      <c r="C1765" s="1061"/>
      <c r="D1765" s="291"/>
      <c r="E1765" s="1044"/>
    </row>
    <row r="1766" spans="1:5" x14ac:dyDescent="0.25">
      <c r="A1766" s="290"/>
      <c r="B1766" s="288"/>
      <c r="C1766" s="1061"/>
      <c r="D1766" s="291"/>
      <c r="E1766" s="1044"/>
    </row>
    <row r="1767" spans="1:5" x14ac:dyDescent="0.25">
      <c r="A1767" s="290"/>
      <c r="B1767" s="288"/>
      <c r="C1767" s="1061"/>
      <c r="D1767" s="291"/>
      <c r="E1767" s="1044"/>
    </row>
    <row r="1768" spans="1:5" x14ac:dyDescent="0.25">
      <c r="A1768" s="290"/>
      <c r="B1768" s="288"/>
      <c r="C1768" s="1061"/>
      <c r="D1768" s="291"/>
      <c r="E1768" s="1044"/>
    </row>
    <row r="1769" spans="1:5" x14ac:dyDescent="0.25">
      <c r="A1769" s="290"/>
      <c r="B1769" s="288"/>
      <c r="C1769" s="1061"/>
      <c r="D1769" s="291"/>
      <c r="E1769" s="1044"/>
    </row>
    <row r="1770" spans="1:5" x14ac:dyDescent="0.25">
      <c r="A1770" s="290"/>
      <c r="B1770" s="288"/>
      <c r="C1770" s="1061"/>
      <c r="D1770" s="291"/>
      <c r="E1770" s="1044"/>
    </row>
    <row r="1771" spans="1:5" x14ac:dyDescent="0.25">
      <c r="A1771" s="290"/>
      <c r="B1771" s="288"/>
      <c r="C1771" s="1061"/>
      <c r="D1771" s="291"/>
      <c r="E1771" s="1044"/>
    </row>
    <row r="1772" spans="1:5" x14ac:dyDescent="0.25">
      <c r="A1772" s="290"/>
      <c r="B1772" s="288"/>
      <c r="C1772" s="1061"/>
      <c r="D1772" s="291"/>
      <c r="E1772" s="1044"/>
    </row>
    <row r="1773" spans="1:5" x14ac:dyDescent="0.25">
      <c r="A1773" s="290"/>
      <c r="B1773" s="288"/>
      <c r="C1773" s="1061"/>
      <c r="D1773" s="291"/>
      <c r="E1773" s="1044"/>
    </row>
    <row r="1774" spans="1:5" x14ac:dyDescent="0.25">
      <c r="A1774" s="290"/>
      <c r="B1774" s="288"/>
      <c r="C1774" s="1061"/>
      <c r="D1774" s="291"/>
      <c r="E1774" s="1044"/>
    </row>
    <row r="1775" spans="1:5" x14ac:dyDescent="0.25">
      <c r="A1775" s="290"/>
      <c r="B1775" s="288"/>
      <c r="C1775" s="1061"/>
      <c r="D1775" s="291"/>
      <c r="E1775" s="1044"/>
    </row>
    <row r="1776" spans="1:5" x14ac:dyDescent="0.25">
      <c r="A1776" s="290"/>
      <c r="B1776" s="288"/>
      <c r="C1776" s="1061"/>
      <c r="D1776" s="291"/>
      <c r="E1776" s="1044"/>
    </row>
    <row r="1777" spans="1:5" x14ac:dyDescent="0.25">
      <c r="A1777" s="290"/>
      <c r="B1777" s="288"/>
      <c r="C1777" s="1061"/>
      <c r="D1777" s="291"/>
      <c r="E1777" s="1044"/>
    </row>
    <row r="1778" spans="1:5" x14ac:dyDescent="0.25">
      <c r="A1778" s="290"/>
      <c r="B1778" s="288"/>
      <c r="C1778" s="1061"/>
      <c r="D1778" s="291"/>
      <c r="E1778" s="1044"/>
    </row>
    <row r="1779" spans="1:5" x14ac:dyDescent="0.25">
      <c r="A1779" s="290"/>
      <c r="B1779" s="288"/>
      <c r="C1779" s="1061"/>
      <c r="D1779" s="291"/>
      <c r="E1779" s="1044"/>
    </row>
    <row r="1780" spans="1:5" x14ac:dyDescent="0.25">
      <c r="A1780" s="290"/>
      <c r="B1780" s="288"/>
      <c r="C1780" s="1061"/>
      <c r="D1780" s="291"/>
      <c r="E1780" s="1044"/>
    </row>
    <row r="1781" spans="1:5" x14ac:dyDescent="0.25">
      <c r="A1781" s="290"/>
      <c r="B1781" s="288"/>
      <c r="C1781" s="1061"/>
      <c r="D1781" s="291"/>
      <c r="E1781" s="1044"/>
    </row>
    <row r="1782" spans="1:5" x14ac:dyDescent="0.25">
      <c r="A1782" s="290"/>
      <c r="B1782" s="288"/>
      <c r="C1782" s="1061"/>
      <c r="D1782" s="291"/>
      <c r="E1782" s="1044"/>
    </row>
    <row r="1783" spans="1:5" x14ac:dyDescent="0.25">
      <c r="A1783" s="290"/>
      <c r="B1783" s="288"/>
      <c r="C1783" s="1061"/>
      <c r="D1783" s="291"/>
      <c r="E1783" s="1044"/>
    </row>
    <row r="1784" spans="1:5" x14ac:dyDescent="0.25">
      <c r="A1784" s="290"/>
      <c r="B1784" s="288"/>
      <c r="C1784" s="1061"/>
      <c r="D1784" s="291"/>
      <c r="E1784" s="1044"/>
    </row>
    <row r="1785" spans="1:5" x14ac:dyDescent="0.25">
      <c r="A1785" s="290"/>
      <c r="B1785" s="288"/>
      <c r="C1785" s="1061"/>
      <c r="D1785" s="291"/>
      <c r="E1785" s="1044"/>
    </row>
    <row r="1786" spans="1:5" x14ac:dyDescent="0.25">
      <c r="A1786" s="290"/>
      <c r="B1786" s="288"/>
      <c r="C1786" s="1061"/>
      <c r="D1786" s="291"/>
      <c r="E1786" s="1044"/>
    </row>
    <row r="1787" spans="1:5" x14ac:dyDescent="0.25">
      <c r="A1787" s="290"/>
      <c r="B1787" s="288"/>
      <c r="C1787" s="1061"/>
      <c r="D1787" s="291"/>
      <c r="E1787" s="1044"/>
    </row>
    <row r="1788" spans="1:5" x14ac:dyDescent="0.25">
      <c r="A1788" s="290"/>
      <c r="B1788" s="288"/>
      <c r="C1788" s="1061"/>
      <c r="D1788" s="291"/>
      <c r="E1788" s="1044"/>
    </row>
    <row r="1789" spans="1:5" x14ac:dyDescent="0.25">
      <c r="A1789" s="290"/>
      <c r="B1789" s="288"/>
      <c r="C1789" s="1061"/>
      <c r="D1789" s="291"/>
      <c r="E1789" s="1044"/>
    </row>
    <row r="1790" spans="1:5" x14ac:dyDescent="0.25">
      <c r="A1790" s="290"/>
      <c r="B1790" s="288"/>
      <c r="C1790" s="1061"/>
      <c r="D1790" s="291"/>
      <c r="E1790" s="1044"/>
    </row>
    <row r="1791" spans="1:5" x14ac:dyDescent="0.25">
      <c r="A1791" s="290"/>
      <c r="B1791" s="288"/>
      <c r="C1791" s="1061"/>
      <c r="D1791" s="291"/>
      <c r="E1791" s="1044"/>
    </row>
    <row r="1792" spans="1:5" x14ac:dyDescent="0.25">
      <c r="A1792" s="290"/>
      <c r="B1792" s="288"/>
      <c r="C1792" s="1061"/>
      <c r="D1792" s="291"/>
      <c r="E1792" s="1044"/>
    </row>
    <row r="1793" spans="1:5" x14ac:dyDescent="0.25">
      <c r="A1793" s="290"/>
      <c r="B1793" s="288"/>
      <c r="C1793" s="1061"/>
      <c r="D1793" s="291"/>
      <c r="E1793" s="1044"/>
    </row>
    <row r="1794" spans="1:5" x14ac:dyDescent="0.25">
      <c r="A1794" s="290"/>
      <c r="B1794" s="288"/>
      <c r="C1794" s="1061"/>
      <c r="D1794" s="291"/>
      <c r="E1794" s="1044"/>
    </row>
    <row r="1795" spans="1:5" x14ac:dyDescent="0.25">
      <c r="A1795" s="290"/>
      <c r="B1795" s="288"/>
      <c r="C1795" s="1061"/>
      <c r="D1795" s="291"/>
      <c r="E1795" s="1044"/>
    </row>
    <row r="1796" spans="1:5" x14ac:dyDescent="0.25">
      <c r="A1796" s="290"/>
      <c r="B1796" s="288"/>
      <c r="C1796" s="1061"/>
      <c r="D1796" s="291"/>
      <c r="E1796" s="1044"/>
    </row>
    <row r="1797" spans="1:5" x14ac:dyDescent="0.25">
      <c r="A1797" s="290"/>
      <c r="B1797" s="288"/>
      <c r="C1797" s="1061"/>
      <c r="D1797" s="291"/>
      <c r="E1797" s="1044"/>
    </row>
    <row r="1798" spans="1:5" x14ac:dyDescent="0.25">
      <c r="A1798" s="290"/>
      <c r="B1798" s="288"/>
      <c r="C1798" s="1061"/>
      <c r="D1798" s="291"/>
      <c r="E1798" s="1044"/>
    </row>
    <row r="1799" spans="1:5" x14ac:dyDescent="0.25">
      <c r="A1799" s="290"/>
      <c r="B1799" s="288"/>
      <c r="C1799" s="1061"/>
      <c r="D1799" s="291"/>
      <c r="E1799" s="1044"/>
    </row>
    <row r="1800" spans="1:5" x14ac:dyDescent="0.25">
      <c r="A1800" s="290"/>
      <c r="B1800" s="288"/>
      <c r="C1800" s="1061"/>
      <c r="D1800" s="291"/>
      <c r="E1800" s="1044"/>
    </row>
    <row r="1801" spans="1:5" x14ac:dyDescent="0.25">
      <c r="A1801" s="290"/>
      <c r="B1801" s="288"/>
      <c r="C1801" s="1061"/>
      <c r="D1801" s="291"/>
      <c r="E1801" s="1044"/>
    </row>
    <row r="1802" spans="1:5" x14ac:dyDescent="0.25">
      <c r="A1802" s="290"/>
      <c r="B1802" s="288"/>
      <c r="C1802" s="1061"/>
      <c r="D1802" s="291"/>
      <c r="E1802" s="1044"/>
    </row>
    <row r="1803" spans="1:5" x14ac:dyDescent="0.25">
      <c r="A1803" s="290"/>
      <c r="B1803" s="288"/>
      <c r="C1803" s="1061"/>
      <c r="D1803" s="291"/>
      <c r="E1803" s="1044"/>
    </row>
    <row r="1804" spans="1:5" x14ac:dyDescent="0.25">
      <c r="A1804" s="290"/>
      <c r="B1804" s="288"/>
      <c r="C1804" s="1061"/>
      <c r="D1804" s="291"/>
      <c r="E1804" s="1044"/>
    </row>
    <row r="1805" spans="1:5" x14ac:dyDescent="0.25">
      <c r="A1805" s="290"/>
      <c r="B1805" s="288"/>
      <c r="C1805" s="1061"/>
      <c r="D1805" s="291"/>
      <c r="E1805" s="1044"/>
    </row>
    <row r="1806" spans="1:5" x14ac:dyDescent="0.25">
      <c r="A1806" s="290"/>
      <c r="B1806" s="288"/>
      <c r="C1806" s="1061"/>
      <c r="D1806" s="291"/>
      <c r="E1806" s="1044"/>
    </row>
    <row r="1807" spans="1:5" x14ac:dyDescent="0.25">
      <c r="A1807" s="290"/>
      <c r="B1807" s="288"/>
      <c r="C1807" s="1061"/>
      <c r="D1807" s="291"/>
      <c r="E1807" s="1044"/>
    </row>
    <row r="1808" spans="1:5" x14ac:dyDescent="0.25">
      <c r="A1808" s="290"/>
      <c r="B1808" s="288"/>
      <c r="C1808" s="1061"/>
      <c r="D1808" s="291"/>
      <c r="E1808" s="1044"/>
    </row>
    <row r="1809" spans="1:5" x14ac:dyDescent="0.25">
      <c r="A1809" s="290"/>
      <c r="B1809" s="288"/>
      <c r="C1809" s="1061"/>
      <c r="D1809" s="291"/>
      <c r="E1809" s="1044"/>
    </row>
    <row r="1810" spans="1:5" x14ac:dyDescent="0.25">
      <c r="A1810" s="290"/>
      <c r="B1810" s="288"/>
      <c r="C1810" s="1061"/>
      <c r="D1810" s="291"/>
      <c r="E1810" s="1044"/>
    </row>
    <row r="1811" spans="1:5" x14ac:dyDescent="0.25">
      <c r="A1811" s="290"/>
      <c r="B1811" s="288"/>
      <c r="C1811" s="1061"/>
      <c r="D1811" s="291"/>
      <c r="E1811" s="1044"/>
    </row>
    <row r="1812" spans="1:5" x14ac:dyDescent="0.25">
      <c r="A1812" s="290"/>
      <c r="B1812" s="288"/>
      <c r="C1812" s="1061"/>
      <c r="D1812" s="291"/>
      <c r="E1812" s="1044"/>
    </row>
    <row r="1813" spans="1:5" x14ac:dyDescent="0.25">
      <c r="A1813" s="290"/>
      <c r="B1813" s="288"/>
      <c r="C1813" s="1061"/>
      <c r="D1813" s="291"/>
      <c r="E1813" s="1044"/>
    </row>
    <row r="1814" spans="1:5" x14ac:dyDescent="0.25">
      <c r="A1814" s="290"/>
      <c r="B1814" s="288"/>
      <c r="C1814" s="1061"/>
      <c r="D1814" s="291"/>
      <c r="E1814" s="1044"/>
    </row>
    <row r="1815" spans="1:5" x14ac:dyDescent="0.25">
      <c r="A1815" s="290"/>
      <c r="B1815" s="288"/>
      <c r="C1815" s="1061"/>
      <c r="D1815" s="291"/>
      <c r="E1815" s="1044"/>
    </row>
    <row r="1816" spans="1:5" x14ac:dyDescent="0.25">
      <c r="A1816" s="290"/>
      <c r="B1816" s="288"/>
      <c r="C1816" s="1061"/>
      <c r="D1816" s="291"/>
      <c r="E1816" s="1044"/>
    </row>
    <row r="1817" spans="1:5" x14ac:dyDescent="0.25">
      <c r="A1817" s="290"/>
      <c r="B1817" s="288"/>
      <c r="C1817" s="1061"/>
      <c r="D1817" s="291"/>
      <c r="E1817" s="1044"/>
    </row>
    <row r="1818" spans="1:5" x14ac:dyDescent="0.25">
      <c r="A1818" s="290"/>
      <c r="B1818" s="288"/>
      <c r="C1818" s="1061"/>
      <c r="D1818" s="291"/>
      <c r="E1818" s="1044"/>
    </row>
    <row r="1819" spans="1:5" x14ac:dyDescent="0.25">
      <c r="A1819" s="290"/>
      <c r="B1819" s="288"/>
      <c r="C1819" s="1061"/>
      <c r="D1819" s="291"/>
      <c r="E1819" s="1044"/>
    </row>
    <row r="1820" spans="1:5" x14ac:dyDescent="0.25">
      <c r="A1820" s="290"/>
      <c r="B1820" s="288"/>
      <c r="C1820" s="1061"/>
      <c r="D1820" s="291"/>
      <c r="E1820" s="1044"/>
    </row>
    <row r="1821" spans="1:5" x14ac:dyDescent="0.25">
      <c r="A1821" s="290"/>
      <c r="B1821" s="288"/>
      <c r="C1821" s="1061"/>
      <c r="D1821" s="291"/>
      <c r="E1821" s="1044"/>
    </row>
    <row r="1822" spans="1:5" x14ac:dyDescent="0.25">
      <c r="A1822" s="290"/>
      <c r="B1822" s="288"/>
      <c r="C1822" s="1061"/>
      <c r="D1822" s="291"/>
      <c r="E1822" s="1044"/>
    </row>
    <row r="1823" spans="1:5" x14ac:dyDescent="0.25">
      <c r="A1823" s="290"/>
      <c r="B1823" s="288"/>
      <c r="C1823" s="1061"/>
      <c r="D1823" s="291"/>
      <c r="E1823" s="1044"/>
    </row>
    <row r="1824" spans="1:5" x14ac:dyDescent="0.25">
      <c r="A1824" s="290"/>
      <c r="B1824" s="288"/>
      <c r="C1824" s="1061"/>
      <c r="D1824" s="291"/>
      <c r="E1824" s="1044"/>
    </row>
    <row r="1825" spans="1:5" x14ac:dyDescent="0.25">
      <c r="A1825" s="290"/>
      <c r="B1825" s="288"/>
      <c r="C1825" s="1061"/>
      <c r="D1825" s="291"/>
      <c r="E1825" s="1044"/>
    </row>
    <row r="1826" spans="1:5" x14ac:dyDescent="0.25">
      <c r="A1826" s="290"/>
      <c r="B1826" s="288"/>
      <c r="C1826" s="1061"/>
      <c r="D1826" s="291"/>
      <c r="E1826" s="1044"/>
    </row>
    <row r="1827" spans="1:5" x14ac:dyDescent="0.25">
      <c r="A1827" s="290"/>
      <c r="B1827" s="288"/>
      <c r="C1827" s="1061"/>
      <c r="D1827" s="291"/>
      <c r="E1827" s="1044"/>
    </row>
    <row r="1828" spans="1:5" x14ac:dyDescent="0.25">
      <c r="A1828" s="290"/>
      <c r="B1828" s="288"/>
      <c r="C1828" s="1061"/>
      <c r="D1828" s="291"/>
      <c r="E1828" s="1044"/>
    </row>
    <row r="1829" spans="1:5" x14ac:dyDescent="0.25">
      <c r="A1829" s="290"/>
      <c r="B1829" s="288"/>
      <c r="C1829" s="1061"/>
      <c r="D1829" s="291"/>
      <c r="E1829" s="1044"/>
    </row>
    <row r="1830" spans="1:5" x14ac:dyDescent="0.25">
      <c r="A1830" s="290"/>
      <c r="B1830" s="288"/>
      <c r="C1830" s="1061"/>
      <c r="D1830" s="291"/>
      <c r="E1830" s="1044"/>
    </row>
    <row r="1831" spans="1:5" x14ac:dyDescent="0.25">
      <c r="A1831" s="290"/>
      <c r="B1831" s="288"/>
      <c r="C1831" s="1061"/>
      <c r="D1831" s="291"/>
      <c r="E1831" s="1044"/>
    </row>
    <row r="1832" spans="1:5" x14ac:dyDescent="0.25">
      <c r="A1832" s="290"/>
      <c r="B1832" s="288"/>
      <c r="C1832" s="1061"/>
      <c r="D1832" s="291"/>
      <c r="E1832" s="1044"/>
    </row>
    <row r="1833" spans="1:5" x14ac:dyDescent="0.25">
      <c r="A1833" s="290"/>
      <c r="B1833" s="288"/>
      <c r="C1833" s="1061"/>
      <c r="D1833" s="291"/>
      <c r="E1833" s="1044"/>
    </row>
    <row r="1834" spans="1:5" x14ac:dyDescent="0.25">
      <c r="A1834" s="290"/>
      <c r="B1834" s="288"/>
      <c r="C1834" s="1061"/>
      <c r="D1834" s="291"/>
      <c r="E1834" s="1044"/>
    </row>
    <row r="1835" spans="1:5" x14ac:dyDescent="0.25">
      <c r="A1835" s="290"/>
      <c r="B1835" s="288"/>
      <c r="C1835" s="1061"/>
      <c r="D1835" s="291"/>
      <c r="E1835" s="1044"/>
    </row>
    <row r="1836" spans="1:5" x14ac:dyDescent="0.25">
      <c r="A1836" s="290"/>
      <c r="B1836" s="288"/>
      <c r="C1836" s="1061"/>
      <c r="D1836" s="291"/>
      <c r="E1836" s="1044"/>
    </row>
    <row r="1837" spans="1:5" x14ac:dyDescent="0.25">
      <c r="A1837" s="290"/>
      <c r="B1837" s="288"/>
      <c r="C1837" s="1061"/>
      <c r="D1837" s="291"/>
      <c r="E1837" s="1044"/>
    </row>
    <row r="1838" spans="1:5" x14ac:dyDescent="0.25">
      <c r="A1838" s="290"/>
      <c r="B1838" s="288"/>
      <c r="C1838" s="1061"/>
      <c r="D1838" s="291"/>
      <c r="E1838" s="1044"/>
    </row>
    <row r="1839" spans="1:5" x14ac:dyDescent="0.25">
      <c r="A1839" s="290"/>
      <c r="B1839" s="288"/>
      <c r="C1839" s="1061"/>
      <c r="D1839" s="291"/>
      <c r="E1839" s="1044"/>
    </row>
    <row r="1840" spans="1:5" x14ac:dyDescent="0.25">
      <c r="A1840" s="290"/>
      <c r="B1840" s="288"/>
      <c r="C1840" s="1061"/>
      <c r="D1840" s="291"/>
      <c r="E1840" s="1044"/>
    </row>
    <row r="1841" spans="1:5" x14ac:dyDescent="0.25">
      <c r="A1841" s="290"/>
      <c r="B1841" s="288"/>
      <c r="C1841" s="1061"/>
      <c r="D1841" s="291"/>
      <c r="E1841" s="1044"/>
    </row>
    <row r="1842" spans="1:5" x14ac:dyDescent="0.25">
      <c r="A1842" s="290"/>
      <c r="B1842" s="288"/>
      <c r="C1842" s="1061"/>
      <c r="D1842" s="291"/>
      <c r="E1842" s="1044"/>
    </row>
    <row r="1843" spans="1:5" x14ac:dyDescent="0.25">
      <c r="A1843" s="290"/>
      <c r="B1843" s="288"/>
      <c r="C1843" s="1061"/>
      <c r="D1843" s="291"/>
      <c r="E1843" s="1044"/>
    </row>
    <row r="1844" spans="1:5" x14ac:dyDescent="0.25">
      <c r="A1844" s="290"/>
      <c r="B1844" s="288"/>
      <c r="C1844" s="1061"/>
      <c r="D1844" s="291"/>
      <c r="E1844" s="1044"/>
    </row>
    <row r="1845" spans="1:5" x14ac:dyDescent="0.25">
      <c r="A1845" s="290"/>
      <c r="B1845" s="288"/>
      <c r="C1845" s="1061"/>
      <c r="D1845" s="291"/>
      <c r="E1845" s="1044"/>
    </row>
    <row r="1846" spans="1:5" x14ac:dyDescent="0.25">
      <c r="A1846" s="290"/>
      <c r="B1846" s="288"/>
      <c r="C1846" s="1061"/>
      <c r="D1846" s="291"/>
      <c r="E1846" s="1044"/>
    </row>
    <row r="1847" spans="1:5" x14ac:dyDescent="0.25">
      <c r="A1847" s="290"/>
      <c r="B1847" s="288"/>
      <c r="C1847" s="1061"/>
      <c r="D1847" s="291"/>
      <c r="E1847" s="1044"/>
    </row>
    <row r="1848" spans="1:5" x14ac:dyDescent="0.25">
      <c r="A1848" s="290"/>
      <c r="B1848" s="288"/>
      <c r="C1848" s="1061"/>
      <c r="D1848" s="291"/>
      <c r="E1848" s="1044"/>
    </row>
    <row r="1849" spans="1:5" x14ac:dyDescent="0.25">
      <c r="A1849" s="290"/>
      <c r="B1849" s="288"/>
      <c r="C1849" s="1061"/>
      <c r="D1849" s="291"/>
      <c r="E1849" s="1044"/>
    </row>
    <row r="1850" spans="1:5" x14ac:dyDescent="0.25">
      <c r="A1850" s="290"/>
      <c r="B1850" s="288"/>
      <c r="C1850" s="1061"/>
      <c r="D1850" s="291"/>
      <c r="E1850" s="1044"/>
    </row>
    <row r="1851" spans="1:5" x14ac:dyDescent="0.25">
      <c r="A1851" s="290"/>
      <c r="B1851" s="288"/>
      <c r="C1851" s="1061"/>
      <c r="D1851" s="291"/>
      <c r="E1851" s="1044"/>
    </row>
    <row r="1852" spans="1:5" x14ac:dyDescent="0.25">
      <c r="A1852" s="290"/>
      <c r="B1852" s="288"/>
      <c r="C1852" s="1061"/>
      <c r="D1852" s="291"/>
      <c r="E1852" s="1044"/>
    </row>
    <row r="1853" spans="1:5" x14ac:dyDescent="0.25">
      <c r="A1853" s="290"/>
      <c r="B1853" s="288"/>
      <c r="C1853" s="1061"/>
      <c r="D1853" s="291"/>
      <c r="E1853" s="1044"/>
    </row>
    <row r="1854" spans="1:5" x14ac:dyDescent="0.25">
      <c r="A1854" s="290"/>
      <c r="B1854" s="288"/>
      <c r="C1854" s="1061"/>
      <c r="D1854" s="291"/>
      <c r="E1854" s="1044"/>
    </row>
    <row r="1855" spans="1:5" x14ac:dyDescent="0.25">
      <c r="A1855" s="290"/>
      <c r="B1855" s="288"/>
      <c r="C1855" s="1061"/>
      <c r="D1855" s="291"/>
      <c r="E1855" s="1044"/>
    </row>
    <row r="1856" spans="1:5" x14ac:dyDescent="0.25">
      <c r="A1856" s="290"/>
      <c r="B1856" s="288"/>
      <c r="C1856" s="1061"/>
      <c r="D1856" s="291"/>
      <c r="E1856" s="1044"/>
    </row>
    <row r="1857" spans="1:5" x14ac:dyDescent="0.25">
      <c r="A1857" s="290"/>
      <c r="B1857" s="288"/>
      <c r="C1857" s="1061"/>
      <c r="D1857" s="291"/>
      <c r="E1857" s="1044"/>
    </row>
    <row r="1858" spans="1:5" x14ac:dyDescent="0.25">
      <c r="A1858" s="290"/>
      <c r="B1858" s="288"/>
      <c r="C1858" s="1061"/>
      <c r="D1858" s="291"/>
      <c r="E1858" s="1044"/>
    </row>
    <row r="1859" spans="1:5" x14ac:dyDescent="0.25">
      <c r="A1859" s="290"/>
      <c r="B1859" s="288"/>
      <c r="C1859" s="1061"/>
      <c r="D1859" s="291"/>
      <c r="E1859" s="1044"/>
    </row>
    <row r="1860" spans="1:5" x14ac:dyDescent="0.25">
      <c r="A1860" s="290"/>
      <c r="B1860" s="288"/>
      <c r="C1860" s="1061"/>
      <c r="D1860" s="291"/>
      <c r="E1860" s="1044"/>
    </row>
    <row r="1861" spans="1:5" x14ac:dyDescent="0.25">
      <c r="A1861" s="290"/>
      <c r="B1861" s="288"/>
      <c r="C1861" s="1061"/>
      <c r="D1861" s="291"/>
      <c r="E1861" s="1044"/>
    </row>
    <row r="1862" spans="1:5" x14ac:dyDescent="0.25">
      <c r="A1862" s="290"/>
      <c r="B1862" s="288"/>
      <c r="C1862" s="1061"/>
      <c r="D1862" s="291"/>
      <c r="E1862" s="1044"/>
    </row>
    <row r="1863" spans="1:5" x14ac:dyDescent="0.25">
      <c r="A1863" s="290"/>
      <c r="B1863" s="288"/>
      <c r="C1863" s="1061"/>
      <c r="D1863" s="291"/>
      <c r="E1863" s="1044"/>
    </row>
    <row r="1864" spans="1:5" x14ac:dyDescent="0.25">
      <c r="A1864" s="290"/>
      <c r="B1864" s="288"/>
      <c r="C1864" s="1061"/>
      <c r="D1864" s="291"/>
      <c r="E1864" s="1044"/>
    </row>
    <row r="1865" spans="1:5" x14ac:dyDescent="0.25">
      <c r="A1865" s="290"/>
      <c r="B1865" s="288"/>
      <c r="C1865" s="1061"/>
      <c r="D1865" s="291"/>
      <c r="E1865" s="1044"/>
    </row>
    <row r="1866" spans="1:5" x14ac:dyDescent="0.25">
      <c r="A1866" s="290"/>
      <c r="B1866" s="288"/>
      <c r="C1866" s="1061"/>
      <c r="D1866" s="291"/>
      <c r="E1866" s="1044"/>
    </row>
    <row r="1867" spans="1:5" x14ac:dyDescent="0.25">
      <c r="A1867" s="290"/>
      <c r="B1867" s="288"/>
      <c r="C1867" s="1061"/>
      <c r="D1867" s="291"/>
      <c r="E1867" s="1044"/>
    </row>
    <row r="1868" spans="1:5" x14ac:dyDescent="0.25">
      <c r="A1868" s="290"/>
      <c r="B1868" s="288"/>
      <c r="C1868" s="1061"/>
      <c r="D1868" s="291"/>
      <c r="E1868" s="1044"/>
    </row>
    <row r="1869" spans="1:5" x14ac:dyDescent="0.25">
      <c r="A1869" s="290"/>
      <c r="B1869" s="288"/>
      <c r="C1869" s="1061"/>
      <c r="D1869" s="291"/>
      <c r="E1869" s="1044"/>
    </row>
    <row r="1870" spans="1:5" x14ac:dyDescent="0.25">
      <c r="A1870" s="290"/>
      <c r="B1870" s="288"/>
      <c r="C1870" s="1061"/>
      <c r="D1870" s="291"/>
      <c r="E1870" s="1044"/>
    </row>
    <row r="1871" spans="1:5" x14ac:dyDescent="0.25">
      <c r="A1871" s="290"/>
      <c r="B1871" s="288"/>
      <c r="C1871" s="1061"/>
      <c r="D1871" s="291"/>
      <c r="E1871" s="1044"/>
    </row>
    <row r="1872" spans="1:5" x14ac:dyDescent="0.25">
      <c r="A1872" s="290"/>
      <c r="B1872" s="288"/>
      <c r="C1872" s="1061"/>
      <c r="D1872" s="291"/>
      <c r="E1872" s="1044"/>
    </row>
    <row r="1873" spans="1:5" x14ac:dyDescent="0.25">
      <c r="A1873" s="290"/>
      <c r="B1873" s="288"/>
      <c r="C1873" s="1061"/>
      <c r="D1873" s="291"/>
      <c r="E1873" s="1044"/>
    </row>
    <row r="1874" spans="1:5" x14ac:dyDescent="0.25">
      <c r="A1874" s="290"/>
      <c r="B1874" s="288"/>
      <c r="C1874" s="1061"/>
      <c r="D1874" s="291"/>
      <c r="E1874" s="1044"/>
    </row>
    <row r="1875" spans="1:5" x14ac:dyDescent="0.25">
      <c r="A1875" s="290"/>
      <c r="B1875" s="288"/>
      <c r="C1875" s="1061"/>
      <c r="D1875" s="291"/>
      <c r="E1875" s="1044"/>
    </row>
    <row r="1876" spans="1:5" x14ac:dyDescent="0.25">
      <c r="A1876" s="290"/>
      <c r="B1876" s="288"/>
      <c r="C1876" s="1061"/>
      <c r="D1876" s="291"/>
      <c r="E1876" s="1044"/>
    </row>
    <row r="1877" spans="1:5" x14ac:dyDescent="0.25">
      <c r="A1877" s="290"/>
      <c r="B1877" s="288"/>
      <c r="C1877" s="1061"/>
      <c r="D1877" s="291"/>
      <c r="E1877" s="1044"/>
    </row>
    <row r="1878" spans="1:5" x14ac:dyDescent="0.25">
      <c r="A1878" s="290"/>
      <c r="B1878" s="288"/>
      <c r="C1878" s="1061"/>
      <c r="D1878" s="291"/>
      <c r="E1878" s="1044"/>
    </row>
    <row r="1879" spans="1:5" x14ac:dyDescent="0.25">
      <c r="A1879" s="290"/>
      <c r="B1879" s="288"/>
      <c r="C1879" s="1061"/>
      <c r="D1879" s="291"/>
      <c r="E1879" s="1044"/>
    </row>
    <row r="1880" spans="1:5" x14ac:dyDescent="0.25">
      <c r="A1880" s="290"/>
      <c r="B1880" s="288"/>
      <c r="C1880" s="1061"/>
      <c r="D1880" s="291"/>
      <c r="E1880" s="1044"/>
    </row>
    <row r="1881" spans="1:5" x14ac:dyDescent="0.25">
      <c r="A1881" s="290"/>
      <c r="B1881" s="288"/>
      <c r="C1881" s="1061"/>
      <c r="D1881" s="291"/>
      <c r="E1881" s="1044"/>
    </row>
    <row r="1882" spans="1:5" x14ac:dyDescent="0.25">
      <c r="A1882" s="290"/>
      <c r="B1882" s="288"/>
      <c r="C1882" s="1061"/>
      <c r="D1882" s="291"/>
      <c r="E1882" s="1044"/>
    </row>
    <row r="1883" spans="1:5" x14ac:dyDescent="0.25">
      <c r="A1883" s="290"/>
      <c r="B1883" s="288"/>
      <c r="C1883" s="1061"/>
      <c r="D1883" s="291"/>
      <c r="E1883" s="1044"/>
    </row>
    <row r="1884" spans="1:5" x14ac:dyDescent="0.25">
      <c r="A1884" s="290"/>
      <c r="B1884" s="288"/>
      <c r="C1884" s="1061"/>
      <c r="D1884" s="291"/>
      <c r="E1884" s="1044"/>
    </row>
    <row r="1885" spans="1:5" x14ac:dyDescent="0.25">
      <c r="A1885" s="290"/>
      <c r="B1885" s="288"/>
      <c r="C1885" s="1061"/>
      <c r="D1885" s="291"/>
      <c r="E1885" s="1044"/>
    </row>
    <row r="1886" spans="1:5" x14ac:dyDescent="0.25">
      <c r="A1886" s="290"/>
      <c r="B1886" s="288"/>
      <c r="C1886" s="1061"/>
      <c r="D1886" s="291"/>
      <c r="E1886" s="1044"/>
    </row>
    <row r="1887" spans="1:5" x14ac:dyDescent="0.25">
      <c r="A1887" s="290"/>
      <c r="B1887" s="288"/>
      <c r="C1887" s="1061"/>
      <c r="D1887" s="291"/>
      <c r="E1887" s="1044"/>
    </row>
    <row r="1888" spans="1:5" x14ac:dyDescent="0.25">
      <c r="A1888" s="290"/>
      <c r="B1888" s="288"/>
      <c r="C1888" s="1061"/>
      <c r="D1888" s="291"/>
      <c r="E1888" s="1044"/>
    </row>
    <row r="1889" spans="1:5" x14ac:dyDescent="0.25">
      <c r="A1889" s="290"/>
      <c r="B1889" s="288"/>
      <c r="C1889" s="1061"/>
      <c r="D1889" s="291"/>
      <c r="E1889" s="1044"/>
    </row>
    <row r="1890" spans="1:5" x14ac:dyDescent="0.25">
      <c r="A1890" s="290"/>
      <c r="B1890" s="288"/>
      <c r="C1890" s="1061"/>
      <c r="D1890" s="291"/>
      <c r="E1890" s="1044"/>
    </row>
    <row r="1891" spans="1:5" x14ac:dyDescent="0.25">
      <c r="A1891" s="290"/>
      <c r="B1891" s="288"/>
      <c r="C1891" s="1061"/>
      <c r="D1891" s="291"/>
      <c r="E1891" s="1044"/>
    </row>
    <row r="1892" spans="1:5" x14ac:dyDescent="0.25">
      <c r="A1892" s="290"/>
      <c r="B1892" s="288"/>
      <c r="C1892" s="1061"/>
      <c r="D1892" s="291"/>
      <c r="E1892" s="1044"/>
    </row>
    <row r="1893" spans="1:5" x14ac:dyDescent="0.25">
      <c r="A1893" s="290"/>
      <c r="B1893" s="288"/>
      <c r="C1893" s="1061"/>
      <c r="D1893" s="291"/>
      <c r="E1893" s="1044"/>
    </row>
    <row r="1894" spans="1:5" x14ac:dyDescent="0.25">
      <c r="A1894" s="290"/>
      <c r="B1894" s="288"/>
      <c r="C1894" s="1061"/>
      <c r="D1894" s="291"/>
      <c r="E1894" s="1044"/>
    </row>
    <row r="1895" spans="1:5" x14ac:dyDescent="0.25">
      <c r="A1895" s="290"/>
      <c r="B1895" s="288"/>
      <c r="C1895" s="1061"/>
      <c r="D1895" s="291"/>
      <c r="E1895" s="1044"/>
    </row>
    <row r="1896" spans="1:5" x14ac:dyDescent="0.25">
      <c r="A1896" s="290"/>
      <c r="B1896" s="288"/>
      <c r="C1896" s="1061"/>
      <c r="D1896" s="291"/>
      <c r="E1896" s="1044"/>
    </row>
    <row r="1897" spans="1:5" x14ac:dyDescent="0.25">
      <c r="A1897" s="290"/>
      <c r="B1897" s="288"/>
      <c r="C1897" s="1061"/>
      <c r="D1897" s="291"/>
      <c r="E1897" s="1044"/>
    </row>
    <row r="1898" spans="1:5" x14ac:dyDescent="0.25">
      <c r="A1898" s="290"/>
      <c r="B1898" s="288"/>
      <c r="C1898" s="1061"/>
      <c r="D1898" s="291"/>
      <c r="E1898" s="1044"/>
    </row>
    <row r="1899" spans="1:5" x14ac:dyDescent="0.25">
      <c r="A1899" s="290"/>
      <c r="B1899" s="288"/>
      <c r="C1899" s="1061"/>
      <c r="D1899" s="291"/>
      <c r="E1899" s="1044"/>
    </row>
    <row r="1900" spans="1:5" x14ac:dyDescent="0.25">
      <c r="A1900" s="290"/>
      <c r="B1900" s="288"/>
      <c r="C1900" s="1061"/>
      <c r="D1900" s="291"/>
      <c r="E1900" s="1044"/>
    </row>
    <row r="1901" spans="1:5" x14ac:dyDescent="0.25">
      <c r="A1901" s="290"/>
      <c r="B1901" s="288"/>
      <c r="C1901" s="1061"/>
      <c r="D1901" s="291"/>
      <c r="E1901" s="1044"/>
    </row>
    <row r="1902" spans="1:5" x14ac:dyDescent="0.25">
      <c r="A1902" s="290"/>
      <c r="B1902" s="288"/>
      <c r="C1902" s="1061"/>
      <c r="D1902" s="291"/>
      <c r="E1902" s="1044"/>
    </row>
    <row r="1903" spans="1:5" x14ac:dyDescent="0.25">
      <c r="A1903" s="290"/>
      <c r="B1903" s="288"/>
      <c r="C1903" s="1061"/>
      <c r="D1903" s="291"/>
      <c r="E1903" s="1044"/>
    </row>
    <row r="1904" spans="1:5" x14ac:dyDescent="0.25">
      <c r="A1904" s="290"/>
      <c r="B1904" s="288"/>
      <c r="C1904" s="1061"/>
      <c r="D1904" s="291"/>
      <c r="E1904" s="1044"/>
    </row>
    <row r="1905" spans="1:5" x14ac:dyDescent="0.25">
      <c r="A1905" s="290"/>
      <c r="B1905" s="288"/>
      <c r="C1905" s="1061"/>
      <c r="D1905" s="291"/>
      <c r="E1905" s="1044"/>
    </row>
    <row r="1906" spans="1:5" x14ac:dyDescent="0.25">
      <c r="A1906" s="290"/>
      <c r="B1906" s="288"/>
      <c r="C1906" s="1061"/>
      <c r="D1906" s="291"/>
      <c r="E1906" s="1044"/>
    </row>
    <row r="1907" spans="1:5" x14ac:dyDescent="0.25">
      <c r="A1907" s="290"/>
      <c r="B1907" s="288"/>
      <c r="C1907" s="1061"/>
      <c r="D1907" s="291"/>
      <c r="E1907" s="1044"/>
    </row>
    <row r="1908" spans="1:5" x14ac:dyDescent="0.25">
      <c r="A1908" s="290"/>
      <c r="B1908" s="288"/>
      <c r="C1908" s="1061"/>
      <c r="D1908" s="291"/>
      <c r="E1908" s="1044"/>
    </row>
    <row r="1909" spans="1:5" x14ac:dyDescent="0.25">
      <c r="A1909" s="290"/>
      <c r="B1909" s="288"/>
      <c r="C1909" s="1061"/>
      <c r="D1909" s="291"/>
      <c r="E1909" s="1044"/>
    </row>
    <row r="1910" spans="1:5" x14ac:dyDescent="0.25">
      <c r="A1910" s="290"/>
      <c r="B1910" s="288"/>
      <c r="C1910" s="1061"/>
      <c r="D1910" s="291"/>
      <c r="E1910" s="1044"/>
    </row>
    <row r="1911" spans="1:5" x14ac:dyDescent="0.25">
      <c r="A1911" s="290"/>
      <c r="B1911" s="288"/>
      <c r="C1911" s="1061"/>
      <c r="D1911" s="291"/>
      <c r="E1911" s="1044"/>
    </row>
    <row r="1912" spans="1:5" x14ac:dyDescent="0.25">
      <c r="A1912" s="290"/>
      <c r="B1912" s="288"/>
      <c r="C1912" s="1061"/>
      <c r="D1912" s="291"/>
      <c r="E1912" s="1044"/>
    </row>
    <row r="1913" spans="1:5" x14ac:dyDescent="0.25">
      <c r="A1913" s="290"/>
      <c r="B1913" s="288"/>
      <c r="C1913" s="1061"/>
      <c r="D1913" s="291"/>
      <c r="E1913" s="1044"/>
    </row>
    <row r="1914" spans="1:5" x14ac:dyDescent="0.25">
      <c r="A1914" s="290"/>
      <c r="B1914" s="288"/>
      <c r="C1914" s="1061"/>
      <c r="D1914" s="291"/>
      <c r="E1914" s="1044"/>
    </row>
    <row r="1915" spans="1:5" x14ac:dyDescent="0.25">
      <c r="A1915" s="290"/>
      <c r="B1915" s="288"/>
      <c r="C1915" s="1061"/>
      <c r="D1915" s="291"/>
      <c r="E1915" s="1044"/>
    </row>
    <row r="1916" spans="1:5" x14ac:dyDescent="0.25">
      <c r="A1916" s="290"/>
      <c r="B1916" s="288"/>
      <c r="C1916" s="1061"/>
      <c r="D1916" s="291"/>
      <c r="E1916" s="1044"/>
    </row>
    <row r="1917" spans="1:5" x14ac:dyDescent="0.25">
      <c r="A1917" s="290"/>
      <c r="B1917" s="288"/>
      <c r="C1917" s="1061"/>
      <c r="D1917" s="291"/>
      <c r="E1917" s="1044"/>
    </row>
    <row r="1918" spans="1:5" x14ac:dyDescent="0.25">
      <c r="A1918" s="290"/>
      <c r="B1918" s="288"/>
      <c r="C1918" s="1061"/>
      <c r="D1918" s="291"/>
      <c r="E1918" s="1044"/>
    </row>
    <row r="1919" spans="1:5" x14ac:dyDescent="0.25">
      <c r="A1919" s="290"/>
      <c r="B1919" s="288"/>
      <c r="C1919" s="1061"/>
      <c r="D1919" s="291"/>
      <c r="E1919" s="1044"/>
    </row>
    <row r="1920" spans="1:5" x14ac:dyDescent="0.25">
      <c r="A1920" s="290"/>
      <c r="B1920" s="288"/>
      <c r="C1920" s="1061"/>
      <c r="D1920" s="291"/>
      <c r="E1920" s="1044"/>
    </row>
    <row r="1921" spans="1:5" x14ac:dyDescent="0.25">
      <c r="A1921" s="290"/>
      <c r="B1921" s="288"/>
      <c r="C1921" s="1061"/>
      <c r="D1921" s="291"/>
      <c r="E1921" s="1044"/>
    </row>
    <row r="1922" spans="1:5" x14ac:dyDescent="0.25">
      <c r="A1922" s="290"/>
      <c r="B1922" s="288"/>
      <c r="C1922" s="1061"/>
      <c r="D1922" s="291"/>
      <c r="E1922" s="1044"/>
    </row>
    <row r="1923" spans="1:5" x14ac:dyDescent="0.25">
      <c r="A1923" s="290"/>
      <c r="B1923" s="288"/>
      <c r="C1923" s="1061"/>
      <c r="D1923" s="291"/>
      <c r="E1923" s="1044"/>
    </row>
    <row r="1924" spans="1:5" x14ac:dyDescent="0.25">
      <c r="A1924" s="290"/>
      <c r="B1924" s="288"/>
      <c r="C1924" s="1061"/>
      <c r="D1924" s="291"/>
      <c r="E1924" s="1044"/>
    </row>
    <row r="1925" spans="1:5" x14ac:dyDescent="0.25">
      <c r="A1925" s="290"/>
      <c r="B1925" s="288"/>
      <c r="C1925" s="1061"/>
      <c r="D1925" s="291"/>
      <c r="E1925" s="1044"/>
    </row>
    <row r="1926" spans="1:5" x14ac:dyDescent="0.25">
      <c r="A1926" s="290"/>
      <c r="B1926" s="288"/>
      <c r="C1926" s="1061"/>
      <c r="D1926" s="291"/>
      <c r="E1926" s="1044"/>
    </row>
    <row r="1927" spans="1:5" x14ac:dyDescent="0.25">
      <c r="A1927" s="290"/>
      <c r="B1927" s="288"/>
      <c r="C1927" s="1061"/>
      <c r="D1927" s="291"/>
      <c r="E1927" s="1044"/>
    </row>
    <row r="1928" spans="1:5" x14ac:dyDescent="0.25">
      <c r="A1928" s="290"/>
      <c r="B1928" s="288"/>
      <c r="C1928" s="1061"/>
      <c r="D1928" s="291"/>
      <c r="E1928" s="1044"/>
    </row>
    <row r="1929" spans="1:5" x14ac:dyDescent="0.25">
      <c r="A1929" s="290"/>
      <c r="B1929" s="288"/>
      <c r="C1929" s="1061"/>
      <c r="D1929" s="291"/>
      <c r="E1929" s="1044"/>
    </row>
    <row r="1930" spans="1:5" x14ac:dyDescent="0.25">
      <c r="A1930" s="290"/>
      <c r="B1930" s="288"/>
      <c r="C1930" s="1061"/>
      <c r="D1930" s="291"/>
      <c r="E1930" s="1044"/>
    </row>
    <row r="1931" spans="1:5" x14ac:dyDescent="0.25">
      <c r="A1931" s="290"/>
      <c r="B1931" s="288"/>
      <c r="C1931" s="1061"/>
      <c r="D1931" s="291"/>
      <c r="E1931" s="1044"/>
    </row>
    <row r="1932" spans="1:5" x14ac:dyDescent="0.25">
      <c r="A1932" s="290"/>
      <c r="B1932" s="288"/>
      <c r="C1932" s="1061"/>
      <c r="D1932" s="291"/>
      <c r="E1932" s="1044"/>
    </row>
    <row r="1933" spans="1:5" x14ac:dyDescent="0.25">
      <c r="A1933" s="290"/>
      <c r="B1933" s="288"/>
      <c r="C1933" s="1061"/>
      <c r="D1933" s="291"/>
      <c r="E1933" s="1044"/>
    </row>
    <row r="1934" spans="1:5" x14ac:dyDescent="0.25">
      <c r="A1934" s="290"/>
      <c r="B1934" s="288"/>
      <c r="C1934" s="1061"/>
      <c r="D1934" s="291"/>
      <c r="E1934" s="1044"/>
    </row>
    <row r="1935" spans="1:5" x14ac:dyDescent="0.25">
      <c r="A1935" s="290"/>
      <c r="B1935" s="288"/>
      <c r="C1935" s="1061"/>
      <c r="D1935" s="291"/>
      <c r="E1935" s="1044"/>
    </row>
    <row r="1936" spans="1:5" x14ac:dyDescent="0.25">
      <c r="A1936" s="290"/>
      <c r="B1936" s="288"/>
      <c r="C1936" s="1061"/>
      <c r="D1936" s="291"/>
      <c r="E1936" s="1044"/>
    </row>
    <row r="1937" spans="1:5" x14ac:dyDescent="0.25">
      <c r="A1937" s="290"/>
      <c r="B1937" s="288"/>
      <c r="C1937" s="1061"/>
      <c r="D1937" s="291"/>
      <c r="E1937" s="1044"/>
    </row>
    <row r="1938" spans="1:5" x14ac:dyDescent="0.25">
      <c r="A1938" s="290"/>
      <c r="B1938" s="288"/>
      <c r="C1938" s="1061"/>
      <c r="D1938" s="291"/>
      <c r="E1938" s="1044"/>
    </row>
    <row r="1939" spans="1:5" x14ac:dyDescent="0.25">
      <c r="A1939" s="290"/>
      <c r="B1939" s="288"/>
      <c r="C1939" s="1061"/>
      <c r="D1939" s="291"/>
      <c r="E1939" s="1044"/>
    </row>
    <row r="1940" spans="1:5" x14ac:dyDescent="0.25">
      <c r="A1940" s="290"/>
      <c r="B1940" s="288"/>
      <c r="C1940" s="1061"/>
      <c r="D1940" s="291"/>
      <c r="E1940" s="1044"/>
    </row>
    <row r="1941" spans="1:5" x14ac:dyDescent="0.25">
      <c r="A1941" s="290"/>
      <c r="B1941" s="288"/>
      <c r="C1941" s="1061"/>
      <c r="D1941" s="291"/>
      <c r="E1941" s="1044"/>
    </row>
    <row r="1942" spans="1:5" x14ac:dyDescent="0.25">
      <c r="A1942" s="290"/>
      <c r="B1942" s="288"/>
      <c r="C1942" s="1061"/>
      <c r="D1942" s="291"/>
      <c r="E1942" s="1044"/>
    </row>
    <row r="1943" spans="1:5" x14ac:dyDescent="0.25">
      <c r="A1943" s="290"/>
      <c r="B1943" s="288"/>
      <c r="C1943" s="1061"/>
      <c r="D1943" s="291"/>
      <c r="E1943" s="1044"/>
    </row>
    <row r="1944" spans="1:5" x14ac:dyDescent="0.25">
      <c r="A1944" s="290"/>
      <c r="B1944" s="288"/>
      <c r="C1944" s="1061"/>
      <c r="D1944" s="291"/>
      <c r="E1944" s="1044"/>
    </row>
    <row r="1945" spans="1:5" x14ac:dyDescent="0.25">
      <c r="A1945" s="290"/>
      <c r="B1945" s="288"/>
      <c r="C1945" s="1061"/>
      <c r="D1945" s="291"/>
      <c r="E1945" s="1044"/>
    </row>
    <row r="1946" spans="1:5" x14ac:dyDescent="0.25">
      <c r="A1946" s="290"/>
      <c r="B1946" s="288"/>
      <c r="C1946" s="1061"/>
      <c r="D1946" s="291"/>
      <c r="E1946" s="1044"/>
    </row>
    <row r="1947" spans="1:5" x14ac:dyDescent="0.25">
      <c r="A1947" s="290"/>
      <c r="B1947" s="288"/>
      <c r="C1947" s="1061"/>
      <c r="D1947" s="291"/>
      <c r="E1947" s="1044"/>
    </row>
    <row r="1948" spans="1:5" x14ac:dyDescent="0.25">
      <c r="A1948" s="290"/>
      <c r="B1948" s="288"/>
      <c r="C1948" s="1061"/>
      <c r="D1948" s="291"/>
      <c r="E1948" s="1044"/>
    </row>
    <row r="1949" spans="1:5" x14ac:dyDescent="0.25">
      <c r="A1949" s="290"/>
      <c r="B1949" s="288"/>
      <c r="C1949" s="1061"/>
      <c r="D1949" s="291"/>
      <c r="E1949" s="1044"/>
    </row>
    <row r="1950" spans="1:5" x14ac:dyDescent="0.25">
      <c r="A1950" s="290"/>
      <c r="B1950" s="288"/>
      <c r="C1950" s="1061"/>
      <c r="D1950" s="291"/>
      <c r="E1950" s="1044"/>
    </row>
    <row r="1951" spans="1:5" x14ac:dyDescent="0.25">
      <c r="A1951" s="290"/>
      <c r="B1951" s="288"/>
      <c r="C1951" s="1061"/>
      <c r="D1951" s="291"/>
      <c r="E1951" s="1044"/>
    </row>
    <row r="1952" spans="1:5" x14ac:dyDescent="0.25">
      <c r="A1952" s="290"/>
      <c r="B1952" s="288"/>
      <c r="C1952" s="1061"/>
      <c r="D1952" s="291"/>
      <c r="E1952" s="1044"/>
    </row>
    <row r="1953" spans="1:5" x14ac:dyDescent="0.25">
      <c r="A1953" s="290"/>
      <c r="B1953" s="288"/>
      <c r="C1953" s="1061"/>
      <c r="D1953" s="291"/>
      <c r="E1953" s="1044"/>
    </row>
    <row r="1954" spans="1:5" x14ac:dyDescent="0.25">
      <c r="A1954" s="290"/>
      <c r="B1954" s="288"/>
      <c r="C1954" s="1061"/>
      <c r="D1954" s="291"/>
      <c r="E1954" s="1044"/>
    </row>
    <row r="1955" spans="1:5" x14ac:dyDescent="0.25">
      <c r="A1955" s="290"/>
      <c r="B1955" s="288"/>
      <c r="C1955" s="1061"/>
      <c r="D1955" s="291"/>
      <c r="E1955" s="1044"/>
    </row>
    <row r="1956" spans="1:5" x14ac:dyDescent="0.25">
      <c r="A1956" s="290"/>
      <c r="B1956" s="288"/>
      <c r="C1956" s="1061"/>
      <c r="D1956" s="291"/>
      <c r="E1956" s="1044"/>
    </row>
    <row r="1957" spans="1:5" x14ac:dyDescent="0.25">
      <c r="A1957" s="290"/>
      <c r="B1957" s="288"/>
      <c r="C1957" s="1061"/>
      <c r="D1957" s="291"/>
      <c r="E1957" s="1044"/>
    </row>
    <row r="1958" spans="1:5" x14ac:dyDescent="0.25">
      <c r="A1958" s="290"/>
      <c r="B1958" s="288"/>
      <c r="C1958" s="1061"/>
      <c r="D1958" s="291"/>
      <c r="E1958" s="1044"/>
    </row>
    <row r="1959" spans="1:5" x14ac:dyDescent="0.25">
      <c r="A1959" s="290"/>
      <c r="B1959" s="288"/>
      <c r="C1959" s="1061"/>
      <c r="D1959" s="291"/>
      <c r="E1959" s="1044"/>
    </row>
    <row r="1960" spans="1:5" x14ac:dyDescent="0.25">
      <c r="A1960" s="290"/>
      <c r="B1960" s="288"/>
      <c r="C1960" s="1061"/>
      <c r="D1960" s="291"/>
      <c r="E1960" s="1044"/>
    </row>
    <row r="1961" spans="1:5" x14ac:dyDescent="0.25">
      <c r="A1961" s="290"/>
      <c r="B1961" s="288"/>
      <c r="C1961" s="1061"/>
      <c r="D1961" s="291"/>
      <c r="E1961" s="1044"/>
    </row>
    <row r="1962" spans="1:5" x14ac:dyDescent="0.25">
      <c r="A1962" s="290"/>
      <c r="B1962" s="288"/>
      <c r="C1962" s="1061"/>
      <c r="D1962" s="291"/>
      <c r="E1962" s="1044"/>
    </row>
    <row r="1963" spans="1:5" x14ac:dyDescent="0.25">
      <c r="A1963" s="290"/>
      <c r="B1963" s="288"/>
      <c r="C1963" s="1061"/>
      <c r="D1963" s="291"/>
      <c r="E1963" s="1044"/>
    </row>
    <row r="1964" spans="1:5" x14ac:dyDescent="0.25">
      <c r="A1964" s="290"/>
      <c r="B1964" s="288"/>
      <c r="C1964" s="1061"/>
      <c r="D1964" s="291"/>
      <c r="E1964" s="1044"/>
    </row>
    <row r="1965" spans="1:5" x14ac:dyDescent="0.25">
      <c r="A1965" s="290"/>
      <c r="B1965" s="288"/>
      <c r="C1965" s="1061"/>
      <c r="D1965" s="291"/>
      <c r="E1965" s="1044"/>
    </row>
    <row r="1966" spans="1:5" x14ac:dyDescent="0.25">
      <c r="A1966" s="290"/>
      <c r="B1966" s="288"/>
      <c r="C1966" s="1061"/>
      <c r="D1966" s="291"/>
      <c r="E1966" s="1044"/>
    </row>
    <row r="1967" spans="1:5" x14ac:dyDescent="0.25">
      <c r="A1967" s="290"/>
      <c r="B1967" s="288"/>
      <c r="C1967" s="1061"/>
      <c r="D1967" s="291"/>
      <c r="E1967" s="1044"/>
    </row>
    <row r="1968" spans="1:5" x14ac:dyDescent="0.25">
      <c r="A1968" s="290"/>
      <c r="B1968" s="288"/>
      <c r="C1968" s="1061"/>
      <c r="D1968" s="291"/>
      <c r="E1968" s="1044"/>
    </row>
    <row r="1969" spans="1:5" x14ac:dyDescent="0.25">
      <c r="A1969" s="290"/>
      <c r="B1969" s="288"/>
      <c r="C1969" s="1061"/>
      <c r="D1969" s="291"/>
      <c r="E1969" s="1044"/>
    </row>
    <row r="1970" spans="1:5" x14ac:dyDescent="0.25">
      <c r="A1970" s="290"/>
      <c r="B1970" s="288"/>
      <c r="C1970" s="1061"/>
      <c r="D1970" s="291"/>
      <c r="E1970" s="1044"/>
    </row>
    <row r="1971" spans="1:5" x14ac:dyDescent="0.25">
      <c r="A1971" s="290"/>
      <c r="B1971" s="288"/>
      <c r="C1971" s="1061"/>
      <c r="D1971" s="291"/>
      <c r="E1971" s="1044"/>
    </row>
    <row r="1972" spans="1:5" x14ac:dyDescent="0.25">
      <c r="A1972" s="290"/>
      <c r="B1972" s="288"/>
      <c r="C1972" s="1061"/>
      <c r="D1972" s="291"/>
      <c r="E1972" s="1044"/>
    </row>
    <row r="1973" spans="1:5" x14ac:dyDescent="0.25">
      <c r="A1973" s="290"/>
      <c r="B1973" s="288"/>
      <c r="C1973" s="1061"/>
      <c r="D1973" s="291"/>
      <c r="E1973" s="1044"/>
    </row>
    <row r="1974" spans="1:5" x14ac:dyDescent="0.25">
      <c r="A1974" s="290"/>
      <c r="B1974" s="288"/>
      <c r="C1974" s="1061"/>
      <c r="D1974" s="291"/>
      <c r="E1974" s="1044"/>
    </row>
    <row r="1975" spans="1:5" x14ac:dyDescent="0.25">
      <c r="A1975" s="290"/>
      <c r="B1975" s="288"/>
      <c r="C1975" s="1061"/>
      <c r="D1975" s="291"/>
      <c r="E1975" s="1044"/>
    </row>
    <row r="1976" spans="1:5" x14ac:dyDescent="0.25">
      <c r="A1976" s="290"/>
      <c r="B1976" s="288"/>
      <c r="C1976" s="1061"/>
      <c r="D1976" s="291"/>
      <c r="E1976" s="1044"/>
    </row>
    <row r="1977" spans="1:5" x14ac:dyDescent="0.25">
      <c r="A1977" s="290"/>
      <c r="B1977" s="288"/>
      <c r="C1977" s="1061"/>
      <c r="D1977" s="291"/>
      <c r="E1977" s="1044"/>
    </row>
    <row r="1978" spans="1:5" x14ac:dyDescent="0.25">
      <c r="A1978" s="290"/>
      <c r="B1978" s="288"/>
      <c r="C1978" s="1061"/>
      <c r="D1978" s="291"/>
      <c r="E1978" s="1044"/>
    </row>
    <row r="1979" spans="1:5" x14ac:dyDescent="0.25">
      <c r="A1979" s="290"/>
      <c r="B1979" s="288"/>
      <c r="C1979" s="1061"/>
      <c r="D1979" s="291"/>
      <c r="E1979" s="1044"/>
    </row>
    <row r="1980" spans="1:5" x14ac:dyDescent="0.25">
      <c r="A1980" s="290"/>
      <c r="B1980" s="288"/>
      <c r="C1980" s="1061"/>
      <c r="D1980" s="291"/>
      <c r="E1980" s="1044"/>
    </row>
    <row r="1981" spans="1:5" x14ac:dyDescent="0.25">
      <c r="A1981" s="290"/>
      <c r="B1981" s="288"/>
      <c r="C1981" s="1061"/>
      <c r="D1981" s="291"/>
      <c r="E1981" s="1044"/>
    </row>
    <row r="1982" spans="1:5" x14ac:dyDescent="0.25">
      <c r="A1982" s="290"/>
      <c r="B1982" s="288"/>
      <c r="C1982" s="1061"/>
      <c r="D1982" s="291"/>
      <c r="E1982" s="1044"/>
    </row>
    <row r="1983" spans="1:5" x14ac:dyDescent="0.25">
      <c r="A1983" s="290"/>
      <c r="B1983" s="288"/>
      <c r="C1983" s="1061"/>
      <c r="D1983" s="291"/>
      <c r="E1983" s="1044"/>
    </row>
    <row r="1984" spans="1:5" x14ac:dyDescent="0.25">
      <c r="A1984" s="290"/>
      <c r="B1984" s="288"/>
      <c r="C1984" s="1061"/>
      <c r="D1984" s="291"/>
      <c r="E1984" s="1044"/>
    </row>
    <row r="1985" spans="1:5" x14ac:dyDescent="0.25">
      <c r="A1985" s="290"/>
      <c r="B1985" s="288"/>
      <c r="C1985" s="1061"/>
      <c r="D1985" s="291"/>
      <c r="E1985" s="1044"/>
    </row>
    <row r="1986" spans="1:5" x14ac:dyDescent="0.25">
      <c r="A1986" s="290"/>
      <c r="B1986" s="288"/>
      <c r="C1986" s="1061"/>
      <c r="D1986" s="291"/>
      <c r="E1986" s="1044"/>
    </row>
    <row r="1987" spans="1:5" x14ac:dyDescent="0.25">
      <c r="A1987" s="290"/>
      <c r="B1987" s="288"/>
      <c r="C1987" s="1061"/>
      <c r="D1987" s="291"/>
      <c r="E1987" s="1044"/>
    </row>
    <row r="1988" spans="1:5" x14ac:dyDescent="0.25">
      <c r="A1988" s="290"/>
      <c r="B1988" s="288"/>
      <c r="C1988" s="1061"/>
      <c r="D1988" s="291"/>
      <c r="E1988" s="1044"/>
    </row>
    <row r="1989" spans="1:5" x14ac:dyDescent="0.25">
      <c r="A1989" s="290"/>
      <c r="B1989" s="288"/>
      <c r="C1989" s="1061"/>
      <c r="D1989" s="291"/>
      <c r="E1989" s="1044"/>
    </row>
    <row r="1990" spans="1:5" x14ac:dyDescent="0.25">
      <c r="A1990" s="290"/>
      <c r="B1990" s="288"/>
      <c r="C1990" s="1061"/>
      <c r="D1990" s="291"/>
      <c r="E1990" s="1044"/>
    </row>
    <row r="1991" spans="1:5" x14ac:dyDescent="0.25">
      <c r="A1991" s="290"/>
      <c r="B1991" s="288"/>
      <c r="C1991" s="1061"/>
      <c r="D1991" s="291"/>
      <c r="E1991" s="1044"/>
    </row>
    <row r="1992" spans="1:5" x14ac:dyDescent="0.25">
      <c r="A1992" s="290"/>
      <c r="B1992" s="288"/>
      <c r="C1992" s="1061"/>
      <c r="D1992" s="291"/>
      <c r="E1992" s="1044"/>
    </row>
    <row r="1993" spans="1:5" x14ac:dyDescent="0.25">
      <c r="A1993" s="290"/>
      <c r="B1993" s="288"/>
      <c r="C1993" s="1061"/>
      <c r="D1993" s="291"/>
      <c r="E1993" s="1044"/>
    </row>
    <row r="1994" spans="1:5" x14ac:dyDescent="0.25">
      <c r="A1994" s="290"/>
      <c r="B1994" s="288"/>
      <c r="C1994" s="1061"/>
      <c r="D1994" s="291"/>
      <c r="E1994" s="1044"/>
    </row>
    <row r="1995" spans="1:5" x14ac:dyDescent="0.25">
      <c r="A1995" s="290"/>
      <c r="B1995" s="288"/>
      <c r="C1995" s="1061"/>
      <c r="D1995" s="291"/>
      <c r="E1995" s="1044"/>
    </row>
    <row r="1996" spans="1:5" x14ac:dyDescent="0.25">
      <c r="A1996" s="290"/>
      <c r="B1996" s="288"/>
      <c r="C1996" s="1061"/>
      <c r="D1996" s="291"/>
      <c r="E1996" s="1044"/>
    </row>
    <row r="1997" spans="1:5" x14ac:dyDescent="0.25">
      <c r="A1997" s="290"/>
      <c r="B1997" s="288"/>
      <c r="C1997" s="1061"/>
      <c r="D1997" s="291"/>
      <c r="E1997" s="1044"/>
    </row>
    <row r="1998" spans="1:5" x14ac:dyDescent="0.25">
      <c r="A1998" s="290"/>
      <c r="B1998" s="288"/>
      <c r="C1998" s="1061"/>
      <c r="D1998" s="291"/>
      <c r="E1998" s="1044"/>
    </row>
    <row r="1999" spans="1:5" x14ac:dyDescent="0.25">
      <c r="A1999" s="290"/>
      <c r="B1999" s="288"/>
      <c r="C1999" s="1061"/>
      <c r="D1999" s="291"/>
      <c r="E1999" s="1044"/>
    </row>
    <row r="2000" spans="1:5" x14ac:dyDescent="0.25">
      <c r="A2000" s="290"/>
      <c r="B2000" s="288"/>
      <c r="C2000" s="1061"/>
      <c r="D2000" s="291"/>
      <c r="E2000" s="1044"/>
    </row>
    <row r="2001" spans="1:5" x14ac:dyDescent="0.25">
      <c r="A2001" s="290"/>
      <c r="B2001" s="288"/>
      <c r="C2001" s="1061"/>
      <c r="D2001" s="291"/>
      <c r="E2001" s="1044"/>
    </row>
    <row r="2002" spans="1:5" x14ac:dyDescent="0.25">
      <c r="A2002" s="290"/>
      <c r="B2002" s="288"/>
      <c r="C2002" s="1061"/>
      <c r="D2002" s="291"/>
      <c r="E2002" s="1044"/>
    </row>
    <row r="2003" spans="1:5" x14ac:dyDescent="0.25">
      <c r="A2003" s="290"/>
      <c r="B2003" s="288"/>
      <c r="C2003" s="1061"/>
      <c r="D2003" s="291"/>
      <c r="E2003" s="1044"/>
    </row>
    <row r="2004" spans="1:5" x14ac:dyDescent="0.25">
      <c r="A2004" s="290"/>
      <c r="B2004" s="288"/>
      <c r="C2004" s="1061"/>
      <c r="D2004" s="291"/>
      <c r="E2004" s="1044"/>
    </row>
    <row r="2005" spans="1:5" x14ac:dyDescent="0.25">
      <c r="A2005" s="290"/>
      <c r="B2005" s="288"/>
      <c r="C2005" s="1061"/>
      <c r="D2005" s="291"/>
      <c r="E2005" s="1044"/>
    </row>
    <row r="2006" spans="1:5" x14ac:dyDescent="0.25">
      <c r="A2006" s="290"/>
      <c r="B2006" s="288"/>
      <c r="C2006" s="1061"/>
      <c r="D2006" s="291"/>
      <c r="E2006" s="1044"/>
    </row>
    <row r="2007" spans="1:5" x14ac:dyDescent="0.25">
      <c r="A2007" s="290"/>
      <c r="B2007" s="288"/>
      <c r="C2007" s="1061"/>
      <c r="D2007" s="291"/>
      <c r="E2007" s="1044"/>
    </row>
    <row r="2008" spans="1:5" x14ac:dyDescent="0.25">
      <c r="A2008" s="290"/>
      <c r="B2008" s="288"/>
      <c r="C2008" s="1061"/>
      <c r="D2008" s="291"/>
      <c r="E2008" s="1044"/>
    </row>
    <row r="2009" spans="1:5" x14ac:dyDescent="0.25">
      <c r="A2009" s="290"/>
      <c r="B2009" s="288"/>
      <c r="C2009" s="1061"/>
      <c r="D2009" s="291"/>
      <c r="E2009" s="1044"/>
    </row>
    <row r="2010" spans="1:5" x14ac:dyDescent="0.25">
      <c r="A2010" s="290"/>
      <c r="B2010" s="288"/>
      <c r="C2010" s="1061"/>
      <c r="D2010" s="291"/>
      <c r="E2010" s="1044"/>
    </row>
    <row r="2011" spans="1:5" x14ac:dyDescent="0.25">
      <c r="A2011" s="290"/>
      <c r="B2011" s="288"/>
      <c r="C2011" s="1061"/>
      <c r="D2011" s="291"/>
      <c r="E2011" s="1044"/>
    </row>
    <row r="2012" spans="1:5" x14ac:dyDescent="0.25">
      <c r="A2012" s="290"/>
      <c r="B2012" s="288"/>
      <c r="C2012" s="1061"/>
      <c r="D2012" s="291"/>
      <c r="E2012" s="1044"/>
    </row>
    <row r="2013" spans="1:5" x14ac:dyDescent="0.25">
      <c r="A2013" s="290"/>
      <c r="B2013" s="288"/>
      <c r="C2013" s="1061"/>
      <c r="D2013" s="291"/>
      <c r="E2013" s="1044"/>
    </row>
    <row r="2014" spans="1:5" x14ac:dyDescent="0.25">
      <c r="A2014" s="290"/>
      <c r="B2014" s="288"/>
      <c r="C2014" s="1061"/>
      <c r="D2014" s="291"/>
      <c r="E2014" s="1044"/>
    </row>
    <row r="2015" spans="1:5" x14ac:dyDescent="0.25">
      <c r="A2015" s="290"/>
      <c r="B2015" s="288"/>
      <c r="C2015" s="1061"/>
      <c r="D2015" s="291"/>
      <c r="E2015" s="1044"/>
    </row>
    <row r="2016" spans="1:5" x14ac:dyDescent="0.25">
      <c r="A2016" s="290"/>
      <c r="B2016" s="288"/>
      <c r="C2016" s="1061"/>
      <c r="D2016" s="291"/>
      <c r="E2016" s="1044"/>
    </row>
    <row r="2017" spans="1:5" x14ac:dyDescent="0.25">
      <c r="A2017" s="290"/>
      <c r="B2017" s="288"/>
      <c r="C2017" s="1061"/>
      <c r="D2017" s="291"/>
      <c r="E2017" s="1044"/>
    </row>
    <row r="2018" spans="1:5" x14ac:dyDescent="0.25">
      <c r="A2018" s="290"/>
      <c r="B2018" s="288"/>
      <c r="C2018" s="1061"/>
      <c r="D2018" s="291"/>
      <c r="E2018" s="1044"/>
    </row>
    <row r="2019" spans="1:5" x14ac:dyDescent="0.25">
      <c r="A2019" s="290"/>
      <c r="B2019" s="288"/>
      <c r="C2019" s="1061"/>
      <c r="D2019" s="291"/>
      <c r="E2019" s="1044"/>
    </row>
    <row r="2020" spans="1:5" x14ac:dyDescent="0.25">
      <c r="A2020" s="290"/>
      <c r="B2020" s="288"/>
      <c r="C2020" s="1061"/>
      <c r="D2020" s="291"/>
      <c r="E2020" s="1044"/>
    </row>
    <row r="2021" spans="1:5" x14ac:dyDescent="0.25">
      <c r="A2021" s="290"/>
      <c r="B2021" s="288"/>
      <c r="C2021" s="1061"/>
      <c r="D2021" s="291"/>
      <c r="E2021" s="1044"/>
    </row>
    <row r="2022" spans="1:5" x14ac:dyDescent="0.25">
      <c r="A2022" s="290"/>
      <c r="B2022" s="288"/>
      <c r="C2022" s="1061"/>
      <c r="D2022" s="291"/>
      <c r="E2022" s="1044"/>
    </row>
    <row r="2023" spans="1:5" x14ac:dyDescent="0.25">
      <c r="A2023" s="290"/>
      <c r="B2023" s="288"/>
      <c r="C2023" s="1061"/>
      <c r="D2023" s="291"/>
      <c r="E2023" s="1044"/>
    </row>
    <row r="2024" spans="1:5" x14ac:dyDescent="0.25">
      <c r="A2024" s="290"/>
      <c r="B2024" s="288"/>
      <c r="C2024" s="1061"/>
      <c r="D2024" s="291"/>
      <c r="E2024" s="1044"/>
    </row>
    <row r="2025" spans="1:5" x14ac:dyDescent="0.25">
      <c r="A2025" s="290"/>
      <c r="B2025" s="288"/>
      <c r="C2025" s="1061"/>
      <c r="D2025" s="291"/>
      <c r="E2025" s="1044"/>
    </row>
    <row r="2026" spans="1:5" x14ac:dyDescent="0.25">
      <c r="A2026" s="290"/>
      <c r="B2026" s="288"/>
      <c r="C2026" s="1061"/>
      <c r="D2026" s="291"/>
      <c r="E2026" s="1044"/>
    </row>
    <row r="2027" spans="1:5" x14ac:dyDescent="0.25">
      <c r="A2027" s="290"/>
      <c r="B2027" s="288"/>
      <c r="C2027" s="1061"/>
      <c r="D2027" s="291"/>
      <c r="E2027" s="1044"/>
    </row>
    <row r="2028" spans="1:5" x14ac:dyDescent="0.25">
      <c r="A2028" s="290"/>
      <c r="B2028" s="288"/>
      <c r="C2028" s="1061"/>
      <c r="D2028" s="291"/>
      <c r="E2028" s="1044"/>
    </row>
    <row r="2029" spans="1:5" x14ac:dyDescent="0.25">
      <c r="A2029" s="290"/>
      <c r="B2029" s="288"/>
      <c r="C2029" s="1061"/>
      <c r="D2029" s="291"/>
      <c r="E2029" s="1044"/>
    </row>
    <row r="2030" spans="1:5" x14ac:dyDescent="0.25">
      <c r="A2030" s="290"/>
      <c r="B2030" s="288"/>
      <c r="C2030" s="1061"/>
      <c r="D2030" s="291"/>
      <c r="E2030" s="1044"/>
    </row>
    <row r="2031" spans="1:5" x14ac:dyDescent="0.25">
      <c r="A2031" s="290"/>
      <c r="B2031" s="288"/>
      <c r="C2031" s="1061"/>
      <c r="D2031" s="291"/>
      <c r="E2031" s="1044"/>
    </row>
    <row r="2032" spans="1:5" x14ac:dyDescent="0.25">
      <c r="A2032" s="290"/>
      <c r="B2032" s="288"/>
      <c r="C2032" s="1061"/>
      <c r="D2032" s="291"/>
      <c r="E2032" s="1044"/>
    </row>
    <row r="2033" spans="1:5" x14ac:dyDescent="0.25">
      <c r="A2033" s="290"/>
      <c r="B2033" s="288"/>
      <c r="C2033" s="1061"/>
      <c r="D2033" s="291"/>
      <c r="E2033" s="1044"/>
    </row>
    <row r="2034" spans="1:5" x14ac:dyDescent="0.25">
      <c r="A2034" s="290"/>
      <c r="B2034" s="288"/>
      <c r="C2034" s="1061"/>
      <c r="D2034" s="291"/>
      <c r="E2034" s="1044"/>
    </row>
    <row r="2035" spans="1:5" x14ac:dyDescent="0.25">
      <c r="A2035" s="290"/>
      <c r="B2035" s="288"/>
      <c r="C2035" s="1061"/>
      <c r="D2035" s="291"/>
      <c r="E2035" s="1044"/>
    </row>
    <row r="2036" spans="1:5" x14ac:dyDescent="0.25">
      <c r="A2036" s="290"/>
      <c r="B2036" s="288"/>
      <c r="C2036" s="1061"/>
      <c r="D2036" s="291"/>
      <c r="E2036" s="1044"/>
    </row>
    <row r="2037" spans="1:5" x14ac:dyDescent="0.25">
      <c r="A2037" s="290"/>
      <c r="B2037" s="288"/>
      <c r="C2037" s="1061"/>
      <c r="D2037" s="291"/>
      <c r="E2037" s="1044"/>
    </row>
    <row r="2038" spans="1:5" x14ac:dyDescent="0.25">
      <c r="A2038" s="290"/>
      <c r="B2038" s="288"/>
      <c r="C2038" s="1061"/>
      <c r="D2038" s="291"/>
      <c r="E2038" s="1044"/>
    </row>
    <row r="2039" spans="1:5" x14ac:dyDescent="0.25">
      <c r="A2039" s="290"/>
      <c r="B2039" s="288"/>
      <c r="C2039" s="1061"/>
      <c r="D2039" s="291"/>
      <c r="E2039" s="1044"/>
    </row>
    <row r="2040" spans="1:5" x14ac:dyDescent="0.25">
      <c r="A2040" s="290"/>
      <c r="B2040" s="288"/>
      <c r="C2040" s="1061"/>
      <c r="D2040" s="291"/>
      <c r="E2040" s="1044"/>
    </row>
    <row r="2041" spans="1:5" x14ac:dyDescent="0.25">
      <c r="A2041" s="290"/>
      <c r="B2041" s="288"/>
      <c r="C2041" s="1061"/>
      <c r="D2041" s="291"/>
      <c r="E2041" s="1044"/>
    </row>
    <row r="2042" spans="1:5" x14ac:dyDescent="0.25">
      <c r="A2042" s="290"/>
      <c r="B2042" s="288"/>
      <c r="C2042" s="1061"/>
      <c r="D2042" s="291"/>
      <c r="E2042" s="1044"/>
    </row>
    <row r="2043" spans="1:5" x14ac:dyDescent="0.25">
      <c r="A2043" s="290"/>
      <c r="B2043" s="288"/>
      <c r="C2043" s="1061"/>
      <c r="D2043" s="291"/>
      <c r="E2043" s="1044"/>
    </row>
    <row r="2044" spans="1:5" x14ac:dyDescent="0.25">
      <c r="A2044" s="290"/>
      <c r="B2044" s="288"/>
      <c r="C2044" s="1061"/>
      <c r="D2044" s="291"/>
      <c r="E2044" s="1044"/>
    </row>
    <row r="2045" spans="1:5" x14ac:dyDescent="0.25">
      <c r="A2045" s="290"/>
      <c r="B2045" s="288"/>
      <c r="C2045" s="1061"/>
      <c r="D2045" s="291"/>
      <c r="E2045" s="1044"/>
    </row>
    <row r="2046" spans="1:5" x14ac:dyDescent="0.25">
      <c r="A2046" s="290"/>
      <c r="B2046" s="288"/>
      <c r="C2046" s="1061"/>
      <c r="D2046" s="291"/>
      <c r="E2046" s="1044"/>
    </row>
    <row r="2047" spans="1:5" x14ac:dyDescent="0.25">
      <c r="A2047" s="290"/>
      <c r="B2047" s="288"/>
      <c r="C2047" s="1061"/>
      <c r="D2047" s="291"/>
      <c r="E2047" s="1044"/>
    </row>
    <row r="2048" spans="1:5" x14ac:dyDescent="0.25">
      <c r="A2048" s="290"/>
      <c r="B2048" s="288"/>
      <c r="C2048" s="1061"/>
      <c r="D2048" s="291"/>
      <c r="E2048" s="1044"/>
    </row>
    <row r="2049" spans="1:5" x14ac:dyDescent="0.25">
      <c r="A2049" s="290"/>
      <c r="B2049" s="288"/>
      <c r="C2049" s="1061"/>
      <c r="D2049" s="291"/>
      <c r="E2049" s="1044"/>
    </row>
    <row r="2050" spans="1:5" x14ac:dyDescent="0.25">
      <c r="A2050" s="290"/>
      <c r="B2050" s="288"/>
      <c r="C2050" s="1061"/>
      <c r="D2050" s="291"/>
      <c r="E2050" s="1044"/>
    </row>
    <row r="2051" spans="1:5" x14ac:dyDescent="0.25">
      <c r="A2051" s="290"/>
      <c r="B2051" s="288"/>
      <c r="C2051" s="1061"/>
      <c r="D2051" s="291"/>
      <c r="E2051" s="1044"/>
    </row>
    <row r="2052" spans="1:5" x14ac:dyDescent="0.25">
      <c r="A2052" s="290"/>
      <c r="B2052" s="288"/>
      <c r="C2052" s="1061"/>
      <c r="D2052" s="291"/>
      <c r="E2052" s="1044"/>
    </row>
    <row r="2053" spans="1:5" x14ac:dyDescent="0.25">
      <c r="A2053" s="290"/>
      <c r="B2053" s="288"/>
      <c r="C2053" s="1061"/>
      <c r="D2053" s="291"/>
      <c r="E2053" s="1044"/>
    </row>
    <row r="2054" spans="1:5" x14ac:dyDescent="0.25">
      <c r="A2054" s="290"/>
      <c r="B2054" s="288"/>
      <c r="C2054" s="1061"/>
      <c r="D2054" s="291"/>
      <c r="E2054" s="1044"/>
    </row>
    <row r="2055" spans="1:5" x14ac:dyDescent="0.25">
      <c r="A2055" s="290"/>
      <c r="B2055" s="288"/>
      <c r="C2055" s="1061"/>
      <c r="D2055" s="291"/>
      <c r="E2055" s="1044"/>
    </row>
    <row r="2056" spans="1:5" x14ac:dyDescent="0.25">
      <c r="A2056" s="290"/>
      <c r="B2056" s="288"/>
      <c r="C2056" s="1061"/>
      <c r="D2056" s="291"/>
      <c r="E2056" s="1044"/>
    </row>
    <row r="2057" spans="1:5" x14ac:dyDescent="0.25">
      <c r="A2057" s="290"/>
      <c r="B2057" s="288"/>
      <c r="C2057" s="1061"/>
      <c r="D2057" s="291"/>
      <c r="E2057" s="1044"/>
    </row>
    <row r="2058" spans="1:5" x14ac:dyDescent="0.25">
      <c r="A2058" s="290"/>
      <c r="B2058" s="288"/>
      <c r="C2058" s="1061"/>
      <c r="D2058" s="291"/>
      <c r="E2058" s="1044"/>
    </row>
    <row r="2059" spans="1:5" x14ac:dyDescent="0.25">
      <c r="A2059" s="290"/>
      <c r="B2059" s="288"/>
      <c r="C2059" s="1061"/>
      <c r="D2059" s="291"/>
      <c r="E2059" s="1044"/>
    </row>
    <row r="2060" spans="1:5" x14ac:dyDescent="0.25">
      <c r="A2060" s="290"/>
      <c r="B2060" s="288"/>
      <c r="C2060" s="1061"/>
      <c r="D2060" s="291"/>
      <c r="E2060" s="1044"/>
    </row>
    <row r="2061" spans="1:5" x14ac:dyDescent="0.25">
      <c r="A2061" s="290"/>
      <c r="B2061" s="288"/>
      <c r="C2061" s="1061"/>
      <c r="D2061" s="291"/>
      <c r="E2061" s="1044"/>
    </row>
    <row r="2062" spans="1:5" x14ac:dyDescent="0.25">
      <c r="A2062" s="290"/>
      <c r="B2062" s="288"/>
      <c r="C2062" s="1061"/>
      <c r="D2062" s="291"/>
      <c r="E2062" s="1044"/>
    </row>
    <row r="2063" spans="1:5" x14ac:dyDescent="0.25">
      <c r="A2063" s="290"/>
      <c r="B2063" s="288"/>
      <c r="C2063" s="1061"/>
      <c r="D2063" s="291"/>
      <c r="E2063" s="1044"/>
    </row>
    <row r="2064" spans="1:5" x14ac:dyDescent="0.25">
      <c r="A2064" s="290"/>
      <c r="B2064" s="288"/>
      <c r="C2064" s="1061"/>
      <c r="D2064" s="291"/>
      <c r="E2064" s="1044"/>
    </row>
    <row r="2065" spans="1:5" x14ac:dyDescent="0.25">
      <c r="A2065" s="290"/>
      <c r="B2065" s="288"/>
      <c r="C2065" s="1061"/>
      <c r="D2065" s="291"/>
      <c r="E2065" s="1044"/>
    </row>
    <row r="2066" spans="1:5" x14ac:dyDescent="0.25">
      <c r="A2066" s="290"/>
      <c r="B2066" s="288"/>
      <c r="C2066" s="1061"/>
      <c r="D2066" s="291"/>
      <c r="E2066" s="1044"/>
    </row>
    <row r="2067" spans="1:5" x14ac:dyDescent="0.25">
      <c r="A2067" s="290"/>
      <c r="B2067" s="288"/>
      <c r="C2067" s="1061"/>
      <c r="D2067" s="291"/>
      <c r="E2067" s="1044"/>
    </row>
    <row r="2068" spans="1:5" x14ac:dyDescent="0.25">
      <c r="A2068" s="290"/>
      <c r="B2068" s="288"/>
      <c r="C2068" s="1061"/>
      <c r="D2068" s="291"/>
      <c r="E2068" s="1044"/>
    </row>
    <row r="2069" spans="1:5" x14ac:dyDescent="0.25">
      <c r="A2069" s="290"/>
      <c r="B2069" s="288"/>
      <c r="C2069" s="1061"/>
      <c r="D2069" s="291"/>
      <c r="E2069" s="1044"/>
    </row>
    <row r="2070" spans="1:5" x14ac:dyDescent="0.25">
      <c r="A2070" s="290"/>
      <c r="B2070" s="288"/>
      <c r="C2070" s="1061"/>
      <c r="D2070" s="291"/>
      <c r="E2070" s="1044"/>
    </row>
    <row r="2071" spans="1:5" x14ac:dyDescent="0.25">
      <c r="A2071" s="290"/>
      <c r="B2071" s="288"/>
      <c r="C2071" s="1061"/>
      <c r="D2071" s="291"/>
      <c r="E2071" s="1044"/>
    </row>
    <row r="2072" spans="1:5" x14ac:dyDescent="0.25">
      <c r="A2072" s="290"/>
      <c r="B2072" s="288"/>
      <c r="C2072" s="1061"/>
      <c r="D2072" s="291"/>
      <c r="E2072" s="1044"/>
    </row>
    <row r="2073" spans="1:5" x14ac:dyDescent="0.25">
      <c r="A2073" s="290"/>
      <c r="B2073" s="288"/>
      <c r="C2073" s="1061"/>
      <c r="D2073" s="291"/>
      <c r="E2073" s="1044"/>
    </row>
    <row r="2074" spans="1:5" x14ac:dyDescent="0.25">
      <c r="A2074" s="290"/>
      <c r="B2074" s="288"/>
      <c r="C2074" s="1061"/>
      <c r="D2074" s="291"/>
      <c r="E2074" s="1044"/>
    </row>
    <row r="2075" spans="1:5" x14ac:dyDescent="0.25">
      <c r="A2075" s="290"/>
      <c r="B2075" s="288"/>
      <c r="C2075" s="1061"/>
      <c r="D2075" s="291"/>
      <c r="E2075" s="1044"/>
    </row>
    <row r="2076" spans="1:5" x14ac:dyDescent="0.25">
      <c r="A2076" s="290"/>
      <c r="B2076" s="288"/>
      <c r="C2076" s="1061"/>
      <c r="D2076" s="291"/>
      <c r="E2076" s="1044"/>
    </row>
    <row r="2077" spans="1:5" x14ac:dyDescent="0.25">
      <c r="A2077" s="290"/>
      <c r="B2077" s="288"/>
      <c r="C2077" s="1061"/>
      <c r="D2077" s="291"/>
      <c r="E2077" s="1044"/>
    </row>
    <row r="2078" spans="1:5" x14ac:dyDescent="0.25">
      <c r="A2078" s="290"/>
      <c r="B2078" s="288"/>
      <c r="C2078" s="1061"/>
      <c r="D2078" s="291"/>
      <c r="E2078" s="1044"/>
    </row>
    <row r="2079" spans="1:5" x14ac:dyDescent="0.25">
      <c r="A2079" s="290"/>
      <c r="B2079" s="288"/>
      <c r="C2079" s="1061"/>
      <c r="D2079" s="291"/>
      <c r="E2079" s="1044"/>
    </row>
    <row r="2080" spans="1:5" x14ac:dyDescent="0.25">
      <c r="A2080" s="290"/>
      <c r="B2080" s="288"/>
      <c r="C2080" s="1061"/>
      <c r="D2080" s="291"/>
      <c r="E2080" s="1044"/>
    </row>
    <row r="2081" spans="1:5" x14ac:dyDescent="0.25">
      <c r="A2081" s="290"/>
      <c r="B2081" s="288"/>
      <c r="C2081" s="1061"/>
      <c r="D2081" s="291"/>
      <c r="E2081" s="1044"/>
    </row>
    <row r="2082" spans="1:5" x14ac:dyDescent="0.25">
      <c r="A2082" s="290"/>
      <c r="B2082" s="288"/>
      <c r="C2082" s="1061"/>
      <c r="D2082" s="291"/>
      <c r="E2082" s="1044"/>
    </row>
    <row r="2083" spans="1:5" x14ac:dyDescent="0.25">
      <c r="A2083" s="290"/>
      <c r="B2083" s="288"/>
      <c r="C2083" s="1061"/>
      <c r="D2083" s="291"/>
      <c r="E2083" s="1044"/>
    </row>
    <row r="2084" spans="1:5" x14ac:dyDescent="0.25">
      <c r="A2084" s="290"/>
      <c r="B2084" s="288"/>
      <c r="C2084" s="1061"/>
      <c r="D2084" s="291"/>
      <c r="E2084" s="1044"/>
    </row>
    <row r="2085" spans="1:5" x14ac:dyDescent="0.25">
      <c r="A2085" s="290"/>
      <c r="B2085" s="288"/>
      <c r="C2085" s="1061"/>
      <c r="D2085" s="291"/>
      <c r="E2085" s="1044"/>
    </row>
    <row r="2086" spans="1:5" x14ac:dyDescent="0.25">
      <c r="A2086" s="290"/>
      <c r="B2086" s="288"/>
      <c r="C2086" s="1061"/>
      <c r="D2086" s="291"/>
      <c r="E2086" s="1044"/>
    </row>
    <row r="2087" spans="1:5" x14ac:dyDescent="0.25">
      <c r="A2087" s="290"/>
      <c r="B2087" s="288"/>
      <c r="C2087" s="1061"/>
      <c r="D2087" s="291"/>
      <c r="E2087" s="1044"/>
    </row>
    <row r="2088" spans="1:5" x14ac:dyDescent="0.25">
      <c r="A2088" s="290"/>
      <c r="B2088" s="288"/>
      <c r="C2088" s="1061"/>
      <c r="D2088" s="291"/>
      <c r="E2088" s="1044"/>
    </row>
    <row r="2089" spans="1:5" x14ac:dyDescent="0.25">
      <c r="A2089" s="290"/>
      <c r="B2089" s="288"/>
      <c r="C2089" s="1061"/>
      <c r="D2089" s="291"/>
      <c r="E2089" s="1044"/>
    </row>
    <row r="2090" spans="1:5" x14ac:dyDescent="0.25">
      <c r="A2090" s="290"/>
      <c r="B2090" s="288"/>
      <c r="C2090" s="1061"/>
      <c r="D2090" s="291"/>
      <c r="E2090" s="1044"/>
    </row>
    <row r="2091" spans="1:5" x14ac:dyDescent="0.25">
      <c r="A2091" s="290"/>
      <c r="B2091" s="288"/>
      <c r="C2091" s="1061"/>
      <c r="D2091" s="291"/>
      <c r="E2091" s="1044"/>
    </row>
    <row r="2092" spans="1:5" x14ac:dyDescent="0.25">
      <c r="A2092" s="290"/>
      <c r="B2092" s="288"/>
      <c r="C2092" s="1061"/>
      <c r="D2092" s="291"/>
      <c r="E2092" s="1044"/>
    </row>
    <row r="2093" spans="1:5" x14ac:dyDescent="0.25">
      <c r="A2093" s="290"/>
      <c r="B2093" s="288"/>
      <c r="C2093" s="1061"/>
      <c r="D2093" s="291"/>
      <c r="E2093" s="1044"/>
    </row>
    <row r="2094" spans="1:5" x14ac:dyDescent="0.25">
      <c r="A2094" s="290"/>
      <c r="B2094" s="288"/>
      <c r="C2094" s="1061"/>
      <c r="D2094" s="291"/>
      <c r="E2094" s="1044"/>
    </row>
    <row r="2095" spans="1:5" x14ac:dyDescent="0.25">
      <c r="A2095" s="290"/>
      <c r="B2095" s="288"/>
      <c r="C2095" s="1061"/>
      <c r="D2095" s="291"/>
      <c r="E2095" s="1044"/>
    </row>
    <row r="2096" spans="1:5" x14ac:dyDescent="0.25">
      <c r="A2096" s="290"/>
      <c r="B2096" s="288"/>
      <c r="C2096" s="1061"/>
      <c r="D2096" s="291"/>
      <c r="E2096" s="1044"/>
    </row>
    <row r="2097" spans="1:5" x14ac:dyDescent="0.25">
      <c r="A2097" s="290"/>
      <c r="B2097" s="288"/>
      <c r="C2097" s="1061"/>
      <c r="D2097" s="291"/>
      <c r="E2097" s="1044"/>
    </row>
    <row r="2098" spans="1:5" x14ac:dyDescent="0.25">
      <c r="A2098" s="290"/>
      <c r="B2098" s="288"/>
      <c r="C2098" s="1061"/>
      <c r="D2098" s="291"/>
      <c r="E2098" s="1044"/>
    </row>
    <row r="2099" spans="1:5" x14ac:dyDescent="0.25">
      <c r="A2099" s="290"/>
      <c r="B2099" s="288"/>
      <c r="C2099" s="1061"/>
      <c r="D2099" s="291"/>
      <c r="E2099" s="1044"/>
    </row>
    <row r="2100" spans="1:5" x14ac:dyDescent="0.25">
      <c r="A2100" s="290"/>
      <c r="B2100" s="288"/>
      <c r="C2100" s="1061"/>
      <c r="D2100" s="291"/>
      <c r="E2100" s="1044"/>
    </row>
    <row r="2101" spans="1:5" x14ac:dyDescent="0.25">
      <c r="A2101" s="290"/>
      <c r="B2101" s="288"/>
      <c r="C2101" s="1061"/>
      <c r="D2101" s="291"/>
      <c r="E2101" s="1044"/>
    </row>
    <row r="2102" spans="1:5" x14ac:dyDescent="0.25">
      <c r="A2102" s="290"/>
      <c r="B2102" s="288"/>
      <c r="C2102" s="1061"/>
      <c r="D2102" s="291"/>
      <c r="E2102" s="1044"/>
    </row>
    <row r="2103" spans="1:5" x14ac:dyDescent="0.25">
      <c r="A2103" s="290"/>
      <c r="B2103" s="288"/>
      <c r="C2103" s="1061"/>
      <c r="D2103" s="291"/>
      <c r="E2103" s="1044"/>
    </row>
    <row r="2104" spans="1:5" x14ac:dyDescent="0.25">
      <c r="A2104" s="290"/>
      <c r="B2104" s="288"/>
      <c r="C2104" s="1061"/>
      <c r="D2104" s="291"/>
      <c r="E2104" s="1044"/>
    </row>
    <row r="2105" spans="1:5" x14ac:dyDescent="0.25">
      <c r="A2105" s="290"/>
      <c r="B2105" s="288"/>
      <c r="C2105" s="1061"/>
      <c r="D2105" s="291"/>
      <c r="E2105" s="1044"/>
    </row>
    <row r="2106" spans="1:5" x14ac:dyDescent="0.25">
      <c r="A2106" s="290"/>
      <c r="B2106" s="288"/>
      <c r="C2106" s="1061"/>
      <c r="D2106" s="291"/>
      <c r="E2106" s="1044"/>
    </row>
    <row r="2107" spans="1:5" x14ac:dyDescent="0.25">
      <c r="A2107" s="290"/>
      <c r="B2107" s="288"/>
      <c r="C2107" s="1061"/>
      <c r="D2107" s="291"/>
      <c r="E2107" s="1044"/>
    </row>
    <row r="2108" spans="1:5" x14ac:dyDescent="0.25">
      <c r="A2108" s="290"/>
      <c r="B2108" s="288"/>
      <c r="C2108" s="1061"/>
      <c r="D2108" s="291"/>
      <c r="E2108" s="1044"/>
    </row>
    <row r="2109" spans="1:5" x14ac:dyDescent="0.25">
      <c r="A2109" s="290"/>
      <c r="B2109" s="288"/>
      <c r="C2109" s="1061"/>
      <c r="D2109" s="291"/>
      <c r="E2109" s="1044"/>
    </row>
    <row r="2110" spans="1:5" x14ac:dyDescent="0.25">
      <c r="A2110" s="290"/>
      <c r="B2110" s="288"/>
      <c r="C2110" s="1061"/>
      <c r="D2110" s="291"/>
      <c r="E2110" s="1044"/>
    </row>
    <row r="2111" spans="1:5" x14ac:dyDescent="0.25">
      <c r="A2111" s="290"/>
      <c r="B2111" s="288"/>
      <c r="C2111" s="1061"/>
      <c r="D2111" s="291"/>
      <c r="E2111" s="1044"/>
    </row>
    <row r="2112" spans="1:5" x14ac:dyDescent="0.25">
      <c r="A2112" s="290"/>
      <c r="B2112" s="288"/>
      <c r="C2112" s="1061"/>
      <c r="D2112" s="291"/>
      <c r="E2112" s="1044"/>
    </row>
    <row r="2113" spans="1:5" x14ac:dyDescent="0.25">
      <c r="A2113" s="290"/>
      <c r="B2113" s="288"/>
      <c r="C2113" s="1061"/>
      <c r="D2113" s="291"/>
      <c r="E2113" s="1044"/>
    </row>
    <row r="2114" spans="1:5" x14ac:dyDescent="0.25">
      <c r="A2114" s="290"/>
      <c r="B2114" s="288"/>
      <c r="C2114" s="1061"/>
      <c r="D2114" s="291"/>
      <c r="E2114" s="1044"/>
    </row>
    <row r="2115" spans="1:5" x14ac:dyDescent="0.25">
      <c r="A2115" s="290"/>
      <c r="B2115" s="288"/>
      <c r="C2115" s="1061"/>
      <c r="D2115" s="291"/>
      <c r="E2115" s="1044"/>
    </row>
    <row r="2116" spans="1:5" x14ac:dyDescent="0.25">
      <c r="A2116" s="290"/>
      <c r="B2116" s="288"/>
      <c r="C2116" s="1061"/>
      <c r="D2116" s="291"/>
      <c r="E2116" s="1044"/>
    </row>
    <row r="2117" spans="1:5" x14ac:dyDescent="0.25">
      <c r="A2117" s="290"/>
      <c r="B2117" s="288"/>
      <c r="C2117" s="1061"/>
      <c r="D2117" s="291"/>
      <c r="E2117" s="1044"/>
    </row>
    <row r="2118" spans="1:5" x14ac:dyDescent="0.25">
      <c r="A2118" s="290"/>
      <c r="B2118" s="288"/>
      <c r="C2118" s="1061"/>
      <c r="D2118" s="291"/>
      <c r="E2118" s="1044"/>
    </row>
    <row r="2119" spans="1:5" x14ac:dyDescent="0.25">
      <c r="A2119" s="290"/>
      <c r="B2119" s="288"/>
      <c r="C2119" s="1061"/>
      <c r="D2119" s="291"/>
      <c r="E2119" s="1044"/>
    </row>
    <row r="2120" spans="1:5" x14ac:dyDescent="0.25">
      <c r="A2120" s="290"/>
      <c r="B2120" s="288"/>
      <c r="C2120" s="1061"/>
      <c r="D2120" s="291"/>
      <c r="E2120" s="1044"/>
    </row>
    <row r="2121" spans="1:5" x14ac:dyDescent="0.25">
      <c r="A2121" s="290"/>
      <c r="B2121" s="288"/>
      <c r="C2121" s="1061"/>
      <c r="D2121" s="291"/>
      <c r="E2121" s="1044"/>
    </row>
    <row r="2122" spans="1:5" x14ac:dyDescent="0.25">
      <c r="A2122" s="290"/>
      <c r="B2122" s="288"/>
      <c r="C2122" s="1061"/>
      <c r="D2122" s="291"/>
      <c r="E2122" s="1044"/>
    </row>
    <row r="2123" spans="1:5" x14ac:dyDescent="0.25">
      <c r="A2123" s="290"/>
      <c r="B2123" s="288"/>
      <c r="C2123" s="1061"/>
      <c r="D2123" s="291"/>
      <c r="E2123" s="1044"/>
    </row>
    <row r="2124" spans="1:5" x14ac:dyDescent="0.25">
      <c r="A2124" s="290"/>
      <c r="B2124" s="288"/>
      <c r="C2124" s="1061"/>
      <c r="D2124" s="291"/>
      <c r="E2124" s="1044"/>
    </row>
    <row r="2125" spans="1:5" x14ac:dyDescent="0.25">
      <c r="A2125" s="290"/>
      <c r="B2125" s="288"/>
      <c r="C2125" s="1061"/>
      <c r="D2125" s="291"/>
      <c r="E2125" s="1044"/>
    </row>
    <row r="2126" spans="1:5" x14ac:dyDescent="0.25">
      <c r="A2126" s="290"/>
      <c r="B2126" s="288"/>
      <c r="C2126" s="1061"/>
      <c r="D2126" s="291"/>
      <c r="E2126" s="1044"/>
    </row>
    <row r="2127" spans="1:5" x14ac:dyDescent="0.25">
      <c r="A2127" s="290"/>
      <c r="B2127" s="288"/>
      <c r="C2127" s="1061"/>
      <c r="D2127" s="291"/>
      <c r="E2127" s="1044"/>
    </row>
    <row r="2128" spans="1:5" x14ac:dyDescent="0.25">
      <c r="A2128" s="290"/>
      <c r="B2128" s="288"/>
      <c r="C2128" s="1061"/>
      <c r="D2128" s="291"/>
      <c r="E2128" s="1044"/>
    </row>
    <row r="2129" spans="1:5" x14ac:dyDescent="0.25">
      <c r="A2129" s="290"/>
      <c r="B2129" s="288"/>
      <c r="C2129" s="1061"/>
      <c r="D2129" s="291"/>
      <c r="E2129" s="1044"/>
    </row>
    <row r="2130" spans="1:5" x14ac:dyDescent="0.25">
      <c r="A2130" s="290"/>
      <c r="B2130" s="288"/>
      <c r="C2130" s="1061"/>
      <c r="D2130" s="291"/>
      <c r="E2130" s="1044"/>
    </row>
    <row r="2131" spans="1:5" x14ac:dyDescent="0.25">
      <c r="A2131" s="290"/>
      <c r="B2131" s="288"/>
      <c r="C2131" s="1061"/>
      <c r="D2131" s="291"/>
      <c r="E2131" s="1044"/>
    </row>
    <row r="2132" spans="1:5" x14ac:dyDescent="0.25">
      <c r="A2132" s="290"/>
      <c r="B2132" s="288"/>
      <c r="C2132" s="1061"/>
      <c r="D2132" s="291"/>
      <c r="E2132" s="1044"/>
    </row>
    <row r="2133" spans="1:5" x14ac:dyDescent="0.25">
      <c r="A2133" s="290"/>
      <c r="B2133" s="288"/>
      <c r="C2133" s="1061"/>
      <c r="D2133" s="291"/>
      <c r="E2133" s="1044"/>
    </row>
    <row r="2134" spans="1:5" x14ac:dyDescent="0.25">
      <c r="A2134" s="290"/>
      <c r="B2134" s="288"/>
      <c r="C2134" s="1061"/>
      <c r="D2134" s="291"/>
      <c r="E2134" s="1044"/>
    </row>
    <row r="2135" spans="1:5" x14ac:dyDescent="0.25">
      <c r="A2135" s="290"/>
      <c r="B2135" s="288"/>
      <c r="C2135" s="1061"/>
      <c r="D2135" s="291"/>
      <c r="E2135" s="1044"/>
    </row>
    <row r="2136" spans="1:5" x14ac:dyDescent="0.25">
      <c r="A2136" s="290"/>
      <c r="B2136" s="288"/>
      <c r="C2136" s="1061"/>
      <c r="D2136" s="291"/>
      <c r="E2136" s="1044"/>
    </row>
    <row r="2137" spans="1:5" x14ac:dyDescent="0.25">
      <c r="A2137" s="290"/>
      <c r="B2137" s="288"/>
      <c r="C2137" s="1061"/>
      <c r="D2137" s="291"/>
      <c r="E2137" s="1044"/>
    </row>
    <row r="2138" spans="1:5" x14ac:dyDescent="0.25">
      <c r="A2138" s="290"/>
      <c r="B2138" s="288"/>
      <c r="C2138" s="1061"/>
      <c r="D2138" s="291"/>
      <c r="E2138" s="1044"/>
    </row>
    <row r="2139" spans="1:5" x14ac:dyDescent="0.25">
      <c r="A2139" s="290"/>
      <c r="B2139" s="288"/>
      <c r="C2139" s="1061"/>
      <c r="D2139" s="291"/>
      <c r="E2139" s="1044"/>
    </row>
    <row r="2140" spans="1:5" x14ac:dyDescent="0.25">
      <c r="A2140" s="290"/>
      <c r="B2140" s="288"/>
      <c r="C2140" s="1061"/>
      <c r="D2140" s="291"/>
      <c r="E2140" s="1044"/>
    </row>
    <row r="2141" spans="1:5" x14ac:dyDescent="0.25">
      <c r="A2141" s="290"/>
      <c r="B2141" s="288"/>
      <c r="C2141" s="1061"/>
      <c r="D2141" s="291"/>
      <c r="E2141" s="1044"/>
    </row>
    <row r="2142" spans="1:5" x14ac:dyDescent="0.25">
      <c r="A2142" s="290"/>
      <c r="B2142" s="288"/>
      <c r="C2142" s="1061"/>
      <c r="D2142" s="291"/>
      <c r="E2142" s="1044"/>
    </row>
    <row r="2143" spans="1:5" x14ac:dyDescent="0.25">
      <c r="A2143" s="290"/>
      <c r="B2143" s="288"/>
      <c r="C2143" s="1061"/>
      <c r="D2143" s="291"/>
      <c r="E2143" s="1044"/>
    </row>
    <row r="2144" spans="1:5" x14ac:dyDescent="0.25">
      <c r="A2144" s="290"/>
      <c r="B2144" s="288"/>
      <c r="C2144" s="1061"/>
      <c r="D2144" s="291"/>
      <c r="E2144" s="1044"/>
    </row>
    <row r="2145" spans="1:5" x14ac:dyDescent="0.25">
      <c r="A2145" s="290"/>
      <c r="B2145" s="288"/>
      <c r="C2145" s="1061"/>
      <c r="D2145" s="291"/>
      <c r="E2145" s="1044"/>
    </row>
    <row r="2146" spans="1:5" x14ac:dyDescent="0.25">
      <c r="A2146" s="290"/>
      <c r="B2146" s="288"/>
      <c r="C2146" s="1061"/>
      <c r="D2146" s="291"/>
      <c r="E2146" s="1044"/>
    </row>
    <row r="2147" spans="1:5" x14ac:dyDescent="0.25">
      <c r="A2147" s="290"/>
      <c r="B2147" s="288"/>
      <c r="C2147" s="1061"/>
      <c r="D2147" s="291"/>
      <c r="E2147" s="1044"/>
    </row>
    <row r="2148" spans="1:5" x14ac:dyDescent="0.25">
      <c r="A2148" s="290"/>
      <c r="B2148" s="288"/>
      <c r="C2148" s="1061"/>
      <c r="D2148" s="291"/>
      <c r="E2148" s="1044"/>
    </row>
    <row r="2149" spans="1:5" x14ac:dyDescent="0.25">
      <c r="A2149" s="290"/>
      <c r="B2149" s="288"/>
      <c r="C2149" s="1061"/>
      <c r="D2149" s="291"/>
      <c r="E2149" s="1044"/>
    </row>
    <row r="2150" spans="1:5" x14ac:dyDescent="0.25">
      <c r="A2150" s="290"/>
      <c r="B2150" s="288"/>
      <c r="C2150" s="1061"/>
      <c r="D2150" s="291"/>
      <c r="E2150" s="1044"/>
    </row>
    <row r="2151" spans="1:5" x14ac:dyDescent="0.25">
      <c r="A2151" s="290"/>
      <c r="B2151" s="288"/>
      <c r="C2151" s="1061"/>
      <c r="D2151" s="291"/>
      <c r="E2151" s="1044"/>
    </row>
    <row r="2152" spans="1:5" x14ac:dyDescent="0.25">
      <c r="A2152" s="290"/>
      <c r="B2152" s="288"/>
      <c r="C2152" s="1061"/>
      <c r="D2152" s="291"/>
      <c r="E2152" s="1044"/>
    </row>
    <row r="2153" spans="1:5" x14ac:dyDescent="0.25">
      <c r="A2153" s="290"/>
      <c r="B2153" s="288"/>
      <c r="C2153" s="1061"/>
      <c r="D2153" s="291"/>
      <c r="E2153" s="1044"/>
    </row>
    <row r="2154" spans="1:5" x14ac:dyDescent="0.25">
      <c r="A2154" s="290"/>
      <c r="B2154" s="288"/>
      <c r="C2154" s="1061"/>
      <c r="D2154" s="291"/>
      <c r="E2154" s="1044"/>
    </row>
    <row r="2155" spans="1:5" x14ac:dyDescent="0.25">
      <c r="A2155" s="290"/>
      <c r="B2155" s="288"/>
      <c r="C2155" s="1061"/>
      <c r="D2155" s="291"/>
      <c r="E2155" s="1044"/>
    </row>
    <row r="2156" spans="1:5" x14ac:dyDescent="0.25">
      <c r="A2156" s="290"/>
      <c r="B2156" s="288"/>
      <c r="C2156" s="1061"/>
      <c r="D2156" s="291"/>
      <c r="E2156" s="1044"/>
    </row>
    <row r="2157" spans="1:5" x14ac:dyDescent="0.25">
      <c r="A2157" s="290"/>
      <c r="B2157" s="288"/>
      <c r="C2157" s="1061"/>
      <c r="D2157" s="291"/>
      <c r="E2157" s="1044"/>
    </row>
    <row r="2158" spans="1:5" x14ac:dyDescent="0.25">
      <c r="A2158" s="290"/>
      <c r="B2158" s="288"/>
      <c r="C2158" s="1061"/>
      <c r="D2158" s="291"/>
      <c r="E2158" s="1044"/>
    </row>
    <row r="2159" spans="1:5" x14ac:dyDescent="0.25">
      <c r="A2159" s="290"/>
      <c r="B2159" s="288"/>
      <c r="C2159" s="1061"/>
      <c r="D2159" s="291"/>
      <c r="E2159" s="1044"/>
    </row>
    <row r="2160" spans="1:5" x14ac:dyDescent="0.25">
      <c r="A2160" s="290"/>
      <c r="B2160" s="288"/>
      <c r="C2160" s="1061"/>
      <c r="D2160" s="291"/>
      <c r="E2160" s="1044"/>
    </row>
    <row r="2161" spans="1:5" x14ac:dyDescent="0.25">
      <c r="A2161" s="290"/>
      <c r="B2161" s="288"/>
      <c r="C2161" s="1061"/>
      <c r="D2161" s="291"/>
      <c r="E2161" s="1044"/>
    </row>
    <row r="2162" spans="1:5" x14ac:dyDescent="0.25">
      <c r="A2162" s="290"/>
      <c r="B2162" s="288"/>
      <c r="C2162" s="1061"/>
      <c r="D2162" s="291"/>
      <c r="E2162" s="1044"/>
    </row>
    <row r="2163" spans="1:5" x14ac:dyDescent="0.25">
      <c r="A2163" s="290"/>
      <c r="B2163" s="288"/>
      <c r="C2163" s="1061"/>
      <c r="D2163" s="291"/>
      <c r="E2163" s="1044"/>
    </row>
    <row r="2164" spans="1:5" x14ac:dyDescent="0.25">
      <c r="A2164" s="290"/>
      <c r="B2164" s="288"/>
      <c r="C2164" s="1061"/>
      <c r="D2164" s="291"/>
      <c r="E2164" s="1044"/>
    </row>
    <row r="2165" spans="1:5" x14ac:dyDescent="0.25">
      <c r="A2165" s="290"/>
      <c r="B2165" s="288"/>
      <c r="C2165" s="1061"/>
      <c r="D2165" s="291"/>
      <c r="E2165" s="1044"/>
    </row>
    <row r="2166" spans="1:5" x14ac:dyDescent="0.25">
      <c r="A2166" s="290"/>
      <c r="B2166" s="288"/>
      <c r="C2166" s="1061"/>
      <c r="D2166" s="291"/>
      <c r="E2166" s="1044"/>
    </row>
    <row r="2167" spans="1:5" x14ac:dyDescent="0.25">
      <c r="A2167" s="290"/>
      <c r="B2167" s="288"/>
      <c r="C2167" s="1061"/>
      <c r="D2167" s="291"/>
      <c r="E2167" s="1044"/>
    </row>
    <row r="2168" spans="1:5" x14ac:dyDescent="0.25">
      <c r="A2168" s="290"/>
      <c r="B2168" s="288"/>
      <c r="C2168" s="1061"/>
      <c r="D2168" s="291"/>
      <c r="E2168" s="1044"/>
    </row>
    <row r="2169" spans="1:5" x14ac:dyDescent="0.25">
      <c r="A2169" s="290"/>
      <c r="B2169" s="288"/>
      <c r="C2169" s="1061"/>
      <c r="D2169" s="291"/>
      <c r="E2169" s="1044"/>
    </row>
    <row r="2170" spans="1:5" x14ac:dyDescent="0.25">
      <c r="A2170" s="290"/>
      <c r="B2170" s="288"/>
      <c r="C2170" s="1061"/>
      <c r="D2170" s="291"/>
      <c r="E2170" s="1044"/>
    </row>
    <row r="2171" spans="1:5" x14ac:dyDescent="0.25">
      <c r="A2171" s="290"/>
      <c r="B2171" s="288"/>
      <c r="C2171" s="1061"/>
      <c r="D2171" s="291"/>
      <c r="E2171" s="1044"/>
    </row>
    <row r="2172" spans="1:5" x14ac:dyDescent="0.25">
      <c r="A2172" s="290"/>
      <c r="B2172" s="288"/>
      <c r="C2172" s="1061"/>
      <c r="D2172" s="291"/>
      <c r="E2172" s="1044"/>
    </row>
    <row r="2173" spans="1:5" x14ac:dyDescent="0.25">
      <c r="A2173" s="290"/>
      <c r="B2173" s="288"/>
      <c r="C2173" s="1061"/>
      <c r="D2173" s="291"/>
      <c r="E2173" s="1044"/>
    </row>
    <row r="2174" spans="1:5" x14ac:dyDescent="0.25">
      <c r="A2174" s="290"/>
      <c r="B2174" s="288"/>
      <c r="C2174" s="1061"/>
      <c r="D2174" s="291"/>
      <c r="E2174" s="1044"/>
    </row>
    <row r="2175" spans="1:5" x14ac:dyDescent="0.25">
      <c r="A2175" s="290"/>
      <c r="B2175" s="288"/>
      <c r="C2175" s="1061"/>
      <c r="D2175" s="291"/>
      <c r="E2175" s="1044"/>
    </row>
    <row r="2176" spans="1:5" x14ac:dyDescent="0.25">
      <c r="A2176" s="290"/>
      <c r="B2176" s="288"/>
      <c r="C2176" s="1061"/>
      <c r="D2176" s="291"/>
      <c r="E2176" s="1044"/>
    </row>
    <row r="2177" spans="1:5" x14ac:dyDescent="0.25">
      <c r="A2177" s="290"/>
      <c r="B2177" s="288"/>
      <c r="C2177" s="1061"/>
      <c r="D2177" s="291"/>
      <c r="E2177" s="1044"/>
    </row>
    <row r="2178" spans="1:5" x14ac:dyDescent="0.25">
      <c r="A2178" s="290"/>
      <c r="B2178" s="288"/>
      <c r="C2178" s="1061"/>
      <c r="D2178" s="291"/>
      <c r="E2178" s="1044"/>
    </row>
    <row r="2179" spans="1:5" x14ac:dyDescent="0.25">
      <c r="A2179" s="290"/>
      <c r="B2179" s="288"/>
      <c r="C2179" s="1061"/>
      <c r="D2179" s="291"/>
      <c r="E2179" s="1044"/>
    </row>
    <row r="2180" spans="1:5" x14ac:dyDescent="0.25">
      <c r="A2180" s="290"/>
      <c r="B2180" s="288"/>
      <c r="C2180" s="1061"/>
      <c r="D2180" s="291"/>
      <c r="E2180" s="1044"/>
    </row>
    <row r="2181" spans="1:5" x14ac:dyDescent="0.25">
      <c r="A2181" s="290"/>
      <c r="B2181" s="288"/>
      <c r="C2181" s="1061"/>
      <c r="D2181" s="291"/>
      <c r="E2181" s="1044"/>
    </row>
    <row r="2182" spans="1:5" x14ac:dyDescent="0.25">
      <c r="A2182" s="290"/>
      <c r="B2182" s="288"/>
      <c r="C2182" s="1061"/>
      <c r="D2182" s="291"/>
      <c r="E2182" s="1044"/>
    </row>
    <row r="2183" spans="1:5" x14ac:dyDescent="0.25">
      <c r="A2183" s="290"/>
      <c r="B2183" s="288"/>
      <c r="C2183" s="1061"/>
      <c r="D2183" s="291"/>
      <c r="E2183" s="1044"/>
    </row>
    <row r="2184" spans="1:5" x14ac:dyDescent="0.25">
      <c r="A2184" s="290"/>
      <c r="B2184" s="288"/>
      <c r="C2184" s="1061"/>
      <c r="D2184" s="291"/>
      <c r="E2184" s="1044"/>
    </row>
    <row r="2185" spans="1:5" x14ac:dyDescent="0.25">
      <c r="A2185" s="290"/>
      <c r="B2185" s="288"/>
      <c r="C2185" s="1061"/>
      <c r="D2185" s="291"/>
      <c r="E2185" s="1044"/>
    </row>
    <row r="2186" spans="1:5" x14ac:dyDescent="0.25">
      <c r="A2186" s="290"/>
      <c r="B2186" s="288"/>
      <c r="C2186" s="1061"/>
      <c r="D2186" s="291"/>
      <c r="E2186" s="1044"/>
    </row>
    <row r="2187" spans="1:5" x14ac:dyDescent="0.25">
      <c r="A2187" s="290"/>
      <c r="B2187" s="288"/>
      <c r="C2187" s="1061"/>
      <c r="D2187" s="291"/>
      <c r="E2187" s="1044"/>
    </row>
    <row r="2188" spans="1:5" x14ac:dyDescent="0.25">
      <c r="A2188" s="290"/>
      <c r="B2188" s="288"/>
      <c r="C2188" s="1061"/>
      <c r="D2188" s="291"/>
      <c r="E2188" s="1044"/>
    </row>
    <row r="2189" spans="1:5" x14ac:dyDescent="0.25">
      <c r="A2189" s="290"/>
      <c r="B2189" s="288"/>
      <c r="C2189" s="1061"/>
      <c r="D2189" s="291"/>
      <c r="E2189" s="1044"/>
    </row>
    <row r="2190" spans="1:5" x14ac:dyDescent="0.25">
      <c r="A2190" s="290"/>
      <c r="B2190" s="288"/>
      <c r="C2190" s="1061"/>
      <c r="D2190" s="291"/>
      <c r="E2190" s="1044"/>
    </row>
    <row r="2191" spans="1:5" x14ac:dyDescent="0.25">
      <c r="A2191" s="290"/>
      <c r="B2191" s="288"/>
      <c r="C2191" s="1061"/>
      <c r="D2191" s="291"/>
      <c r="E2191" s="1044"/>
    </row>
    <row r="2192" spans="1:5" x14ac:dyDescent="0.25">
      <c r="A2192" s="290"/>
      <c r="B2192" s="288"/>
      <c r="C2192" s="1061"/>
      <c r="D2192" s="291"/>
      <c r="E2192" s="1044"/>
    </row>
    <row r="2193" spans="1:5" x14ac:dyDescent="0.25">
      <c r="A2193" s="290"/>
      <c r="B2193" s="288"/>
      <c r="C2193" s="1061"/>
      <c r="D2193" s="291"/>
      <c r="E2193" s="1044"/>
    </row>
    <row r="2194" spans="1:5" x14ac:dyDescent="0.25">
      <c r="A2194" s="290"/>
      <c r="B2194" s="288"/>
      <c r="C2194" s="1061"/>
      <c r="D2194" s="291"/>
      <c r="E2194" s="1044"/>
    </row>
    <row r="2195" spans="1:5" x14ac:dyDescent="0.25">
      <c r="A2195" s="290"/>
      <c r="B2195" s="288"/>
      <c r="C2195" s="1061"/>
      <c r="D2195" s="291"/>
      <c r="E2195" s="1044"/>
    </row>
    <row r="2196" spans="1:5" x14ac:dyDescent="0.25">
      <c r="A2196" s="290"/>
      <c r="B2196" s="288"/>
      <c r="C2196" s="1061"/>
      <c r="D2196" s="291"/>
      <c r="E2196" s="1044"/>
    </row>
    <row r="2197" spans="1:5" x14ac:dyDescent="0.25">
      <c r="A2197" s="290"/>
      <c r="B2197" s="288"/>
      <c r="C2197" s="1061"/>
      <c r="D2197" s="291"/>
      <c r="E2197" s="1044"/>
    </row>
    <row r="2198" spans="1:5" x14ac:dyDescent="0.25">
      <c r="A2198" s="290"/>
      <c r="B2198" s="288"/>
      <c r="C2198" s="1061"/>
      <c r="D2198" s="291"/>
      <c r="E2198" s="1044"/>
    </row>
    <row r="2199" spans="1:5" x14ac:dyDescent="0.25">
      <c r="A2199" s="290"/>
      <c r="B2199" s="288"/>
      <c r="C2199" s="1061"/>
      <c r="D2199" s="291"/>
      <c r="E2199" s="1044"/>
    </row>
    <row r="2200" spans="1:5" x14ac:dyDescent="0.25">
      <c r="A2200" s="290"/>
      <c r="B2200" s="288"/>
      <c r="C2200" s="1061"/>
      <c r="D2200" s="291"/>
      <c r="E2200" s="1044"/>
    </row>
    <row r="2201" spans="1:5" x14ac:dyDescent="0.25">
      <c r="A2201" s="290"/>
      <c r="B2201" s="288"/>
      <c r="C2201" s="1061"/>
      <c r="D2201" s="291"/>
      <c r="E2201" s="1044"/>
    </row>
    <row r="2202" spans="1:5" x14ac:dyDescent="0.25">
      <c r="A2202" s="290"/>
      <c r="B2202" s="288"/>
      <c r="C2202" s="1061"/>
      <c r="D2202" s="291"/>
      <c r="E2202" s="1044"/>
    </row>
    <row r="2203" spans="1:5" x14ac:dyDescent="0.25">
      <c r="A2203" s="290"/>
      <c r="B2203" s="288"/>
      <c r="C2203" s="1061"/>
      <c r="D2203" s="291"/>
      <c r="E2203" s="1044"/>
    </row>
    <row r="2204" spans="1:5" x14ac:dyDescent="0.25">
      <c r="A2204" s="290"/>
      <c r="B2204" s="288"/>
      <c r="C2204" s="1061"/>
      <c r="D2204" s="291"/>
      <c r="E2204" s="1044"/>
    </row>
    <row r="2205" spans="1:5" x14ac:dyDescent="0.25">
      <c r="A2205" s="290"/>
      <c r="B2205" s="288"/>
      <c r="C2205" s="1061"/>
      <c r="D2205" s="291"/>
      <c r="E2205" s="1044"/>
    </row>
    <row r="2206" spans="1:5" x14ac:dyDescent="0.25">
      <c r="A2206" s="290"/>
      <c r="B2206" s="288"/>
      <c r="C2206" s="1061"/>
      <c r="D2206" s="291"/>
      <c r="E2206" s="1044"/>
    </row>
    <row r="2207" spans="1:5" x14ac:dyDescent="0.25">
      <c r="A2207" s="290"/>
      <c r="B2207" s="288"/>
      <c r="C2207" s="1061"/>
      <c r="D2207" s="291"/>
      <c r="E2207" s="1044"/>
    </row>
    <row r="2208" spans="1:5" x14ac:dyDescent="0.25">
      <c r="A2208" s="290"/>
      <c r="B2208" s="288"/>
      <c r="C2208" s="1061"/>
      <c r="D2208" s="291"/>
      <c r="E2208" s="1044"/>
    </row>
    <row r="2209" spans="1:5" x14ac:dyDescent="0.25">
      <c r="A2209" s="290"/>
      <c r="B2209" s="288"/>
      <c r="C2209" s="1061"/>
      <c r="D2209" s="291"/>
      <c r="E2209" s="1044"/>
    </row>
    <row r="2210" spans="1:5" x14ac:dyDescent="0.25">
      <c r="A2210" s="290"/>
      <c r="B2210" s="288"/>
      <c r="C2210" s="1061"/>
      <c r="D2210" s="291"/>
      <c r="E2210" s="1044"/>
    </row>
    <row r="2211" spans="1:5" x14ac:dyDescent="0.25">
      <c r="A2211" s="290"/>
      <c r="B2211" s="288"/>
      <c r="C2211" s="1061"/>
      <c r="D2211" s="291"/>
      <c r="E2211" s="1044"/>
    </row>
    <row r="2212" spans="1:5" x14ac:dyDescent="0.25">
      <c r="A2212" s="290"/>
      <c r="B2212" s="288"/>
      <c r="C2212" s="1061"/>
      <c r="D2212" s="291"/>
      <c r="E2212" s="1044"/>
    </row>
    <row r="2213" spans="1:5" x14ac:dyDescent="0.25">
      <c r="A2213" s="290"/>
      <c r="B2213" s="288"/>
      <c r="C2213" s="1061"/>
      <c r="D2213" s="291"/>
      <c r="E2213" s="1044"/>
    </row>
    <row r="2214" spans="1:5" x14ac:dyDescent="0.25">
      <c r="A2214" s="290"/>
      <c r="B2214" s="288"/>
      <c r="C2214" s="1061"/>
      <c r="D2214" s="291"/>
      <c r="E2214" s="1044"/>
    </row>
    <row r="2215" spans="1:5" x14ac:dyDescent="0.25">
      <c r="A2215" s="290"/>
      <c r="B2215" s="288"/>
      <c r="C2215" s="1061"/>
      <c r="D2215" s="291"/>
      <c r="E2215" s="1044"/>
    </row>
    <row r="2216" spans="1:5" x14ac:dyDescent="0.25">
      <c r="A2216" s="290"/>
      <c r="B2216" s="288"/>
      <c r="C2216" s="1061"/>
      <c r="D2216" s="291"/>
      <c r="E2216" s="1044"/>
    </row>
    <row r="2217" spans="1:5" x14ac:dyDescent="0.25">
      <c r="A2217" s="290"/>
      <c r="B2217" s="288"/>
      <c r="C2217" s="1061"/>
      <c r="D2217" s="291"/>
      <c r="E2217" s="1044"/>
    </row>
    <row r="2218" spans="1:5" x14ac:dyDescent="0.25">
      <c r="A2218" s="290"/>
      <c r="B2218" s="288"/>
      <c r="C2218" s="1061"/>
      <c r="D2218" s="291"/>
      <c r="E2218" s="1044"/>
    </row>
    <row r="2219" spans="1:5" x14ac:dyDescent="0.25">
      <c r="A2219" s="290"/>
      <c r="B2219" s="288"/>
      <c r="C2219" s="1061"/>
      <c r="D2219" s="291"/>
      <c r="E2219" s="1044"/>
    </row>
    <row r="2220" spans="1:5" x14ac:dyDescent="0.25">
      <c r="A2220" s="290"/>
      <c r="B2220" s="288"/>
      <c r="C2220" s="1061"/>
      <c r="D2220" s="291"/>
      <c r="E2220" s="1044"/>
    </row>
    <row r="2221" spans="1:5" x14ac:dyDescent="0.25">
      <c r="A2221" s="290"/>
      <c r="B2221" s="288"/>
      <c r="C2221" s="1061"/>
      <c r="D2221" s="291"/>
      <c r="E2221" s="1044"/>
    </row>
    <row r="2222" spans="1:5" x14ac:dyDescent="0.25">
      <c r="A2222" s="290"/>
      <c r="B2222" s="288"/>
      <c r="C2222" s="1061"/>
      <c r="D2222" s="291"/>
      <c r="E2222" s="1044"/>
    </row>
    <row r="2223" spans="1:5" x14ac:dyDescent="0.25">
      <c r="A2223" s="290"/>
      <c r="B2223" s="288"/>
      <c r="C2223" s="1061"/>
      <c r="D2223" s="291"/>
      <c r="E2223" s="1044"/>
    </row>
    <row r="2224" spans="1:5" x14ac:dyDescent="0.25">
      <c r="A2224" s="290"/>
      <c r="B2224" s="288"/>
      <c r="C2224" s="1061"/>
      <c r="D2224" s="291"/>
      <c r="E2224" s="1044"/>
    </row>
    <row r="2225" spans="1:5" x14ac:dyDescent="0.25">
      <c r="A2225" s="290"/>
      <c r="B2225" s="288"/>
      <c r="C2225" s="1061"/>
      <c r="D2225" s="291"/>
      <c r="E2225" s="1044"/>
    </row>
    <row r="2226" spans="1:5" x14ac:dyDescent="0.25">
      <c r="A2226" s="290"/>
      <c r="B2226" s="288"/>
      <c r="C2226" s="1061"/>
      <c r="D2226" s="291"/>
      <c r="E2226" s="1044"/>
    </row>
    <row r="2227" spans="1:5" x14ac:dyDescent="0.25">
      <c r="A2227" s="290"/>
      <c r="B2227" s="288"/>
      <c r="C2227" s="1061"/>
      <c r="D2227" s="291"/>
      <c r="E2227" s="1044"/>
    </row>
    <row r="2228" spans="1:5" x14ac:dyDescent="0.25">
      <c r="A2228" s="290"/>
      <c r="B2228" s="288"/>
      <c r="C2228" s="1061"/>
      <c r="D2228" s="291"/>
      <c r="E2228" s="1044"/>
    </row>
    <row r="2229" spans="1:5" x14ac:dyDescent="0.25">
      <c r="A2229" s="290"/>
      <c r="B2229" s="288"/>
      <c r="C2229" s="1061"/>
      <c r="D2229" s="291"/>
      <c r="E2229" s="1044"/>
    </row>
    <row r="2230" spans="1:5" x14ac:dyDescent="0.25">
      <c r="A2230" s="290"/>
      <c r="B2230" s="288"/>
      <c r="C2230" s="1061"/>
      <c r="D2230" s="291"/>
      <c r="E2230" s="1044"/>
    </row>
    <row r="2231" spans="1:5" x14ac:dyDescent="0.25">
      <c r="A2231" s="290"/>
      <c r="B2231" s="288"/>
      <c r="C2231" s="1061"/>
      <c r="D2231" s="291"/>
      <c r="E2231" s="1044"/>
    </row>
    <row r="2232" spans="1:5" x14ac:dyDescent="0.25">
      <c r="A2232" s="290"/>
      <c r="B2232" s="288"/>
      <c r="C2232" s="1061"/>
      <c r="D2232" s="291"/>
      <c r="E2232" s="1044"/>
    </row>
    <row r="2233" spans="1:5" x14ac:dyDescent="0.25">
      <c r="A2233" s="290"/>
      <c r="B2233" s="288"/>
      <c r="C2233" s="1061"/>
      <c r="D2233" s="291"/>
      <c r="E2233" s="1044"/>
    </row>
    <row r="2234" spans="1:5" x14ac:dyDescent="0.25">
      <c r="A2234" s="290"/>
      <c r="B2234" s="288"/>
      <c r="C2234" s="1061"/>
      <c r="D2234" s="291"/>
      <c r="E2234" s="1044"/>
    </row>
    <row r="2235" spans="1:5" x14ac:dyDescent="0.25">
      <c r="A2235" s="290"/>
      <c r="B2235" s="288"/>
      <c r="C2235" s="1061"/>
      <c r="D2235" s="291"/>
      <c r="E2235" s="1044"/>
    </row>
    <row r="2236" spans="1:5" x14ac:dyDescent="0.25">
      <c r="A2236" s="290"/>
      <c r="B2236" s="288"/>
      <c r="C2236" s="1061"/>
      <c r="D2236" s="291"/>
      <c r="E2236" s="1044"/>
    </row>
    <row r="2237" spans="1:5" x14ac:dyDescent="0.25">
      <c r="A2237" s="290"/>
      <c r="B2237" s="288"/>
      <c r="C2237" s="1061"/>
      <c r="D2237" s="291"/>
      <c r="E2237" s="1044"/>
    </row>
    <row r="2238" spans="1:5" x14ac:dyDescent="0.25">
      <c r="A2238" s="290"/>
      <c r="B2238" s="288"/>
      <c r="C2238" s="1061"/>
      <c r="D2238" s="291"/>
      <c r="E2238" s="1044"/>
    </row>
    <row r="2239" spans="1:5" x14ac:dyDescent="0.25">
      <c r="A2239" s="290"/>
      <c r="B2239" s="288"/>
      <c r="C2239" s="1061"/>
      <c r="D2239" s="291"/>
      <c r="E2239" s="1044"/>
    </row>
    <row r="2240" spans="1:5" x14ac:dyDescent="0.25">
      <c r="A2240" s="290"/>
      <c r="B2240" s="288"/>
      <c r="C2240" s="1061"/>
      <c r="D2240" s="291"/>
      <c r="E2240" s="1044"/>
    </row>
    <row r="2241" spans="1:5" x14ac:dyDescent="0.25">
      <c r="A2241" s="290"/>
      <c r="B2241" s="288"/>
      <c r="C2241" s="1061"/>
      <c r="D2241" s="291"/>
      <c r="E2241" s="1044"/>
    </row>
    <row r="2242" spans="1:5" x14ac:dyDescent="0.25">
      <c r="A2242" s="290"/>
      <c r="B2242" s="288"/>
      <c r="C2242" s="1061"/>
      <c r="D2242" s="291"/>
      <c r="E2242" s="1044"/>
    </row>
    <row r="2243" spans="1:5" x14ac:dyDescent="0.25">
      <c r="A2243" s="290"/>
      <c r="B2243" s="288"/>
      <c r="C2243" s="1061"/>
      <c r="D2243" s="291"/>
      <c r="E2243" s="1044"/>
    </row>
    <row r="2244" spans="1:5" x14ac:dyDescent="0.25">
      <c r="A2244" s="290"/>
      <c r="B2244" s="288"/>
      <c r="C2244" s="1061"/>
      <c r="D2244" s="291"/>
      <c r="E2244" s="1044"/>
    </row>
    <row r="2245" spans="1:5" x14ac:dyDescent="0.25">
      <c r="A2245" s="290"/>
      <c r="B2245" s="288"/>
      <c r="C2245" s="1061"/>
      <c r="D2245" s="291"/>
      <c r="E2245" s="1044"/>
    </row>
    <row r="2246" spans="1:5" x14ac:dyDescent="0.25">
      <c r="A2246" s="290"/>
      <c r="B2246" s="288"/>
      <c r="C2246" s="1061"/>
      <c r="D2246" s="291"/>
      <c r="E2246" s="1044"/>
    </row>
    <row r="2247" spans="1:5" x14ac:dyDescent="0.25">
      <c r="A2247" s="290"/>
      <c r="B2247" s="288"/>
      <c r="C2247" s="1061"/>
      <c r="D2247" s="291"/>
      <c r="E2247" s="1044"/>
    </row>
    <row r="2248" spans="1:5" x14ac:dyDescent="0.25">
      <c r="A2248" s="290"/>
      <c r="B2248" s="288"/>
      <c r="C2248" s="1061"/>
      <c r="D2248" s="291"/>
      <c r="E2248" s="1044"/>
    </row>
    <row r="2249" spans="1:5" x14ac:dyDescent="0.25">
      <c r="A2249" s="290"/>
      <c r="B2249" s="288"/>
      <c r="C2249" s="1061"/>
      <c r="D2249" s="291"/>
      <c r="E2249" s="1044"/>
    </row>
    <row r="2250" spans="1:5" x14ac:dyDescent="0.25">
      <c r="A2250" s="290"/>
      <c r="B2250" s="288"/>
      <c r="C2250" s="1061"/>
      <c r="D2250" s="291"/>
      <c r="E2250" s="1044"/>
    </row>
    <row r="2251" spans="1:5" x14ac:dyDescent="0.25">
      <c r="A2251" s="290"/>
      <c r="B2251" s="288"/>
      <c r="C2251" s="1061"/>
      <c r="D2251" s="291"/>
      <c r="E2251" s="1044"/>
    </row>
    <row r="2252" spans="1:5" x14ac:dyDescent="0.25">
      <c r="A2252" s="290"/>
      <c r="B2252" s="288"/>
      <c r="C2252" s="1061"/>
      <c r="D2252" s="291"/>
      <c r="E2252" s="1044"/>
    </row>
    <row r="2253" spans="1:5" x14ac:dyDescent="0.25">
      <c r="A2253" s="290"/>
      <c r="B2253" s="288"/>
      <c r="C2253" s="1061"/>
      <c r="D2253" s="291"/>
      <c r="E2253" s="1044"/>
    </row>
    <row r="2254" spans="1:5" x14ac:dyDescent="0.25">
      <c r="A2254" s="290"/>
      <c r="B2254" s="288"/>
      <c r="C2254" s="1061"/>
      <c r="D2254" s="291"/>
      <c r="E2254" s="1044"/>
    </row>
    <row r="2255" spans="1:5" x14ac:dyDescent="0.25">
      <c r="A2255" s="290"/>
      <c r="B2255" s="288"/>
      <c r="C2255" s="1061"/>
      <c r="D2255" s="291"/>
      <c r="E2255" s="1044"/>
    </row>
    <row r="2256" spans="1:5" x14ac:dyDescent="0.25">
      <c r="A2256" s="290"/>
      <c r="B2256" s="288"/>
      <c r="C2256" s="1061"/>
      <c r="D2256" s="291"/>
      <c r="E2256" s="1044"/>
    </row>
    <row r="2257" spans="1:5" x14ac:dyDescent="0.25">
      <c r="A2257" s="290"/>
      <c r="B2257" s="288"/>
      <c r="C2257" s="1061"/>
      <c r="D2257" s="291"/>
      <c r="E2257" s="1044"/>
    </row>
    <row r="2258" spans="1:5" x14ac:dyDescent="0.25">
      <c r="A2258" s="290"/>
      <c r="B2258" s="288"/>
      <c r="C2258" s="1061"/>
      <c r="D2258" s="291"/>
      <c r="E2258" s="1044"/>
    </row>
    <row r="2259" spans="1:5" x14ac:dyDescent="0.25">
      <c r="A2259" s="290"/>
      <c r="B2259" s="288"/>
      <c r="C2259" s="1061"/>
      <c r="D2259" s="291"/>
      <c r="E2259" s="1044"/>
    </row>
    <row r="2260" spans="1:5" x14ac:dyDescent="0.25">
      <c r="A2260" s="290"/>
      <c r="B2260" s="288"/>
      <c r="C2260" s="1061"/>
      <c r="D2260" s="291"/>
      <c r="E2260" s="1044"/>
    </row>
    <row r="2261" spans="1:5" x14ac:dyDescent="0.25">
      <c r="A2261" s="290"/>
      <c r="B2261" s="288"/>
      <c r="C2261" s="1061"/>
      <c r="D2261" s="291"/>
      <c r="E2261" s="1044"/>
    </row>
    <row r="2262" spans="1:5" x14ac:dyDescent="0.25">
      <c r="A2262" s="290"/>
      <c r="B2262" s="288"/>
      <c r="C2262" s="1061"/>
      <c r="D2262" s="291"/>
      <c r="E2262" s="1044"/>
    </row>
    <row r="2263" spans="1:5" x14ac:dyDescent="0.25">
      <c r="A2263" s="290"/>
      <c r="B2263" s="288"/>
      <c r="C2263" s="1061"/>
      <c r="D2263" s="291"/>
      <c r="E2263" s="1044"/>
    </row>
    <row r="2264" spans="1:5" x14ac:dyDescent="0.25">
      <c r="A2264" s="290"/>
      <c r="B2264" s="288"/>
      <c r="C2264" s="1061"/>
      <c r="D2264" s="291"/>
      <c r="E2264" s="1044"/>
    </row>
    <row r="2265" spans="1:5" x14ac:dyDescent="0.25">
      <c r="A2265" s="290"/>
      <c r="B2265" s="288"/>
      <c r="C2265" s="1061"/>
      <c r="D2265" s="291"/>
      <c r="E2265" s="1044"/>
    </row>
    <row r="2266" spans="1:5" x14ac:dyDescent="0.25">
      <c r="A2266" s="290"/>
      <c r="B2266" s="288"/>
      <c r="C2266" s="1061"/>
      <c r="D2266" s="291"/>
      <c r="E2266" s="1044"/>
    </row>
    <row r="2267" spans="1:5" x14ac:dyDescent="0.25">
      <c r="A2267" s="290"/>
      <c r="B2267" s="288"/>
      <c r="C2267" s="1061"/>
      <c r="D2267" s="291"/>
      <c r="E2267" s="1044"/>
    </row>
    <row r="2268" spans="1:5" x14ac:dyDescent="0.25">
      <c r="A2268" s="290"/>
      <c r="B2268" s="288"/>
      <c r="C2268" s="1061"/>
      <c r="D2268" s="291"/>
      <c r="E2268" s="1044"/>
    </row>
    <row r="2269" spans="1:5" x14ac:dyDescent="0.25">
      <c r="A2269" s="290"/>
      <c r="B2269" s="288"/>
      <c r="C2269" s="1061"/>
      <c r="D2269" s="291"/>
      <c r="E2269" s="1044"/>
    </row>
    <row r="2270" spans="1:5" x14ac:dyDescent="0.25">
      <c r="A2270" s="290"/>
      <c r="B2270" s="288"/>
      <c r="C2270" s="1061"/>
      <c r="D2270" s="291"/>
      <c r="E2270" s="1044"/>
    </row>
    <row r="2271" spans="1:5" x14ac:dyDescent="0.25">
      <c r="A2271" s="290"/>
      <c r="B2271" s="288"/>
      <c r="C2271" s="1061"/>
      <c r="D2271" s="291"/>
      <c r="E2271" s="1044"/>
    </row>
    <row r="2272" spans="1:5" x14ac:dyDescent="0.25">
      <c r="A2272" s="290"/>
      <c r="B2272" s="288"/>
      <c r="C2272" s="1061"/>
      <c r="D2272" s="291"/>
      <c r="E2272" s="1044"/>
    </row>
    <row r="2273" spans="1:5" x14ac:dyDescent="0.25">
      <c r="A2273" s="290"/>
      <c r="B2273" s="288"/>
      <c r="C2273" s="1061"/>
      <c r="D2273" s="291"/>
      <c r="E2273" s="1044"/>
    </row>
    <row r="2274" spans="1:5" x14ac:dyDescent="0.25">
      <c r="A2274" s="290"/>
      <c r="B2274" s="288"/>
      <c r="C2274" s="1061"/>
      <c r="D2274" s="291"/>
      <c r="E2274" s="1044"/>
    </row>
    <row r="2275" spans="1:5" x14ac:dyDescent="0.25">
      <c r="A2275" s="290"/>
      <c r="B2275" s="288"/>
      <c r="C2275" s="1061"/>
      <c r="D2275" s="291"/>
      <c r="E2275" s="1044"/>
    </row>
    <row r="2276" spans="1:5" x14ac:dyDescent="0.25">
      <c r="A2276" s="290"/>
      <c r="B2276" s="288"/>
      <c r="C2276" s="1061"/>
      <c r="D2276" s="291"/>
      <c r="E2276" s="1044"/>
    </row>
    <row r="2277" spans="1:5" x14ac:dyDescent="0.25">
      <c r="A2277" s="290"/>
      <c r="B2277" s="288"/>
      <c r="C2277" s="1061"/>
      <c r="D2277" s="291"/>
      <c r="E2277" s="1044"/>
    </row>
    <row r="2278" spans="1:5" x14ac:dyDescent="0.25">
      <c r="A2278" s="290"/>
      <c r="B2278" s="288"/>
      <c r="C2278" s="1061"/>
      <c r="D2278" s="291"/>
      <c r="E2278" s="1044"/>
    </row>
    <row r="2279" spans="1:5" x14ac:dyDescent="0.25">
      <c r="A2279" s="290"/>
      <c r="B2279" s="288"/>
      <c r="C2279" s="1061"/>
      <c r="D2279" s="291"/>
      <c r="E2279" s="1044"/>
    </row>
    <row r="2280" spans="1:5" x14ac:dyDescent="0.25">
      <c r="A2280" s="290"/>
      <c r="B2280" s="288"/>
      <c r="C2280" s="1061"/>
      <c r="D2280" s="291"/>
      <c r="E2280" s="1044"/>
    </row>
    <row r="2281" spans="1:5" x14ac:dyDescent="0.25">
      <c r="A2281" s="290"/>
      <c r="B2281" s="288"/>
      <c r="C2281" s="1061"/>
      <c r="D2281" s="291"/>
      <c r="E2281" s="1044"/>
    </row>
    <row r="2282" spans="1:5" x14ac:dyDescent="0.25">
      <c r="A2282" s="290"/>
      <c r="B2282" s="288"/>
      <c r="C2282" s="1061"/>
      <c r="D2282" s="291"/>
      <c r="E2282" s="1044"/>
    </row>
    <row r="2283" spans="1:5" x14ac:dyDescent="0.25">
      <c r="A2283" s="290"/>
      <c r="B2283" s="288"/>
      <c r="C2283" s="1061"/>
      <c r="D2283" s="291"/>
      <c r="E2283" s="1044"/>
    </row>
    <row r="2284" spans="1:5" x14ac:dyDescent="0.25">
      <c r="A2284" s="290"/>
      <c r="B2284" s="288"/>
      <c r="C2284" s="1061"/>
      <c r="D2284" s="291"/>
      <c r="E2284" s="1044"/>
    </row>
    <row r="2285" spans="1:5" x14ac:dyDescent="0.25">
      <c r="A2285" s="290"/>
      <c r="B2285" s="288"/>
      <c r="C2285" s="1061"/>
      <c r="D2285" s="291"/>
      <c r="E2285" s="1044"/>
    </row>
    <row r="2286" spans="1:5" x14ac:dyDescent="0.25">
      <c r="A2286" s="290"/>
      <c r="B2286" s="288"/>
      <c r="C2286" s="1061"/>
      <c r="D2286" s="291"/>
      <c r="E2286" s="1044"/>
    </row>
    <row r="2287" spans="1:5" x14ac:dyDescent="0.25">
      <c r="A2287" s="290"/>
      <c r="B2287" s="288"/>
      <c r="C2287" s="1061"/>
      <c r="D2287" s="291"/>
      <c r="E2287" s="1044"/>
    </row>
    <row r="2288" spans="1:5" x14ac:dyDescent="0.25">
      <c r="A2288" s="290"/>
      <c r="B2288" s="288"/>
      <c r="C2288" s="1061"/>
      <c r="D2288" s="291"/>
      <c r="E2288" s="1044"/>
    </row>
    <row r="2289" spans="1:5" x14ac:dyDescent="0.25">
      <c r="A2289" s="290"/>
      <c r="B2289" s="288"/>
      <c r="C2289" s="1061"/>
      <c r="D2289" s="291"/>
      <c r="E2289" s="1044"/>
    </row>
    <row r="2290" spans="1:5" x14ac:dyDescent="0.25">
      <c r="A2290" s="290"/>
      <c r="B2290" s="288"/>
      <c r="C2290" s="1061"/>
      <c r="D2290" s="291"/>
      <c r="E2290" s="1044"/>
    </row>
    <row r="2291" spans="1:5" x14ac:dyDescent="0.25">
      <c r="A2291" s="290"/>
      <c r="B2291" s="288"/>
      <c r="C2291" s="1061"/>
      <c r="D2291" s="291"/>
      <c r="E2291" s="1044"/>
    </row>
    <row r="2292" spans="1:5" x14ac:dyDescent="0.25">
      <c r="A2292" s="290"/>
      <c r="B2292" s="288"/>
      <c r="C2292" s="1061"/>
      <c r="D2292" s="291"/>
      <c r="E2292" s="1044"/>
    </row>
    <row r="2293" spans="1:5" x14ac:dyDescent="0.25">
      <c r="A2293" s="290"/>
      <c r="B2293" s="288"/>
      <c r="C2293" s="1061"/>
      <c r="D2293" s="291"/>
      <c r="E2293" s="1044"/>
    </row>
    <row r="2294" spans="1:5" x14ac:dyDescent="0.25">
      <c r="A2294" s="290"/>
      <c r="B2294" s="288"/>
      <c r="C2294" s="1061"/>
      <c r="D2294" s="291"/>
      <c r="E2294" s="1044"/>
    </row>
    <row r="2295" spans="1:5" x14ac:dyDescent="0.25">
      <c r="A2295" s="290"/>
      <c r="B2295" s="288"/>
      <c r="C2295" s="1061"/>
      <c r="D2295" s="291"/>
      <c r="E2295" s="1044"/>
    </row>
    <row r="2296" spans="1:5" x14ac:dyDescent="0.25">
      <c r="A2296" s="290"/>
      <c r="B2296" s="288"/>
      <c r="C2296" s="1061"/>
      <c r="D2296" s="291"/>
      <c r="E2296" s="1044"/>
    </row>
    <row r="2297" spans="1:5" x14ac:dyDescent="0.25">
      <c r="A2297" s="290"/>
      <c r="B2297" s="288"/>
      <c r="C2297" s="1061"/>
      <c r="D2297" s="291"/>
      <c r="E2297" s="1044"/>
    </row>
    <row r="2298" spans="1:5" x14ac:dyDescent="0.25">
      <c r="A2298" s="290"/>
      <c r="B2298" s="288"/>
      <c r="C2298" s="1061"/>
      <c r="D2298" s="291"/>
      <c r="E2298" s="1044"/>
    </row>
    <row r="2299" spans="1:5" x14ac:dyDescent="0.25">
      <c r="A2299" s="290"/>
      <c r="B2299" s="288"/>
      <c r="C2299" s="1061"/>
      <c r="D2299" s="291"/>
      <c r="E2299" s="1044"/>
    </row>
    <row r="2300" spans="1:5" x14ac:dyDescent="0.25">
      <c r="A2300" s="290"/>
      <c r="B2300" s="288"/>
      <c r="C2300" s="1061"/>
      <c r="D2300" s="291"/>
      <c r="E2300" s="1044"/>
    </row>
    <row r="2301" spans="1:5" x14ac:dyDescent="0.25">
      <c r="A2301" s="290"/>
      <c r="B2301" s="288"/>
      <c r="C2301" s="1061"/>
      <c r="D2301" s="291"/>
      <c r="E2301" s="1044"/>
    </row>
    <row r="2302" spans="1:5" x14ac:dyDescent="0.25">
      <c r="A2302" s="290"/>
      <c r="B2302" s="288"/>
      <c r="C2302" s="1061"/>
      <c r="D2302" s="291"/>
      <c r="E2302" s="1044"/>
    </row>
    <row r="2303" spans="1:5" x14ac:dyDescent="0.25">
      <c r="A2303" s="290"/>
      <c r="B2303" s="288"/>
      <c r="C2303" s="1061"/>
      <c r="D2303" s="291"/>
      <c r="E2303" s="1044"/>
    </row>
    <row r="2304" spans="1:5" x14ac:dyDescent="0.25">
      <c r="A2304" s="290"/>
      <c r="B2304" s="288"/>
      <c r="C2304" s="1061"/>
      <c r="D2304" s="291"/>
      <c r="E2304" s="1044"/>
    </row>
    <row r="2305" spans="1:5" x14ac:dyDescent="0.25">
      <c r="A2305" s="290"/>
      <c r="B2305" s="288"/>
      <c r="C2305" s="1061"/>
      <c r="D2305" s="291"/>
      <c r="E2305" s="1044"/>
    </row>
    <row r="2306" spans="1:5" x14ac:dyDescent="0.25">
      <c r="A2306" s="290"/>
      <c r="B2306" s="288"/>
      <c r="C2306" s="1061"/>
      <c r="D2306" s="291"/>
      <c r="E2306" s="1044"/>
    </row>
    <row r="2307" spans="1:5" x14ac:dyDescent="0.25">
      <c r="A2307" s="290"/>
      <c r="B2307" s="288"/>
      <c r="C2307" s="1061"/>
      <c r="D2307" s="291"/>
      <c r="E2307" s="1044"/>
    </row>
    <row r="2308" spans="1:5" x14ac:dyDescent="0.25">
      <c r="A2308" s="290"/>
      <c r="B2308" s="288"/>
      <c r="C2308" s="1061"/>
      <c r="D2308" s="291"/>
      <c r="E2308" s="1044"/>
    </row>
    <row r="2309" spans="1:5" x14ac:dyDescent="0.25">
      <c r="A2309" s="290"/>
      <c r="B2309" s="288"/>
      <c r="C2309" s="1061"/>
      <c r="D2309" s="291"/>
      <c r="E2309" s="1044"/>
    </row>
    <row r="2310" spans="1:5" x14ac:dyDescent="0.25">
      <c r="A2310" s="290"/>
      <c r="B2310" s="288"/>
      <c r="C2310" s="1061"/>
      <c r="D2310" s="291"/>
      <c r="E2310" s="1044"/>
    </row>
    <row r="2311" spans="1:5" x14ac:dyDescent="0.25">
      <c r="A2311" s="290"/>
      <c r="B2311" s="288"/>
      <c r="C2311" s="1061"/>
      <c r="D2311" s="291"/>
      <c r="E2311" s="1044"/>
    </row>
    <row r="2312" spans="1:5" x14ac:dyDescent="0.25">
      <c r="A2312" s="290"/>
      <c r="B2312" s="288"/>
      <c r="C2312" s="1061"/>
      <c r="D2312" s="291"/>
      <c r="E2312" s="1044"/>
    </row>
    <row r="2313" spans="1:5" x14ac:dyDescent="0.25">
      <c r="A2313" s="290"/>
      <c r="B2313" s="288"/>
      <c r="C2313" s="1061"/>
      <c r="D2313" s="291"/>
      <c r="E2313" s="1044"/>
    </row>
    <row r="2314" spans="1:5" x14ac:dyDescent="0.25">
      <c r="A2314" s="290"/>
      <c r="B2314" s="288"/>
      <c r="C2314" s="1061"/>
      <c r="D2314" s="291"/>
      <c r="E2314" s="1044"/>
    </row>
    <row r="2315" spans="1:5" x14ac:dyDescent="0.25">
      <c r="A2315" s="290"/>
      <c r="B2315" s="288"/>
      <c r="C2315" s="1061"/>
      <c r="D2315" s="291"/>
      <c r="E2315" s="1044"/>
    </row>
    <row r="2316" spans="1:5" x14ac:dyDescent="0.25">
      <c r="A2316" s="290"/>
      <c r="B2316" s="288"/>
      <c r="C2316" s="1061"/>
      <c r="D2316" s="291"/>
      <c r="E2316" s="1044"/>
    </row>
    <row r="2317" spans="1:5" x14ac:dyDescent="0.25">
      <c r="A2317" s="290"/>
      <c r="B2317" s="288"/>
      <c r="C2317" s="1061"/>
      <c r="D2317" s="291"/>
      <c r="E2317" s="1044"/>
    </row>
    <row r="2318" spans="1:5" x14ac:dyDescent="0.25">
      <c r="A2318" s="290"/>
      <c r="B2318" s="288"/>
      <c r="C2318" s="1061"/>
      <c r="D2318" s="291"/>
      <c r="E2318" s="1044"/>
    </row>
    <row r="2319" spans="1:5" x14ac:dyDescent="0.25">
      <c r="A2319" s="290"/>
      <c r="B2319" s="288"/>
      <c r="C2319" s="1061"/>
      <c r="D2319" s="291"/>
      <c r="E2319" s="1044"/>
    </row>
    <row r="2320" spans="1:5" x14ac:dyDescent="0.25">
      <c r="A2320" s="290"/>
      <c r="B2320" s="288"/>
      <c r="C2320" s="1061"/>
      <c r="D2320" s="291"/>
      <c r="E2320" s="1044"/>
    </row>
    <row r="2321" spans="1:5" x14ac:dyDescent="0.25">
      <c r="A2321" s="290"/>
      <c r="B2321" s="288"/>
      <c r="C2321" s="1061"/>
      <c r="D2321" s="291"/>
      <c r="E2321" s="1044"/>
    </row>
    <row r="2322" spans="1:5" x14ac:dyDescent="0.25">
      <c r="A2322" s="290"/>
      <c r="B2322" s="288"/>
      <c r="C2322" s="1061"/>
      <c r="D2322" s="291"/>
      <c r="E2322" s="1044"/>
    </row>
    <row r="2323" spans="1:5" x14ac:dyDescent="0.25">
      <c r="A2323" s="290"/>
      <c r="B2323" s="288"/>
      <c r="C2323" s="1061"/>
      <c r="D2323" s="291"/>
      <c r="E2323" s="1044"/>
    </row>
    <row r="2324" spans="1:5" x14ac:dyDescent="0.25">
      <c r="A2324" s="290"/>
      <c r="B2324" s="288"/>
      <c r="C2324" s="1061"/>
      <c r="D2324" s="291"/>
      <c r="E2324" s="1044"/>
    </row>
    <row r="2325" spans="1:5" x14ac:dyDescent="0.25">
      <c r="A2325" s="290"/>
      <c r="B2325" s="288"/>
      <c r="C2325" s="1061"/>
      <c r="D2325" s="291"/>
      <c r="E2325" s="1044"/>
    </row>
    <row r="2326" spans="1:5" x14ac:dyDescent="0.25">
      <c r="A2326" s="290"/>
      <c r="B2326" s="288"/>
      <c r="C2326" s="1061"/>
      <c r="D2326" s="291"/>
      <c r="E2326" s="1044"/>
    </row>
    <row r="2327" spans="1:5" x14ac:dyDescent="0.25">
      <c r="A2327" s="290"/>
      <c r="B2327" s="288"/>
      <c r="C2327" s="1061"/>
      <c r="D2327" s="291"/>
      <c r="E2327" s="1044"/>
    </row>
    <row r="2328" spans="1:5" x14ac:dyDescent="0.25">
      <c r="A2328" s="290"/>
      <c r="B2328" s="288"/>
      <c r="C2328" s="1061"/>
      <c r="D2328" s="291"/>
      <c r="E2328" s="1044"/>
    </row>
    <row r="2329" spans="1:5" x14ac:dyDescent="0.25">
      <c r="A2329" s="290"/>
      <c r="B2329" s="288"/>
      <c r="C2329" s="1061"/>
      <c r="D2329" s="291"/>
      <c r="E2329" s="1044"/>
    </row>
    <row r="2330" spans="1:5" x14ac:dyDescent="0.25">
      <c r="A2330" s="290"/>
      <c r="B2330" s="288"/>
      <c r="C2330" s="1061"/>
      <c r="D2330" s="291"/>
      <c r="E2330" s="1044"/>
    </row>
    <row r="2331" spans="1:5" x14ac:dyDescent="0.25">
      <c r="A2331" s="290"/>
      <c r="B2331" s="288"/>
      <c r="C2331" s="1061"/>
      <c r="D2331" s="291"/>
      <c r="E2331" s="1044"/>
    </row>
    <row r="2332" spans="1:5" x14ac:dyDescent="0.25">
      <c r="A2332" s="290"/>
      <c r="B2332" s="288"/>
      <c r="C2332" s="1061"/>
      <c r="D2332" s="291"/>
      <c r="E2332" s="1044"/>
    </row>
    <row r="2333" spans="1:5" x14ac:dyDescent="0.25">
      <c r="A2333" s="290"/>
      <c r="B2333" s="288"/>
      <c r="C2333" s="1061"/>
      <c r="D2333" s="291"/>
      <c r="E2333" s="1044"/>
    </row>
    <row r="2334" spans="1:5" x14ac:dyDescent="0.25">
      <c r="A2334" s="290"/>
      <c r="B2334" s="288"/>
      <c r="C2334" s="1061"/>
      <c r="D2334" s="291"/>
      <c r="E2334" s="1044"/>
    </row>
    <row r="2335" spans="1:5" x14ac:dyDescent="0.25">
      <c r="A2335" s="290"/>
      <c r="B2335" s="288"/>
      <c r="C2335" s="1061"/>
      <c r="D2335" s="291"/>
      <c r="E2335" s="1044"/>
    </row>
    <row r="2336" spans="1:5" x14ac:dyDescent="0.25">
      <c r="A2336" s="290"/>
      <c r="B2336" s="288"/>
      <c r="C2336" s="1061"/>
      <c r="D2336" s="291"/>
      <c r="E2336" s="1044"/>
    </row>
    <row r="2337" spans="1:5" x14ac:dyDescent="0.25">
      <c r="A2337" s="290"/>
      <c r="B2337" s="288"/>
      <c r="C2337" s="1061"/>
      <c r="D2337" s="291"/>
      <c r="E2337" s="1044"/>
    </row>
    <row r="2338" spans="1:5" x14ac:dyDescent="0.25">
      <c r="A2338" s="290"/>
      <c r="B2338" s="288"/>
      <c r="C2338" s="1061"/>
      <c r="D2338" s="291"/>
      <c r="E2338" s="1044"/>
    </row>
    <row r="2339" spans="1:5" x14ac:dyDescent="0.25">
      <c r="A2339" s="290"/>
      <c r="B2339" s="288"/>
      <c r="C2339" s="1061"/>
      <c r="D2339" s="291"/>
      <c r="E2339" s="1044"/>
    </row>
    <row r="2340" spans="1:5" x14ac:dyDescent="0.25">
      <c r="A2340" s="290"/>
      <c r="B2340" s="288"/>
      <c r="C2340" s="1061"/>
      <c r="D2340" s="291"/>
      <c r="E2340" s="1044"/>
    </row>
    <row r="2341" spans="1:5" x14ac:dyDescent="0.25">
      <c r="A2341" s="290"/>
      <c r="B2341" s="288"/>
      <c r="C2341" s="1061"/>
      <c r="D2341" s="291"/>
      <c r="E2341" s="1044"/>
    </row>
    <row r="2342" spans="1:5" x14ac:dyDescent="0.25">
      <c r="A2342" s="290"/>
      <c r="B2342" s="288"/>
      <c r="C2342" s="1061"/>
      <c r="D2342" s="291"/>
      <c r="E2342" s="1044"/>
    </row>
    <row r="2343" spans="1:5" x14ac:dyDescent="0.25">
      <c r="A2343" s="290"/>
      <c r="B2343" s="288"/>
      <c r="C2343" s="1061"/>
      <c r="D2343" s="291"/>
      <c r="E2343" s="1044"/>
    </row>
    <row r="2344" spans="1:5" x14ac:dyDescent="0.25">
      <c r="A2344" s="290"/>
      <c r="B2344" s="288"/>
      <c r="C2344" s="1061"/>
      <c r="D2344" s="291"/>
      <c r="E2344" s="1044"/>
    </row>
    <row r="2345" spans="1:5" x14ac:dyDescent="0.25">
      <c r="A2345" s="290"/>
      <c r="B2345" s="288"/>
      <c r="C2345" s="1061"/>
      <c r="D2345" s="291"/>
      <c r="E2345" s="1044"/>
    </row>
    <row r="2346" spans="1:5" x14ac:dyDescent="0.25">
      <c r="A2346" s="290"/>
      <c r="B2346" s="288"/>
      <c r="C2346" s="1061"/>
      <c r="D2346" s="291"/>
      <c r="E2346" s="1044"/>
    </row>
    <row r="2347" spans="1:5" x14ac:dyDescent="0.25">
      <c r="A2347" s="290"/>
      <c r="B2347" s="288"/>
      <c r="C2347" s="1061"/>
      <c r="D2347" s="291"/>
      <c r="E2347" s="1044"/>
    </row>
    <row r="2348" spans="1:5" x14ac:dyDescent="0.25">
      <c r="A2348" s="290"/>
      <c r="B2348" s="288"/>
      <c r="C2348" s="1061"/>
      <c r="D2348" s="291"/>
      <c r="E2348" s="1044"/>
    </row>
    <row r="2349" spans="1:5" x14ac:dyDescent="0.25">
      <c r="A2349" s="290"/>
      <c r="B2349" s="288"/>
      <c r="C2349" s="1061"/>
      <c r="D2349" s="291"/>
      <c r="E2349" s="1044"/>
    </row>
    <row r="2350" spans="1:5" x14ac:dyDescent="0.25">
      <c r="A2350" s="290"/>
      <c r="B2350" s="288"/>
      <c r="C2350" s="1061"/>
      <c r="D2350" s="291"/>
      <c r="E2350" s="1044"/>
    </row>
    <row r="2351" spans="1:5" x14ac:dyDescent="0.25">
      <c r="A2351" s="290"/>
      <c r="B2351" s="288"/>
      <c r="C2351" s="1061"/>
      <c r="D2351" s="291"/>
      <c r="E2351" s="1044"/>
    </row>
    <row r="2352" spans="1:5" x14ac:dyDescent="0.25">
      <c r="A2352" s="290"/>
      <c r="B2352" s="288"/>
      <c r="C2352" s="1061"/>
      <c r="D2352" s="291"/>
      <c r="E2352" s="1044"/>
    </row>
    <row r="2353" spans="1:5" x14ac:dyDescent="0.25">
      <c r="A2353" s="290"/>
      <c r="B2353" s="288"/>
      <c r="C2353" s="1061"/>
      <c r="D2353" s="291"/>
      <c r="E2353" s="1044"/>
    </row>
    <row r="2354" spans="1:5" x14ac:dyDescent="0.25">
      <c r="A2354" s="290"/>
      <c r="B2354" s="288"/>
      <c r="C2354" s="1061"/>
      <c r="D2354" s="291"/>
      <c r="E2354" s="1044"/>
    </row>
    <row r="2355" spans="1:5" x14ac:dyDescent="0.25">
      <c r="A2355" s="290"/>
      <c r="B2355" s="288"/>
      <c r="C2355" s="1061"/>
      <c r="D2355" s="291"/>
      <c r="E2355" s="1044"/>
    </row>
    <row r="2356" spans="1:5" x14ac:dyDescent="0.25">
      <c r="A2356" s="290"/>
      <c r="B2356" s="288"/>
      <c r="C2356" s="1061"/>
      <c r="D2356" s="291"/>
      <c r="E2356" s="1044"/>
    </row>
    <row r="2357" spans="1:5" x14ac:dyDescent="0.25">
      <c r="A2357" s="290"/>
      <c r="B2357" s="288"/>
      <c r="C2357" s="1061"/>
      <c r="D2357" s="291"/>
      <c r="E2357" s="1044"/>
    </row>
    <row r="2358" spans="1:5" x14ac:dyDescent="0.25">
      <c r="A2358" s="290"/>
      <c r="B2358" s="288"/>
      <c r="C2358" s="1061"/>
      <c r="D2358" s="291"/>
      <c r="E2358" s="1044"/>
    </row>
    <row r="2359" spans="1:5" x14ac:dyDescent="0.25">
      <c r="A2359" s="290"/>
      <c r="B2359" s="288"/>
      <c r="C2359" s="1061"/>
      <c r="D2359" s="291"/>
      <c r="E2359" s="1044"/>
    </row>
    <row r="2360" spans="1:5" x14ac:dyDescent="0.25">
      <c r="A2360" s="290"/>
      <c r="B2360" s="288"/>
      <c r="C2360" s="1061"/>
      <c r="D2360" s="291"/>
      <c r="E2360" s="1044"/>
    </row>
    <row r="2361" spans="1:5" x14ac:dyDescent="0.25">
      <c r="A2361" s="290"/>
      <c r="B2361" s="288"/>
      <c r="C2361" s="1061"/>
      <c r="D2361" s="291"/>
      <c r="E2361" s="1044"/>
    </row>
    <row r="2362" spans="1:5" x14ac:dyDescent="0.25">
      <c r="A2362" s="290"/>
      <c r="B2362" s="288"/>
      <c r="C2362" s="1061"/>
      <c r="D2362" s="291"/>
      <c r="E2362" s="1044"/>
    </row>
    <row r="2363" spans="1:5" x14ac:dyDescent="0.25">
      <c r="A2363" s="290"/>
      <c r="B2363" s="288"/>
      <c r="C2363" s="1061"/>
      <c r="D2363" s="291"/>
      <c r="E2363" s="1044"/>
    </row>
    <row r="2364" spans="1:5" x14ac:dyDescent="0.25">
      <c r="A2364" s="290"/>
      <c r="B2364" s="288"/>
      <c r="C2364" s="1061"/>
      <c r="D2364" s="291"/>
      <c r="E2364" s="1044"/>
    </row>
    <row r="2365" spans="1:5" x14ac:dyDescent="0.25">
      <c r="A2365" s="290"/>
      <c r="B2365" s="288"/>
      <c r="C2365" s="1061"/>
      <c r="D2365" s="291"/>
      <c r="E2365" s="1044"/>
    </row>
    <row r="2366" spans="1:5" x14ac:dyDescent="0.25">
      <c r="A2366" s="290"/>
      <c r="B2366" s="288"/>
      <c r="C2366" s="1061"/>
      <c r="D2366" s="291"/>
      <c r="E2366" s="1044"/>
    </row>
    <row r="2367" spans="1:5" x14ac:dyDescent="0.25">
      <c r="A2367" s="290"/>
      <c r="B2367" s="288"/>
      <c r="C2367" s="1061"/>
      <c r="D2367" s="291"/>
      <c r="E2367" s="1044"/>
    </row>
    <row r="2368" spans="1:5" x14ac:dyDescent="0.25">
      <c r="A2368" s="290"/>
      <c r="B2368" s="288"/>
      <c r="C2368" s="1061"/>
      <c r="D2368" s="291"/>
      <c r="E2368" s="1044"/>
    </row>
    <row r="2369" spans="1:5" x14ac:dyDescent="0.25">
      <c r="A2369" s="290"/>
      <c r="B2369" s="288"/>
      <c r="C2369" s="1061"/>
      <c r="D2369" s="291"/>
      <c r="E2369" s="1044"/>
    </row>
    <row r="2370" spans="1:5" x14ac:dyDescent="0.25">
      <c r="A2370" s="290"/>
      <c r="B2370" s="288"/>
      <c r="C2370" s="1061"/>
      <c r="D2370" s="291"/>
      <c r="E2370" s="1044"/>
    </row>
    <row r="2371" spans="1:5" x14ac:dyDescent="0.25">
      <c r="A2371" s="290"/>
      <c r="B2371" s="288"/>
      <c r="C2371" s="1061"/>
      <c r="D2371" s="291"/>
      <c r="E2371" s="1044"/>
    </row>
    <row r="2372" spans="1:5" x14ac:dyDescent="0.25">
      <c r="A2372" s="290"/>
      <c r="B2372" s="288"/>
      <c r="C2372" s="1061"/>
      <c r="D2372" s="291"/>
      <c r="E2372" s="1044"/>
    </row>
    <row r="2373" spans="1:5" x14ac:dyDescent="0.25">
      <c r="A2373" s="290"/>
      <c r="B2373" s="288"/>
      <c r="C2373" s="1061"/>
      <c r="D2373" s="291"/>
      <c r="E2373" s="1044"/>
    </row>
    <row r="2374" spans="1:5" x14ac:dyDescent="0.25">
      <c r="A2374" s="290"/>
      <c r="B2374" s="288"/>
      <c r="C2374" s="1061"/>
      <c r="D2374" s="291"/>
      <c r="E2374" s="1044"/>
    </row>
    <row r="2375" spans="1:5" x14ac:dyDescent="0.25">
      <c r="A2375" s="290"/>
      <c r="B2375" s="288"/>
      <c r="C2375" s="1061"/>
      <c r="D2375" s="291"/>
      <c r="E2375" s="1044"/>
    </row>
    <row r="2376" spans="1:5" x14ac:dyDescent="0.25">
      <c r="A2376" s="290"/>
      <c r="B2376" s="288"/>
      <c r="C2376" s="1061"/>
      <c r="D2376" s="291"/>
      <c r="E2376" s="1044"/>
    </row>
    <row r="2377" spans="1:5" x14ac:dyDescent="0.25">
      <c r="A2377" s="290"/>
      <c r="B2377" s="288"/>
      <c r="C2377" s="1061"/>
      <c r="D2377" s="291"/>
      <c r="E2377" s="1044"/>
    </row>
    <row r="2378" spans="1:5" x14ac:dyDescent="0.25">
      <c r="A2378" s="290"/>
      <c r="B2378" s="288"/>
      <c r="C2378" s="1061"/>
      <c r="D2378" s="291"/>
      <c r="E2378" s="1044"/>
    </row>
    <row r="2379" spans="1:5" x14ac:dyDescent="0.25">
      <c r="A2379" s="290"/>
      <c r="B2379" s="288"/>
      <c r="C2379" s="1061"/>
      <c r="D2379" s="291"/>
      <c r="E2379" s="1044"/>
    </row>
    <row r="2380" spans="1:5" x14ac:dyDescent="0.25">
      <c r="A2380" s="290"/>
      <c r="B2380" s="288"/>
      <c r="C2380" s="1061"/>
      <c r="D2380" s="291"/>
      <c r="E2380" s="1044"/>
    </row>
    <row r="2381" spans="1:5" x14ac:dyDescent="0.25">
      <c r="A2381" s="290"/>
      <c r="B2381" s="288"/>
      <c r="C2381" s="1061"/>
      <c r="D2381" s="291"/>
      <c r="E2381" s="1044"/>
    </row>
    <row r="2382" spans="1:5" x14ac:dyDescent="0.25">
      <c r="A2382" s="290"/>
      <c r="B2382" s="288"/>
      <c r="C2382" s="1061"/>
      <c r="D2382" s="291"/>
      <c r="E2382" s="1044"/>
    </row>
    <row r="2383" spans="1:5" x14ac:dyDescent="0.25">
      <c r="A2383" s="290"/>
      <c r="B2383" s="288"/>
      <c r="C2383" s="1061"/>
      <c r="D2383" s="291"/>
      <c r="E2383" s="1044"/>
    </row>
    <row r="2384" spans="1:5" x14ac:dyDescent="0.25">
      <c r="A2384" s="290"/>
      <c r="B2384" s="288"/>
      <c r="C2384" s="1061"/>
      <c r="D2384" s="291"/>
      <c r="E2384" s="1044"/>
    </row>
    <row r="2385" spans="1:5" x14ac:dyDescent="0.25">
      <c r="A2385" s="290"/>
      <c r="B2385" s="288"/>
      <c r="C2385" s="1061"/>
      <c r="D2385" s="291"/>
      <c r="E2385" s="1044"/>
    </row>
    <row r="2386" spans="1:5" x14ac:dyDescent="0.25">
      <c r="A2386" s="290"/>
      <c r="B2386" s="288"/>
      <c r="C2386" s="1061"/>
      <c r="D2386" s="291"/>
      <c r="E2386" s="1044"/>
    </row>
    <row r="2387" spans="1:5" x14ac:dyDescent="0.25">
      <c r="A2387" s="290"/>
      <c r="B2387" s="288"/>
      <c r="C2387" s="1061"/>
      <c r="D2387" s="291"/>
      <c r="E2387" s="1044"/>
    </row>
    <row r="2388" spans="1:5" x14ac:dyDescent="0.25">
      <c r="A2388" s="290"/>
      <c r="B2388" s="288"/>
      <c r="C2388" s="1061"/>
      <c r="D2388" s="291"/>
      <c r="E2388" s="1044"/>
    </row>
    <row r="2389" spans="1:5" x14ac:dyDescent="0.25">
      <c r="A2389" s="290"/>
      <c r="B2389" s="288"/>
      <c r="C2389" s="1061"/>
      <c r="D2389" s="291"/>
      <c r="E2389" s="1044"/>
    </row>
    <row r="2390" spans="1:5" x14ac:dyDescent="0.25">
      <c r="A2390" s="290"/>
      <c r="B2390" s="288"/>
      <c r="C2390" s="1061"/>
      <c r="D2390" s="291"/>
      <c r="E2390" s="1044"/>
    </row>
    <row r="2391" spans="1:5" x14ac:dyDescent="0.25">
      <c r="A2391" s="290"/>
      <c r="B2391" s="288"/>
      <c r="C2391" s="1061"/>
      <c r="D2391" s="291"/>
      <c r="E2391" s="1044"/>
    </row>
    <row r="2392" spans="1:5" x14ac:dyDescent="0.25">
      <c r="A2392" s="290"/>
      <c r="B2392" s="288"/>
      <c r="C2392" s="1061"/>
      <c r="D2392" s="291"/>
      <c r="E2392" s="1044"/>
    </row>
    <row r="2393" spans="1:5" x14ac:dyDescent="0.25">
      <c r="A2393" s="290"/>
      <c r="B2393" s="288"/>
      <c r="C2393" s="1061"/>
      <c r="D2393" s="291"/>
      <c r="E2393" s="1044"/>
    </row>
    <row r="2394" spans="1:5" x14ac:dyDescent="0.25">
      <c r="A2394" s="290"/>
      <c r="B2394" s="288"/>
      <c r="C2394" s="1061"/>
      <c r="D2394" s="291"/>
      <c r="E2394" s="1044"/>
    </row>
    <row r="2395" spans="1:5" x14ac:dyDescent="0.25">
      <c r="A2395" s="290"/>
      <c r="B2395" s="288"/>
      <c r="C2395" s="1061"/>
      <c r="D2395" s="291"/>
      <c r="E2395" s="1044"/>
    </row>
    <row r="2396" spans="1:5" x14ac:dyDescent="0.25">
      <c r="A2396" s="290"/>
      <c r="B2396" s="288"/>
      <c r="C2396" s="1061"/>
      <c r="D2396" s="291"/>
      <c r="E2396" s="1044"/>
    </row>
    <row r="2397" spans="1:5" x14ac:dyDescent="0.25">
      <c r="A2397" s="290"/>
      <c r="B2397" s="288"/>
      <c r="C2397" s="1061"/>
      <c r="D2397" s="291"/>
      <c r="E2397" s="1044"/>
    </row>
    <row r="2398" spans="1:5" x14ac:dyDescent="0.25">
      <c r="A2398" s="290"/>
      <c r="B2398" s="288"/>
      <c r="C2398" s="1061"/>
      <c r="D2398" s="291"/>
      <c r="E2398" s="1044"/>
    </row>
    <row r="2399" spans="1:5" x14ac:dyDescent="0.25">
      <c r="A2399" s="290"/>
      <c r="B2399" s="288"/>
      <c r="C2399" s="1061"/>
      <c r="D2399" s="291"/>
      <c r="E2399" s="1044"/>
    </row>
    <row r="2400" spans="1:5" x14ac:dyDescent="0.25">
      <c r="A2400" s="290"/>
      <c r="B2400" s="288"/>
      <c r="C2400" s="1061"/>
      <c r="D2400" s="291"/>
      <c r="E2400" s="1044"/>
    </row>
    <row r="2401" spans="1:5" x14ac:dyDescent="0.25">
      <c r="A2401" s="290"/>
      <c r="B2401" s="288"/>
      <c r="C2401" s="1061"/>
      <c r="D2401" s="291"/>
      <c r="E2401" s="1044"/>
    </row>
    <row r="2402" spans="1:5" x14ac:dyDescent="0.25">
      <c r="A2402" s="290"/>
      <c r="B2402" s="288"/>
      <c r="C2402" s="1061"/>
      <c r="D2402" s="291"/>
      <c r="E2402" s="1044"/>
    </row>
    <row r="2403" spans="1:5" x14ac:dyDescent="0.25">
      <c r="A2403" s="290"/>
      <c r="B2403" s="288"/>
      <c r="C2403" s="1061"/>
      <c r="D2403" s="291"/>
      <c r="E2403" s="1044"/>
    </row>
    <row r="2404" spans="1:5" x14ac:dyDescent="0.25">
      <c r="A2404" s="290"/>
      <c r="B2404" s="288"/>
      <c r="C2404" s="1061"/>
      <c r="D2404" s="291"/>
      <c r="E2404" s="1044"/>
    </row>
    <row r="2405" spans="1:5" x14ac:dyDescent="0.25">
      <c r="A2405" s="290"/>
      <c r="B2405" s="288"/>
      <c r="C2405" s="1061"/>
      <c r="D2405" s="291"/>
      <c r="E2405" s="1044"/>
    </row>
    <row r="2406" spans="1:5" x14ac:dyDescent="0.25">
      <c r="A2406" s="290"/>
      <c r="B2406" s="288"/>
      <c r="C2406" s="1061"/>
      <c r="D2406" s="291"/>
      <c r="E2406" s="1044"/>
    </row>
    <row r="2407" spans="1:5" x14ac:dyDescent="0.25">
      <c r="A2407" s="290"/>
      <c r="B2407" s="288"/>
      <c r="C2407" s="1061"/>
      <c r="D2407" s="291"/>
      <c r="E2407" s="1044"/>
    </row>
    <row r="2408" spans="1:5" x14ac:dyDescent="0.25">
      <c r="A2408" s="290"/>
      <c r="B2408" s="288"/>
      <c r="C2408" s="1061"/>
      <c r="D2408" s="291"/>
      <c r="E2408" s="1044"/>
    </row>
    <row r="2409" spans="1:5" x14ac:dyDescent="0.25">
      <c r="A2409" s="290"/>
      <c r="B2409" s="288"/>
      <c r="C2409" s="1061"/>
      <c r="D2409" s="291"/>
      <c r="E2409" s="1044"/>
    </row>
    <row r="2410" spans="1:5" x14ac:dyDescent="0.25">
      <c r="A2410" s="290"/>
      <c r="B2410" s="288"/>
      <c r="C2410" s="1061"/>
      <c r="D2410" s="291"/>
      <c r="E2410" s="1044"/>
    </row>
    <row r="2411" spans="1:5" x14ac:dyDescent="0.25">
      <c r="A2411" s="290"/>
      <c r="B2411" s="288"/>
      <c r="C2411" s="1061"/>
      <c r="D2411" s="291"/>
      <c r="E2411" s="1044"/>
    </row>
    <row r="2412" spans="1:5" x14ac:dyDescent="0.25">
      <c r="A2412" s="290"/>
      <c r="B2412" s="288"/>
      <c r="C2412" s="1061"/>
      <c r="D2412" s="291"/>
      <c r="E2412" s="1044"/>
    </row>
    <row r="2413" spans="1:5" x14ac:dyDescent="0.25">
      <c r="A2413" s="290"/>
      <c r="B2413" s="288"/>
      <c r="C2413" s="1061"/>
      <c r="D2413" s="291"/>
      <c r="E2413" s="1044"/>
    </row>
    <row r="2414" spans="1:5" x14ac:dyDescent="0.25">
      <c r="A2414" s="290"/>
      <c r="B2414" s="288"/>
      <c r="C2414" s="1061"/>
      <c r="D2414" s="291"/>
      <c r="E2414" s="1044"/>
    </row>
    <row r="2415" spans="1:5" x14ac:dyDescent="0.25">
      <c r="A2415" s="290"/>
      <c r="B2415" s="288"/>
      <c r="C2415" s="1061"/>
      <c r="D2415" s="291"/>
      <c r="E2415" s="1044"/>
    </row>
    <row r="2416" spans="1:5" x14ac:dyDescent="0.25">
      <c r="A2416" s="290"/>
      <c r="B2416" s="288"/>
      <c r="C2416" s="1061"/>
      <c r="D2416" s="291"/>
      <c r="E2416" s="1044"/>
    </row>
    <row r="2417" spans="1:5" x14ac:dyDescent="0.25">
      <c r="A2417" s="290"/>
      <c r="B2417" s="288"/>
      <c r="C2417" s="1061"/>
      <c r="D2417" s="291"/>
      <c r="E2417" s="1044"/>
    </row>
    <row r="2418" spans="1:5" x14ac:dyDescent="0.25">
      <c r="A2418" s="290"/>
      <c r="B2418" s="288"/>
      <c r="C2418" s="1061"/>
      <c r="D2418" s="291"/>
      <c r="E2418" s="1044"/>
    </row>
    <row r="2419" spans="1:5" x14ac:dyDescent="0.25">
      <c r="A2419" s="290"/>
      <c r="B2419" s="288"/>
      <c r="C2419" s="1061"/>
      <c r="D2419" s="291"/>
      <c r="E2419" s="1044"/>
    </row>
    <row r="2420" spans="1:5" x14ac:dyDescent="0.25">
      <c r="A2420" s="290"/>
      <c r="B2420" s="288"/>
      <c r="C2420" s="1061"/>
      <c r="D2420" s="291"/>
      <c r="E2420" s="1044"/>
    </row>
    <row r="2421" spans="1:5" x14ac:dyDescent="0.25">
      <c r="A2421" s="290"/>
      <c r="B2421" s="288"/>
      <c r="C2421" s="1061"/>
      <c r="D2421" s="291"/>
      <c r="E2421" s="1044"/>
    </row>
    <row r="2422" spans="1:5" x14ac:dyDescent="0.25">
      <c r="A2422" s="290"/>
      <c r="B2422" s="288"/>
      <c r="C2422" s="1061"/>
      <c r="D2422" s="291"/>
      <c r="E2422" s="1044"/>
    </row>
    <row r="2423" spans="1:5" x14ac:dyDescent="0.25">
      <c r="A2423" s="290"/>
      <c r="B2423" s="288"/>
      <c r="C2423" s="1061"/>
      <c r="D2423" s="291"/>
      <c r="E2423" s="1044"/>
    </row>
    <row r="2424" spans="1:5" x14ac:dyDescent="0.25">
      <c r="A2424" s="290"/>
      <c r="B2424" s="288"/>
      <c r="C2424" s="1061"/>
      <c r="D2424" s="291"/>
      <c r="E2424" s="1044"/>
    </row>
    <row r="2425" spans="1:5" x14ac:dyDescent="0.25">
      <c r="A2425" s="290"/>
      <c r="B2425" s="288"/>
      <c r="C2425" s="1061"/>
      <c r="D2425" s="291"/>
      <c r="E2425" s="1044"/>
    </row>
    <row r="2426" spans="1:5" x14ac:dyDescent="0.25">
      <c r="A2426" s="290"/>
      <c r="B2426" s="288"/>
      <c r="C2426" s="1061"/>
      <c r="D2426" s="291"/>
      <c r="E2426" s="1044"/>
    </row>
    <row r="2427" spans="1:5" x14ac:dyDescent="0.25">
      <c r="A2427" s="290"/>
      <c r="B2427" s="288"/>
      <c r="C2427" s="1061"/>
      <c r="D2427" s="291"/>
      <c r="E2427" s="1044"/>
    </row>
    <row r="2428" spans="1:5" x14ac:dyDescent="0.25">
      <c r="A2428" s="290"/>
      <c r="B2428" s="288"/>
      <c r="C2428" s="1061"/>
      <c r="D2428" s="291"/>
      <c r="E2428" s="1044"/>
    </row>
    <row r="2429" spans="1:5" x14ac:dyDescent="0.25">
      <c r="A2429" s="290"/>
      <c r="B2429" s="288"/>
      <c r="C2429" s="1061"/>
      <c r="D2429" s="291"/>
      <c r="E2429" s="1044"/>
    </row>
    <row r="2430" spans="1:5" x14ac:dyDescent="0.25">
      <c r="A2430" s="290"/>
      <c r="B2430" s="288"/>
      <c r="C2430" s="1061"/>
      <c r="D2430" s="291"/>
      <c r="E2430" s="1044"/>
    </row>
    <row r="2431" spans="1:5" x14ac:dyDescent="0.25">
      <c r="A2431" s="290"/>
      <c r="B2431" s="288"/>
      <c r="C2431" s="1061"/>
      <c r="D2431" s="291"/>
      <c r="E2431" s="1044"/>
    </row>
    <row r="2432" spans="1:5" x14ac:dyDescent="0.25">
      <c r="A2432" s="290"/>
      <c r="B2432" s="288"/>
      <c r="C2432" s="1061"/>
      <c r="D2432" s="291"/>
      <c r="E2432" s="1044"/>
    </row>
    <row r="2433" spans="1:5" x14ac:dyDescent="0.25">
      <c r="A2433" s="290"/>
      <c r="B2433" s="288"/>
      <c r="C2433" s="1061"/>
      <c r="D2433" s="291"/>
      <c r="E2433" s="1044"/>
    </row>
    <row r="2434" spans="1:5" x14ac:dyDescent="0.25">
      <c r="A2434" s="290"/>
      <c r="B2434" s="288"/>
      <c r="C2434" s="1061"/>
      <c r="D2434" s="291"/>
      <c r="E2434" s="1044"/>
    </row>
    <row r="2435" spans="1:5" x14ac:dyDescent="0.25">
      <c r="A2435" s="290"/>
      <c r="B2435" s="288"/>
      <c r="C2435" s="1061"/>
      <c r="D2435" s="291"/>
      <c r="E2435" s="1044"/>
    </row>
    <row r="2436" spans="1:5" x14ac:dyDescent="0.25">
      <c r="A2436" s="290"/>
      <c r="B2436" s="288"/>
      <c r="C2436" s="1061"/>
      <c r="D2436" s="291"/>
      <c r="E2436" s="1044"/>
    </row>
    <row r="2437" spans="1:5" x14ac:dyDescent="0.25">
      <c r="A2437" s="290"/>
      <c r="B2437" s="288"/>
      <c r="C2437" s="1061"/>
      <c r="D2437" s="291"/>
      <c r="E2437" s="1044"/>
    </row>
    <row r="2438" spans="1:5" x14ac:dyDescent="0.25">
      <c r="A2438" s="290"/>
      <c r="B2438" s="288"/>
      <c r="C2438" s="1061"/>
      <c r="D2438" s="291"/>
      <c r="E2438" s="1044"/>
    </row>
    <row r="2439" spans="1:5" x14ac:dyDescent="0.25">
      <c r="A2439" s="290"/>
      <c r="B2439" s="288"/>
      <c r="C2439" s="1061"/>
      <c r="D2439" s="291"/>
      <c r="E2439" s="1044"/>
    </row>
    <row r="2440" spans="1:5" x14ac:dyDescent="0.25">
      <c r="A2440" s="290"/>
      <c r="B2440" s="288"/>
      <c r="C2440" s="1061"/>
      <c r="D2440" s="291"/>
      <c r="E2440" s="1044"/>
    </row>
    <row r="2441" spans="1:5" x14ac:dyDescent="0.25">
      <c r="A2441" s="290"/>
      <c r="B2441" s="288"/>
      <c r="C2441" s="1061"/>
      <c r="D2441" s="291"/>
      <c r="E2441" s="1044"/>
    </row>
    <row r="2442" spans="1:5" x14ac:dyDescent="0.25">
      <c r="A2442" s="290"/>
      <c r="B2442" s="288"/>
      <c r="C2442" s="1061"/>
      <c r="D2442" s="291"/>
      <c r="E2442" s="1044"/>
    </row>
    <row r="2443" spans="1:5" x14ac:dyDescent="0.25">
      <c r="A2443" s="290"/>
      <c r="B2443" s="288"/>
      <c r="C2443" s="1061"/>
      <c r="D2443" s="291"/>
      <c r="E2443" s="1044"/>
    </row>
    <row r="2444" spans="1:5" x14ac:dyDescent="0.25">
      <c r="A2444" s="290"/>
      <c r="B2444" s="288"/>
      <c r="C2444" s="1061"/>
      <c r="D2444" s="291"/>
      <c r="E2444" s="1044"/>
    </row>
    <row r="2445" spans="1:5" x14ac:dyDescent="0.25">
      <c r="A2445" s="290"/>
      <c r="B2445" s="288"/>
      <c r="C2445" s="1061"/>
      <c r="D2445" s="291"/>
      <c r="E2445" s="1044"/>
    </row>
    <row r="2446" spans="1:5" x14ac:dyDescent="0.25">
      <c r="A2446" s="290"/>
      <c r="B2446" s="288"/>
      <c r="C2446" s="1061"/>
      <c r="D2446" s="291"/>
      <c r="E2446" s="1044"/>
    </row>
    <row r="2447" spans="1:5" x14ac:dyDescent="0.25">
      <c r="A2447" s="290"/>
      <c r="B2447" s="288"/>
      <c r="C2447" s="1061"/>
      <c r="D2447" s="291"/>
      <c r="E2447" s="1044"/>
    </row>
    <row r="2448" spans="1:5" x14ac:dyDescent="0.25">
      <c r="A2448" s="290"/>
      <c r="B2448" s="288"/>
      <c r="C2448" s="1061"/>
      <c r="D2448" s="291"/>
      <c r="E2448" s="1044"/>
    </row>
    <row r="2449" spans="1:5" x14ac:dyDescent="0.25">
      <c r="A2449" s="290"/>
      <c r="B2449" s="288"/>
      <c r="C2449" s="1061"/>
      <c r="D2449" s="291"/>
      <c r="E2449" s="1044"/>
    </row>
    <row r="2450" spans="1:5" x14ac:dyDescent="0.25">
      <c r="A2450" s="290"/>
      <c r="B2450" s="288"/>
      <c r="C2450" s="1061"/>
      <c r="D2450" s="291"/>
      <c r="E2450" s="1044"/>
    </row>
    <row r="2451" spans="1:5" x14ac:dyDescent="0.25">
      <c r="A2451" s="290"/>
      <c r="B2451" s="288"/>
      <c r="C2451" s="1061"/>
      <c r="D2451" s="291"/>
      <c r="E2451" s="1044"/>
    </row>
    <row r="2452" spans="1:5" x14ac:dyDescent="0.25">
      <c r="A2452" s="290"/>
      <c r="B2452" s="288"/>
      <c r="C2452" s="1061"/>
      <c r="D2452" s="291"/>
      <c r="E2452" s="1044"/>
    </row>
    <row r="2453" spans="1:5" x14ac:dyDescent="0.25">
      <c r="A2453" s="290"/>
      <c r="B2453" s="288"/>
      <c r="C2453" s="1061"/>
      <c r="D2453" s="291"/>
      <c r="E2453" s="1044"/>
    </row>
    <row r="2454" spans="1:5" x14ac:dyDescent="0.25">
      <c r="A2454" s="290"/>
      <c r="B2454" s="288"/>
      <c r="C2454" s="1061"/>
      <c r="D2454" s="291"/>
      <c r="E2454" s="1044"/>
    </row>
    <row r="2455" spans="1:5" x14ac:dyDescent="0.25">
      <c r="A2455" s="290"/>
      <c r="B2455" s="288"/>
      <c r="C2455" s="1061"/>
      <c r="D2455" s="291"/>
      <c r="E2455" s="1044"/>
    </row>
    <row r="2456" spans="1:5" x14ac:dyDescent="0.25">
      <c r="A2456" s="290"/>
      <c r="B2456" s="288"/>
      <c r="C2456" s="1061"/>
      <c r="D2456" s="291"/>
      <c r="E2456" s="1044"/>
    </row>
    <row r="2457" spans="1:5" x14ac:dyDescent="0.25">
      <c r="A2457" s="290"/>
      <c r="B2457" s="288"/>
      <c r="C2457" s="1061"/>
      <c r="D2457" s="291"/>
      <c r="E2457" s="1044"/>
    </row>
    <row r="2458" spans="1:5" x14ac:dyDescent="0.25">
      <c r="A2458" s="290"/>
      <c r="B2458" s="288"/>
      <c r="C2458" s="1061"/>
      <c r="D2458" s="291"/>
      <c r="E2458" s="1044"/>
    </row>
    <row r="2459" spans="1:5" x14ac:dyDescent="0.25">
      <c r="A2459" s="290"/>
      <c r="B2459" s="288"/>
      <c r="C2459" s="1061"/>
      <c r="D2459" s="291"/>
      <c r="E2459" s="1044"/>
    </row>
    <row r="2460" spans="1:5" x14ac:dyDescent="0.25">
      <c r="A2460" s="290"/>
      <c r="B2460" s="288"/>
      <c r="C2460" s="1061"/>
      <c r="D2460" s="291"/>
      <c r="E2460" s="1044"/>
    </row>
    <row r="2461" spans="1:5" x14ac:dyDescent="0.25">
      <c r="A2461" s="290"/>
      <c r="B2461" s="288"/>
      <c r="C2461" s="1061"/>
      <c r="D2461" s="291"/>
      <c r="E2461" s="1044"/>
    </row>
    <row r="2462" spans="1:5" x14ac:dyDescent="0.25">
      <c r="A2462" s="290"/>
      <c r="B2462" s="288"/>
      <c r="C2462" s="1061"/>
      <c r="D2462" s="291"/>
      <c r="E2462" s="1044"/>
    </row>
    <row r="2463" spans="1:5" x14ac:dyDescent="0.25">
      <c r="A2463" s="290"/>
      <c r="B2463" s="288"/>
      <c r="C2463" s="1061"/>
      <c r="D2463" s="291"/>
      <c r="E2463" s="1044"/>
    </row>
    <row r="2464" spans="1:5" x14ac:dyDescent="0.25">
      <c r="A2464" s="290"/>
      <c r="B2464" s="288"/>
      <c r="C2464" s="1061"/>
      <c r="D2464" s="291"/>
      <c r="E2464" s="1044"/>
    </row>
    <row r="2465" spans="1:5" x14ac:dyDescent="0.25">
      <c r="A2465" s="290"/>
      <c r="B2465" s="288"/>
      <c r="C2465" s="1061"/>
      <c r="D2465" s="291"/>
      <c r="E2465" s="1044"/>
    </row>
    <row r="2466" spans="1:5" x14ac:dyDescent="0.25">
      <c r="A2466" s="290"/>
      <c r="B2466" s="288"/>
      <c r="C2466" s="1061"/>
      <c r="D2466" s="291"/>
      <c r="E2466" s="1044"/>
    </row>
    <row r="2467" spans="1:5" x14ac:dyDescent="0.25">
      <c r="A2467" s="290"/>
      <c r="B2467" s="288"/>
      <c r="C2467" s="1061"/>
      <c r="D2467" s="291"/>
      <c r="E2467" s="1044"/>
    </row>
    <row r="2468" spans="1:5" x14ac:dyDescent="0.25">
      <c r="A2468" s="290"/>
      <c r="B2468" s="288"/>
      <c r="C2468" s="1061"/>
      <c r="D2468" s="291"/>
      <c r="E2468" s="1044"/>
    </row>
    <row r="2469" spans="1:5" x14ac:dyDescent="0.25">
      <c r="A2469" s="290"/>
      <c r="B2469" s="288"/>
      <c r="C2469" s="1061"/>
      <c r="D2469" s="291"/>
      <c r="E2469" s="1044"/>
    </row>
    <row r="2470" spans="1:5" x14ac:dyDescent="0.25">
      <c r="A2470" s="290"/>
      <c r="B2470" s="288"/>
      <c r="C2470" s="1061"/>
      <c r="D2470" s="291"/>
      <c r="E2470" s="1044"/>
    </row>
    <row r="2471" spans="1:5" x14ac:dyDescent="0.25">
      <c r="A2471" s="290"/>
      <c r="B2471" s="288"/>
      <c r="C2471" s="1061"/>
      <c r="D2471" s="291"/>
      <c r="E2471" s="1044"/>
    </row>
    <row r="2472" spans="1:5" x14ac:dyDescent="0.25">
      <c r="A2472" s="290"/>
      <c r="B2472" s="288"/>
      <c r="C2472" s="1061"/>
      <c r="D2472" s="291"/>
      <c r="E2472" s="1044"/>
    </row>
    <row r="2473" spans="1:5" x14ac:dyDescent="0.25">
      <c r="A2473" s="290"/>
      <c r="B2473" s="288"/>
      <c r="C2473" s="1061"/>
      <c r="D2473" s="291"/>
      <c r="E2473" s="1044"/>
    </row>
    <row r="2474" spans="1:5" x14ac:dyDescent="0.25">
      <c r="A2474" s="290"/>
      <c r="B2474" s="288"/>
      <c r="C2474" s="1061"/>
      <c r="D2474" s="291"/>
      <c r="E2474" s="1044"/>
    </row>
    <row r="2475" spans="1:5" x14ac:dyDescent="0.25">
      <c r="A2475" s="290"/>
      <c r="B2475" s="288"/>
      <c r="C2475" s="1061"/>
      <c r="D2475" s="291"/>
      <c r="E2475" s="1044"/>
    </row>
    <row r="2476" spans="1:5" x14ac:dyDescent="0.25">
      <c r="A2476" s="290"/>
      <c r="B2476" s="288"/>
      <c r="C2476" s="1061"/>
      <c r="D2476" s="291"/>
      <c r="E2476" s="1044"/>
    </row>
    <row r="2477" spans="1:5" x14ac:dyDescent="0.25">
      <c r="A2477" s="290"/>
      <c r="B2477" s="288"/>
      <c r="C2477" s="1061"/>
      <c r="D2477" s="291"/>
      <c r="E2477" s="1044"/>
    </row>
    <row r="2478" spans="1:5" x14ac:dyDescent="0.25">
      <c r="A2478" s="290"/>
      <c r="B2478" s="288"/>
      <c r="C2478" s="1061"/>
      <c r="D2478" s="291"/>
      <c r="E2478" s="1044"/>
    </row>
    <row r="2479" spans="1:5" x14ac:dyDescent="0.25">
      <c r="A2479" s="290"/>
      <c r="B2479" s="288"/>
      <c r="C2479" s="1061"/>
      <c r="D2479" s="291"/>
      <c r="E2479" s="1044"/>
    </row>
    <row r="2480" spans="1:5" x14ac:dyDescent="0.25">
      <c r="A2480" s="290"/>
      <c r="B2480" s="288"/>
      <c r="C2480" s="1061"/>
      <c r="D2480" s="291"/>
      <c r="E2480" s="1044"/>
    </row>
    <row r="2481" spans="1:5" x14ac:dyDescent="0.25">
      <c r="A2481" s="290"/>
      <c r="B2481" s="288"/>
      <c r="C2481" s="1061"/>
      <c r="D2481" s="291"/>
      <c r="E2481" s="1044"/>
    </row>
    <row r="2482" spans="1:5" x14ac:dyDescent="0.25">
      <c r="A2482" s="290"/>
      <c r="B2482" s="288"/>
      <c r="C2482" s="1061"/>
      <c r="D2482" s="291"/>
      <c r="E2482" s="1044"/>
    </row>
    <row r="2483" spans="1:5" x14ac:dyDescent="0.25">
      <c r="A2483" s="290"/>
      <c r="B2483" s="288"/>
      <c r="C2483" s="1061"/>
      <c r="D2483" s="291"/>
      <c r="E2483" s="1044"/>
    </row>
    <row r="2484" spans="1:5" x14ac:dyDescent="0.25">
      <c r="A2484" s="290"/>
      <c r="B2484" s="288"/>
      <c r="C2484" s="1061"/>
      <c r="D2484" s="291"/>
      <c r="E2484" s="1044"/>
    </row>
    <row r="2485" spans="1:5" x14ac:dyDescent="0.25">
      <c r="A2485" s="290"/>
      <c r="B2485" s="288"/>
      <c r="C2485" s="1061"/>
      <c r="D2485" s="291"/>
      <c r="E2485" s="1044"/>
    </row>
    <row r="2486" spans="1:5" x14ac:dyDescent="0.25">
      <c r="A2486" s="290"/>
      <c r="B2486" s="288"/>
      <c r="C2486" s="1061"/>
      <c r="D2486" s="291"/>
      <c r="E2486" s="1044"/>
    </row>
    <row r="2487" spans="1:5" x14ac:dyDescent="0.25">
      <c r="A2487" s="290"/>
      <c r="B2487" s="288"/>
      <c r="C2487" s="1061"/>
      <c r="D2487" s="291"/>
      <c r="E2487" s="1044"/>
    </row>
    <row r="2488" spans="1:5" x14ac:dyDescent="0.25">
      <c r="A2488" s="290"/>
      <c r="B2488" s="288"/>
      <c r="C2488" s="1061"/>
      <c r="D2488" s="291"/>
      <c r="E2488" s="1044"/>
    </row>
    <row r="2489" spans="1:5" x14ac:dyDescent="0.25">
      <c r="A2489" s="290"/>
      <c r="B2489" s="288"/>
      <c r="C2489" s="1061"/>
      <c r="D2489" s="291"/>
      <c r="E2489" s="1044"/>
    </row>
    <row r="2490" spans="1:5" x14ac:dyDescent="0.25">
      <c r="A2490" s="290"/>
      <c r="B2490" s="288"/>
      <c r="C2490" s="1061"/>
      <c r="D2490" s="291"/>
      <c r="E2490" s="1044"/>
    </row>
    <row r="2491" spans="1:5" x14ac:dyDescent="0.25">
      <c r="A2491" s="290"/>
      <c r="B2491" s="288"/>
      <c r="C2491" s="1061"/>
      <c r="D2491" s="291"/>
      <c r="E2491" s="1044"/>
    </row>
    <row r="2492" spans="1:5" x14ac:dyDescent="0.25">
      <c r="A2492" s="290"/>
      <c r="B2492" s="288"/>
      <c r="C2492" s="1061"/>
      <c r="D2492" s="291"/>
      <c r="E2492" s="1044"/>
    </row>
    <row r="2493" spans="1:5" x14ac:dyDescent="0.25">
      <c r="A2493" s="290"/>
      <c r="B2493" s="288"/>
      <c r="C2493" s="1061"/>
      <c r="D2493" s="291"/>
      <c r="E2493" s="1044"/>
    </row>
    <row r="2494" spans="1:5" x14ac:dyDescent="0.25">
      <c r="A2494" s="290"/>
      <c r="B2494" s="288"/>
      <c r="C2494" s="1061"/>
      <c r="D2494" s="291"/>
      <c r="E2494" s="1044"/>
    </row>
    <row r="2495" spans="1:5" x14ac:dyDescent="0.25">
      <c r="A2495" s="290"/>
      <c r="B2495" s="288"/>
      <c r="C2495" s="1061"/>
      <c r="D2495" s="291"/>
      <c r="E2495" s="1044"/>
    </row>
    <row r="2496" spans="1:5" x14ac:dyDescent="0.25">
      <c r="A2496" s="290"/>
      <c r="B2496" s="288"/>
      <c r="C2496" s="1061"/>
      <c r="D2496" s="291"/>
      <c r="E2496" s="1044"/>
    </row>
    <row r="2497" spans="1:5" x14ac:dyDescent="0.25">
      <c r="A2497" s="290"/>
      <c r="B2497" s="288"/>
      <c r="C2497" s="1061"/>
      <c r="D2497" s="291"/>
      <c r="E2497" s="1044"/>
    </row>
    <row r="2498" spans="1:5" x14ac:dyDescent="0.25">
      <c r="A2498" s="290"/>
      <c r="B2498" s="288"/>
      <c r="C2498" s="1061"/>
      <c r="D2498" s="291"/>
      <c r="E2498" s="1044"/>
    </row>
    <row r="2499" spans="1:5" x14ac:dyDescent="0.25">
      <c r="A2499" s="290"/>
      <c r="B2499" s="288"/>
      <c r="C2499" s="1061"/>
      <c r="D2499" s="291"/>
      <c r="E2499" s="1044"/>
    </row>
    <row r="2500" spans="1:5" x14ac:dyDescent="0.25">
      <c r="A2500" s="290"/>
      <c r="B2500" s="288"/>
      <c r="C2500" s="1061"/>
      <c r="D2500" s="291"/>
      <c r="E2500" s="1044"/>
    </row>
    <row r="2501" spans="1:5" x14ac:dyDescent="0.25">
      <c r="A2501" s="290"/>
      <c r="B2501" s="288"/>
      <c r="C2501" s="1061"/>
      <c r="D2501" s="291"/>
      <c r="E2501" s="1044"/>
    </row>
    <row r="2502" spans="1:5" x14ac:dyDescent="0.25">
      <c r="A2502" s="290"/>
      <c r="B2502" s="288"/>
      <c r="C2502" s="1061"/>
      <c r="D2502" s="291"/>
      <c r="E2502" s="1044"/>
    </row>
    <row r="2503" spans="1:5" x14ac:dyDescent="0.25">
      <c r="A2503" s="290"/>
      <c r="B2503" s="288"/>
      <c r="C2503" s="1061"/>
      <c r="D2503" s="291"/>
      <c r="E2503" s="1044"/>
    </row>
    <row r="2504" spans="1:5" x14ac:dyDescent="0.25">
      <c r="A2504" s="290"/>
      <c r="B2504" s="288"/>
      <c r="C2504" s="1061"/>
      <c r="D2504" s="291"/>
      <c r="E2504" s="1044"/>
    </row>
    <row r="2505" spans="1:5" x14ac:dyDescent="0.25">
      <c r="A2505" s="290"/>
      <c r="B2505" s="288"/>
      <c r="C2505" s="1061"/>
      <c r="D2505" s="291"/>
      <c r="E2505" s="1044"/>
    </row>
    <row r="2506" spans="1:5" x14ac:dyDescent="0.25">
      <c r="A2506" s="290"/>
      <c r="B2506" s="288"/>
      <c r="C2506" s="1061"/>
      <c r="D2506" s="291"/>
      <c r="E2506" s="1044"/>
    </row>
    <row r="2507" spans="1:5" x14ac:dyDescent="0.25">
      <c r="A2507" s="290"/>
      <c r="B2507" s="288"/>
      <c r="C2507" s="1061"/>
      <c r="D2507" s="291"/>
      <c r="E2507" s="1044"/>
    </row>
    <row r="2508" spans="1:5" x14ac:dyDescent="0.25">
      <c r="A2508" s="290"/>
      <c r="B2508" s="288"/>
      <c r="C2508" s="1061"/>
      <c r="D2508" s="291"/>
      <c r="E2508" s="1044"/>
    </row>
    <row r="2509" spans="1:5" x14ac:dyDescent="0.25">
      <c r="A2509" s="290"/>
      <c r="B2509" s="288"/>
      <c r="C2509" s="1061"/>
      <c r="D2509" s="291"/>
      <c r="E2509" s="1044"/>
    </row>
    <row r="2510" spans="1:5" x14ac:dyDescent="0.25">
      <c r="A2510" s="290"/>
      <c r="B2510" s="288"/>
      <c r="C2510" s="1061"/>
      <c r="D2510" s="291"/>
      <c r="E2510" s="1044"/>
    </row>
    <row r="2511" spans="1:5" x14ac:dyDescent="0.25">
      <c r="A2511" s="290"/>
      <c r="B2511" s="288"/>
      <c r="C2511" s="1061"/>
      <c r="D2511" s="291"/>
      <c r="E2511" s="1044"/>
    </row>
    <row r="2512" spans="1:5" x14ac:dyDescent="0.25">
      <c r="A2512" s="290"/>
      <c r="B2512" s="288"/>
      <c r="C2512" s="1061"/>
      <c r="D2512" s="291"/>
      <c r="E2512" s="1044"/>
    </row>
    <row r="2513" spans="1:5" x14ac:dyDescent="0.25">
      <c r="A2513" s="290"/>
      <c r="B2513" s="288"/>
      <c r="C2513" s="1061"/>
      <c r="D2513" s="291"/>
      <c r="E2513" s="1044"/>
    </row>
    <row r="2514" spans="1:5" x14ac:dyDescent="0.25">
      <c r="A2514" s="290"/>
      <c r="B2514" s="288"/>
      <c r="C2514" s="1061"/>
      <c r="D2514" s="291"/>
      <c r="E2514" s="1044"/>
    </row>
    <row r="2515" spans="1:5" x14ac:dyDescent="0.25">
      <c r="A2515" s="290"/>
      <c r="B2515" s="288"/>
      <c r="C2515" s="1061"/>
      <c r="D2515" s="291"/>
      <c r="E2515" s="1044"/>
    </row>
    <row r="2516" spans="1:5" x14ac:dyDescent="0.25">
      <c r="A2516" s="290"/>
      <c r="B2516" s="288"/>
      <c r="C2516" s="1061"/>
      <c r="D2516" s="291"/>
      <c r="E2516" s="1044"/>
    </row>
    <row r="2517" spans="1:5" x14ac:dyDescent="0.25">
      <c r="A2517" s="290"/>
      <c r="B2517" s="288"/>
      <c r="C2517" s="1061"/>
      <c r="D2517" s="291"/>
      <c r="E2517" s="1044"/>
    </row>
    <row r="2518" spans="1:5" x14ac:dyDescent="0.25">
      <c r="A2518" s="290"/>
      <c r="B2518" s="288"/>
      <c r="C2518" s="1061"/>
      <c r="D2518" s="291"/>
      <c r="E2518" s="1044"/>
    </row>
    <row r="2519" spans="1:5" x14ac:dyDescent="0.25">
      <c r="A2519" s="290"/>
      <c r="B2519" s="288"/>
      <c r="C2519" s="1061"/>
      <c r="D2519" s="291"/>
      <c r="E2519" s="1044"/>
    </row>
    <row r="2520" spans="1:5" x14ac:dyDescent="0.25">
      <c r="A2520" s="290"/>
      <c r="B2520" s="288"/>
      <c r="C2520" s="1061"/>
      <c r="D2520" s="291"/>
      <c r="E2520" s="1044"/>
    </row>
    <row r="2521" spans="1:5" x14ac:dyDescent="0.25">
      <c r="A2521" s="290"/>
      <c r="B2521" s="288"/>
      <c r="C2521" s="1061"/>
      <c r="D2521" s="291"/>
      <c r="E2521" s="1044"/>
    </row>
    <row r="2522" spans="1:5" x14ac:dyDescent="0.25">
      <c r="A2522" s="290"/>
      <c r="B2522" s="288"/>
      <c r="C2522" s="1061"/>
      <c r="D2522" s="291"/>
      <c r="E2522" s="1044"/>
    </row>
    <row r="2523" spans="1:5" x14ac:dyDescent="0.25">
      <c r="A2523" s="290"/>
      <c r="B2523" s="288"/>
      <c r="C2523" s="1061"/>
      <c r="D2523" s="291"/>
      <c r="E2523" s="1044"/>
    </row>
    <row r="2524" spans="1:5" x14ac:dyDescent="0.25">
      <c r="A2524" s="290"/>
      <c r="B2524" s="288"/>
      <c r="C2524" s="1061"/>
      <c r="D2524" s="291"/>
      <c r="E2524" s="1044"/>
    </row>
    <row r="2525" spans="1:5" x14ac:dyDescent="0.25">
      <c r="A2525" s="290"/>
      <c r="B2525" s="288"/>
      <c r="C2525" s="1061"/>
      <c r="D2525" s="291"/>
      <c r="E2525" s="1044"/>
    </row>
    <row r="2526" spans="1:5" x14ac:dyDescent="0.25">
      <c r="A2526" s="290"/>
      <c r="B2526" s="288"/>
      <c r="C2526" s="1061"/>
      <c r="D2526" s="291"/>
      <c r="E2526" s="1044"/>
    </row>
    <row r="2527" spans="1:5" x14ac:dyDescent="0.25">
      <c r="A2527" s="290"/>
      <c r="B2527" s="288"/>
      <c r="C2527" s="1061"/>
      <c r="D2527" s="291"/>
      <c r="E2527" s="1044"/>
    </row>
    <row r="2528" spans="1:5" x14ac:dyDescent="0.25">
      <c r="A2528" s="290"/>
      <c r="B2528" s="288"/>
      <c r="C2528" s="1061"/>
      <c r="D2528" s="291"/>
      <c r="E2528" s="1044"/>
    </row>
    <row r="2529" spans="1:5" x14ac:dyDescent="0.25">
      <c r="A2529" s="290"/>
      <c r="B2529" s="288"/>
      <c r="C2529" s="1061"/>
      <c r="D2529" s="291"/>
      <c r="E2529" s="1044"/>
    </row>
    <row r="2530" spans="1:5" x14ac:dyDescent="0.25">
      <c r="A2530" s="290"/>
      <c r="B2530" s="288"/>
      <c r="C2530" s="1061"/>
      <c r="D2530" s="291"/>
      <c r="E2530" s="1044"/>
    </row>
    <row r="2531" spans="1:5" x14ac:dyDescent="0.25">
      <c r="A2531" s="290"/>
      <c r="B2531" s="288"/>
      <c r="C2531" s="1061"/>
      <c r="D2531" s="291"/>
      <c r="E2531" s="1044"/>
    </row>
    <row r="2532" spans="1:5" x14ac:dyDescent="0.25">
      <c r="A2532" s="290"/>
      <c r="B2532" s="288"/>
      <c r="C2532" s="1061"/>
      <c r="D2532" s="291"/>
      <c r="E2532" s="1044"/>
    </row>
    <row r="2533" spans="1:5" x14ac:dyDescent="0.25">
      <c r="A2533" s="290"/>
      <c r="B2533" s="288"/>
      <c r="C2533" s="1061"/>
      <c r="D2533" s="291"/>
      <c r="E2533" s="1044"/>
    </row>
    <row r="2534" spans="1:5" x14ac:dyDescent="0.25">
      <c r="A2534" s="290"/>
      <c r="B2534" s="288"/>
      <c r="C2534" s="1061"/>
      <c r="D2534" s="291"/>
      <c r="E2534" s="1044"/>
    </row>
    <row r="2535" spans="1:5" x14ac:dyDescent="0.25">
      <c r="A2535" s="290"/>
      <c r="B2535" s="288"/>
      <c r="C2535" s="1061"/>
      <c r="D2535" s="291"/>
      <c r="E2535" s="1044"/>
    </row>
    <row r="2536" spans="1:5" x14ac:dyDescent="0.25">
      <c r="A2536" s="290"/>
      <c r="B2536" s="288"/>
      <c r="C2536" s="1061"/>
      <c r="D2536" s="291"/>
      <c r="E2536" s="1044"/>
    </row>
    <row r="2537" spans="1:5" x14ac:dyDescent="0.25">
      <c r="A2537" s="290"/>
      <c r="B2537" s="288"/>
      <c r="C2537" s="1061"/>
      <c r="D2537" s="291"/>
      <c r="E2537" s="1044"/>
    </row>
    <row r="2538" spans="1:5" x14ac:dyDescent="0.25">
      <c r="A2538" s="290"/>
      <c r="B2538" s="288"/>
      <c r="C2538" s="1061"/>
      <c r="D2538" s="291"/>
      <c r="E2538" s="1044"/>
    </row>
    <row r="2539" spans="1:5" x14ac:dyDescent="0.25">
      <c r="A2539" s="290"/>
      <c r="B2539" s="288"/>
      <c r="C2539" s="1061"/>
      <c r="D2539" s="291"/>
      <c r="E2539" s="1044"/>
    </row>
    <row r="2540" spans="1:5" x14ac:dyDescent="0.25">
      <c r="A2540" s="290"/>
      <c r="B2540" s="288"/>
      <c r="C2540" s="1061"/>
      <c r="D2540" s="291"/>
      <c r="E2540" s="1044"/>
    </row>
    <row r="2541" spans="1:5" x14ac:dyDescent="0.25">
      <c r="A2541" s="290"/>
      <c r="B2541" s="288"/>
      <c r="C2541" s="1061"/>
      <c r="D2541" s="291"/>
      <c r="E2541" s="1044"/>
    </row>
    <row r="2542" spans="1:5" x14ac:dyDescent="0.25">
      <c r="A2542" s="290"/>
      <c r="B2542" s="288"/>
      <c r="C2542" s="1061"/>
      <c r="D2542" s="291"/>
      <c r="E2542" s="1044"/>
    </row>
    <row r="2543" spans="1:5" x14ac:dyDescent="0.25">
      <c r="A2543" s="290"/>
      <c r="B2543" s="288"/>
      <c r="C2543" s="1061"/>
      <c r="D2543" s="291"/>
      <c r="E2543" s="1044"/>
    </row>
    <row r="2544" spans="1:5" x14ac:dyDescent="0.25">
      <c r="A2544" s="290"/>
      <c r="B2544" s="288"/>
      <c r="C2544" s="1061"/>
      <c r="D2544" s="291"/>
      <c r="E2544" s="1044"/>
    </row>
    <row r="2545" spans="1:5" x14ac:dyDescent="0.25">
      <c r="A2545" s="290"/>
      <c r="B2545" s="288"/>
      <c r="C2545" s="1061"/>
      <c r="D2545" s="291"/>
      <c r="E2545" s="1044"/>
    </row>
    <row r="2546" spans="1:5" x14ac:dyDescent="0.25">
      <c r="A2546" s="290"/>
      <c r="B2546" s="288"/>
      <c r="C2546" s="1061"/>
      <c r="D2546" s="291"/>
      <c r="E2546" s="1044"/>
    </row>
    <row r="2547" spans="1:5" x14ac:dyDescent="0.25">
      <c r="A2547" s="290"/>
      <c r="B2547" s="288"/>
      <c r="C2547" s="1061"/>
      <c r="D2547" s="291"/>
      <c r="E2547" s="1044"/>
    </row>
    <row r="2548" spans="1:5" x14ac:dyDescent="0.25">
      <c r="A2548" s="290"/>
      <c r="B2548" s="288"/>
      <c r="C2548" s="1061"/>
      <c r="D2548" s="291"/>
      <c r="E2548" s="1044"/>
    </row>
    <row r="2549" spans="1:5" x14ac:dyDescent="0.25">
      <c r="A2549" s="290"/>
      <c r="B2549" s="288"/>
      <c r="C2549" s="1061"/>
      <c r="D2549" s="291"/>
      <c r="E2549" s="1044"/>
    </row>
    <row r="2550" spans="1:5" x14ac:dyDescent="0.25">
      <c r="A2550" s="290"/>
      <c r="B2550" s="288"/>
      <c r="C2550" s="1061"/>
      <c r="D2550" s="291"/>
      <c r="E2550" s="1044"/>
    </row>
    <row r="2551" spans="1:5" x14ac:dyDescent="0.25">
      <c r="A2551" s="290"/>
      <c r="B2551" s="288"/>
      <c r="C2551" s="1061"/>
      <c r="D2551" s="291"/>
      <c r="E2551" s="1044"/>
    </row>
    <row r="2552" spans="1:5" x14ac:dyDescent="0.25">
      <c r="A2552" s="290"/>
      <c r="B2552" s="288"/>
      <c r="C2552" s="1061"/>
      <c r="D2552" s="291"/>
      <c r="E2552" s="1044"/>
    </row>
    <row r="2553" spans="1:5" x14ac:dyDescent="0.25">
      <c r="A2553" s="290"/>
      <c r="B2553" s="288"/>
      <c r="C2553" s="1061"/>
      <c r="D2553" s="291"/>
      <c r="E2553" s="1044"/>
    </row>
    <row r="2554" spans="1:5" x14ac:dyDescent="0.25">
      <c r="A2554" s="290"/>
      <c r="B2554" s="288"/>
      <c r="C2554" s="1061"/>
      <c r="D2554" s="291"/>
      <c r="E2554" s="1044"/>
    </row>
    <row r="2555" spans="1:5" x14ac:dyDescent="0.25">
      <c r="A2555" s="290"/>
      <c r="B2555" s="288"/>
      <c r="C2555" s="1061"/>
      <c r="D2555" s="291"/>
      <c r="E2555" s="1044"/>
    </row>
    <row r="2556" spans="1:5" x14ac:dyDescent="0.25">
      <c r="A2556" s="290"/>
      <c r="B2556" s="288"/>
      <c r="C2556" s="1061"/>
      <c r="D2556" s="291"/>
      <c r="E2556" s="1044"/>
    </row>
    <row r="2557" spans="1:5" x14ac:dyDescent="0.25">
      <c r="A2557" s="290"/>
      <c r="B2557" s="288"/>
      <c r="C2557" s="1061"/>
      <c r="D2557" s="291"/>
      <c r="E2557" s="1044"/>
    </row>
    <row r="2558" spans="1:5" x14ac:dyDescent="0.25">
      <c r="A2558" s="290"/>
      <c r="B2558" s="288"/>
      <c r="C2558" s="1061"/>
      <c r="D2558" s="291"/>
      <c r="E2558" s="1044"/>
    </row>
    <row r="2559" spans="1:5" x14ac:dyDescent="0.25">
      <c r="A2559" s="290"/>
      <c r="B2559" s="288"/>
      <c r="C2559" s="1061"/>
      <c r="D2559" s="291"/>
      <c r="E2559" s="1044"/>
    </row>
    <row r="2560" spans="1:5" x14ac:dyDescent="0.25">
      <c r="A2560" s="290"/>
      <c r="B2560" s="288"/>
      <c r="C2560" s="1061"/>
      <c r="D2560" s="291"/>
      <c r="E2560" s="1044"/>
    </row>
    <row r="2561" spans="1:5" x14ac:dyDescent="0.25">
      <c r="A2561" s="290"/>
      <c r="B2561" s="288"/>
      <c r="C2561" s="1061"/>
      <c r="D2561" s="291"/>
      <c r="E2561" s="1044"/>
    </row>
    <row r="2562" spans="1:5" x14ac:dyDescent="0.25">
      <c r="A2562" s="290"/>
      <c r="B2562" s="288"/>
      <c r="C2562" s="1061"/>
      <c r="D2562" s="291"/>
      <c r="E2562" s="1044"/>
    </row>
    <row r="2563" spans="1:5" x14ac:dyDescent="0.25">
      <c r="A2563" s="290"/>
      <c r="B2563" s="288"/>
      <c r="C2563" s="1061"/>
      <c r="D2563" s="291"/>
      <c r="E2563" s="1044"/>
    </row>
    <row r="2564" spans="1:5" x14ac:dyDescent="0.25">
      <c r="A2564" s="290"/>
      <c r="B2564" s="288"/>
      <c r="C2564" s="1061"/>
      <c r="D2564" s="291"/>
      <c r="E2564" s="1044"/>
    </row>
    <row r="2565" spans="1:5" x14ac:dyDescent="0.25">
      <c r="A2565" s="290"/>
      <c r="B2565" s="288"/>
      <c r="C2565" s="1061"/>
      <c r="D2565" s="291"/>
      <c r="E2565" s="1044"/>
    </row>
    <row r="2566" spans="1:5" x14ac:dyDescent="0.25">
      <c r="A2566" s="290"/>
      <c r="B2566" s="288"/>
      <c r="C2566" s="1061"/>
      <c r="D2566" s="291"/>
      <c r="E2566" s="1044"/>
    </row>
    <row r="2567" spans="1:5" x14ac:dyDescent="0.25">
      <c r="A2567" s="290"/>
      <c r="B2567" s="288"/>
      <c r="C2567" s="1061"/>
      <c r="D2567" s="291"/>
      <c r="E2567" s="1044"/>
    </row>
    <row r="2568" spans="1:5" x14ac:dyDescent="0.25">
      <c r="A2568" s="290"/>
      <c r="B2568" s="288"/>
      <c r="C2568" s="1061"/>
      <c r="D2568" s="291"/>
      <c r="E2568" s="1044"/>
    </row>
    <row r="2569" spans="1:5" x14ac:dyDescent="0.25">
      <c r="A2569" s="290"/>
      <c r="B2569" s="288"/>
      <c r="C2569" s="1061"/>
      <c r="D2569" s="291"/>
      <c r="E2569" s="1044"/>
    </row>
    <row r="2570" spans="1:5" x14ac:dyDescent="0.25">
      <c r="A2570" s="290"/>
      <c r="B2570" s="288"/>
      <c r="C2570" s="1061"/>
      <c r="D2570" s="291"/>
      <c r="E2570" s="1044"/>
    </row>
    <row r="2571" spans="1:5" x14ac:dyDescent="0.25">
      <c r="A2571" s="290"/>
      <c r="B2571" s="288"/>
      <c r="C2571" s="1061"/>
      <c r="D2571" s="291"/>
      <c r="E2571" s="1044"/>
    </row>
    <row r="2572" spans="1:5" x14ac:dyDescent="0.25">
      <c r="A2572" s="290"/>
      <c r="B2572" s="288"/>
      <c r="C2572" s="1061"/>
      <c r="D2572" s="291"/>
      <c r="E2572" s="1044"/>
    </row>
    <row r="2573" spans="1:5" x14ac:dyDescent="0.25">
      <c r="A2573" s="290"/>
      <c r="B2573" s="288"/>
      <c r="C2573" s="1061"/>
      <c r="D2573" s="291"/>
      <c r="E2573" s="1044"/>
    </row>
    <row r="2574" spans="1:5" x14ac:dyDescent="0.25">
      <c r="A2574" s="290"/>
      <c r="B2574" s="288"/>
      <c r="C2574" s="1061"/>
      <c r="D2574" s="291"/>
      <c r="E2574" s="1044"/>
    </row>
    <row r="2575" spans="1:5" x14ac:dyDescent="0.25">
      <c r="A2575" s="290"/>
      <c r="B2575" s="288"/>
      <c r="C2575" s="1061"/>
      <c r="D2575" s="291"/>
      <c r="E2575" s="1044"/>
    </row>
    <row r="2576" spans="1:5" x14ac:dyDescent="0.25">
      <c r="A2576" s="290"/>
      <c r="B2576" s="288"/>
      <c r="C2576" s="1061"/>
      <c r="D2576" s="291"/>
      <c r="E2576" s="1044"/>
    </row>
    <row r="2577" spans="1:5" x14ac:dyDescent="0.25">
      <c r="A2577" s="290"/>
      <c r="B2577" s="288"/>
      <c r="C2577" s="1061"/>
      <c r="D2577" s="291"/>
      <c r="E2577" s="1044"/>
    </row>
    <row r="2578" spans="1:5" x14ac:dyDescent="0.25">
      <c r="A2578" s="290"/>
      <c r="B2578" s="288"/>
      <c r="C2578" s="1061"/>
      <c r="D2578" s="291"/>
      <c r="E2578" s="1044"/>
    </row>
    <row r="2579" spans="1:5" x14ac:dyDescent="0.25">
      <c r="A2579" s="290"/>
      <c r="B2579" s="288"/>
      <c r="C2579" s="1061"/>
      <c r="D2579" s="291"/>
      <c r="E2579" s="1044"/>
    </row>
    <row r="2580" spans="1:5" x14ac:dyDescent="0.25">
      <c r="A2580" s="290"/>
      <c r="B2580" s="288"/>
      <c r="C2580" s="1061"/>
      <c r="D2580" s="291"/>
      <c r="E2580" s="1044"/>
    </row>
    <row r="2581" spans="1:5" x14ac:dyDescent="0.25">
      <c r="A2581" s="290"/>
      <c r="B2581" s="288"/>
      <c r="C2581" s="1061"/>
      <c r="D2581" s="291"/>
      <c r="E2581" s="1044"/>
    </row>
    <row r="2582" spans="1:5" x14ac:dyDescent="0.25">
      <c r="A2582" s="290"/>
      <c r="B2582" s="288"/>
      <c r="C2582" s="1061"/>
      <c r="D2582" s="291"/>
      <c r="E2582" s="1044"/>
    </row>
    <row r="2583" spans="1:5" x14ac:dyDescent="0.25">
      <c r="A2583" s="290"/>
      <c r="B2583" s="288"/>
      <c r="C2583" s="1061"/>
      <c r="D2583" s="291"/>
      <c r="E2583" s="1044"/>
    </row>
    <row r="2584" spans="1:5" x14ac:dyDescent="0.25">
      <c r="A2584" s="290"/>
      <c r="B2584" s="288"/>
      <c r="C2584" s="1061"/>
      <c r="D2584" s="291"/>
      <c r="E2584" s="1044"/>
    </row>
    <row r="2585" spans="1:5" x14ac:dyDescent="0.25">
      <c r="A2585" s="290"/>
      <c r="B2585" s="288"/>
      <c r="C2585" s="1061"/>
      <c r="D2585" s="291"/>
      <c r="E2585" s="1044"/>
    </row>
    <row r="2586" spans="1:5" x14ac:dyDescent="0.25">
      <c r="A2586" s="290"/>
      <c r="B2586" s="288"/>
      <c r="C2586" s="1061"/>
      <c r="D2586" s="291"/>
      <c r="E2586" s="1044"/>
    </row>
    <row r="2587" spans="1:5" x14ac:dyDescent="0.25">
      <c r="A2587" s="290"/>
      <c r="B2587" s="288"/>
      <c r="C2587" s="1061"/>
      <c r="D2587" s="291"/>
      <c r="E2587" s="1044"/>
    </row>
    <row r="2588" spans="1:5" x14ac:dyDescent="0.25">
      <c r="A2588" s="290"/>
      <c r="B2588" s="288"/>
      <c r="C2588" s="1061"/>
      <c r="D2588" s="291"/>
      <c r="E2588" s="1044"/>
    </row>
    <row r="2589" spans="1:5" x14ac:dyDescent="0.25">
      <c r="A2589" s="290"/>
      <c r="B2589" s="288"/>
      <c r="C2589" s="1061"/>
      <c r="D2589" s="291"/>
      <c r="E2589" s="1044"/>
    </row>
    <row r="2590" spans="1:5" x14ac:dyDescent="0.25">
      <c r="A2590" s="290"/>
      <c r="B2590" s="288"/>
      <c r="C2590" s="1061"/>
      <c r="D2590" s="291"/>
      <c r="E2590" s="1044"/>
    </row>
    <row r="2591" spans="1:5" x14ac:dyDescent="0.25">
      <c r="A2591" s="290"/>
      <c r="B2591" s="288"/>
      <c r="C2591" s="1061"/>
      <c r="D2591" s="291"/>
      <c r="E2591" s="1044"/>
    </row>
    <row r="2592" spans="1:5" x14ac:dyDescent="0.25">
      <c r="A2592" s="290"/>
      <c r="B2592" s="288"/>
      <c r="C2592" s="1061"/>
      <c r="D2592" s="291"/>
      <c r="E2592" s="1044"/>
    </row>
    <row r="2593" spans="1:5" x14ac:dyDescent="0.25">
      <c r="A2593" s="290"/>
      <c r="B2593" s="288"/>
      <c r="C2593" s="1061"/>
      <c r="D2593" s="291"/>
      <c r="E2593" s="1044"/>
    </row>
    <row r="2594" spans="1:5" x14ac:dyDescent="0.25">
      <c r="A2594" s="290"/>
      <c r="B2594" s="288"/>
      <c r="C2594" s="1061"/>
      <c r="D2594" s="291"/>
      <c r="E2594" s="1044"/>
    </row>
    <row r="2595" spans="1:5" x14ac:dyDescent="0.25">
      <c r="A2595" s="290"/>
      <c r="B2595" s="288"/>
      <c r="C2595" s="1061"/>
      <c r="D2595" s="291"/>
      <c r="E2595" s="1044"/>
    </row>
    <row r="2596" spans="1:5" x14ac:dyDescent="0.25">
      <c r="A2596" s="290"/>
      <c r="B2596" s="288"/>
      <c r="C2596" s="1061"/>
      <c r="D2596" s="291"/>
      <c r="E2596" s="1044"/>
    </row>
    <row r="2597" spans="1:5" x14ac:dyDescent="0.25">
      <c r="A2597" s="290"/>
      <c r="B2597" s="288"/>
      <c r="C2597" s="1061"/>
      <c r="D2597" s="291"/>
      <c r="E2597" s="1044"/>
    </row>
    <row r="2598" spans="1:5" x14ac:dyDescent="0.25">
      <c r="A2598" s="290"/>
      <c r="B2598" s="288"/>
      <c r="C2598" s="1061"/>
      <c r="D2598" s="291"/>
      <c r="E2598" s="1044"/>
    </row>
    <row r="2599" spans="1:5" x14ac:dyDescent="0.25">
      <c r="A2599" s="290"/>
      <c r="B2599" s="288"/>
      <c r="C2599" s="1061"/>
      <c r="D2599" s="291"/>
      <c r="E2599" s="1044"/>
    </row>
    <row r="2600" spans="1:5" x14ac:dyDescent="0.25">
      <c r="A2600" s="290"/>
      <c r="B2600" s="288"/>
      <c r="C2600" s="1061"/>
      <c r="D2600" s="291"/>
      <c r="E2600" s="1044"/>
    </row>
    <row r="2601" spans="1:5" x14ac:dyDescent="0.25">
      <c r="A2601" s="290"/>
      <c r="B2601" s="288"/>
      <c r="C2601" s="1061"/>
      <c r="D2601" s="291"/>
      <c r="E2601" s="1044"/>
    </row>
    <row r="2602" spans="1:5" x14ac:dyDescent="0.25">
      <c r="A2602" s="290"/>
      <c r="B2602" s="288"/>
      <c r="C2602" s="1061"/>
      <c r="D2602" s="291"/>
      <c r="E2602" s="1044"/>
    </row>
    <row r="2603" spans="1:5" x14ac:dyDescent="0.25">
      <c r="A2603" s="290"/>
      <c r="B2603" s="288"/>
      <c r="C2603" s="1061"/>
      <c r="D2603" s="291"/>
      <c r="E2603" s="1044"/>
    </row>
    <row r="2604" spans="1:5" x14ac:dyDescent="0.25">
      <c r="A2604" s="290"/>
      <c r="B2604" s="288"/>
      <c r="C2604" s="1061"/>
      <c r="D2604" s="291"/>
      <c r="E2604" s="1044"/>
    </row>
    <row r="2605" spans="1:5" x14ac:dyDescent="0.25">
      <c r="A2605" s="290"/>
      <c r="B2605" s="288"/>
      <c r="C2605" s="1061"/>
      <c r="D2605" s="291"/>
      <c r="E2605" s="1044"/>
    </row>
    <row r="2606" spans="1:5" x14ac:dyDescent="0.25">
      <c r="A2606" s="290"/>
      <c r="B2606" s="288"/>
      <c r="C2606" s="1061"/>
      <c r="D2606" s="291"/>
      <c r="E2606" s="1044"/>
    </row>
    <row r="2607" spans="1:5" x14ac:dyDescent="0.25">
      <c r="A2607" s="290"/>
      <c r="B2607" s="288"/>
      <c r="C2607" s="1061"/>
      <c r="D2607" s="291"/>
      <c r="E2607" s="1044"/>
    </row>
    <row r="2608" spans="1:5" x14ac:dyDescent="0.25">
      <c r="A2608" s="290"/>
      <c r="B2608" s="288"/>
      <c r="C2608" s="1061"/>
      <c r="D2608" s="291"/>
      <c r="E2608" s="1044"/>
    </row>
    <row r="2609" spans="1:5" x14ac:dyDescent="0.25">
      <c r="A2609" s="290"/>
      <c r="B2609" s="288"/>
      <c r="C2609" s="1061"/>
      <c r="D2609" s="291"/>
      <c r="E2609" s="1044"/>
    </row>
    <row r="2610" spans="1:5" x14ac:dyDescent="0.25">
      <c r="A2610" s="290"/>
      <c r="B2610" s="288"/>
      <c r="C2610" s="1061"/>
      <c r="D2610" s="291"/>
      <c r="E2610" s="1044"/>
    </row>
    <row r="2611" spans="1:5" x14ac:dyDescent="0.25">
      <c r="A2611" s="290"/>
      <c r="B2611" s="288"/>
      <c r="C2611" s="1061"/>
      <c r="D2611" s="291"/>
      <c r="E2611" s="1044"/>
    </row>
    <row r="2612" spans="1:5" x14ac:dyDescent="0.25">
      <c r="A2612" s="290"/>
      <c r="B2612" s="288"/>
      <c r="C2612" s="1061"/>
      <c r="D2612" s="291"/>
      <c r="E2612" s="1044"/>
    </row>
    <row r="2613" spans="1:5" x14ac:dyDescent="0.25">
      <c r="A2613" s="290"/>
      <c r="B2613" s="288"/>
      <c r="C2613" s="1061"/>
      <c r="D2613" s="291"/>
      <c r="E2613" s="1044"/>
    </row>
    <row r="2614" spans="1:5" x14ac:dyDescent="0.25">
      <c r="A2614" s="290"/>
      <c r="B2614" s="288"/>
      <c r="C2614" s="1061"/>
      <c r="D2614" s="291"/>
      <c r="E2614" s="1044"/>
    </row>
    <row r="2615" spans="1:5" x14ac:dyDescent="0.25">
      <c r="A2615" s="290"/>
      <c r="B2615" s="288"/>
      <c r="C2615" s="1061"/>
      <c r="D2615" s="291"/>
      <c r="E2615" s="1044"/>
    </row>
    <row r="2616" spans="1:5" x14ac:dyDescent="0.25">
      <c r="A2616" s="290"/>
      <c r="B2616" s="288"/>
      <c r="C2616" s="1061"/>
      <c r="D2616" s="291"/>
      <c r="E2616" s="1044"/>
    </row>
    <row r="2617" spans="1:5" x14ac:dyDescent="0.25">
      <c r="A2617" s="290"/>
      <c r="B2617" s="288"/>
      <c r="C2617" s="1061"/>
      <c r="D2617" s="291"/>
      <c r="E2617" s="1044"/>
    </row>
    <row r="2618" spans="1:5" x14ac:dyDescent="0.25">
      <c r="A2618" s="290"/>
      <c r="B2618" s="288"/>
      <c r="C2618" s="1061"/>
      <c r="D2618" s="291"/>
      <c r="E2618" s="1044"/>
    </row>
    <row r="2619" spans="1:5" x14ac:dyDescent="0.25">
      <c r="A2619" s="290"/>
      <c r="B2619" s="288"/>
      <c r="C2619" s="1061"/>
      <c r="D2619" s="291"/>
      <c r="E2619" s="1044"/>
    </row>
    <row r="2620" spans="1:5" x14ac:dyDescent="0.25">
      <c r="A2620" s="290"/>
      <c r="B2620" s="288"/>
      <c r="C2620" s="1061"/>
      <c r="D2620" s="291"/>
      <c r="E2620" s="1044"/>
    </row>
    <row r="2621" spans="1:5" x14ac:dyDescent="0.25">
      <c r="A2621" s="290"/>
      <c r="B2621" s="288"/>
      <c r="C2621" s="1061"/>
      <c r="D2621" s="291"/>
      <c r="E2621" s="1044"/>
    </row>
    <row r="2622" spans="1:5" x14ac:dyDescent="0.25">
      <c r="A2622" s="290"/>
      <c r="B2622" s="288"/>
      <c r="C2622" s="1061"/>
      <c r="D2622" s="291"/>
      <c r="E2622" s="1044"/>
    </row>
    <row r="2623" spans="1:5" x14ac:dyDescent="0.25">
      <c r="A2623" s="290"/>
      <c r="B2623" s="288"/>
      <c r="C2623" s="1061"/>
      <c r="D2623" s="291"/>
      <c r="E2623" s="1044"/>
    </row>
    <row r="2624" spans="1:5" x14ac:dyDescent="0.25">
      <c r="A2624" s="290"/>
      <c r="B2624" s="288"/>
      <c r="C2624" s="1061"/>
      <c r="D2624" s="291"/>
      <c r="E2624" s="1044"/>
    </row>
    <row r="2625" spans="1:5" x14ac:dyDescent="0.25">
      <c r="A2625" s="290"/>
      <c r="B2625" s="288"/>
      <c r="C2625" s="1061"/>
      <c r="D2625" s="291"/>
      <c r="E2625" s="1044"/>
    </row>
    <row r="2626" spans="1:5" x14ac:dyDescent="0.25">
      <c r="A2626" s="290"/>
      <c r="B2626" s="288"/>
      <c r="C2626" s="1061"/>
      <c r="D2626" s="291"/>
      <c r="E2626" s="1044"/>
    </row>
    <row r="2627" spans="1:5" x14ac:dyDescent="0.25">
      <c r="A2627" s="290"/>
      <c r="B2627" s="288"/>
      <c r="C2627" s="1061"/>
      <c r="D2627" s="291"/>
      <c r="E2627" s="1044"/>
    </row>
    <row r="2628" spans="1:5" x14ac:dyDescent="0.25">
      <c r="A2628" s="290"/>
      <c r="B2628" s="288"/>
      <c r="C2628" s="1061"/>
      <c r="D2628" s="291"/>
      <c r="E2628" s="1044"/>
    </row>
    <row r="2629" spans="1:5" x14ac:dyDescent="0.25">
      <c r="A2629" s="290"/>
      <c r="B2629" s="288"/>
      <c r="C2629" s="1061"/>
      <c r="D2629" s="291"/>
      <c r="E2629" s="1044"/>
    </row>
    <row r="2630" spans="1:5" x14ac:dyDescent="0.25">
      <c r="A2630" s="290"/>
      <c r="B2630" s="288"/>
      <c r="C2630" s="1061"/>
      <c r="D2630" s="291"/>
      <c r="E2630" s="1044"/>
    </row>
    <row r="2631" spans="1:5" x14ac:dyDescent="0.25">
      <c r="A2631" s="290"/>
      <c r="B2631" s="288"/>
      <c r="C2631" s="1061"/>
      <c r="D2631" s="291"/>
      <c r="E2631" s="1044"/>
    </row>
    <row r="2632" spans="1:5" x14ac:dyDescent="0.25">
      <c r="A2632" s="290"/>
      <c r="B2632" s="288"/>
      <c r="C2632" s="1061"/>
      <c r="D2632" s="291"/>
      <c r="E2632" s="1044"/>
    </row>
    <row r="2633" spans="1:5" x14ac:dyDescent="0.25">
      <c r="A2633" s="290"/>
      <c r="B2633" s="288"/>
      <c r="C2633" s="1061"/>
      <c r="D2633" s="291"/>
      <c r="E2633" s="1044"/>
    </row>
    <row r="2634" spans="1:5" x14ac:dyDescent="0.25">
      <c r="A2634" s="290"/>
      <c r="B2634" s="288"/>
      <c r="C2634" s="1061"/>
      <c r="D2634" s="291"/>
      <c r="E2634" s="1044"/>
    </row>
    <row r="2635" spans="1:5" x14ac:dyDescent="0.25">
      <c r="A2635" s="290"/>
      <c r="B2635" s="288"/>
      <c r="C2635" s="1061"/>
      <c r="D2635" s="291"/>
      <c r="E2635" s="1044"/>
    </row>
    <row r="2636" spans="1:5" x14ac:dyDescent="0.25">
      <c r="A2636" s="290"/>
      <c r="B2636" s="288"/>
      <c r="C2636" s="1061"/>
      <c r="D2636" s="291"/>
      <c r="E2636" s="1044"/>
    </row>
    <row r="2637" spans="1:5" x14ac:dyDescent="0.25">
      <c r="A2637" s="290"/>
      <c r="B2637" s="288"/>
      <c r="C2637" s="1061"/>
      <c r="D2637" s="291"/>
      <c r="E2637" s="1044"/>
    </row>
    <row r="2638" spans="1:5" x14ac:dyDescent="0.25">
      <c r="A2638" s="290"/>
      <c r="B2638" s="288"/>
      <c r="C2638" s="1061"/>
      <c r="D2638" s="291"/>
      <c r="E2638" s="1044"/>
    </row>
    <row r="2639" spans="1:5" x14ac:dyDescent="0.25">
      <c r="A2639" s="290"/>
      <c r="B2639" s="288"/>
      <c r="C2639" s="1061"/>
      <c r="D2639" s="291"/>
      <c r="E2639" s="1044"/>
    </row>
    <row r="2640" spans="1:5" x14ac:dyDescent="0.25">
      <c r="A2640" s="290"/>
      <c r="B2640" s="288"/>
      <c r="C2640" s="1061"/>
      <c r="D2640" s="291"/>
      <c r="E2640" s="1044"/>
    </row>
    <row r="2641" spans="1:5" x14ac:dyDescent="0.25">
      <c r="A2641" s="290"/>
      <c r="B2641" s="288"/>
      <c r="C2641" s="1061"/>
      <c r="D2641" s="291"/>
      <c r="E2641" s="1044"/>
    </row>
    <row r="2642" spans="1:5" x14ac:dyDescent="0.25">
      <c r="A2642" s="290"/>
      <c r="B2642" s="288"/>
      <c r="C2642" s="1061"/>
      <c r="D2642" s="291"/>
      <c r="E2642" s="1044"/>
    </row>
    <row r="2643" spans="1:5" x14ac:dyDescent="0.25">
      <c r="A2643" s="290"/>
      <c r="B2643" s="288"/>
      <c r="C2643" s="1061"/>
      <c r="D2643" s="291"/>
      <c r="E2643" s="1044"/>
    </row>
    <row r="2644" spans="1:5" x14ac:dyDescent="0.25">
      <c r="A2644" s="290"/>
      <c r="B2644" s="288"/>
      <c r="C2644" s="1061"/>
      <c r="D2644" s="291"/>
      <c r="E2644" s="1044"/>
    </row>
    <row r="2645" spans="1:5" x14ac:dyDescent="0.25">
      <c r="A2645" s="290"/>
      <c r="B2645" s="288"/>
      <c r="C2645" s="1061"/>
      <c r="D2645" s="291"/>
      <c r="E2645" s="1044"/>
    </row>
    <row r="2646" spans="1:5" x14ac:dyDescent="0.25">
      <c r="A2646" s="290"/>
      <c r="B2646" s="288"/>
      <c r="C2646" s="1061"/>
      <c r="D2646" s="291"/>
      <c r="E2646" s="1044"/>
    </row>
    <row r="2647" spans="1:5" x14ac:dyDescent="0.25">
      <c r="A2647" s="290"/>
      <c r="B2647" s="288"/>
      <c r="C2647" s="1061"/>
      <c r="D2647" s="291"/>
      <c r="E2647" s="1044"/>
    </row>
    <row r="2648" spans="1:5" x14ac:dyDescent="0.25">
      <c r="A2648" s="290"/>
      <c r="B2648" s="288"/>
      <c r="C2648" s="1061"/>
      <c r="D2648" s="291"/>
      <c r="E2648" s="1044"/>
    </row>
    <row r="2649" spans="1:5" x14ac:dyDescent="0.25">
      <c r="A2649" s="290"/>
      <c r="B2649" s="288"/>
      <c r="C2649" s="1061"/>
      <c r="D2649" s="291"/>
      <c r="E2649" s="1044"/>
    </row>
    <row r="2650" spans="1:5" x14ac:dyDescent="0.25">
      <c r="A2650" s="290"/>
      <c r="B2650" s="288"/>
      <c r="C2650" s="1061"/>
      <c r="D2650" s="291"/>
      <c r="E2650" s="1044"/>
    </row>
    <row r="2651" spans="1:5" x14ac:dyDescent="0.25">
      <c r="A2651" s="290"/>
      <c r="B2651" s="288"/>
      <c r="C2651" s="1061"/>
      <c r="D2651" s="291"/>
      <c r="E2651" s="1044"/>
    </row>
    <row r="2652" spans="1:5" x14ac:dyDescent="0.25">
      <c r="A2652" s="290"/>
      <c r="B2652" s="288"/>
      <c r="C2652" s="1061"/>
      <c r="D2652" s="291"/>
      <c r="E2652" s="1044"/>
    </row>
    <row r="2653" spans="1:5" x14ac:dyDescent="0.25">
      <c r="A2653" s="290"/>
      <c r="B2653" s="288"/>
      <c r="C2653" s="1061"/>
      <c r="D2653" s="291"/>
      <c r="E2653" s="1044"/>
    </row>
    <row r="2654" spans="1:5" x14ac:dyDescent="0.25">
      <c r="A2654" s="290"/>
      <c r="B2654" s="288"/>
      <c r="C2654" s="1061"/>
      <c r="D2654" s="291"/>
      <c r="E2654" s="1044"/>
    </row>
    <row r="2655" spans="1:5" x14ac:dyDescent="0.25">
      <c r="A2655" s="290"/>
      <c r="B2655" s="288"/>
      <c r="C2655" s="1061"/>
      <c r="D2655" s="291"/>
      <c r="E2655" s="1044"/>
    </row>
    <row r="2656" spans="1:5" x14ac:dyDescent="0.25">
      <c r="A2656" s="290"/>
      <c r="B2656" s="288"/>
      <c r="C2656" s="1061"/>
      <c r="D2656" s="291"/>
      <c r="E2656" s="1044"/>
    </row>
    <row r="2657" spans="1:5" x14ac:dyDescent="0.25">
      <c r="A2657" s="290"/>
      <c r="B2657" s="288"/>
      <c r="C2657" s="1061"/>
      <c r="D2657" s="291"/>
      <c r="E2657" s="1044"/>
    </row>
    <row r="2658" spans="1:5" x14ac:dyDescent="0.25">
      <c r="A2658" s="290"/>
      <c r="B2658" s="288"/>
      <c r="C2658" s="1061"/>
      <c r="D2658" s="291"/>
      <c r="E2658" s="1044"/>
    </row>
    <row r="2659" spans="1:5" x14ac:dyDescent="0.25">
      <c r="A2659" s="290"/>
      <c r="B2659" s="288"/>
      <c r="C2659" s="1061"/>
      <c r="D2659" s="291"/>
      <c r="E2659" s="1044"/>
    </row>
    <row r="2660" spans="1:5" x14ac:dyDescent="0.25">
      <c r="A2660" s="290"/>
      <c r="B2660" s="288"/>
      <c r="C2660" s="1061"/>
      <c r="D2660" s="291"/>
      <c r="E2660" s="1044"/>
    </row>
    <row r="2661" spans="1:5" x14ac:dyDescent="0.25">
      <c r="A2661" s="290"/>
      <c r="B2661" s="288"/>
      <c r="C2661" s="1061"/>
      <c r="D2661" s="291"/>
      <c r="E2661" s="1044"/>
    </row>
    <row r="2662" spans="1:5" x14ac:dyDescent="0.25">
      <c r="A2662" s="290"/>
      <c r="B2662" s="288"/>
      <c r="C2662" s="1061"/>
      <c r="D2662" s="291"/>
      <c r="E2662" s="1044"/>
    </row>
    <row r="2663" spans="1:5" x14ac:dyDescent="0.25">
      <c r="A2663" s="290"/>
      <c r="B2663" s="288"/>
      <c r="C2663" s="1061"/>
      <c r="D2663" s="291"/>
      <c r="E2663" s="1044"/>
    </row>
    <row r="2664" spans="1:5" x14ac:dyDescent="0.25">
      <c r="A2664" s="290"/>
      <c r="B2664" s="288"/>
      <c r="C2664" s="1061"/>
      <c r="D2664" s="291"/>
      <c r="E2664" s="1044"/>
    </row>
    <row r="2665" spans="1:5" x14ac:dyDescent="0.25">
      <c r="A2665" s="290"/>
      <c r="B2665" s="288"/>
      <c r="C2665" s="1061"/>
      <c r="D2665" s="291"/>
      <c r="E2665" s="1044"/>
    </row>
    <row r="2666" spans="1:5" x14ac:dyDescent="0.25">
      <c r="A2666" s="290"/>
      <c r="B2666" s="288"/>
      <c r="C2666" s="1061"/>
      <c r="D2666" s="291"/>
      <c r="E2666" s="1044"/>
    </row>
    <row r="2667" spans="1:5" x14ac:dyDescent="0.25">
      <c r="A2667" s="290"/>
      <c r="B2667" s="288"/>
      <c r="C2667" s="1061"/>
      <c r="D2667" s="291"/>
      <c r="E2667" s="1044"/>
    </row>
    <row r="2668" spans="1:5" x14ac:dyDescent="0.25">
      <c r="A2668" s="290"/>
      <c r="B2668" s="288"/>
      <c r="C2668" s="1061"/>
      <c r="D2668" s="291"/>
      <c r="E2668" s="1044"/>
    </row>
    <row r="2669" spans="1:5" x14ac:dyDescent="0.25">
      <c r="A2669" s="290"/>
      <c r="B2669" s="288"/>
      <c r="C2669" s="1061"/>
      <c r="D2669" s="291"/>
      <c r="E2669" s="1044"/>
    </row>
    <row r="2670" spans="1:5" x14ac:dyDescent="0.25">
      <c r="A2670" s="290"/>
      <c r="B2670" s="288"/>
      <c r="C2670" s="1061"/>
      <c r="D2670" s="291"/>
      <c r="E2670" s="1044"/>
    </row>
    <row r="2671" spans="1:5" x14ac:dyDescent="0.25">
      <c r="A2671" s="290"/>
      <c r="B2671" s="288"/>
      <c r="C2671" s="1061"/>
      <c r="D2671" s="291"/>
      <c r="E2671" s="1044"/>
    </row>
    <row r="2672" spans="1:5" x14ac:dyDescent="0.25">
      <c r="A2672" s="290"/>
      <c r="B2672" s="288"/>
      <c r="C2672" s="1061"/>
      <c r="D2672" s="291"/>
      <c r="E2672" s="1044"/>
    </row>
    <row r="2673" spans="1:5" x14ac:dyDescent="0.25">
      <c r="A2673" s="290"/>
      <c r="B2673" s="288"/>
      <c r="C2673" s="1061"/>
      <c r="D2673" s="291"/>
      <c r="E2673" s="1044"/>
    </row>
    <row r="2674" spans="1:5" x14ac:dyDescent="0.25">
      <c r="A2674" s="290"/>
      <c r="B2674" s="288"/>
      <c r="C2674" s="1061"/>
      <c r="D2674" s="291"/>
      <c r="E2674" s="1044"/>
    </row>
    <row r="2675" spans="1:5" x14ac:dyDescent="0.25">
      <c r="A2675" s="290"/>
      <c r="B2675" s="288"/>
      <c r="C2675" s="1061"/>
      <c r="D2675" s="291"/>
      <c r="E2675" s="1044"/>
    </row>
    <row r="2676" spans="1:5" x14ac:dyDescent="0.25">
      <c r="A2676" s="290"/>
      <c r="B2676" s="288"/>
      <c r="C2676" s="1061"/>
      <c r="D2676" s="291"/>
      <c r="E2676" s="1044"/>
    </row>
    <row r="2677" spans="1:5" x14ac:dyDescent="0.25">
      <c r="A2677" s="290"/>
      <c r="B2677" s="288"/>
      <c r="C2677" s="1061"/>
      <c r="D2677" s="291"/>
      <c r="E2677" s="1044"/>
    </row>
    <row r="2678" spans="1:5" x14ac:dyDescent="0.25">
      <c r="A2678" s="290"/>
      <c r="B2678" s="288"/>
      <c r="C2678" s="1061"/>
      <c r="D2678" s="291"/>
      <c r="E2678" s="1044"/>
    </row>
    <row r="2679" spans="1:5" x14ac:dyDescent="0.25">
      <c r="A2679" s="290"/>
      <c r="B2679" s="288"/>
      <c r="C2679" s="1061"/>
      <c r="D2679" s="291"/>
      <c r="E2679" s="1044"/>
    </row>
    <row r="2680" spans="1:5" x14ac:dyDescent="0.25">
      <c r="A2680" s="290"/>
      <c r="B2680" s="288"/>
      <c r="C2680" s="1061"/>
      <c r="D2680" s="291"/>
      <c r="E2680" s="1044"/>
    </row>
    <row r="2681" spans="1:5" x14ac:dyDescent="0.25">
      <c r="A2681" s="290"/>
      <c r="B2681" s="288"/>
      <c r="C2681" s="1061"/>
      <c r="D2681" s="291"/>
      <c r="E2681" s="1044"/>
    </row>
    <row r="2682" spans="1:5" x14ac:dyDescent="0.25">
      <c r="A2682" s="290"/>
      <c r="B2682" s="288"/>
      <c r="C2682" s="1061"/>
      <c r="D2682" s="291"/>
      <c r="E2682" s="1044"/>
    </row>
    <row r="2683" spans="1:5" x14ac:dyDescent="0.25">
      <c r="A2683" s="290"/>
      <c r="B2683" s="288"/>
      <c r="C2683" s="1061"/>
      <c r="D2683" s="291"/>
      <c r="E2683" s="1044"/>
    </row>
    <row r="2684" spans="1:5" x14ac:dyDescent="0.25">
      <c r="A2684" s="290"/>
      <c r="B2684" s="288"/>
      <c r="C2684" s="1061"/>
      <c r="D2684" s="291"/>
      <c r="E2684" s="1044"/>
    </row>
    <row r="2685" spans="1:5" x14ac:dyDescent="0.25">
      <c r="A2685" s="290"/>
      <c r="B2685" s="288"/>
      <c r="C2685" s="1061"/>
      <c r="D2685" s="291"/>
      <c r="E2685" s="1044"/>
    </row>
    <row r="2686" spans="1:5" x14ac:dyDescent="0.25">
      <c r="A2686" s="290"/>
      <c r="B2686" s="288"/>
      <c r="C2686" s="1061"/>
      <c r="D2686" s="291"/>
      <c r="E2686" s="1044"/>
    </row>
    <row r="2687" spans="1:5" x14ac:dyDescent="0.25">
      <c r="A2687" s="290"/>
      <c r="B2687" s="288"/>
      <c r="C2687" s="1061"/>
      <c r="D2687" s="291"/>
      <c r="E2687" s="1044"/>
    </row>
    <row r="2688" spans="1:5" x14ac:dyDescent="0.25">
      <c r="A2688" s="290"/>
      <c r="B2688" s="288"/>
      <c r="C2688" s="1061"/>
      <c r="D2688" s="291"/>
      <c r="E2688" s="1044"/>
    </row>
    <row r="2689" spans="1:5" x14ac:dyDescent="0.25">
      <c r="A2689" s="290"/>
      <c r="B2689" s="288"/>
      <c r="C2689" s="1061"/>
      <c r="D2689" s="291"/>
      <c r="E2689" s="1044"/>
    </row>
    <row r="2690" spans="1:5" x14ac:dyDescent="0.25">
      <c r="A2690" s="290"/>
      <c r="B2690" s="288"/>
      <c r="C2690" s="1061"/>
      <c r="D2690" s="291"/>
      <c r="E2690" s="1044"/>
    </row>
    <row r="2691" spans="1:5" x14ac:dyDescent="0.25">
      <c r="A2691" s="290"/>
      <c r="B2691" s="288"/>
      <c r="C2691" s="1061"/>
      <c r="D2691" s="291"/>
      <c r="E2691" s="1044"/>
    </row>
    <row r="2692" spans="1:5" x14ac:dyDescent="0.25">
      <c r="A2692" s="290"/>
      <c r="B2692" s="288"/>
      <c r="C2692" s="1061"/>
      <c r="D2692" s="291"/>
      <c r="E2692" s="1044"/>
    </row>
    <row r="2693" spans="1:5" x14ac:dyDescent="0.25">
      <c r="A2693" s="290"/>
      <c r="B2693" s="288"/>
      <c r="C2693" s="1061"/>
      <c r="D2693" s="291"/>
      <c r="E2693" s="1044"/>
    </row>
    <row r="2694" spans="1:5" x14ac:dyDescent="0.25">
      <c r="A2694" s="290"/>
      <c r="B2694" s="288"/>
      <c r="C2694" s="1061"/>
      <c r="D2694" s="291"/>
      <c r="E2694" s="1044"/>
    </row>
    <row r="2695" spans="1:5" x14ac:dyDescent="0.25">
      <c r="A2695" s="290"/>
      <c r="B2695" s="288"/>
      <c r="C2695" s="1061"/>
      <c r="D2695" s="291"/>
      <c r="E2695" s="1044"/>
    </row>
    <row r="2696" spans="1:5" x14ac:dyDescent="0.25">
      <c r="A2696" s="290"/>
      <c r="B2696" s="288"/>
      <c r="C2696" s="1061"/>
      <c r="D2696" s="291"/>
      <c r="E2696" s="1044"/>
    </row>
    <row r="2697" spans="1:5" x14ac:dyDescent="0.25">
      <c r="A2697" s="290"/>
      <c r="B2697" s="288"/>
      <c r="C2697" s="1061"/>
      <c r="D2697" s="291"/>
      <c r="E2697" s="1044"/>
    </row>
    <row r="2698" spans="1:5" x14ac:dyDescent="0.25">
      <c r="A2698" s="290"/>
      <c r="B2698" s="288"/>
      <c r="C2698" s="1061"/>
      <c r="D2698" s="291"/>
      <c r="E2698" s="1044"/>
    </row>
    <row r="2699" spans="1:5" x14ac:dyDescent="0.25">
      <c r="A2699" s="290"/>
      <c r="B2699" s="288"/>
      <c r="C2699" s="1061"/>
      <c r="D2699" s="291"/>
      <c r="E2699" s="1044"/>
    </row>
    <row r="2700" spans="1:5" x14ac:dyDescent="0.25">
      <c r="A2700" s="290"/>
      <c r="B2700" s="288"/>
      <c r="C2700" s="1061"/>
      <c r="D2700" s="291"/>
      <c r="E2700" s="1044"/>
    </row>
    <row r="2701" spans="1:5" x14ac:dyDescent="0.25">
      <c r="A2701" s="290"/>
      <c r="B2701" s="288"/>
      <c r="C2701" s="1061"/>
      <c r="D2701" s="291"/>
      <c r="E2701" s="1044"/>
    </row>
    <row r="2702" spans="1:5" x14ac:dyDescent="0.25">
      <c r="A2702" s="290"/>
      <c r="B2702" s="288"/>
      <c r="C2702" s="1061"/>
      <c r="D2702" s="291"/>
      <c r="E2702" s="1044"/>
    </row>
    <row r="2703" spans="1:5" x14ac:dyDescent="0.25">
      <c r="A2703" s="290"/>
      <c r="B2703" s="288"/>
      <c r="C2703" s="1061"/>
      <c r="D2703" s="291"/>
      <c r="E2703" s="1044"/>
    </row>
    <row r="2704" spans="1:5" x14ac:dyDescent="0.25">
      <c r="A2704" s="290"/>
      <c r="B2704" s="288"/>
      <c r="C2704" s="1061"/>
      <c r="D2704" s="291"/>
      <c r="E2704" s="1044"/>
    </row>
    <row r="2705" spans="1:5" x14ac:dyDescent="0.25">
      <c r="A2705" s="290"/>
      <c r="B2705" s="288"/>
      <c r="C2705" s="1061"/>
      <c r="D2705" s="291"/>
      <c r="E2705" s="1044"/>
    </row>
    <row r="2706" spans="1:5" x14ac:dyDescent="0.25">
      <c r="A2706" s="290"/>
      <c r="B2706" s="288"/>
      <c r="C2706" s="1061"/>
      <c r="D2706" s="291"/>
      <c r="E2706" s="1044"/>
    </row>
    <row r="2707" spans="1:5" x14ac:dyDescent="0.25">
      <c r="A2707" s="290"/>
      <c r="B2707" s="288"/>
      <c r="C2707" s="1061"/>
      <c r="D2707" s="291"/>
      <c r="E2707" s="1044"/>
    </row>
    <row r="2708" spans="1:5" x14ac:dyDescent="0.25">
      <c r="A2708" s="290"/>
      <c r="B2708" s="288"/>
      <c r="C2708" s="1061"/>
      <c r="D2708" s="291"/>
      <c r="E2708" s="1044"/>
    </row>
    <row r="2709" spans="1:5" x14ac:dyDescent="0.25">
      <c r="A2709" s="290"/>
      <c r="B2709" s="288"/>
      <c r="C2709" s="1061"/>
      <c r="D2709" s="291"/>
      <c r="E2709" s="1044"/>
    </row>
    <row r="2710" spans="1:5" x14ac:dyDescent="0.25">
      <c r="A2710" s="290"/>
      <c r="B2710" s="288"/>
      <c r="C2710" s="1061"/>
      <c r="D2710" s="291"/>
      <c r="E2710" s="1044"/>
    </row>
    <row r="2711" spans="1:5" x14ac:dyDescent="0.25">
      <c r="A2711" s="290"/>
      <c r="B2711" s="288"/>
      <c r="C2711" s="1061"/>
      <c r="D2711" s="291"/>
      <c r="E2711" s="1044"/>
    </row>
    <row r="2712" spans="1:5" x14ac:dyDescent="0.25">
      <c r="A2712" s="290"/>
      <c r="B2712" s="288"/>
      <c r="C2712" s="1061"/>
      <c r="D2712" s="291"/>
      <c r="E2712" s="1044"/>
    </row>
    <row r="2713" spans="1:5" x14ac:dyDescent="0.25">
      <c r="A2713" s="290"/>
      <c r="B2713" s="288"/>
      <c r="C2713" s="1061"/>
      <c r="D2713" s="291"/>
      <c r="E2713" s="1044"/>
    </row>
    <row r="2714" spans="1:5" x14ac:dyDescent="0.25">
      <c r="A2714" s="290"/>
      <c r="B2714" s="288"/>
      <c r="C2714" s="1061"/>
      <c r="D2714" s="291"/>
      <c r="E2714" s="1044"/>
    </row>
    <row r="2715" spans="1:5" x14ac:dyDescent="0.25">
      <c r="A2715" s="290"/>
      <c r="B2715" s="288"/>
      <c r="C2715" s="1061"/>
      <c r="D2715" s="291"/>
      <c r="E2715" s="1044"/>
    </row>
    <row r="2716" spans="1:5" x14ac:dyDescent="0.25">
      <c r="A2716" s="290"/>
      <c r="B2716" s="288"/>
      <c r="C2716" s="1061"/>
      <c r="D2716" s="291"/>
      <c r="E2716" s="1044"/>
    </row>
    <row r="2717" spans="1:5" x14ac:dyDescent="0.25">
      <c r="A2717" s="290"/>
      <c r="B2717" s="288"/>
      <c r="C2717" s="1061"/>
      <c r="D2717" s="291"/>
      <c r="E2717" s="1044"/>
    </row>
    <row r="2718" spans="1:5" x14ac:dyDescent="0.25">
      <c r="A2718" s="290"/>
      <c r="B2718" s="288"/>
      <c r="C2718" s="1061"/>
      <c r="D2718" s="291"/>
      <c r="E2718" s="1044"/>
    </row>
    <row r="2719" spans="1:5" x14ac:dyDescent="0.25">
      <c r="A2719" s="290"/>
      <c r="B2719" s="288"/>
      <c r="C2719" s="1061"/>
      <c r="D2719" s="291"/>
      <c r="E2719" s="1044"/>
    </row>
    <row r="2720" spans="1:5" x14ac:dyDescent="0.25">
      <c r="A2720" s="290"/>
      <c r="B2720" s="288"/>
      <c r="C2720" s="1061"/>
      <c r="D2720" s="291"/>
      <c r="E2720" s="1044"/>
    </row>
    <row r="2721" spans="1:5" x14ac:dyDescent="0.25">
      <c r="A2721" s="290"/>
      <c r="B2721" s="288"/>
      <c r="C2721" s="1061"/>
      <c r="D2721" s="291"/>
      <c r="E2721" s="1044"/>
    </row>
    <row r="2722" spans="1:5" x14ac:dyDescent="0.25">
      <c r="A2722" s="290"/>
      <c r="B2722" s="288"/>
      <c r="C2722" s="1061"/>
      <c r="D2722" s="291"/>
      <c r="E2722" s="1044"/>
    </row>
    <row r="2723" spans="1:5" x14ac:dyDescent="0.25">
      <c r="A2723" s="290"/>
      <c r="B2723" s="288"/>
      <c r="C2723" s="1061"/>
      <c r="D2723" s="291"/>
      <c r="E2723" s="1044"/>
    </row>
    <row r="2724" spans="1:5" x14ac:dyDescent="0.25">
      <c r="A2724" s="290"/>
      <c r="B2724" s="288"/>
      <c r="C2724" s="1061"/>
      <c r="D2724" s="291"/>
      <c r="E2724" s="1044"/>
    </row>
    <row r="2725" spans="1:5" x14ac:dyDescent="0.25">
      <c r="A2725" s="290"/>
      <c r="B2725" s="288"/>
      <c r="C2725" s="1061"/>
      <c r="D2725" s="291"/>
      <c r="E2725" s="1044"/>
    </row>
    <row r="2726" spans="1:5" x14ac:dyDescent="0.25">
      <c r="A2726" s="290"/>
      <c r="B2726" s="288"/>
      <c r="C2726" s="1061"/>
      <c r="D2726" s="291"/>
      <c r="E2726" s="1044"/>
    </row>
    <row r="2727" spans="1:5" x14ac:dyDescent="0.25">
      <c r="A2727" s="290"/>
      <c r="B2727" s="288"/>
      <c r="C2727" s="1061"/>
      <c r="D2727" s="291"/>
      <c r="E2727" s="1044"/>
    </row>
    <row r="2728" spans="1:5" x14ac:dyDescent="0.25">
      <c r="A2728" s="290"/>
      <c r="B2728" s="288"/>
      <c r="C2728" s="1061"/>
      <c r="D2728" s="291"/>
      <c r="E2728" s="1044"/>
    </row>
    <row r="2729" spans="1:5" x14ac:dyDescent="0.25">
      <c r="A2729" s="290"/>
      <c r="B2729" s="288"/>
      <c r="C2729" s="1061"/>
      <c r="D2729" s="291"/>
      <c r="E2729" s="1044"/>
    </row>
    <row r="2730" spans="1:5" x14ac:dyDescent="0.25">
      <c r="A2730" s="290"/>
      <c r="B2730" s="288"/>
      <c r="C2730" s="1061"/>
      <c r="D2730" s="291"/>
      <c r="E2730" s="1044"/>
    </row>
    <row r="2731" spans="1:5" x14ac:dyDescent="0.25">
      <c r="A2731" s="290"/>
      <c r="B2731" s="288"/>
      <c r="C2731" s="1061"/>
      <c r="D2731" s="291"/>
      <c r="E2731" s="1044"/>
    </row>
    <row r="2732" spans="1:5" x14ac:dyDescent="0.25">
      <c r="A2732" s="290"/>
      <c r="B2732" s="288"/>
      <c r="C2732" s="1061"/>
      <c r="D2732" s="291"/>
      <c r="E2732" s="1044"/>
    </row>
    <row r="2733" spans="1:5" x14ac:dyDescent="0.25">
      <c r="A2733" s="290"/>
      <c r="B2733" s="288"/>
      <c r="C2733" s="1061"/>
      <c r="D2733" s="291"/>
      <c r="E2733" s="1044"/>
    </row>
    <row r="2734" spans="1:5" x14ac:dyDescent="0.25">
      <c r="A2734" s="290"/>
      <c r="B2734" s="288"/>
      <c r="C2734" s="1061"/>
      <c r="D2734" s="291"/>
      <c r="E2734" s="1044"/>
    </row>
    <row r="2735" spans="1:5" x14ac:dyDescent="0.25">
      <c r="A2735" s="290"/>
      <c r="B2735" s="288"/>
      <c r="C2735" s="1061"/>
      <c r="D2735" s="291"/>
      <c r="E2735" s="1044"/>
    </row>
    <row r="2736" spans="1:5" x14ac:dyDescent="0.25">
      <c r="A2736" s="290"/>
      <c r="B2736" s="288"/>
      <c r="C2736" s="1061"/>
      <c r="D2736" s="291"/>
      <c r="E2736" s="1044"/>
    </row>
    <row r="2737" spans="1:5" x14ac:dyDescent="0.25">
      <c r="A2737" s="290"/>
      <c r="B2737" s="288"/>
      <c r="C2737" s="1061"/>
      <c r="D2737" s="291"/>
      <c r="E2737" s="1044"/>
    </row>
    <row r="2738" spans="1:5" x14ac:dyDescent="0.25">
      <c r="A2738" s="290"/>
      <c r="B2738" s="288"/>
      <c r="C2738" s="1061"/>
      <c r="D2738" s="291"/>
      <c r="E2738" s="1044"/>
    </row>
    <row r="2739" spans="1:5" x14ac:dyDescent="0.25">
      <c r="A2739" s="290"/>
      <c r="B2739" s="288"/>
      <c r="C2739" s="1061"/>
      <c r="D2739" s="291"/>
      <c r="E2739" s="1044"/>
    </row>
    <row r="2740" spans="1:5" x14ac:dyDescent="0.25">
      <c r="A2740" s="290"/>
      <c r="B2740" s="288"/>
      <c r="C2740" s="1061"/>
      <c r="D2740" s="291"/>
      <c r="E2740" s="1044"/>
    </row>
    <row r="2741" spans="1:5" x14ac:dyDescent="0.25">
      <c r="A2741" s="290"/>
      <c r="B2741" s="288"/>
      <c r="C2741" s="1061"/>
      <c r="D2741" s="291"/>
      <c r="E2741" s="1044"/>
    </row>
    <row r="2742" spans="1:5" x14ac:dyDescent="0.25">
      <c r="A2742" s="290"/>
      <c r="B2742" s="288"/>
      <c r="C2742" s="1061"/>
      <c r="D2742" s="291"/>
      <c r="E2742" s="1044"/>
    </row>
    <row r="2743" spans="1:5" x14ac:dyDescent="0.25">
      <c r="A2743" s="290"/>
      <c r="B2743" s="288"/>
      <c r="C2743" s="1061"/>
      <c r="D2743" s="291"/>
      <c r="E2743" s="1044"/>
    </row>
    <row r="2744" spans="1:5" x14ac:dyDescent="0.25">
      <c r="A2744" s="290"/>
      <c r="B2744" s="288"/>
      <c r="C2744" s="1061"/>
      <c r="D2744" s="291"/>
      <c r="E2744" s="1044"/>
    </row>
    <row r="2745" spans="1:5" x14ac:dyDescent="0.25">
      <c r="A2745" s="290"/>
      <c r="B2745" s="288"/>
      <c r="C2745" s="1061"/>
      <c r="D2745" s="291"/>
      <c r="E2745" s="1044"/>
    </row>
    <row r="2746" spans="1:5" x14ac:dyDescent="0.25">
      <c r="A2746" s="290"/>
      <c r="B2746" s="288"/>
      <c r="C2746" s="1061"/>
      <c r="D2746" s="291"/>
      <c r="E2746" s="1044"/>
    </row>
    <row r="2747" spans="1:5" x14ac:dyDescent="0.25">
      <c r="A2747" s="290"/>
      <c r="B2747" s="288"/>
      <c r="C2747" s="1061"/>
      <c r="D2747" s="291"/>
      <c r="E2747" s="1044"/>
    </row>
    <row r="2748" spans="1:5" x14ac:dyDescent="0.25">
      <c r="A2748" s="290"/>
      <c r="B2748" s="288"/>
      <c r="C2748" s="1061"/>
      <c r="D2748" s="291"/>
      <c r="E2748" s="1044"/>
    </row>
    <row r="2749" spans="1:5" x14ac:dyDescent="0.25">
      <c r="A2749" s="290"/>
      <c r="B2749" s="288"/>
      <c r="C2749" s="1061"/>
      <c r="D2749" s="291"/>
      <c r="E2749" s="1044"/>
    </row>
    <row r="2750" spans="1:5" x14ac:dyDescent="0.25">
      <c r="A2750" s="290"/>
      <c r="B2750" s="288"/>
      <c r="C2750" s="1061"/>
      <c r="D2750" s="291"/>
      <c r="E2750" s="1044"/>
    </row>
    <row r="2751" spans="1:5" x14ac:dyDescent="0.25">
      <c r="A2751" s="290"/>
      <c r="B2751" s="288"/>
      <c r="C2751" s="1061"/>
      <c r="D2751" s="291"/>
      <c r="E2751" s="1044"/>
    </row>
    <row r="2752" spans="1:5" x14ac:dyDescent="0.25">
      <c r="A2752" s="290"/>
      <c r="B2752" s="288"/>
      <c r="C2752" s="1061"/>
      <c r="D2752" s="291"/>
      <c r="E2752" s="1044"/>
    </row>
    <row r="2753" spans="1:5" x14ac:dyDescent="0.25">
      <c r="A2753" s="290"/>
      <c r="B2753" s="288"/>
      <c r="C2753" s="1061"/>
      <c r="D2753" s="291"/>
      <c r="E2753" s="1044"/>
    </row>
    <row r="2754" spans="1:5" x14ac:dyDescent="0.25">
      <c r="A2754" s="290"/>
      <c r="B2754" s="288"/>
      <c r="C2754" s="1061"/>
      <c r="D2754" s="291"/>
      <c r="E2754" s="1044"/>
    </row>
    <row r="2755" spans="1:5" x14ac:dyDescent="0.25">
      <c r="A2755" s="290"/>
      <c r="B2755" s="288"/>
      <c r="C2755" s="1061"/>
      <c r="D2755" s="291"/>
      <c r="E2755" s="1044"/>
    </row>
    <row r="2756" spans="1:5" x14ac:dyDescent="0.25">
      <c r="A2756" s="290"/>
      <c r="B2756" s="288"/>
      <c r="C2756" s="1061"/>
      <c r="D2756" s="291"/>
      <c r="E2756" s="1044"/>
    </row>
    <row r="2757" spans="1:5" x14ac:dyDescent="0.25">
      <c r="A2757" s="290"/>
      <c r="B2757" s="288"/>
      <c r="C2757" s="1061"/>
      <c r="D2757" s="291"/>
      <c r="E2757" s="1044"/>
    </row>
    <row r="2758" spans="1:5" x14ac:dyDescent="0.25">
      <c r="A2758" s="290"/>
      <c r="B2758" s="288"/>
      <c r="C2758" s="1061"/>
      <c r="D2758" s="291"/>
      <c r="E2758" s="1044"/>
    </row>
    <row r="2759" spans="1:5" x14ac:dyDescent="0.25">
      <c r="A2759" s="290"/>
      <c r="B2759" s="288"/>
      <c r="C2759" s="1061"/>
      <c r="D2759" s="291"/>
      <c r="E2759" s="1044"/>
    </row>
    <row r="2760" spans="1:5" x14ac:dyDescent="0.25">
      <c r="A2760" s="290"/>
      <c r="B2760" s="288"/>
      <c r="C2760" s="1061"/>
      <c r="D2760" s="291"/>
      <c r="E2760" s="1044"/>
    </row>
    <row r="2761" spans="1:5" x14ac:dyDescent="0.25">
      <c r="A2761" s="290"/>
      <c r="B2761" s="288"/>
      <c r="C2761" s="1061"/>
      <c r="D2761" s="291"/>
      <c r="E2761" s="1044"/>
    </row>
    <row r="2762" spans="1:5" x14ac:dyDescent="0.25">
      <c r="A2762" s="290"/>
      <c r="B2762" s="288"/>
      <c r="C2762" s="1061"/>
      <c r="D2762" s="291"/>
      <c r="E2762" s="1044"/>
    </row>
    <row r="2763" spans="1:5" x14ac:dyDescent="0.25">
      <c r="A2763" s="290"/>
      <c r="B2763" s="288"/>
      <c r="C2763" s="1061"/>
      <c r="D2763" s="291"/>
      <c r="E2763" s="1044"/>
    </row>
    <row r="2764" spans="1:5" x14ac:dyDescent="0.25">
      <c r="A2764" s="290"/>
      <c r="B2764" s="288"/>
      <c r="C2764" s="1061"/>
      <c r="D2764" s="291"/>
      <c r="E2764" s="1044"/>
    </row>
    <row r="2765" spans="1:5" x14ac:dyDescent="0.25">
      <c r="A2765" s="290"/>
      <c r="B2765" s="288"/>
      <c r="C2765" s="1061"/>
      <c r="D2765" s="291"/>
      <c r="E2765" s="1044"/>
    </row>
    <row r="2766" spans="1:5" x14ac:dyDescent="0.25">
      <c r="A2766" s="290"/>
      <c r="B2766" s="288"/>
      <c r="C2766" s="1061"/>
      <c r="D2766" s="291"/>
      <c r="E2766" s="1044"/>
    </row>
    <row r="2767" spans="1:5" x14ac:dyDescent="0.25">
      <c r="A2767" s="290"/>
      <c r="B2767" s="288"/>
      <c r="C2767" s="1061"/>
      <c r="D2767" s="291"/>
      <c r="E2767" s="1044"/>
    </row>
    <row r="2768" spans="1:5" x14ac:dyDescent="0.25">
      <c r="A2768" s="290"/>
      <c r="B2768" s="288"/>
      <c r="C2768" s="1061"/>
      <c r="D2768" s="291"/>
      <c r="E2768" s="1044"/>
    </row>
    <row r="2769" spans="1:5" x14ac:dyDescent="0.25">
      <c r="A2769" s="290"/>
      <c r="B2769" s="288"/>
      <c r="C2769" s="1061"/>
      <c r="D2769" s="291"/>
      <c r="E2769" s="1044"/>
    </row>
    <row r="2770" spans="1:5" x14ac:dyDescent="0.25">
      <c r="A2770" s="290"/>
      <c r="B2770" s="288"/>
      <c r="C2770" s="1061"/>
      <c r="D2770" s="291"/>
      <c r="E2770" s="1044"/>
    </row>
    <row r="2771" spans="1:5" x14ac:dyDescent="0.25">
      <c r="A2771" s="290"/>
      <c r="B2771" s="288"/>
      <c r="C2771" s="1061"/>
      <c r="D2771" s="291"/>
      <c r="E2771" s="1044"/>
    </row>
    <row r="2772" spans="1:5" x14ac:dyDescent="0.25">
      <c r="A2772" s="290"/>
      <c r="B2772" s="288"/>
      <c r="C2772" s="1061"/>
      <c r="D2772" s="291"/>
      <c r="E2772" s="1044"/>
    </row>
    <row r="2773" spans="1:5" x14ac:dyDescent="0.25">
      <c r="A2773" s="290"/>
      <c r="B2773" s="288"/>
      <c r="C2773" s="1061"/>
      <c r="D2773" s="291"/>
      <c r="E2773" s="1044"/>
    </row>
    <row r="2774" spans="1:5" x14ac:dyDescent="0.25">
      <c r="A2774" s="290"/>
      <c r="B2774" s="288"/>
      <c r="C2774" s="1061"/>
      <c r="D2774" s="291"/>
      <c r="E2774" s="1044"/>
    </row>
    <row r="2775" spans="1:5" x14ac:dyDescent="0.25">
      <c r="A2775" s="290"/>
      <c r="B2775" s="288"/>
      <c r="C2775" s="1061"/>
      <c r="D2775" s="291"/>
      <c r="E2775" s="1044"/>
    </row>
    <row r="2776" spans="1:5" x14ac:dyDescent="0.25">
      <c r="A2776" s="290"/>
      <c r="B2776" s="288"/>
      <c r="C2776" s="1061"/>
      <c r="D2776" s="291"/>
      <c r="E2776" s="1044"/>
    </row>
    <row r="2777" spans="1:5" x14ac:dyDescent="0.25">
      <c r="A2777" s="290"/>
      <c r="B2777" s="288"/>
      <c r="C2777" s="1061"/>
      <c r="D2777" s="291"/>
      <c r="E2777" s="1044"/>
    </row>
    <row r="2778" spans="1:5" x14ac:dyDescent="0.25">
      <c r="A2778" s="290"/>
      <c r="B2778" s="288"/>
      <c r="C2778" s="1061"/>
      <c r="D2778" s="291"/>
      <c r="E2778" s="1044"/>
    </row>
    <row r="2779" spans="1:5" x14ac:dyDescent="0.25">
      <c r="A2779" s="290"/>
      <c r="B2779" s="288"/>
      <c r="C2779" s="1061"/>
      <c r="D2779" s="291"/>
      <c r="E2779" s="1044"/>
    </row>
    <row r="2780" spans="1:5" x14ac:dyDescent="0.25">
      <c r="A2780" s="290"/>
      <c r="B2780" s="288"/>
      <c r="C2780" s="1061"/>
      <c r="D2780" s="291"/>
      <c r="E2780" s="1044"/>
    </row>
    <row r="2781" spans="1:5" x14ac:dyDescent="0.25">
      <c r="A2781" s="290"/>
      <c r="B2781" s="288"/>
      <c r="C2781" s="1061"/>
      <c r="D2781" s="291"/>
      <c r="E2781" s="1044"/>
    </row>
    <row r="2782" spans="1:5" x14ac:dyDescent="0.25">
      <c r="A2782" s="290"/>
      <c r="B2782" s="288"/>
      <c r="C2782" s="1061"/>
      <c r="D2782" s="291"/>
      <c r="E2782" s="1044"/>
    </row>
    <row r="2783" spans="1:5" x14ac:dyDescent="0.25">
      <c r="A2783" s="290"/>
      <c r="B2783" s="288"/>
      <c r="C2783" s="1061"/>
      <c r="D2783" s="291"/>
      <c r="E2783" s="1044"/>
    </row>
    <row r="2784" spans="1:5" x14ac:dyDescent="0.25">
      <c r="A2784" s="290"/>
      <c r="B2784" s="288"/>
      <c r="C2784" s="1061"/>
      <c r="D2784" s="291"/>
      <c r="E2784" s="1044"/>
    </row>
    <row r="2785" spans="1:5" x14ac:dyDescent="0.25">
      <c r="A2785" s="290"/>
      <c r="B2785" s="288"/>
      <c r="C2785" s="1061"/>
      <c r="D2785" s="291"/>
      <c r="E2785" s="1044"/>
    </row>
    <row r="2786" spans="1:5" x14ac:dyDescent="0.25">
      <c r="A2786" s="290"/>
      <c r="B2786" s="288"/>
      <c r="C2786" s="1061"/>
      <c r="D2786" s="291"/>
      <c r="E2786" s="1044"/>
    </row>
    <row r="2787" spans="1:5" x14ac:dyDescent="0.25">
      <c r="A2787" s="290"/>
      <c r="B2787" s="288"/>
      <c r="C2787" s="1061"/>
      <c r="D2787" s="291"/>
      <c r="E2787" s="1044"/>
    </row>
    <row r="2788" spans="1:5" x14ac:dyDescent="0.25">
      <c r="A2788" s="290"/>
      <c r="B2788" s="288"/>
      <c r="C2788" s="1061"/>
      <c r="D2788" s="291"/>
      <c r="E2788" s="1044"/>
    </row>
    <row r="2789" spans="1:5" x14ac:dyDescent="0.25">
      <c r="A2789" s="290"/>
      <c r="B2789" s="288"/>
      <c r="C2789" s="1061"/>
      <c r="D2789" s="291"/>
      <c r="E2789" s="1044"/>
    </row>
    <row r="2790" spans="1:5" x14ac:dyDescent="0.25">
      <c r="A2790" s="290"/>
      <c r="B2790" s="288"/>
      <c r="C2790" s="1061"/>
      <c r="D2790" s="291"/>
      <c r="E2790" s="1044"/>
    </row>
    <row r="2791" spans="1:5" x14ac:dyDescent="0.25">
      <c r="A2791" s="290"/>
      <c r="B2791" s="288"/>
      <c r="C2791" s="1061"/>
      <c r="D2791" s="291"/>
      <c r="E2791" s="1044"/>
    </row>
    <row r="2792" spans="1:5" x14ac:dyDescent="0.25">
      <c r="A2792" s="290"/>
      <c r="B2792" s="288"/>
      <c r="C2792" s="1061"/>
      <c r="D2792" s="291"/>
      <c r="E2792" s="1044"/>
    </row>
    <row r="2793" spans="1:5" x14ac:dyDescent="0.25">
      <c r="A2793" s="290"/>
      <c r="B2793" s="288"/>
      <c r="C2793" s="1061"/>
      <c r="D2793" s="291"/>
      <c r="E2793" s="1044"/>
    </row>
    <row r="2794" spans="1:5" x14ac:dyDescent="0.25">
      <c r="A2794" s="290"/>
      <c r="B2794" s="288"/>
      <c r="C2794" s="1061"/>
      <c r="D2794" s="291"/>
      <c r="E2794" s="1044"/>
    </row>
    <row r="2795" spans="1:5" x14ac:dyDescent="0.25">
      <c r="A2795" s="290"/>
      <c r="B2795" s="288"/>
      <c r="C2795" s="1061"/>
      <c r="D2795" s="291"/>
      <c r="E2795" s="1044"/>
    </row>
    <row r="2796" spans="1:5" x14ac:dyDescent="0.25">
      <c r="A2796" s="290"/>
      <c r="B2796" s="288"/>
      <c r="C2796" s="1061"/>
      <c r="D2796" s="291"/>
      <c r="E2796" s="1044"/>
    </row>
    <row r="2797" spans="1:5" x14ac:dyDescent="0.25">
      <c r="A2797" s="290"/>
      <c r="B2797" s="288"/>
      <c r="C2797" s="1061"/>
      <c r="D2797" s="291"/>
      <c r="E2797" s="1044"/>
    </row>
    <row r="2798" spans="1:5" x14ac:dyDescent="0.25">
      <c r="A2798" s="290"/>
      <c r="B2798" s="288"/>
      <c r="C2798" s="1061"/>
      <c r="D2798" s="291"/>
      <c r="E2798" s="1044"/>
    </row>
    <row r="2799" spans="1:5" x14ac:dyDescent="0.25">
      <c r="A2799" s="290"/>
      <c r="B2799" s="288"/>
      <c r="C2799" s="1061"/>
      <c r="D2799" s="291"/>
      <c r="E2799" s="1044"/>
    </row>
    <row r="2800" spans="1:5" x14ac:dyDescent="0.25">
      <c r="A2800" s="290"/>
      <c r="B2800" s="288"/>
      <c r="C2800" s="1061"/>
      <c r="D2800" s="291"/>
      <c r="E2800" s="1044"/>
    </row>
    <row r="2801" spans="1:5" x14ac:dyDescent="0.25">
      <c r="A2801" s="290"/>
      <c r="B2801" s="288"/>
      <c r="C2801" s="1061"/>
      <c r="D2801" s="291"/>
      <c r="E2801" s="1044"/>
    </row>
    <row r="2802" spans="1:5" x14ac:dyDescent="0.25">
      <c r="A2802" s="290"/>
      <c r="B2802" s="288"/>
      <c r="C2802" s="1061"/>
      <c r="D2802" s="291"/>
      <c r="E2802" s="1044"/>
    </row>
    <row r="2803" spans="1:5" x14ac:dyDescent="0.25">
      <c r="A2803" s="290"/>
      <c r="B2803" s="288"/>
      <c r="C2803" s="1061"/>
      <c r="D2803" s="291"/>
      <c r="E2803" s="1044"/>
    </row>
    <row r="2804" spans="1:5" x14ac:dyDescent="0.25">
      <c r="A2804" s="290"/>
      <c r="B2804" s="288"/>
      <c r="C2804" s="1061"/>
      <c r="D2804" s="291"/>
      <c r="E2804" s="1044"/>
    </row>
    <row r="2805" spans="1:5" x14ac:dyDescent="0.25">
      <c r="A2805" s="290"/>
      <c r="B2805" s="288"/>
      <c r="C2805" s="1061"/>
      <c r="D2805" s="291"/>
      <c r="E2805" s="1044"/>
    </row>
    <row r="2806" spans="1:5" x14ac:dyDescent="0.25">
      <c r="A2806" s="290"/>
      <c r="B2806" s="288"/>
      <c r="C2806" s="1061"/>
      <c r="D2806" s="291"/>
      <c r="E2806" s="1044"/>
    </row>
    <row r="2807" spans="1:5" x14ac:dyDescent="0.25">
      <c r="A2807" s="290"/>
      <c r="B2807" s="288"/>
      <c r="C2807" s="1061"/>
      <c r="D2807" s="291"/>
      <c r="E2807" s="1044"/>
    </row>
    <row r="2808" spans="1:5" x14ac:dyDescent="0.25">
      <c r="A2808" s="290"/>
      <c r="B2808" s="288"/>
      <c r="C2808" s="1061"/>
      <c r="D2808" s="291"/>
      <c r="E2808" s="1044"/>
    </row>
    <row r="2809" spans="1:5" x14ac:dyDescent="0.25">
      <c r="A2809" s="290"/>
      <c r="B2809" s="288"/>
      <c r="C2809" s="1061"/>
      <c r="D2809" s="291"/>
      <c r="E2809" s="1044"/>
    </row>
    <row r="2810" spans="1:5" x14ac:dyDescent="0.25">
      <c r="A2810" s="290"/>
      <c r="B2810" s="288"/>
      <c r="C2810" s="1061"/>
      <c r="D2810" s="291"/>
      <c r="E2810" s="1044"/>
    </row>
    <row r="2811" spans="1:5" x14ac:dyDescent="0.25">
      <c r="A2811" s="290"/>
      <c r="B2811" s="288"/>
      <c r="C2811" s="1061"/>
      <c r="D2811" s="291"/>
      <c r="E2811" s="1044"/>
    </row>
    <row r="2812" spans="1:5" x14ac:dyDescent="0.25">
      <c r="A2812" s="290"/>
      <c r="B2812" s="288"/>
      <c r="C2812" s="1061"/>
      <c r="D2812" s="291"/>
      <c r="E2812" s="1044"/>
    </row>
    <row r="2813" spans="1:5" x14ac:dyDescent="0.25">
      <c r="A2813" s="290"/>
      <c r="B2813" s="288"/>
      <c r="C2813" s="1061"/>
      <c r="D2813" s="291"/>
      <c r="E2813" s="1044"/>
    </row>
    <row r="2814" spans="1:5" x14ac:dyDescent="0.25">
      <c r="A2814" s="290"/>
      <c r="B2814" s="288"/>
      <c r="C2814" s="1061"/>
      <c r="D2814" s="291"/>
      <c r="E2814" s="1044"/>
    </row>
    <row r="2815" spans="1:5" x14ac:dyDescent="0.25">
      <c r="A2815" s="290"/>
      <c r="B2815" s="288"/>
      <c r="C2815" s="1061"/>
      <c r="D2815" s="291"/>
      <c r="E2815" s="1044"/>
    </row>
    <row r="2816" spans="1:5" x14ac:dyDescent="0.25">
      <c r="A2816" s="290"/>
      <c r="B2816" s="288"/>
      <c r="C2816" s="1061"/>
      <c r="D2816" s="291"/>
      <c r="E2816" s="1044"/>
    </row>
    <row r="2817" spans="1:5" x14ac:dyDescent="0.25">
      <c r="A2817" s="290"/>
      <c r="B2817" s="288"/>
      <c r="C2817" s="1061"/>
      <c r="D2817" s="291"/>
      <c r="E2817" s="1044"/>
    </row>
    <row r="2818" spans="1:5" x14ac:dyDescent="0.25">
      <c r="A2818" s="290"/>
      <c r="B2818" s="288"/>
      <c r="C2818" s="1061"/>
      <c r="D2818" s="291"/>
      <c r="E2818" s="1044"/>
    </row>
    <row r="2819" spans="1:5" x14ac:dyDescent="0.25">
      <c r="A2819" s="290"/>
      <c r="B2819" s="288"/>
      <c r="C2819" s="1061"/>
      <c r="D2819" s="291"/>
      <c r="E2819" s="1044"/>
    </row>
    <row r="2820" spans="1:5" x14ac:dyDescent="0.25">
      <c r="A2820" s="290"/>
      <c r="B2820" s="288"/>
      <c r="C2820" s="1061"/>
      <c r="D2820" s="291"/>
      <c r="E2820" s="1044"/>
    </row>
    <row r="2821" spans="1:5" x14ac:dyDescent="0.25">
      <c r="A2821" s="290"/>
      <c r="B2821" s="288"/>
      <c r="C2821" s="1061"/>
      <c r="D2821" s="291"/>
      <c r="E2821" s="1044"/>
    </row>
    <row r="2822" spans="1:5" x14ac:dyDescent="0.25">
      <c r="A2822" s="290"/>
      <c r="B2822" s="288"/>
      <c r="C2822" s="1061"/>
      <c r="D2822" s="291"/>
      <c r="E2822" s="1044"/>
    </row>
    <row r="2823" spans="1:5" x14ac:dyDescent="0.25">
      <c r="A2823" s="290"/>
      <c r="B2823" s="288"/>
      <c r="C2823" s="1061"/>
      <c r="D2823" s="291"/>
      <c r="E2823" s="1044"/>
    </row>
    <row r="2824" spans="1:5" x14ac:dyDescent="0.25">
      <c r="A2824" s="290"/>
      <c r="B2824" s="288"/>
      <c r="C2824" s="1061"/>
      <c r="D2824" s="291"/>
      <c r="E2824" s="1044"/>
    </row>
    <row r="2825" spans="1:5" x14ac:dyDescent="0.25">
      <c r="A2825" s="290"/>
      <c r="B2825" s="288"/>
      <c r="C2825" s="1061"/>
      <c r="D2825" s="291"/>
      <c r="E2825" s="1044"/>
    </row>
    <row r="2826" spans="1:5" x14ac:dyDescent="0.25">
      <c r="A2826" s="290"/>
      <c r="B2826" s="288"/>
      <c r="C2826" s="1061"/>
      <c r="D2826" s="291"/>
      <c r="E2826" s="1044"/>
    </row>
    <row r="2827" spans="1:5" x14ac:dyDescent="0.25">
      <c r="A2827" s="290"/>
      <c r="B2827" s="288"/>
      <c r="C2827" s="1061"/>
      <c r="D2827" s="291"/>
      <c r="E2827" s="1044"/>
    </row>
    <row r="2828" spans="1:5" x14ac:dyDescent="0.25">
      <c r="A2828" s="290"/>
      <c r="B2828" s="288"/>
      <c r="C2828" s="1061"/>
      <c r="D2828" s="291"/>
      <c r="E2828" s="1044"/>
    </row>
    <row r="2829" spans="1:5" x14ac:dyDescent="0.25">
      <c r="A2829" s="290"/>
      <c r="B2829" s="288"/>
      <c r="C2829" s="1061"/>
      <c r="D2829" s="291"/>
      <c r="E2829" s="1044"/>
    </row>
    <row r="2830" spans="1:5" x14ac:dyDescent="0.25">
      <c r="A2830" s="290"/>
      <c r="B2830" s="288"/>
      <c r="C2830" s="1061"/>
      <c r="D2830" s="291"/>
      <c r="E2830" s="1044"/>
    </row>
    <row r="2831" spans="1:5" x14ac:dyDescent="0.25">
      <c r="A2831" s="290"/>
      <c r="B2831" s="288"/>
      <c r="C2831" s="1061"/>
      <c r="D2831" s="291"/>
      <c r="E2831" s="1044"/>
    </row>
    <row r="2832" spans="1:5" x14ac:dyDescent="0.25">
      <c r="A2832" s="290"/>
      <c r="B2832" s="288"/>
      <c r="C2832" s="1061"/>
      <c r="D2832" s="291"/>
      <c r="E2832" s="1044"/>
    </row>
    <row r="2833" spans="1:5" x14ac:dyDescent="0.25">
      <c r="A2833" s="290"/>
      <c r="B2833" s="288"/>
      <c r="C2833" s="1061"/>
      <c r="D2833" s="291"/>
      <c r="E2833" s="1044"/>
    </row>
    <row r="2834" spans="1:5" x14ac:dyDescent="0.25">
      <c r="A2834" s="290"/>
      <c r="B2834" s="288"/>
      <c r="C2834" s="1061"/>
      <c r="D2834" s="291"/>
      <c r="E2834" s="1044"/>
    </row>
    <row r="2835" spans="1:5" x14ac:dyDescent="0.25">
      <c r="A2835" s="290"/>
      <c r="B2835" s="288"/>
      <c r="C2835" s="1061"/>
      <c r="D2835" s="291"/>
      <c r="E2835" s="1044"/>
    </row>
    <row r="2836" spans="1:5" x14ac:dyDescent="0.25">
      <c r="A2836" s="290"/>
      <c r="B2836" s="288"/>
      <c r="C2836" s="1061"/>
      <c r="D2836" s="291"/>
      <c r="E2836" s="1044"/>
    </row>
    <row r="2837" spans="1:5" x14ac:dyDescent="0.25">
      <c r="A2837" s="290"/>
      <c r="B2837" s="288"/>
      <c r="C2837" s="1061"/>
      <c r="D2837" s="291"/>
      <c r="E2837" s="1044"/>
    </row>
    <row r="2838" spans="1:5" x14ac:dyDescent="0.25">
      <c r="A2838" s="290"/>
      <c r="B2838" s="288"/>
      <c r="C2838" s="1061"/>
      <c r="D2838" s="291"/>
      <c r="E2838" s="1044"/>
    </row>
    <row r="2839" spans="1:5" x14ac:dyDescent="0.25">
      <c r="A2839" s="290"/>
      <c r="B2839" s="288"/>
      <c r="C2839" s="1061"/>
      <c r="D2839" s="291"/>
      <c r="E2839" s="1044"/>
    </row>
    <row r="2840" spans="1:5" x14ac:dyDescent="0.25">
      <c r="A2840" s="290"/>
      <c r="B2840" s="288"/>
      <c r="C2840" s="1061"/>
      <c r="D2840" s="291"/>
      <c r="E2840" s="1044"/>
    </row>
    <row r="2841" spans="1:5" x14ac:dyDescent="0.25">
      <c r="A2841" s="290"/>
      <c r="B2841" s="288"/>
      <c r="C2841" s="1061"/>
      <c r="D2841" s="291"/>
      <c r="E2841" s="1044"/>
    </row>
    <row r="2842" spans="1:5" x14ac:dyDescent="0.25">
      <c r="A2842" s="290"/>
      <c r="B2842" s="288"/>
      <c r="C2842" s="1061"/>
      <c r="D2842" s="291"/>
      <c r="E2842" s="1044"/>
    </row>
    <row r="2843" spans="1:5" x14ac:dyDescent="0.25">
      <c r="A2843" s="290"/>
      <c r="B2843" s="288"/>
      <c r="C2843" s="1061"/>
      <c r="D2843" s="291"/>
      <c r="E2843" s="1044"/>
    </row>
    <row r="2844" spans="1:5" x14ac:dyDescent="0.25">
      <c r="A2844" s="290"/>
      <c r="B2844" s="288"/>
      <c r="C2844" s="1061"/>
      <c r="D2844" s="291"/>
      <c r="E2844" s="1044"/>
    </row>
    <row r="2845" spans="1:5" x14ac:dyDescent="0.25">
      <c r="A2845" s="290"/>
      <c r="B2845" s="288"/>
      <c r="C2845" s="1061"/>
      <c r="D2845" s="291"/>
      <c r="E2845" s="1044"/>
    </row>
    <row r="2846" spans="1:5" x14ac:dyDescent="0.25">
      <c r="A2846" s="290"/>
      <c r="B2846" s="288"/>
      <c r="C2846" s="1061"/>
      <c r="D2846" s="291"/>
      <c r="E2846" s="1044"/>
    </row>
    <row r="2847" spans="1:5" x14ac:dyDescent="0.25">
      <c r="A2847" s="290"/>
      <c r="B2847" s="288"/>
      <c r="C2847" s="1061"/>
      <c r="D2847" s="291"/>
      <c r="E2847" s="1044"/>
    </row>
    <row r="2848" spans="1:5" x14ac:dyDescent="0.25">
      <c r="A2848" s="290"/>
      <c r="B2848" s="288"/>
      <c r="C2848" s="1061"/>
      <c r="D2848" s="291"/>
      <c r="E2848" s="1044"/>
    </row>
    <row r="2849" spans="1:5" x14ac:dyDescent="0.25">
      <c r="A2849" s="290"/>
      <c r="B2849" s="288"/>
      <c r="C2849" s="1061"/>
      <c r="D2849" s="291"/>
      <c r="E2849" s="1044"/>
    </row>
    <row r="2850" spans="1:5" x14ac:dyDescent="0.25">
      <c r="A2850" s="290"/>
      <c r="B2850" s="288"/>
      <c r="C2850" s="1061"/>
      <c r="D2850" s="291"/>
      <c r="E2850" s="1044"/>
    </row>
    <row r="2851" spans="1:5" x14ac:dyDescent="0.25">
      <c r="A2851" s="290"/>
      <c r="B2851" s="288"/>
      <c r="C2851" s="1061"/>
      <c r="D2851" s="291"/>
      <c r="E2851" s="1044"/>
    </row>
    <row r="2852" spans="1:5" x14ac:dyDescent="0.25">
      <c r="A2852" s="290"/>
      <c r="B2852" s="288"/>
      <c r="C2852" s="1061"/>
      <c r="D2852" s="291"/>
      <c r="E2852" s="1044"/>
    </row>
    <row r="2853" spans="1:5" x14ac:dyDescent="0.25">
      <c r="A2853" s="290"/>
      <c r="B2853" s="288"/>
      <c r="C2853" s="1061"/>
      <c r="D2853" s="291"/>
      <c r="E2853" s="1044"/>
    </row>
    <row r="2854" spans="1:5" x14ac:dyDescent="0.25">
      <c r="A2854" s="290"/>
      <c r="B2854" s="288"/>
      <c r="C2854" s="1061"/>
      <c r="D2854" s="291"/>
      <c r="E2854" s="1044"/>
    </row>
    <row r="2855" spans="1:5" x14ac:dyDescent="0.25">
      <c r="A2855" s="290"/>
      <c r="B2855" s="288"/>
      <c r="C2855" s="1061"/>
      <c r="D2855" s="291"/>
      <c r="E2855" s="1044"/>
    </row>
    <row r="2856" spans="1:5" x14ac:dyDescent="0.25">
      <c r="A2856" s="290"/>
      <c r="B2856" s="288"/>
      <c r="C2856" s="1061"/>
      <c r="D2856" s="291"/>
      <c r="E2856" s="1044"/>
    </row>
    <row r="2857" spans="1:5" x14ac:dyDescent="0.25">
      <c r="A2857" s="290"/>
      <c r="B2857" s="288"/>
      <c r="C2857" s="1061"/>
      <c r="D2857" s="291"/>
      <c r="E2857" s="1044"/>
    </row>
    <row r="2858" spans="1:5" x14ac:dyDescent="0.25">
      <c r="A2858" s="290"/>
      <c r="B2858" s="288"/>
      <c r="C2858" s="1061"/>
      <c r="D2858" s="291"/>
      <c r="E2858" s="1044"/>
    </row>
    <row r="2859" spans="1:5" x14ac:dyDescent="0.25">
      <c r="A2859" s="290"/>
      <c r="B2859" s="288"/>
      <c r="C2859" s="1061"/>
      <c r="D2859" s="291"/>
      <c r="E2859" s="1044"/>
    </row>
    <row r="2860" spans="1:5" x14ac:dyDescent="0.25">
      <c r="A2860" s="290"/>
      <c r="B2860" s="288"/>
      <c r="C2860" s="1061"/>
      <c r="D2860" s="291"/>
      <c r="E2860" s="1044"/>
    </row>
    <row r="2861" spans="1:5" x14ac:dyDescent="0.25">
      <c r="A2861" s="290"/>
      <c r="B2861" s="288"/>
      <c r="C2861" s="1061"/>
      <c r="D2861" s="291"/>
      <c r="E2861" s="1044"/>
    </row>
    <row r="2862" spans="1:5" x14ac:dyDescent="0.25">
      <c r="A2862" s="290"/>
      <c r="B2862" s="288"/>
      <c r="C2862" s="1061"/>
      <c r="D2862" s="291"/>
      <c r="E2862" s="1044"/>
    </row>
    <row r="2863" spans="1:5" x14ac:dyDescent="0.25">
      <c r="A2863" s="290"/>
      <c r="B2863" s="288"/>
      <c r="C2863" s="1061"/>
      <c r="D2863" s="291"/>
      <c r="E2863" s="1044"/>
    </row>
    <row r="2864" spans="1:5" x14ac:dyDescent="0.25">
      <c r="A2864" s="290"/>
      <c r="B2864" s="288"/>
      <c r="C2864" s="1061"/>
      <c r="D2864" s="291"/>
      <c r="E2864" s="1044"/>
    </row>
    <row r="2865" spans="1:5" x14ac:dyDescent="0.25">
      <c r="A2865" s="290"/>
      <c r="B2865" s="288"/>
      <c r="C2865" s="1061"/>
      <c r="D2865" s="291"/>
      <c r="E2865" s="1044"/>
    </row>
    <row r="2866" spans="1:5" x14ac:dyDescent="0.25">
      <c r="A2866" s="290"/>
      <c r="B2866" s="288"/>
      <c r="C2866" s="1061"/>
      <c r="D2866" s="291"/>
      <c r="E2866" s="1044"/>
    </row>
    <row r="2867" spans="1:5" x14ac:dyDescent="0.25">
      <c r="A2867" s="290"/>
      <c r="B2867" s="288"/>
      <c r="C2867" s="1061"/>
      <c r="D2867" s="291"/>
      <c r="E2867" s="1044"/>
    </row>
    <row r="2868" spans="1:5" x14ac:dyDescent="0.25">
      <c r="A2868" s="290"/>
      <c r="B2868" s="288"/>
      <c r="C2868" s="1061"/>
      <c r="D2868" s="291"/>
      <c r="E2868" s="1044"/>
    </row>
    <row r="2869" spans="1:5" x14ac:dyDescent="0.25">
      <c r="A2869" s="290"/>
      <c r="B2869" s="288"/>
      <c r="C2869" s="1061"/>
      <c r="D2869" s="291"/>
      <c r="E2869" s="1044"/>
    </row>
    <row r="2870" spans="1:5" x14ac:dyDescent="0.25">
      <c r="A2870" s="290"/>
      <c r="B2870" s="288"/>
      <c r="C2870" s="1061"/>
      <c r="D2870" s="291"/>
      <c r="E2870" s="1044"/>
    </row>
    <row r="2871" spans="1:5" x14ac:dyDescent="0.25">
      <c r="A2871" s="290"/>
      <c r="B2871" s="288"/>
      <c r="C2871" s="1061"/>
      <c r="D2871" s="291"/>
      <c r="E2871" s="1044"/>
    </row>
    <row r="2872" spans="1:5" x14ac:dyDescent="0.25">
      <c r="A2872" s="290"/>
      <c r="B2872" s="288"/>
      <c r="C2872" s="1061"/>
      <c r="D2872" s="291"/>
      <c r="E2872" s="1044"/>
    </row>
    <row r="2873" spans="1:5" x14ac:dyDescent="0.25">
      <c r="A2873" s="290"/>
      <c r="B2873" s="288"/>
      <c r="C2873" s="1061"/>
      <c r="D2873" s="291"/>
      <c r="E2873" s="1044"/>
    </row>
    <row r="2874" spans="1:5" x14ac:dyDescent="0.25">
      <c r="A2874" s="290"/>
      <c r="B2874" s="288"/>
      <c r="C2874" s="1061"/>
      <c r="D2874" s="291"/>
      <c r="E2874" s="1044"/>
    </row>
    <row r="2875" spans="1:5" x14ac:dyDescent="0.25">
      <c r="A2875" s="290"/>
      <c r="B2875" s="288"/>
      <c r="C2875" s="1061"/>
      <c r="D2875" s="291"/>
      <c r="E2875" s="1044"/>
    </row>
    <row r="2876" spans="1:5" x14ac:dyDescent="0.25">
      <c r="A2876" s="290"/>
      <c r="B2876" s="288"/>
      <c r="C2876" s="1061"/>
      <c r="D2876" s="291"/>
      <c r="E2876" s="1044"/>
    </row>
    <row r="2877" spans="1:5" x14ac:dyDescent="0.25">
      <c r="A2877" s="290"/>
      <c r="B2877" s="288"/>
      <c r="C2877" s="1061"/>
      <c r="D2877" s="291"/>
      <c r="E2877" s="1044"/>
    </row>
    <row r="2878" spans="1:5" x14ac:dyDescent="0.25">
      <c r="A2878" s="290"/>
      <c r="B2878" s="288"/>
      <c r="C2878" s="1061"/>
      <c r="D2878" s="291"/>
      <c r="E2878" s="1044"/>
    </row>
    <row r="2879" spans="1:5" x14ac:dyDescent="0.25">
      <c r="A2879" s="290"/>
      <c r="B2879" s="288"/>
      <c r="C2879" s="1061"/>
      <c r="D2879" s="291"/>
      <c r="E2879" s="1044"/>
    </row>
    <row r="2880" spans="1:5" x14ac:dyDescent="0.25">
      <c r="A2880" s="290"/>
      <c r="B2880" s="288"/>
      <c r="C2880" s="1061"/>
      <c r="D2880" s="291"/>
      <c r="E2880" s="1044"/>
    </row>
    <row r="2881" spans="1:5" x14ac:dyDescent="0.25">
      <c r="A2881" s="290"/>
      <c r="B2881" s="288"/>
      <c r="C2881" s="1061"/>
      <c r="D2881" s="291"/>
      <c r="E2881" s="1044"/>
    </row>
    <row r="2882" spans="1:5" x14ac:dyDescent="0.25">
      <c r="A2882" s="290"/>
      <c r="B2882" s="288"/>
      <c r="C2882" s="1061"/>
      <c r="D2882" s="291"/>
      <c r="E2882" s="1044"/>
    </row>
    <row r="2883" spans="1:5" x14ac:dyDescent="0.25">
      <c r="A2883" s="290"/>
      <c r="B2883" s="288"/>
      <c r="C2883" s="1061"/>
      <c r="D2883" s="291"/>
      <c r="E2883" s="1044"/>
    </row>
    <row r="2884" spans="1:5" x14ac:dyDescent="0.25">
      <c r="A2884" s="290"/>
      <c r="B2884" s="288"/>
      <c r="C2884" s="1061"/>
      <c r="D2884" s="291"/>
      <c r="E2884" s="1044"/>
    </row>
    <row r="2885" spans="1:5" x14ac:dyDescent="0.25">
      <c r="A2885" s="290"/>
      <c r="B2885" s="288"/>
      <c r="C2885" s="1061"/>
      <c r="D2885" s="291"/>
      <c r="E2885" s="1044"/>
    </row>
    <row r="2886" spans="1:5" x14ac:dyDescent="0.25">
      <c r="A2886" s="290"/>
      <c r="B2886" s="288"/>
      <c r="C2886" s="1061"/>
      <c r="D2886" s="291"/>
      <c r="E2886" s="1044"/>
    </row>
    <row r="2887" spans="1:5" x14ac:dyDescent="0.25">
      <c r="A2887" s="290"/>
      <c r="B2887" s="288"/>
      <c r="C2887" s="1061"/>
      <c r="D2887" s="291"/>
      <c r="E2887" s="1044"/>
    </row>
    <row r="2888" spans="1:5" x14ac:dyDescent="0.25">
      <c r="A2888" s="290"/>
      <c r="B2888" s="288"/>
      <c r="C2888" s="1061"/>
      <c r="D2888" s="291"/>
      <c r="E2888" s="1044"/>
    </row>
    <row r="2889" spans="1:5" x14ac:dyDescent="0.25">
      <c r="A2889" s="290"/>
      <c r="B2889" s="288"/>
      <c r="C2889" s="1061"/>
      <c r="D2889" s="291"/>
      <c r="E2889" s="1044"/>
    </row>
    <row r="2890" spans="1:5" x14ac:dyDescent="0.25">
      <c r="A2890" s="290"/>
      <c r="B2890" s="288"/>
      <c r="C2890" s="1061"/>
      <c r="D2890" s="291"/>
      <c r="E2890" s="1044"/>
    </row>
    <row r="2891" spans="1:5" x14ac:dyDescent="0.25">
      <c r="A2891" s="290"/>
      <c r="B2891" s="288"/>
      <c r="C2891" s="1061"/>
      <c r="D2891" s="291"/>
      <c r="E2891" s="1044"/>
    </row>
    <row r="2892" spans="1:5" x14ac:dyDescent="0.25">
      <c r="A2892" s="290"/>
      <c r="B2892" s="288"/>
      <c r="C2892" s="1061"/>
      <c r="D2892" s="291"/>
      <c r="E2892" s="1044"/>
    </row>
    <row r="2893" spans="1:5" x14ac:dyDescent="0.25">
      <c r="A2893" s="290"/>
      <c r="B2893" s="288"/>
      <c r="C2893" s="1061"/>
      <c r="D2893" s="291"/>
      <c r="E2893" s="1044"/>
    </row>
    <row r="2894" spans="1:5" x14ac:dyDescent="0.25">
      <c r="A2894" s="290"/>
      <c r="B2894" s="288"/>
      <c r="C2894" s="1061"/>
      <c r="D2894" s="291"/>
      <c r="E2894" s="1044"/>
    </row>
    <row r="2895" spans="1:5" x14ac:dyDescent="0.25">
      <c r="A2895" s="290"/>
      <c r="B2895" s="288"/>
      <c r="C2895" s="1061"/>
      <c r="D2895" s="291"/>
      <c r="E2895" s="1044"/>
    </row>
    <row r="2896" spans="1:5" x14ac:dyDescent="0.25">
      <c r="A2896" s="290"/>
      <c r="B2896" s="288"/>
      <c r="C2896" s="1061"/>
      <c r="D2896" s="291"/>
      <c r="E2896" s="1044"/>
    </row>
    <row r="2897" spans="1:5" x14ac:dyDescent="0.25">
      <c r="A2897" s="290"/>
      <c r="B2897" s="288"/>
      <c r="C2897" s="1061"/>
      <c r="D2897" s="291"/>
      <c r="E2897" s="1044"/>
    </row>
    <row r="2898" spans="1:5" x14ac:dyDescent="0.25">
      <c r="A2898" s="290"/>
      <c r="B2898" s="288"/>
      <c r="C2898" s="1061"/>
      <c r="D2898" s="291"/>
      <c r="E2898" s="1044"/>
    </row>
    <row r="2899" spans="1:5" x14ac:dyDescent="0.25">
      <c r="A2899" s="290"/>
      <c r="B2899" s="288"/>
      <c r="C2899" s="1061"/>
      <c r="D2899" s="291"/>
      <c r="E2899" s="1044"/>
    </row>
    <row r="2900" spans="1:5" x14ac:dyDescent="0.25">
      <c r="A2900" s="290"/>
      <c r="B2900" s="288"/>
      <c r="C2900" s="1061"/>
      <c r="D2900" s="291"/>
      <c r="E2900" s="1044"/>
    </row>
    <row r="2901" spans="1:5" x14ac:dyDescent="0.25">
      <c r="A2901" s="290"/>
      <c r="B2901" s="288"/>
      <c r="C2901" s="1061"/>
      <c r="D2901" s="291"/>
      <c r="E2901" s="1044"/>
    </row>
    <row r="2902" spans="1:5" x14ac:dyDescent="0.25">
      <c r="A2902" s="290"/>
      <c r="B2902" s="288"/>
      <c r="C2902" s="1061"/>
      <c r="D2902" s="291"/>
      <c r="E2902" s="1044"/>
    </row>
    <row r="2903" spans="1:5" x14ac:dyDescent="0.25">
      <c r="A2903" s="290"/>
      <c r="B2903" s="288"/>
      <c r="C2903" s="1061"/>
      <c r="D2903" s="291"/>
      <c r="E2903" s="1044"/>
    </row>
    <row r="2904" spans="1:5" x14ac:dyDescent="0.25">
      <c r="A2904" s="290"/>
      <c r="B2904" s="288"/>
      <c r="C2904" s="1061"/>
      <c r="D2904" s="291"/>
      <c r="E2904" s="1044"/>
    </row>
    <row r="2905" spans="1:5" x14ac:dyDescent="0.25">
      <c r="A2905" s="290"/>
      <c r="B2905" s="288"/>
      <c r="C2905" s="1061"/>
      <c r="D2905" s="291"/>
      <c r="E2905" s="1044"/>
    </row>
    <row r="2906" spans="1:5" x14ac:dyDescent="0.25">
      <c r="A2906" s="290"/>
      <c r="B2906" s="288"/>
      <c r="C2906" s="1061"/>
      <c r="D2906" s="291"/>
      <c r="E2906" s="1044"/>
    </row>
    <row r="2907" spans="1:5" x14ac:dyDescent="0.25">
      <c r="A2907" s="290"/>
      <c r="B2907" s="288"/>
      <c r="C2907" s="1061"/>
      <c r="D2907" s="291"/>
      <c r="E2907" s="1044"/>
    </row>
    <row r="2908" spans="1:5" x14ac:dyDescent="0.25">
      <c r="A2908" s="290"/>
      <c r="B2908" s="288"/>
      <c r="C2908" s="1061"/>
      <c r="D2908" s="291"/>
      <c r="E2908" s="1044"/>
    </row>
    <row r="2909" spans="1:5" x14ac:dyDescent="0.25">
      <c r="A2909" s="290"/>
      <c r="B2909" s="288"/>
      <c r="C2909" s="1061"/>
      <c r="D2909" s="291"/>
      <c r="E2909" s="1044"/>
    </row>
    <row r="2910" spans="1:5" x14ac:dyDescent="0.25">
      <c r="A2910" s="290"/>
      <c r="B2910" s="288"/>
      <c r="C2910" s="1061"/>
      <c r="D2910" s="291"/>
      <c r="E2910" s="1044"/>
    </row>
    <row r="2911" spans="1:5" x14ac:dyDescent="0.25">
      <c r="A2911" s="290"/>
      <c r="B2911" s="288"/>
      <c r="C2911" s="1061"/>
      <c r="D2911" s="291"/>
      <c r="E2911" s="1044"/>
    </row>
    <row r="2912" spans="1:5" x14ac:dyDescent="0.25">
      <c r="A2912" s="290"/>
      <c r="B2912" s="288"/>
      <c r="C2912" s="1061"/>
      <c r="D2912" s="291"/>
      <c r="E2912" s="1044"/>
    </row>
    <row r="2913" spans="1:5" x14ac:dyDescent="0.25">
      <c r="A2913" s="290"/>
      <c r="B2913" s="288"/>
      <c r="C2913" s="1061"/>
      <c r="D2913" s="291"/>
      <c r="E2913" s="1044"/>
    </row>
    <row r="2914" spans="1:5" x14ac:dyDescent="0.25">
      <c r="A2914" s="290"/>
      <c r="B2914" s="288"/>
      <c r="C2914" s="1061"/>
      <c r="D2914" s="291"/>
      <c r="E2914" s="1044"/>
    </row>
    <row r="2915" spans="1:5" x14ac:dyDescent="0.25">
      <c r="A2915" s="290"/>
      <c r="B2915" s="288"/>
      <c r="C2915" s="1061"/>
      <c r="D2915" s="291"/>
      <c r="E2915" s="1044"/>
    </row>
    <row r="2916" spans="1:5" x14ac:dyDescent="0.25">
      <c r="A2916" s="290"/>
      <c r="B2916" s="288"/>
      <c r="C2916" s="1061"/>
      <c r="D2916" s="291"/>
      <c r="E2916" s="1044"/>
    </row>
    <row r="2917" spans="1:5" x14ac:dyDescent="0.25">
      <c r="A2917" s="290"/>
      <c r="B2917" s="288"/>
      <c r="C2917" s="1061"/>
      <c r="D2917" s="291"/>
      <c r="E2917" s="1044"/>
    </row>
    <row r="2918" spans="1:5" x14ac:dyDescent="0.25">
      <c r="A2918" s="290"/>
      <c r="B2918" s="288"/>
      <c r="C2918" s="1061"/>
      <c r="D2918" s="291"/>
      <c r="E2918" s="1044"/>
    </row>
    <row r="2919" spans="1:5" x14ac:dyDescent="0.25">
      <c r="A2919" s="290"/>
      <c r="B2919" s="288"/>
      <c r="C2919" s="1061"/>
      <c r="D2919" s="291"/>
      <c r="E2919" s="1044"/>
    </row>
    <row r="2920" spans="1:5" x14ac:dyDescent="0.25">
      <c r="A2920" s="290"/>
      <c r="B2920" s="288"/>
      <c r="C2920" s="1061"/>
      <c r="D2920" s="291"/>
      <c r="E2920" s="1044"/>
    </row>
    <row r="2921" spans="1:5" x14ac:dyDescent="0.25">
      <c r="A2921" s="290"/>
      <c r="B2921" s="288"/>
      <c r="C2921" s="1061"/>
      <c r="D2921" s="291"/>
      <c r="E2921" s="1044"/>
    </row>
    <row r="2922" spans="1:5" x14ac:dyDescent="0.25">
      <c r="A2922" s="290"/>
      <c r="B2922" s="288"/>
      <c r="C2922" s="1061"/>
      <c r="D2922" s="291"/>
      <c r="E2922" s="1044"/>
    </row>
    <row r="2923" spans="1:5" x14ac:dyDescent="0.25">
      <c r="A2923" s="290"/>
      <c r="B2923" s="288"/>
      <c r="C2923" s="1061"/>
      <c r="D2923" s="291"/>
      <c r="E2923" s="1044"/>
    </row>
    <row r="2924" spans="1:5" x14ac:dyDescent="0.25">
      <c r="A2924" s="290"/>
      <c r="B2924" s="288"/>
      <c r="C2924" s="1061"/>
      <c r="D2924" s="291"/>
      <c r="E2924" s="1044"/>
    </row>
    <row r="2925" spans="1:5" x14ac:dyDescent="0.25">
      <c r="A2925" s="290"/>
      <c r="B2925" s="288"/>
      <c r="C2925" s="1061"/>
      <c r="D2925" s="291"/>
      <c r="E2925" s="1044"/>
    </row>
    <row r="2926" spans="1:5" x14ac:dyDescent="0.25">
      <c r="A2926" s="290"/>
      <c r="B2926" s="288"/>
      <c r="C2926" s="1061"/>
      <c r="D2926" s="291"/>
      <c r="E2926" s="1044"/>
    </row>
    <row r="2927" spans="1:5" x14ac:dyDescent="0.25">
      <c r="A2927" s="290"/>
      <c r="B2927" s="288"/>
      <c r="C2927" s="1061"/>
      <c r="D2927" s="291"/>
      <c r="E2927" s="1044"/>
    </row>
    <row r="2928" spans="1:5" x14ac:dyDescent="0.25">
      <c r="A2928" s="290"/>
      <c r="B2928" s="288"/>
      <c r="C2928" s="1061"/>
      <c r="D2928" s="291"/>
      <c r="E2928" s="1044"/>
    </row>
    <row r="2929" spans="1:5" x14ac:dyDescent="0.25">
      <c r="A2929" s="290"/>
      <c r="B2929" s="288"/>
      <c r="C2929" s="1061"/>
      <c r="D2929" s="291"/>
      <c r="E2929" s="1044"/>
    </row>
    <row r="2930" spans="1:5" x14ac:dyDescent="0.25">
      <c r="A2930" s="290"/>
      <c r="B2930" s="288"/>
      <c r="C2930" s="1061"/>
      <c r="D2930" s="291"/>
      <c r="E2930" s="1044"/>
    </row>
    <row r="2931" spans="1:5" x14ac:dyDescent="0.25">
      <c r="A2931" s="290"/>
      <c r="B2931" s="288"/>
      <c r="C2931" s="1061"/>
      <c r="D2931" s="291"/>
      <c r="E2931" s="1044"/>
    </row>
    <row r="2932" spans="1:5" x14ac:dyDescent="0.25">
      <c r="A2932" s="290"/>
      <c r="B2932" s="288"/>
      <c r="C2932" s="1061"/>
      <c r="D2932" s="291"/>
      <c r="E2932" s="1044"/>
    </row>
    <row r="2933" spans="1:5" x14ac:dyDescent="0.25">
      <c r="A2933" s="290"/>
      <c r="B2933" s="288"/>
      <c r="C2933" s="1061"/>
      <c r="D2933" s="291"/>
      <c r="E2933" s="1044"/>
    </row>
    <row r="2934" spans="1:5" x14ac:dyDescent="0.25">
      <c r="A2934" s="290"/>
      <c r="B2934" s="288"/>
      <c r="C2934" s="1061"/>
      <c r="D2934" s="291"/>
      <c r="E2934" s="1044"/>
    </row>
    <row r="2935" spans="1:5" x14ac:dyDescent="0.25">
      <c r="A2935" s="290"/>
      <c r="B2935" s="288"/>
      <c r="C2935" s="1061"/>
      <c r="D2935" s="291"/>
      <c r="E2935" s="1044"/>
    </row>
    <row r="2936" spans="1:5" x14ac:dyDescent="0.25">
      <c r="A2936" s="290"/>
      <c r="B2936" s="288"/>
      <c r="C2936" s="1061"/>
      <c r="D2936" s="291"/>
      <c r="E2936" s="1044"/>
    </row>
    <row r="2937" spans="1:5" x14ac:dyDescent="0.25">
      <c r="A2937" s="290"/>
      <c r="B2937" s="288"/>
      <c r="C2937" s="1061"/>
      <c r="D2937" s="291"/>
      <c r="E2937" s="1044"/>
    </row>
    <row r="2938" spans="1:5" x14ac:dyDescent="0.25">
      <c r="A2938" s="290"/>
      <c r="B2938" s="288"/>
      <c r="C2938" s="1061"/>
      <c r="D2938" s="291"/>
      <c r="E2938" s="1044"/>
    </row>
    <row r="2939" spans="1:5" x14ac:dyDescent="0.25">
      <c r="A2939" s="290"/>
      <c r="B2939" s="288"/>
      <c r="C2939" s="1061"/>
      <c r="D2939" s="291"/>
      <c r="E2939" s="1044"/>
    </row>
    <row r="2940" spans="1:5" x14ac:dyDescent="0.25">
      <c r="A2940" s="290"/>
      <c r="B2940" s="288"/>
      <c r="C2940" s="1061"/>
      <c r="D2940" s="291"/>
      <c r="E2940" s="1044"/>
    </row>
    <row r="2941" spans="1:5" x14ac:dyDescent="0.25">
      <c r="A2941" s="290"/>
      <c r="B2941" s="288"/>
      <c r="C2941" s="1061"/>
      <c r="D2941" s="291"/>
      <c r="E2941" s="1044"/>
    </row>
    <row r="2942" spans="1:5" x14ac:dyDescent="0.25">
      <c r="A2942" s="290"/>
      <c r="B2942" s="288"/>
      <c r="C2942" s="1061"/>
      <c r="D2942" s="291"/>
      <c r="E2942" s="1044"/>
    </row>
    <row r="2943" spans="1:5" x14ac:dyDescent="0.25">
      <c r="A2943" s="290"/>
      <c r="B2943" s="288"/>
      <c r="C2943" s="1061"/>
      <c r="D2943" s="291"/>
      <c r="E2943" s="1044"/>
    </row>
    <row r="2944" spans="1:5" x14ac:dyDescent="0.25">
      <c r="A2944" s="290"/>
      <c r="B2944" s="288"/>
      <c r="C2944" s="1061"/>
      <c r="D2944" s="291"/>
      <c r="E2944" s="1044"/>
    </row>
    <row r="2945" spans="1:5" x14ac:dyDescent="0.25">
      <c r="A2945" s="290"/>
      <c r="B2945" s="288"/>
      <c r="C2945" s="1061"/>
      <c r="D2945" s="291"/>
      <c r="E2945" s="1044"/>
    </row>
    <row r="2946" spans="1:5" x14ac:dyDescent="0.25">
      <c r="A2946" s="290"/>
      <c r="B2946" s="288"/>
      <c r="C2946" s="1061"/>
      <c r="D2946" s="291"/>
      <c r="E2946" s="1044"/>
    </row>
    <row r="2947" spans="1:5" x14ac:dyDescent="0.25">
      <c r="A2947" s="290"/>
      <c r="B2947" s="288"/>
      <c r="C2947" s="1061"/>
      <c r="D2947" s="291"/>
      <c r="E2947" s="1044"/>
    </row>
    <row r="2948" spans="1:5" x14ac:dyDescent="0.25">
      <c r="A2948" s="290"/>
      <c r="B2948" s="288"/>
      <c r="C2948" s="1061"/>
      <c r="D2948" s="291"/>
      <c r="E2948" s="1044"/>
    </row>
    <row r="2949" spans="1:5" x14ac:dyDescent="0.25">
      <c r="A2949" s="290"/>
      <c r="B2949" s="288"/>
      <c r="C2949" s="1061"/>
      <c r="D2949" s="291"/>
      <c r="E2949" s="1044"/>
    </row>
    <row r="2950" spans="1:5" x14ac:dyDescent="0.25">
      <c r="A2950" s="290"/>
      <c r="B2950" s="288"/>
      <c r="C2950" s="1061"/>
      <c r="D2950" s="291"/>
      <c r="E2950" s="1044"/>
    </row>
    <row r="2951" spans="1:5" x14ac:dyDescent="0.25">
      <c r="A2951" s="290"/>
      <c r="B2951" s="288"/>
      <c r="C2951" s="1061"/>
      <c r="D2951" s="291"/>
      <c r="E2951" s="1044"/>
    </row>
    <row r="2952" spans="1:5" x14ac:dyDescent="0.25">
      <c r="A2952" s="290"/>
      <c r="B2952" s="288"/>
      <c r="C2952" s="1061"/>
      <c r="D2952" s="291"/>
      <c r="E2952" s="1044"/>
    </row>
    <row r="2953" spans="1:5" x14ac:dyDescent="0.25">
      <c r="A2953" s="290"/>
      <c r="B2953" s="288"/>
      <c r="C2953" s="1061"/>
      <c r="D2953" s="291"/>
      <c r="E2953" s="1044"/>
    </row>
    <row r="2954" spans="1:5" x14ac:dyDescent="0.25">
      <c r="A2954" s="290"/>
      <c r="B2954" s="288"/>
      <c r="C2954" s="1061"/>
      <c r="D2954" s="291"/>
      <c r="E2954" s="1044"/>
    </row>
    <row r="2955" spans="1:5" x14ac:dyDescent="0.25">
      <c r="A2955" s="290"/>
      <c r="B2955" s="288"/>
      <c r="C2955" s="1061"/>
      <c r="D2955" s="291"/>
      <c r="E2955" s="1044"/>
    </row>
    <row r="2956" spans="1:5" x14ac:dyDescent="0.25">
      <c r="A2956" s="290"/>
      <c r="B2956" s="288"/>
      <c r="C2956" s="1061"/>
      <c r="D2956" s="291"/>
      <c r="E2956" s="1044"/>
    </row>
    <row r="2957" spans="1:5" x14ac:dyDescent="0.25">
      <c r="A2957" s="290"/>
      <c r="B2957" s="288"/>
      <c r="C2957" s="1061"/>
      <c r="D2957" s="291"/>
      <c r="E2957" s="1044"/>
    </row>
    <row r="2958" spans="1:5" x14ac:dyDescent="0.25">
      <c r="A2958" s="290"/>
      <c r="B2958" s="288"/>
      <c r="C2958" s="1061"/>
      <c r="D2958" s="291"/>
      <c r="E2958" s="1044"/>
    </row>
    <row r="2959" spans="1:5" x14ac:dyDescent="0.25">
      <c r="A2959" s="290"/>
      <c r="B2959" s="288"/>
      <c r="C2959" s="1061"/>
      <c r="D2959" s="291"/>
      <c r="E2959" s="1044"/>
    </row>
    <row r="2960" spans="1:5" x14ac:dyDescent="0.25">
      <c r="A2960" s="290"/>
      <c r="B2960" s="288"/>
      <c r="C2960" s="1061"/>
      <c r="D2960" s="291"/>
      <c r="E2960" s="1044"/>
    </row>
    <row r="2961" spans="1:5" x14ac:dyDescent="0.25">
      <c r="A2961" s="290"/>
      <c r="B2961" s="288"/>
      <c r="C2961" s="1061"/>
      <c r="D2961" s="291"/>
      <c r="E2961" s="1044"/>
    </row>
    <row r="2962" spans="1:5" x14ac:dyDescent="0.25">
      <c r="A2962" s="290"/>
      <c r="B2962" s="288"/>
      <c r="C2962" s="1061"/>
      <c r="D2962" s="291"/>
      <c r="E2962" s="1044"/>
    </row>
    <row r="2963" spans="1:5" x14ac:dyDescent="0.25">
      <c r="A2963" s="290"/>
      <c r="B2963" s="288"/>
      <c r="C2963" s="1061"/>
      <c r="D2963" s="291"/>
      <c r="E2963" s="1044"/>
    </row>
    <row r="2964" spans="1:5" x14ac:dyDescent="0.25">
      <c r="A2964" s="290"/>
      <c r="B2964" s="288"/>
      <c r="C2964" s="1061"/>
      <c r="D2964" s="291"/>
      <c r="E2964" s="1044"/>
    </row>
    <row r="2965" spans="1:5" x14ac:dyDescent="0.25">
      <c r="A2965" s="290"/>
      <c r="B2965" s="288"/>
      <c r="C2965" s="1061"/>
      <c r="D2965" s="291"/>
      <c r="E2965" s="1044"/>
    </row>
    <row r="2966" spans="1:5" x14ac:dyDescent="0.25">
      <c r="A2966" s="290"/>
      <c r="B2966" s="288"/>
      <c r="C2966" s="1061"/>
      <c r="D2966" s="291"/>
      <c r="E2966" s="1044"/>
    </row>
    <row r="2967" spans="1:5" x14ac:dyDescent="0.25">
      <c r="A2967" s="290"/>
      <c r="B2967" s="288"/>
      <c r="C2967" s="1061"/>
      <c r="D2967" s="291"/>
      <c r="E2967" s="1044"/>
    </row>
    <row r="2968" spans="1:5" x14ac:dyDescent="0.25">
      <c r="A2968" s="290"/>
      <c r="B2968" s="288"/>
      <c r="C2968" s="1061"/>
      <c r="D2968" s="291"/>
      <c r="E2968" s="1044"/>
    </row>
    <row r="2969" spans="1:5" x14ac:dyDescent="0.25">
      <c r="A2969" s="290"/>
      <c r="B2969" s="288"/>
      <c r="C2969" s="1061"/>
      <c r="D2969" s="291"/>
      <c r="E2969" s="1044"/>
    </row>
    <row r="2970" spans="1:5" x14ac:dyDescent="0.25">
      <c r="A2970" s="290"/>
      <c r="B2970" s="288"/>
      <c r="C2970" s="1061"/>
      <c r="D2970" s="291"/>
      <c r="E2970" s="1044"/>
    </row>
    <row r="2971" spans="1:5" x14ac:dyDescent="0.25">
      <c r="A2971" s="290"/>
      <c r="B2971" s="288"/>
      <c r="C2971" s="1061"/>
      <c r="D2971" s="291"/>
      <c r="E2971" s="1044"/>
    </row>
    <row r="2972" spans="1:5" x14ac:dyDescent="0.25">
      <c r="A2972" s="290"/>
      <c r="B2972" s="288"/>
      <c r="C2972" s="1061"/>
      <c r="D2972" s="291"/>
      <c r="E2972" s="1044"/>
    </row>
    <row r="2973" spans="1:5" x14ac:dyDescent="0.25">
      <c r="A2973" s="290"/>
      <c r="B2973" s="288"/>
      <c r="C2973" s="1061"/>
      <c r="D2973" s="291"/>
      <c r="E2973" s="1044"/>
    </row>
    <row r="2974" spans="1:5" x14ac:dyDescent="0.25">
      <c r="A2974" s="290"/>
      <c r="B2974" s="288"/>
      <c r="C2974" s="1061"/>
      <c r="D2974" s="291"/>
      <c r="E2974" s="1044"/>
    </row>
    <row r="2975" spans="1:5" x14ac:dyDescent="0.25">
      <c r="A2975" s="290"/>
      <c r="B2975" s="288"/>
      <c r="C2975" s="1061"/>
      <c r="D2975" s="291"/>
      <c r="E2975" s="1044"/>
    </row>
    <row r="2976" spans="1:5" x14ac:dyDescent="0.25">
      <c r="A2976" s="290"/>
      <c r="B2976" s="288"/>
      <c r="C2976" s="1061"/>
      <c r="D2976" s="291"/>
      <c r="E2976" s="1044"/>
    </row>
    <row r="2977" spans="1:5" x14ac:dyDescent="0.25">
      <c r="A2977" s="290"/>
      <c r="B2977" s="288"/>
      <c r="C2977" s="1061"/>
      <c r="D2977" s="291"/>
      <c r="E2977" s="1044"/>
    </row>
    <row r="2978" spans="1:5" x14ac:dyDescent="0.25">
      <c r="A2978" s="290"/>
      <c r="B2978" s="288"/>
      <c r="C2978" s="1061"/>
      <c r="D2978" s="291"/>
      <c r="E2978" s="1044"/>
    </row>
    <row r="2979" spans="1:5" x14ac:dyDescent="0.25">
      <c r="A2979" s="290"/>
      <c r="B2979" s="288"/>
      <c r="C2979" s="1061"/>
      <c r="D2979" s="291"/>
      <c r="E2979" s="1044"/>
    </row>
    <row r="2980" spans="1:5" x14ac:dyDescent="0.25">
      <c r="A2980" s="290"/>
      <c r="B2980" s="288"/>
      <c r="C2980" s="1061"/>
      <c r="D2980" s="291"/>
      <c r="E2980" s="1044"/>
    </row>
    <row r="2981" spans="1:5" x14ac:dyDescent="0.25">
      <c r="A2981" s="290"/>
      <c r="B2981" s="288"/>
      <c r="C2981" s="1061"/>
      <c r="D2981" s="291"/>
      <c r="E2981" s="1044"/>
    </row>
    <row r="2982" spans="1:5" x14ac:dyDescent="0.25">
      <c r="A2982" s="290"/>
      <c r="B2982" s="288"/>
      <c r="C2982" s="1061"/>
      <c r="D2982" s="291"/>
      <c r="E2982" s="1044"/>
    </row>
    <row r="2983" spans="1:5" x14ac:dyDescent="0.25">
      <c r="A2983" s="290"/>
      <c r="B2983" s="288"/>
      <c r="C2983" s="1061"/>
      <c r="D2983" s="291"/>
      <c r="E2983" s="1044"/>
    </row>
    <row r="2984" spans="1:5" x14ac:dyDescent="0.25">
      <c r="A2984" s="290"/>
      <c r="B2984" s="288"/>
      <c r="C2984" s="1061"/>
      <c r="D2984" s="291"/>
      <c r="E2984" s="1044"/>
    </row>
    <row r="2985" spans="1:5" x14ac:dyDescent="0.25">
      <c r="A2985" s="290"/>
      <c r="B2985" s="288"/>
      <c r="C2985" s="1061"/>
      <c r="D2985" s="291"/>
      <c r="E2985" s="1044"/>
    </row>
    <row r="2986" spans="1:5" x14ac:dyDescent="0.25">
      <c r="A2986" s="290"/>
      <c r="B2986" s="288"/>
      <c r="C2986" s="1061"/>
      <c r="D2986" s="291"/>
      <c r="E2986" s="1044"/>
    </row>
    <row r="2987" spans="1:5" x14ac:dyDescent="0.25">
      <c r="A2987" s="290"/>
      <c r="B2987" s="288"/>
      <c r="C2987" s="1061"/>
      <c r="D2987" s="291"/>
      <c r="E2987" s="1044"/>
    </row>
    <row r="2988" spans="1:5" x14ac:dyDescent="0.25">
      <c r="A2988" s="290"/>
      <c r="B2988" s="288"/>
      <c r="C2988" s="1061"/>
      <c r="D2988" s="291"/>
      <c r="E2988" s="1044"/>
    </row>
    <row r="2989" spans="1:5" x14ac:dyDescent="0.25">
      <c r="A2989" s="290"/>
      <c r="B2989" s="288"/>
      <c r="C2989" s="1061"/>
      <c r="D2989" s="291"/>
      <c r="E2989" s="1044"/>
    </row>
    <row r="2990" spans="1:5" x14ac:dyDescent="0.25">
      <c r="A2990" s="290"/>
      <c r="B2990" s="288"/>
      <c r="C2990" s="1061"/>
      <c r="D2990" s="291"/>
      <c r="E2990" s="1044"/>
    </row>
    <row r="2991" spans="1:5" x14ac:dyDescent="0.25">
      <c r="A2991" s="290"/>
      <c r="B2991" s="288"/>
      <c r="C2991" s="1061"/>
      <c r="D2991" s="291"/>
      <c r="E2991" s="1044"/>
    </row>
    <row r="2992" spans="1:5" x14ac:dyDescent="0.25">
      <c r="A2992" s="290"/>
      <c r="B2992" s="288"/>
      <c r="C2992" s="1061"/>
      <c r="D2992" s="291"/>
      <c r="E2992" s="1044"/>
    </row>
    <row r="2993" spans="1:5" x14ac:dyDescent="0.25">
      <c r="A2993" s="290"/>
      <c r="B2993" s="288"/>
      <c r="C2993" s="1061"/>
      <c r="D2993" s="291"/>
      <c r="E2993" s="1044"/>
    </row>
    <row r="2994" spans="1:5" x14ac:dyDescent="0.25">
      <c r="A2994" s="290"/>
      <c r="B2994" s="288"/>
      <c r="C2994" s="1061"/>
      <c r="D2994" s="291"/>
      <c r="E2994" s="1044"/>
    </row>
    <row r="2995" spans="1:5" x14ac:dyDescent="0.25">
      <c r="A2995" s="290"/>
      <c r="B2995" s="288"/>
      <c r="C2995" s="1061"/>
      <c r="D2995" s="291"/>
      <c r="E2995" s="1044"/>
    </row>
    <row r="2996" spans="1:5" x14ac:dyDescent="0.25">
      <c r="A2996" s="290"/>
      <c r="B2996" s="288"/>
      <c r="C2996" s="1061"/>
      <c r="D2996" s="291"/>
      <c r="E2996" s="1044"/>
    </row>
    <row r="2997" spans="1:5" x14ac:dyDescent="0.25">
      <c r="A2997" s="290"/>
      <c r="B2997" s="288"/>
      <c r="C2997" s="1061"/>
      <c r="D2997" s="291"/>
      <c r="E2997" s="1044"/>
    </row>
    <row r="2998" spans="1:5" x14ac:dyDescent="0.25">
      <c r="A2998" s="290"/>
      <c r="B2998" s="288"/>
      <c r="C2998" s="1061"/>
      <c r="D2998" s="291"/>
      <c r="E2998" s="1044"/>
    </row>
    <row r="2999" spans="1:5" x14ac:dyDescent="0.25">
      <c r="A2999" s="290"/>
      <c r="B2999" s="288"/>
      <c r="C2999" s="1061"/>
      <c r="D2999" s="291"/>
      <c r="E2999" s="1044"/>
    </row>
    <row r="3000" spans="1:5" x14ac:dyDescent="0.25">
      <c r="A3000" s="290"/>
      <c r="B3000" s="288"/>
      <c r="C3000" s="1061"/>
      <c r="D3000" s="291"/>
      <c r="E3000" s="1044"/>
    </row>
    <row r="3001" spans="1:5" x14ac:dyDescent="0.25">
      <c r="A3001" s="290"/>
      <c r="B3001" s="288"/>
      <c r="C3001" s="1061"/>
      <c r="D3001" s="291"/>
      <c r="E3001" s="1044"/>
    </row>
    <row r="3002" spans="1:5" x14ac:dyDescent="0.25">
      <c r="A3002" s="290"/>
      <c r="B3002" s="288"/>
      <c r="C3002" s="1061"/>
      <c r="D3002" s="291"/>
      <c r="E3002" s="1044"/>
    </row>
    <row r="3003" spans="1:5" x14ac:dyDescent="0.25">
      <c r="A3003" s="290"/>
      <c r="B3003" s="288"/>
      <c r="C3003" s="1061"/>
      <c r="D3003" s="291"/>
      <c r="E3003" s="1044"/>
    </row>
    <row r="3004" spans="1:5" x14ac:dyDescent="0.25">
      <c r="A3004" s="290"/>
      <c r="B3004" s="288"/>
      <c r="C3004" s="1061"/>
      <c r="D3004" s="291"/>
      <c r="E3004" s="1044"/>
    </row>
    <row r="3005" spans="1:5" x14ac:dyDescent="0.25">
      <c r="A3005" s="290"/>
      <c r="B3005" s="288"/>
      <c r="C3005" s="1061"/>
      <c r="D3005" s="291"/>
      <c r="E3005" s="1044"/>
    </row>
    <row r="3006" spans="1:5" x14ac:dyDescent="0.25">
      <c r="A3006" s="290"/>
      <c r="B3006" s="288"/>
      <c r="C3006" s="1061"/>
      <c r="D3006" s="291"/>
      <c r="E3006" s="1044"/>
    </row>
    <row r="3007" spans="1:5" x14ac:dyDescent="0.25">
      <c r="A3007" s="290"/>
      <c r="B3007" s="288"/>
      <c r="C3007" s="1061"/>
      <c r="D3007" s="291"/>
      <c r="E3007" s="1044"/>
    </row>
    <row r="3008" spans="1:5" x14ac:dyDescent="0.25">
      <c r="A3008" s="290"/>
      <c r="B3008" s="288"/>
      <c r="C3008" s="1061"/>
      <c r="D3008" s="291"/>
      <c r="E3008" s="1044"/>
    </row>
    <row r="3009" spans="1:5" x14ac:dyDescent="0.25">
      <c r="A3009" s="290"/>
      <c r="B3009" s="288"/>
      <c r="C3009" s="1061"/>
      <c r="D3009" s="291"/>
      <c r="E3009" s="1044"/>
    </row>
    <row r="3010" spans="1:5" x14ac:dyDescent="0.25">
      <c r="A3010" s="290"/>
      <c r="B3010" s="288"/>
      <c r="C3010" s="1061"/>
      <c r="D3010" s="291"/>
      <c r="E3010" s="1044"/>
    </row>
    <row r="3011" spans="1:5" x14ac:dyDescent="0.25">
      <c r="A3011" s="290"/>
      <c r="B3011" s="288"/>
      <c r="C3011" s="1061"/>
      <c r="D3011" s="291"/>
      <c r="E3011" s="1044"/>
    </row>
    <row r="3012" spans="1:5" x14ac:dyDescent="0.25">
      <c r="A3012" s="290"/>
      <c r="B3012" s="288"/>
      <c r="C3012" s="1061"/>
      <c r="D3012" s="291"/>
      <c r="E3012" s="1044"/>
    </row>
    <row r="3013" spans="1:5" x14ac:dyDescent="0.25">
      <c r="A3013" s="290"/>
      <c r="B3013" s="288"/>
      <c r="C3013" s="1061"/>
      <c r="D3013" s="291"/>
      <c r="E3013" s="1044"/>
    </row>
    <row r="3014" spans="1:5" x14ac:dyDescent="0.25">
      <c r="A3014" s="290"/>
      <c r="B3014" s="288"/>
      <c r="C3014" s="1061"/>
      <c r="D3014" s="291"/>
      <c r="E3014" s="1044"/>
    </row>
    <row r="3015" spans="1:5" x14ac:dyDescent="0.25">
      <c r="A3015" s="290"/>
      <c r="B3015" s="288"/>
      <c r="C3015" s="1061"/>
      <c r="D3015" s="291"/>
      <c r="E3015" s="1044"/>
    </row>
    <row r="3016" spans="1:5" x14ac:dyDescent="0.25">
      <c r="A3016" s="290"/>
      <c r="B3016" s="288"/>
      <c r="C3016" s="1061"/>
      <c r="D3016" s="291"/>
      <c r="E3016" s="1044"/>
    </row>
    <row r="3017" spans="1:5" x14ac:dyDescent="0.25">
      <c r="A3017" s="290"/>
      <c r="B3017" s="288"/>
      <c r="C3017" s="1061"/>
      <c r="D3017" s="291"/>
      <c r="E3017" s="1044"/>
    </row>
    <row r="3018" spans="1:5" x14ac:dyDescent="0.25">
      <c r="A3018" s="290"/>
      <c r="B3018" s="288"/>
      <c r="C3018" s="1061"/>
      <c r="D3018" s="291"/>
      <c r="E3018" s="1044"/>
    </row>
    <row r="3019" spans="1:5" x14ac:dyDescent="0.25">
      <c r="A3019" s="290"/>
      <c r="B3019" s="288"/>
      <c r="C3019" s="1061"/>
      <c r="D3019" s="291"/>
      <c r="E3019" s="1044"/>
    </row>
    <row r="3020" spans="1:5" x14ac:dyDescent="0.25">
      <c r="A3020" s="290"/>
      <c r="B3020" s="288"/>
      <c r="C3020" s="1061"/>
      <c r="D3020" s="291"/>
      <c r="E3020" s="1044"/>
    </row>
    <row r="3021" spans="1:5" x14ac:dyDescent="0.25">
      <c r="A3021" s="290"/>
      <c r="B3021" s="288"/>
      <c r="C3021" s="1061"/>
      <c r="D3021" s="291"/>
      <c r="E3021" s="1044"/>
    </row>
    <row r="3022" spans="1:5" x14ac:dyDescent="0.25">
      <c r="A3022" s="290"/>
      <c r="B3022" s="288"/>
      <c r="C3022" s="1061"/>
      <c r="D3022" s="291"/>
      <c r="E3022" s="1044"/>
    </row>
    <row r="3023" spans="1:5" x14ac:dyDescent="0.25">
      <c r="A3023" s="290"/>
      <c r="B3023" s="288"/>
      <c r="C3023" s="1061"/>
      <c r="D3023" s="291"/>
      <c r="E3023" s="1044"/>
    </row>
    <row r="3024" spans="1:5" x14ac:dyDescent="0.25">
      <c r="A3024" s="290"/>
      <c r="B3024" s="288"/>
      <c r="C3024" s="1061"/>
      <c r="D3024" s="291"/>
      <c r="E3024" s="1044"/>
    </row>
    <row r="3025" spans="1:5" x14ac:dyDescent="0.25">
      <c r="A3025" s="290"/>
      <c r="B3025" s="288"/>
      <c r="C3025" s="1061"/>
      <c r="D3025" s="291"/>
      <c r="E3025" s="1044"/>
    </row>
    <row r="3026" spans="1:5" x14ac:dyDescent="0.25">
      <c r="A3026" s="290"/>
      <c r="B3026" s="288"/>
      <c r="C3026" s="1061"/>
      <c r="D3026" s="291"/>
      <c r="E3026" s="1044"/>
    </row>
    <row r="3027" spans="1:5" x14ac:dyDescent="0.25">
      <c r="A3027" s="290"/>
      <c r="B3027" s="288"/>
      <c r="C3027" s="1061"/>
      <c r="D3027" s="291"/>
      <c r="E3027" s="1044"/>
    </row>
    <row r="3028" spans="1:5" x14ac:dyDescent="0.25">
      <c r="A3028" s="290"/>
      <c r="B3028" s="288"/>
      <c r="C3028" s="1061"/>
      <c r="D3028" s="291"/>
      <c r="E3028" s="1044"/>
    </row>
    <row r="3029" spans="1:5" x14ac:dyDescent="0.25">
      <c r="A3029" s="290"/>
      <c r="B3029" s="288"/>
      <c r="C3029" s="1061"/>
      <c r="D3029" s="291"/>
      <c r="E3029" s="1044"/>
    </row>
    <row r="3030" spans="1:5" x14ac:dyDescent="0.25">
      <c r="A3030" s="290"/>
      <c r="B3030" s="288"/>
      <c r="C3030" s="1061"/>
      <c r="D3030" s="291"/>
      <c r="E3030" s="1044"/>
    </row>
    <row r="3031" spans="1:5" x14ac:dyDescent="0.25">
      <c r="A3031" s="290"/>
      <c r="B3031" s="288"/>
      <c r="C3031" s="1061"/>
      <c r="D3031" s="291"/>
      <c r="E3031" s="1044"/>
    </row>
    <row r="3032" spans="1:5" x14ac:dyDescent="0.25">
      <c r="A3032" s="290"/>
      <c r="B3032" s="288"/>
      <c r="C3032" s="1061"/>
      <c r="D3032" s="291"/>
      <c r="E3032" s="1044"/>
    </row>
    <row r="3033" spans="1:5" x14ac:dyDescent="0.25">
      <c r="A3033" s="290"/>
      <c r="B3033" s="288"/>
      <c r="C3033" s="1061"/>
      <c r="D3033" s="291"/>
      <c r="E3033" s="1044"/>
    </row>
    <row r="3034" spans="1:5" x14ac:dyDescent="0.25">
      <c r="A3034" s="290"/>
      <c r="B3034" s="288"/>
      <c r="C3034" s="1061"/>
      <c r="D3034" s="291"/>
      <c r="E3034" s="1044"/>
    </row>
    <row r="3035" spans="1:5" x14ac:dyDescent="0.25">
      <c r="A3035" s="290"/>
      <c r="B3035" s="288"/>
      <c r="C3035" s="1061"/>
      <c r="D3035" s="291"/>
      <c r="E3035" s="1044"/>
    </row>
    <row r="3036" spans="1:5" x14ac:dyDescent="0.25">
      <c r="A3036" s="290"/>
      <c r="B3036" s="288"/>
      <c r="C3036" s="1061"/>
      <c r="D3036" s="291"/>
      <c r="E3036" s="1044"/>
    </row>
    <row r="3037" spans="1:5" x14ac:dyDescent="0.25">
      <c r="A3037" s="290"/>
      <c r="B3037" s="288"/>
      <c r="C3037" s="1061"/>
      <c r="D3037" s="291"/>
      <c r="E3037" s="1044"/>
    </row>
    <row r="3038" spans="1:5" x14ac:dyDescent="0.25">
      <c r="A3038" s="290"/>
      <c r="B3038" s="288"/>
      <c r="C3038" s="1061"/>
      <c r="D3038" s="291"/>
      <c r="E3038" s="1044"/>
    </row>
    <row r="3039" spans="1:5" x14ac:dyDescent="0.25">
      <c r="A3039" s="290"/>
      <c r="B3039" s="288"/>
      <c r="C3039" s="1061"/>
      <c r="D3039" s="291"/>
      <c r="E3039" s="1044"/>
    </row>
    <row r="3040" spans="1:5" x14ac:dyDescent="0.25">
      <c r="A3040" s="290"/>
      <c r="B3040" s="288"/>
      <c r="C3040" s="1061"/>
      <c r="D3040" s="291"/>
      <c r="E3040" s="1044"/>
    </row>
    <row r="3041" spans="1:5" x14ac:dyDescent="0.25">
      <c r="A3041" s="290"/>
      <c r="B3041" s="288"/>
      <c r="C3041" s="1061"/>
      <c r="D3041" s="291"/>
      <c r="E3041" s="1044"/>
    </row>
    <row r="3042" spans="1:5" x14ac:dyDescent="0.25">
      <c r="A3042" s="290"/>
      <c r="B3042" s="288"/>
      <c r="C3042" s="1061"/>
      <c r="D3042" s="291"/>
      <c r="E3042" s="1044"/>
    </row>
    <row r="3043" spans="1:5" x14ac:dyDescent="0.25">
      <c r="A3043" s="290"/>
      <c r="B3043" s="288"/>
      <c r="C3043" s="1061"/>
      <c r="D3043" s="291"/>
      <c r="E3043" s="1044"/>
    </row>
    <row r="3044" spans="1:5" x14ac:dyDescent="0.25">
      <c r="A3044" s="290"/>
      <c r="B3044" s="288"/>
      <c r="C3044" s="1061"/>
      <c r="D3044" s="291"/>
      <c r="E3044" s="1044"/>
    </row>
    <row r="3045" spans="1:5" x14ac:dyDescent="0.25">
      <c r="A3045" s="290"/>
      <c r="B3045" s="288"/>
      <c r="C3045" s="1061"/>
      <c r="D3045" s="291"/>
      <c r="E3045" s="1044"/>
    </row>
    <row r="3046" spans="1:5" x14ac:dyDescent="0.25">
      <c r="A3046" s="290"/>
      <c r="B3046" s="288"/>
      <c r="C3046" s="1061"/>
      <c r="D3046" s="291"/>
      <c r="E3046" s="1044"/>
    </row>
    <row r="3047" spans="1:5" x14ac:dyDescent="0.25">
      <c r="A3047" s="290"/>
      <c r="B3047" s="288"/>
      <c r="C3047" s="1061"/>
      <c r="D3047" s="291"/>
      <c r="E3047" s="1044"/>
    </row>
    <row r="3048" spans="1:5" x14ac:dyDescent="0.25">
      <c r="A3048" s="290"/>
      <c r="B3048" s="288"/>
      <c r="C3048" s="1061"/>
      <c r="D3048" s="291"/>
      <c r="E3048" s="1044"/>
    </row>
    <row r="3049" spans="1:5" x14ac:dyDescent="0.25">
      <c r="A3049" s="290"/>
      <c r="B3049" s="288"/>
      <c r="C3049" s="1061"/>
      <c r="D3049" s="291"/>
      <c r="E3049" s="1044"/>
    </row>
    <row r="3050" spans="1:5" x14ac:dyDescent="0.25">
      <c r="A3050" s="290"/>
      <c r="B3050" s="288"/>
      <c r="C3050" s="1061"/>
      <c r="D3050" s="291"/>
      <c r="E3050" s="1044"/>
    </row>
    <row r="3051" spans="1:5" x14ac:dyDescent="0.25">
      <c r="A3051" s="290"/>
      <c r="B3051" s="288"/>
      <c r="C3051" s="1061"/>
      <c r="D3051" s="291"/>
      <c r="E3051" s="1044"/>
    </row>
    <row r="3052" spans="1:5" x14ac:dyDescent="0.25">
      <c r="A3052" s="290"/>
      <c r="B3052" s="288"/>
      <c r="C3052" s="1061"/>
      <c r="D3052" s="291"/>
      <c r="E3052" s="1044"/>
    </row>
    <row r="3053" spans="1:5" x14ac:dyDescent="0.25">
      <c r="A3053" s="290"/>
      <c r="B3053" s="288"/>
      <c r="C3053" s="1061"/>
      <c r="D3053" s="291"/>
      <c r="E3053" s="1044"/>
    </row>
    <row r="3054" spans="1:5" x14ac:dyDescent="0.25">
      <c r="A3054" s="290"/>
      <c r="B3054" s="288"/>
      <c r="C3054" s="1061"/>
      <c r="D3054" s="291"/>
      <c r="E3054" s="1044"/>
    </row>
    <row r="3055" spans="1:5" x14ac:dyDescent="0.25">
      <c r="A3055" s="290"/>
      <c r="B3055" s="288"/>
      <c r="C3055" s="1061"/>
      <c r="D3055" s="291"/>
      <c r="E3055" s="1044"/>
    </row>
    <row r="3056" spans="1:5" x14ac:dyDescent="0.25">
      <c r="A3056" s="290"/>
      <c r="B3056" s="288"/>
      <c r="C3056" s="1061"/>
      <c r="D3056" s="291"/>
      <c r="E3056" s="1044"/>
    </row>
    <row r="3057" spans="1:5" x14ac:dyDescent="0.25">
      <c r="A3057" s="290"/>
      <c r="B3057" s="288"/>
      <c r="C3057" s="1061"/>
      <c r="D3057" s="291"/>
      <c r="E3057" s="1044"/>
    </row>
    <row r="3058" spans="1:5" x14ac:dyDescent="0.25">
      <c r="A3058" s="290"/>
      <c r="B3058" s="288"/>
      <c r="C3058" s="1061"/>
      <c r="D3058" s="291"/>
      <c r="E3058" s="1044"/>
    </row>
    <row r="3059" spans="1:5" x14ac:dyDescent="0.25">
      <c r="A3059" s="290"/>
      <c r="B3059" s="288"/>
      <c r="C3059" s="1061"/>
      <c r="D3059" s="291"/>
      <c r="E3059" s="1044"/>
    </row>
    <row r="3060" spans="1:5" x14ac:dyDescent="0.25">
      <c r="A3060" s="290"/>
      <c r="B3060" s="288"/>
      <c r="C3060" s="1061"/>
      <c r="D3060" s="291"/>
      <c r="E3060" s="1044"/>
    </row>
    <row r="3061" spans="1:5" x14ac:dyDescent="0.25">
      <c r="A3061" s="290"/>
      <c r="B3061" s="288"/>
      <c r="C3061" s="1061"/>
      <c r="D3061" s="291"/>
      <c r="E3061" s="1044"/>
    </row>
    <row r="3062" spans="1:5" x14ac:dyDescent="0.25">
      <c r="A3062" s="290"/>
      <c r="B3062" s="288"/>
      <c r="C3062" s="1061"/>
      <c r="D3062" s="291"/>
      <c r="E3062" s="1044"/>
    </row>
    <row r="3063" spans="1:5" x14ac:dyDescent="0.25">
      <c r="A3063" s="290"/>
      <c r="B3063" s="288"/>
      <c r="C3063" s="1061"/>
      <c r="D3063" s="291"/>
      <c r="E3063" s="1044"/>
    </row>
    <row r="3064" spans="1:5" x14ac:dyDescent="0.25">
      <c r="A3064" s="290"/>
      <c r="B3064" s="288"/>
      <c r="C3064" s="1061"/>
      <c r="D3064" s="291"/>
      <c r="E3064" s="1044"/>
    </row>
    <row r="3065" spans="1:5" x14ac:dyDescent="0.25">
      <c r="A3065" s="290"/>
      <c r="B3065" s="288"/>
      <c r="C3065" s="1061"/>
      <c r="D3065" s="291"/>
      <c r="E3065" s="1044"/>
    </row>
    <row r="3066" spans="1:5" x14ac:dyDescent="0.25">
      <c r="A3066" s="290"/>
      <c r="B3066" s="288"/>
      <c r="C3066" s="1061"/>
      <c r="D3066" s="291"/>
      <c r="E3066" s="1044"/>
    </row>
    <row r="3067" spans="1:5" x14ac:dyDescent="0.25">
      <c r="A3067" s="290"/>
      <c r="B3067" s="288"/>
      <c r="C3067" s="1061"/>
      <c r="D3067" s="291"/>
      <c r="E3067" s="1044"/>
    </row>
    <row r="3068" spans="1:5" x14ac:dyDescent="0.25">
      <c r="A3068" s="290"/>
      <c r="B3068" s="288"/>
      <c r="C3068" s="1061"/>
      <c r="D3068" s="291"/>
      <c r="E3068" s="1044"/>
    </row>
    <row r="3069" spans="1:5" x14ac:dyDescent="0.25">
      <c r="A3069" s="290"/>
      <c r="B3069" s="288"/>
      <c r="C3069" s="1061"/>
      <c r="D3069" s="291"/>
      <c r="E3069" s="1044"/>
    </row>
    <row r="3070" spans="1:5" x14ac:dyDescent="0.25">
      <c r="A3070" s="290"/>
      <c r="B3070" s="288"/>
      <c r="C3070" s="1061"/>
      <c r="D3070" s="291"/>
      <c r="E3070" s="1044"/>
    </row>
    <row r="3071" spans="1:5" x14ac:dyDescent="0.25">
      <c r="A3071" s="290"/>
      <c r="B3071" s="288"/>
      <c r="C3071" s="1061"/>
      <c r="D3071" s="291"/>
      <c r="E3071" s="1044"/>
    </row>
    <row r="3072" spans="1:5" x14ac:dyDescent="0.25">
      <c r="A3072" s="290"/>
      <c r="B3072" s="288"/>
      <c r="C3072" s="1061"/>
      <c r="D3072" s="291"/>
      <c r="E3072" s="1044"/>
    </row>
    <row r="3073" spans="1:5" x14ac:dyDescent="0.25">
      <c r="A3073" s="290"/>
      <c r="B3073" s="288"/>
      <c r="C3073" s="1061"/>
      <c r="D3073" s="291"/>
      <c r="E3073" s="1044"/>
    </row>
    <row r="3074" spans="1:5" x14ac:dyDescent="0.25">
      <c r="A3074" s="290"/>
      <c r="B3074" s="288"/>
      <c r="C3074" s="1061"/>
      <c r="D3074" s="291"/>
      <c r="E3074" s="1044"/>
    </row>
    <row r="3075" spans="1:5" x14ac:dyDescent="0.25">
      <c r="A3075" s="290"/>
      <c r="B3075" s="288"/>
      <c r="C3075" s="1061"/>
      <c r="D3075" s="291"/>
      <c r="E3075" s="1044"/>
    </row>
    <row r="3076" spans="1:5" x14ac:dyDescent="0.25">
      <c r="A3076" s="290"/>
      <c r="B3076" s="288"/>
      <c r="C3076" s="1061"/>
      <c r="D3076" s="291"/>
      <c r="E3076" s="1044"/>
    </row>
    <row r="3077" spans="1:5" x14ac:dyDescent="0.25">
      <c r="A3077" s="290"/>
      <c r="B3077" s="288"/>
      <c r="C3077" s="1061"/>
      <c r="D3077" s="291"/>
      <c r="E3077" s="1044"/>
    </row>
    <row r="3078" spans="1:5" x14ac:dyDescent="0.25">
      <c r="A3078" s="290"/>
      <c r="B3078" s="288"/>
      <c r="C3078" s="1061"/>
      <c r="D3078" s="291"/>
      <c r="E3078" s="1044"/>
    </row>
    <row r="3079" spans="1:5" x14ac:dyDescent="0.25">
      <c r="A3079" s="290"/>
      <c r="B3079" s="288"/>
      <c r="C3079" s="1061"/>
      <c r="D3079" s="291"/>
      <c r="E3079" s="1044"/>
    </row>
    <row r="3080" spans="1:5" x14ac:dyDescent="0.25">
      <c r="A3080" s="290"/>
      <c r="B3080" s="288"/>
      <c r="C3080" s="1061"/>
      <c r="D3080" s="291"/>
      <c r="E3080" s="1044"/>
    </row>
    <row r="3081" spans="1:5" x14ac:dyDescent="0.25">
      <c r="A3081" s="290"/>
      <c r="B3081" s="288"/>
      <c r="C3081" s="1061"/>
      <c r="D3081" s="291"/>
      <c r="E3081" s="1044"/>
    </row>
    <row r="3082" spans="1:5" x14ac:dyDescent="0.25">
      <c r="A3082" s="290"/>
      <c r="B3082" s="288"/>
      <c r="C3082" s="1061"/>
      <c r="D3082" s="291"/>
      <c r="E3082" s="1044"/>
    </row>
    <row r="3083" spans="1:5" x14ac:dyDescent="0.25">
      <c r="A3083" s="290"/>
      <c r="B3083" s="288"/>
      <c r="C3083" s="1061"/>
      <c r="D3083" s="291"/>
      <c r="E3083" s="1044"/>
    </row>
    <row r="3084" spans="1:5" x14ac:dyDescent="0.25">
      <c r="A3084" s="290"/>
      <c r="B3084" s="288"/>
      <c r="C3084" s="1061"/>
      <c r="D3084" s="291"/>
      <c r="E3084" s="1044"/>
    </row>
    <row r="3085" spans="1:5" x14ac:dyDescent="0.25">
      <c r="A3085" s="290"/>
      <c r="B3085" s="288"/>
      <c r="C3085" s="1061"/>
      <c r="D3085" s="291"/>
      <c r="E3085" s="1044"/>
    </row>
    <row r="3086" spans="1:5" x14ac:dyDescent="0.25">
      <c r="A3086" s="290"/>
      <c r="B3086" s="288"/>
      <c r="C3086" s="1061"/>
      <c r="D3086" s="291"/>
      <c r="E3086" s="1044"/>
    </row>
    <row r="3087" spans="1:5" x14ac:dyDescent="0.25">
      <c r="A3087" s="290"/>
      <c r="B3087" s="288"/>
      <c r="C3087" s="1061"/>
      <c r="D3087" s="291"/>
      <c r="E3087" s="1044"/>
    </row>
    <row r="3088" spans="1:5" x14ac:dyDescent="0.25">
      <c r="A3088" s="290"/>
      <c r="B3088" s="288"/>
      <c r="C3088" s="1061"/>
      <c r="D3088" s="291"/>
      <c r="E3088" s="1044"/>
    </row>
    <row r="3089" spans="1:5" x14ac:dyDescent="0.25">
      <c r="A3089" s="290"/>
      <c r="B3089" s="288"/>
      <c r="C3089" s="1061"/>
      <c r="D3089" s="291"/>
      <c r="E3089" s="1044"/>
    </row>
    <row r="3090" spans="1:5" x14ac:dyDescent="0.25">
      <c r="A3090" s="290"/>
      <c r="B3090" s="288"/>
      <c r="C3090" s="1061"/>
      <c r="D3090" s="291"/>
      <c r="E3090" s="1044"/>
    </row>
    <row r="3091" spans="1:5" x14ac:dyDescent="0.25">
      <c r="A3091" s="290"/>
      <c r="B3091" s="288"/>
      <c r="C3091" s="1061"/>
      <c r="D3091" s="291"/>
      <c r="E3091" s="1044"/>
    </row>
    <row r="3092" spans="1:5" x14ac:dyDescent="0.25">
      <c r="A3092" s="290"/>
      <c r="B3092" s="288"/>
      <c r="C3092" s="1061"/>
      <c r="D3092" s="291"/>
      <c r="E3092" s="1044"/>
    </row>
    <row r="3093" spans="1:5" x14ac:dyDescent="0.25">
      <c r="A3093" s="290"/>
      <c r="B3093" s="288"/>
      <c r="C3093" s="1061"/>
      <c r="D3093" s="291"/>
      <c r="E3093" s="1044"/>
    </row>
    <row r="3094" spans="1:5" x14ac:dyDescent="0.25">
      <c r="A3094" s="290"/>
      <c r="B3094" s="288"/>
      <c r="C3094" s="1061"/>
      <c r="D3094" s="291"/>
      <c r="E3094" s="1044"/>
    </row>
    <row r="3095" spans="1:5" x14ac:dyDescent="0.25">
      <c r="A3095" s="290"/>
      <c r="B3095" s="288"/>
      <c r="C3095" s="1061"/>
      <c r="D3095" s="291"/>
      <c r="E3095" s="1044"/>
    </row>
    <row r="3096" spans="1:5" x14ac:dyDescent="0.25">
      <c r="A3096" s="290"/>
      <c r="B3096" s="288"/>
      <c r="C3096" s="1061"/>
      <c r="D3096" s="291"/>
      <c r="E3096" s="1044"/>
    </row>
    <row r="3097" spans="1:5" x14ac:dyDescent="0.25">
      <c r="A3097" s="290"/>
      <c r="B3097" s="288"/>
      <c r="C3097" s="1061"/>
      <c r="D3097" s="291"/>
      <c r="E3097" s="1044"/>
    </row>
    <row r="3098" spans="1:5" x14ac:dyDescent="0.25">
      <c r="A3098" s="290"/>
      <c r="B3098" s="288"/>
      <c r="C3098" s="1061"/>
      <c r="D3098" s="291"/>
      <c r="E3098" s="1044"/>
    </row>
    <row r="3099" spans="1:5" x14ac:dyDescent="0.25">
      <c r="A3099" s="290"/>
      <c r="B3099" s="288"/>
      <c r="C3099" s="1061"/>
      <c r="D3099" s="291"/>
      <c r="E3099" s="1044"/>
    </row>
    <row r="3100" spans="1:5" x14ac:dyDescent="0.25">
      <c r="A3100" s="290"/>
      <c r="B3100" s="288"/>
      <c r="C3100" s="1061"/>
      <c r="D3100" s="291"/>
      <c r="E3100" s="1044"/>
    </row>
    <row r="3101" spans="1:5" x14ac:dyDescent="0.25">
      <c r="A3101" s="290"/>
      <c r="B3101" s="288"/>
      <c r="C3101" s="1061"/>
      <c r="D3101" s="291"/>
      <c r="E3101" s="1044"/>
    </row>
    <row r="3102" spans="1:5" x14ac:dyDescent="0.25">
      <c r="A3102" s="290"/>
      <c r="B3102" s="288"/>
      <c r="C3102" s="1061"/>
      <c r="D3102" s="291"/>
      <c r="E3102" s="1044"/>
    </row>
    <row r="3103" spans="1:5" x14ac:dyDescent="0.25">
      <c r="A3103" s="290"/>
      <c r="B3103" s="288"/>
      <c r="C3103" s="1061"/>
      <c r="D3103" s="291"/>
      <c r="E3103" s="1044"/>
    </row>
    <row r="3104" spans="1:5" x14ac:dyDescent="0.25">
      <c r="A3104" s="290"/>
      <c r="B3104" s="288"/>
      <c r="C3104" s="1061"/>
      <c r="D3104" s="291"/>
      <c r="E3104" s="1044"/>
    </row>
    <row r="3105" spans="1:5" x14ac:dyDescent="0.25">
      <c r="A3105" s="290"/>
      <c r="B3105" s="288"/>
      <c r="C3105" s="1061"/>
      <c r="D3105" s="291"/>
      <c r="E3105" s="1044"/>
    </row>
    <row r="3106" spans="1:5" x14ac:dyDescent="0.25">
      <c r="A3106" s="290"/>
      <c r="B3106" s="288"/>
      <c r="C3106" s="1061"/>
      <c r="D3106" s="291"/>
      <c r="E3106" s="1044"/>
    </row>
    <row r="3107" spans="1:5" x14ac:dyDescent="0.25">
      <c r="A3107" s="290"/>
      <c r="B3107" s="288"/>
      <c r="C3107" s="1061"/>
      <c r="D3107" s="291"/>
      <c r="E3107" s="1044"/>
    </row>
    <row r="3108" spans="1:5" x14ac:dyDescent="0.25">
      <c r="A3108" s="290"/>
      <c r="B3108" s="288"/>
      <c r="C3108" s="1061"/>
      <c r="D3108" s="291"/>
      <c r="E3108" s="1044"/>
    </row>
    <row r="3109" spans="1:5" x14ac:dyDescent="0.25">
      <c r="A3109" s="290"/>
      <c r="B3109" s="288"/>
      <c r="C3109" s="1061"/>
      <c r="D3109" s="291"/>
      <c r="E3109" s="1044"/>
    </row>
    <row r="3110" spans="1:5" x14ac:dyDescent="0.25">
      <c r="A3110" s="290"/>
      <c r="B3110" s="288"/>
      <c r="C3110" s="1061"/>
      <c r="D3110" s="291"/>
      <c r="E3110" s="1044"/>
    </row>
    <row r="3111" spans="1:5" x14ac:dyDescent="0.25">
      <c r="A3111" s="290"/>
      <c r="B3111" s="288"/>
      <c r="C3111" s="1061"/>
      <c r="D3111" s="291"/>
      <c r="E3111" s="1044"/>
    </row>
    <row r="3112" spans="1:5" x14ac:dyDescent="0.25">
      <c r="A3112" s="290"/>
      <c r="B3112" s="288"/>
      <c r="C3112" s="1061"/>
      <c r="D3112" s="291"/>
      <c r="E3112" s="1044"/>
    </row>
    <row r="3113" spans="1:5" x14ac:dyDescent="0.25">
      <c r="A3113" s="290"/>
      <c r="B3113" s="288"/>
      <c r="C3113" s="1061"/>
      <c r="D3113" s="291"/>
      <c r="E3113" s="1044"/>
    </row>
    <row r="3114" spans="1:5" x14ac:dyDescent="0.25">
      <c r="A3114" s="290"/>
      <c r="B3114" s="288"/>
      <c r="C3114" s="1061"/>
      <c r="D3114" s="291"/>
      <c r="E3114" s="1044"/>
    </row>
    <row r="3115" spans="1:5" x14ac:dyDescent="0.25">
      <c r="A3115" s="290"/>
      <c r="B3115" s="288"/>
      <c r="C3115" s="1061"/>
      <c r="D3115" s="291"/>
      <c r="E3115" s="1044"/>
    </row>
    <row r="3116" spans="1:5" x14ac:dyDescent="0.25">
      <c r="A3116" s="290"/>
      <c r="B3116" s="288"/>
      <c r="C3116" s="1061"/>
      <c r="D3116" s="291"/>
      <c r="E3116" s="1044"/>
    </row>
    <row r="3117" spans="1:5" x14ac:dyDescent="0.25">
      <c r="A3117" s="290"/>
      <c r="B3117" s="288"/>
      <c r="C3117" s="1061"/>
      <c r="D3117" s="291"/>
      <c r="E3117" s="1044"/>
    </row>
    <row r="3118" spans="1:5" x14ac:dyDescent="0.25">
      <c r="A3118" s="290"/>
      <c r="B3118" s="288"/>
      <c r="C3118" s="1061"/>
      <c r="D3118" s="291"/>
      <c r="E3118" s="1044"/>
    </row>
    <row r="3119" spans="1:5" x14ac:dyDescent="0.25">
      <c r="A3119" s="290"/>
      <c r="B3119" s="288"/>
      <c r="C3119" s="1061"/>
      <c r="D3119" s="291"/>
      <c r="E3119" s="1044"/>
    </row>
    <row r="3120" spans="1:5" x14ac:dyDescent="0.25">
      <c r="A3120" s="290"/>
      <c r="B3120" s="288"/>
      <c r="C3120" s="1061"/>
      <c r="D3120" s="291"/>
      <c r="E3120" s="1044"/>
    </row>
    <row r="3121" spans="1:5" x14ac:dyDescent="0.25">
      <c r="A3121" s="290"/>
      <c r="B3121" s="288"/>
      <c r="C3121" s="1061"/>
      <c r="D3121" s="291"/>
      <c r="E3121" s="1044"/>
    </row>
    <row r="3122" spans="1:5" x14ac:dyDescent="0.25">
      <c r="A3122" s="290"/>
      <c r="B3122" s="288"/>
      <c r="C3122" s="1061"/>
      <c r="D3122" s="291"/>
      <c r="E3122" s="1044"/>
    </row>
    <row r="3123" spans="1:5" x14ac:dyDescent="0.25">
      <c r="A3123" s="290"/>
      <c r="B3123" s="288"/>
      <c r="C3123" s="1061"/>
      <c r="D3123" s="291"/>
      <c r="E3123" s="1044"/>
    </row>
    <row r="3124" spans="1:5" x14ac:dyDescent="0.25">
      <c r="A3124" s="290"/>
      <c r="B3124" s="288"/>
      <c r="C3124" s="1061"/>
      <c r="D3124" s="291"/>
      <c r="E3124" s="1044"/>
    </row>
    <row r="3125" spans="1:5" x14ac:dyDescent="0.25">
      <c r="A3125" s="290"/>
      <c r="B3125" s="288"/>
      <c r="C3125" s="1061"/>
      <c r="D3125" s="291"/>
      <c r="E3125" s="1044"/>
    </row>
    <row r="3126" spans="1:5" x14ac:dyDescent="0.25">
      <c r="A3126" s="290"/>
      <c r="B3126" s="288"/>
      <c r="C3126" s="1061"/>
      <c r="D3126" s="291"/>
      <c r="E3126" s="1044"/>
    </row>
    <row r="3127" spans="1:5" x14ac:dyDescent="0.25">
      <c r="A3127" s="290"/>
      <c r="B3127" s="288"/>
      <c r="C3127" s="1061"/>
      <c r="D3127" s="291"/>
      <c r="E3127" s="1044"/>
    </row>
    <row r="3128" spans="1:5" x14ac:dyDescent="0.25">
      <c r="A3128" s="290"/>
      <c r="B3128" s="288"/>
      <c r="C3128" s="1061"/>
      <c r="D3128" s="291"/>
      <c r="E3128" s="1044"/>
    </row>
    <row r="3129" spans="1:5" x14ac:dyDescent="0.25">
      <c r="A3129" s="290"/>
      <c r="B3129" s="288"/>
      <c r="C3129" s="1061"/>
      <c r="D3129" s="291"/>
      <c r="E3129" s="1044"/>
    </row>
    <row r="3130" spans="1:5" x14ac:dyDescent="0.25">
      <c r="A3130" s="290"/>
      <c r="B3130" s="288"/>
      <c r="C3130" s="1061"/>
      <c r="D3130" s="291"/>
      <c r="E3130" s="1044"/>
    </row>
    <row r="3131" spans="1:5" x14ac:dyDescent="0.25">
      <c r="A3131" s="290"/>
      <c r="B3131" s="288"/>
      <c r="C3131" s="1061"/>
      <c r="D3131" s="291"/>
      <c r="E3131" s="1044"/>
    </row>
    <row r="3132" spans="1:5" x14ac:dyDescent="0.25">
      <c r="A3132" s="290"/>
      <c r="B3132" s="288"/>
      <c r="C3132" s="1061"/>
      <c r="D3132" s="291"/>
      <c r="E3132" s="1044"/>
    </row>
    <row r="3133" spans="1:5" x14ac:dyDescent="0.25">
      <c r="A3133" s="290"/>
      <c r="B3133" s="288"/>
      <c r="C3133" s="1061"/>
      <c r="D3133" s="291"/>
      <c r="E3133" s="1044"/>
    </row>
    <row r="3134" spans="1:5" x14ac:dyDescent="0.25">
      <c r="A3134" s="290"/>
      <c r="B3134" s="288"/>
      <c r="C3134" s="1061"/>
      <c r="D3134" s="291"/>
      <c r="E3134" s="1044"/>
    </row>
    <row r="3135" spans="1:5" x14ac:dyDescent="0.25">
      <c r="A3135" s="290"/>
      <c r="B3135" s="288"/>
      <c r="C3135" s="1061"/>
      <c r="D3135" s="291"/>
      <c r="E3135" s="1044"/>
    </row>
    <row r="3136" spans="1:5" x14ac:dyDescent="0.25">
      <c r="A3136" s="290"/>
      <c r="B3136" s="288"/>
      <c r="C3136" s="1061"/>
      <c r="D3136" s="291"/>
      <c r="E3136" s="1044"/>
    </row>
    <row r="3137" spans="1:5" x14ac:dyDescent="0.25">
      <c r="A3137" s="290"/>
      <c r="B3137" s="288"/>
      <c r="C3137" s="1061"/>
      <c r="D3137" s="291"/>
      <c r="E3137" s="1044"/>
    </row>
    <row r="3138" spans="1:5" x14ac:dyDescent="0.25">
      <c r="A3138" s="290"/>
      <c r="B3138" s="288"/>
      <c r="C3138" s="1061"/>
      <c r="D3138" s="291"/>
      <c r="E3138" s="1044"/>
    </row>
    <row r="3139" spans="1:5" x14ac:dyDescent="0.25">
      <c r="A3139" s="290"/>
      <c r="B3139" s="288"/>
      <c r="C3139" s="1061"/>
      <c r="D3139" s="291"/>
      <c r="E3139" s="1044"/>
    </row>
    <row r="3140" spans="1:5" x14ac:dyDescent="0.25">
      <c r="A3140" s="290"/>
      <c r="B3140" s="288"/>
      <c r="C3140" s="1061"/>
      <c r="D3140" s="291"/>
      <c r="E3140" s="1044"/>
    </row>
    <row r="3141" spans="1:5" x14ac:dyDescent="0.25">
      <c r="A3141" s="290"/>
      <c r="B3141" s="288"/>
      <c r="C3141" s="1061"/>
      <c r="D3141" s="291"/>
      <c r="E3141" s="1044"/>
    </row>
    <row r="3142" spans="1:5" x14ac:dyDescent="0.25">
      <c r="A3142" s="290"/>
      <c r="B3142" s="288"/>
      <c r="C3142" s="1061"/>
      <c r="D3142" s="291"/>
      <c r="E3142" s="1044"/>
    </row>
    <row r="3143" spans="1:5" x14ac:dyDescent="0.25">
      <c r="A3143" s="290"/>
      <c r="B3143" s="288"/>
      <c r="C3143" s="1061"/>
      <c r="D3143" s="291"/>
      <c r="E3143" s="1044"/>
    </row>
    <row r="3144" spans="1:5" x14ac:dyDescent="0.25">
      <c r="A3144" s="290"/>
      <c r="B3144" s="288"/>
      <c r="C3144" s="1061"/>
      <c r="D3144" s="291"/>
      <c r="E3144" s="1044"/>
    </row>
    <row r="3145" spans="1:5" x14ac:dyDescent="0.25">
      <c r="A3145" s="290"/>
      <c r="B3145" s="288"/>
      <c r="C3145" s="1061"/>
      <c r="D3145" s="291"/>
      <c r="E3145" s="1044"/>
    </row>
    <row r="3146" spans="1:5" x14ac:dyDescent="0.25">
      <c r="A3146" s="290"/>
      <c r="B3146" s="288"/>
      <c r="C3146" s="1061"/>
      <c r="D3146" s="291"/>
      <c r="E3146" s="1044"/>
    </row>
    <row r="3147" spans="1:5" x14ac:dyDescent="0.25">
      <c r="A3147" s="290"/>
      <c r="B3147" s="288"/>
      <c r="C3147" s="1061"/>
      <c r="D3147" s="291"/>
      <c r="E3147" s="1044"/>
    </row>
    <row r="3148" spans="1:5" x14ac:dyDescent="0.25">
      <c r="A3148" s="290"/>
      <c r="B3148" s="288"/>
      <c r="C3148" s="1061"/>
      <c r="D3148" s="291"/>
      <c r="E3148" s="1044"/>
    </row>
    <row r="3149" spans="1:5" x14ac:dyDescent="0.25">
      <c r="A3149" s="290"/>
      <c r="B3149" s="288"/>
      <c r="C3149" s="1061"/>
      <c r="D3149" s="291"/>
      <c r="E3149" s="1044"/>
    </row>
    <row r="3150" spans="1:5" x14ac:dyDescent="0.25">
      <c r="A3150" s="290"/>
      <c r="B3150" s="288"/>
      <c r="C3150" s="1061"/>
      <c r="D3150" s="291"/>
      <c r="E3150" s="1044"/>
    </row>
    <row r="3151" spans="1:5" x14ac:dyDescent="0.25">
      <c r="A3151" s="290"/>
      <c r="B3151" s="288"/>
      <c r="C3151" s="1061"/>
      <c r="D3151" s="291"/>
      <c r="E3151" s="1044"/>
    </row>
    <row r="3152" spans="1:5" x14ac:dyDescent="0.25">
      <c r="A3152" s="290"/>
      <c r="B3152" s="288"/>
      <c r="C3152" s="1061"/>
      <c r="D3152" s="291"/>
      <c r="E3152" s="1044"/>
    </row>
    <row r="3153" spans="1:5" x14ac:dyDescent="0.25">
      <c r="A3153" s="290"/>
      <c r="B3153" s="288"/>
      <c r="C3153" s="1061"/>
      <c r="D3153" s="291"/>
      <c r="E3153" s="1044"/>
    </row>
    <row r="3154" spans="1:5" x14ac:dyDescent="0.25">
      <c r="A3154" s="290"/>
      <c r="B3154" s="288"/>
      <c r="C3154" s="1061"/>
      <c r="D3154" s="291"/>
      <c r="E3154" s="1044"/>
    </row>
    <row r="3155" spans="1:5" x14ac:dyDescent="0.25">
      <c r="A3155" s="290"/>
      <c r="B3155" s="288"/>
      <c r="C3155" s="1061"/>
      <c r="D3155" s="291"/>
      <c r="E3155" s="1044"/>
    </row>
    <row r="3156" spans="1:5" x14ac:dyDescent="0.25">
      <c r="A3156" s="290"/>
      <c r="B3156" s="288"/>
      <c r="C3156" s="1061"/>
      <c r="D3156" s="291"/>
      <c r="E3156" s="1044"/>
    </row>
    <row r="3157" spans="1:5" x14ac:dyDescent="0.25">
      <c r="A3157" s="290"/>
      <c r="B3157" s="288"/>
      <c r="C3157" s="1061"/>
      <c r="D3157" s="291"/>
      <c r="E3157" s="1044"/>
    </row>
    <row r="3158" spans="1:5" x14ac:dyDescent="0.25">
      <c r="A3158" s="290"/>
      <c r="B3158" s="288"/>
      <c r="C3158" s="1061"/>
      <c r="D3158" s="291"/>
      <c r="E3158" s="1044"/>
    </row>
    <row r="3159" spans="1:5" x14ac:dyDescent="0.25">
      <c r="A3159" s="290"/>
      <c r="B3159" s="288"/>
      <c r="C3159" s="1061"/>
      <c r="D3159" s="291"/>
      <c r="E3159" s="1044"/>
    </row>
    <row r="3160" spans="1:5" x14ac:dyDescent="0.25">
      <c r="A3160" s="290"/>
      <c r="B3160" s="288"/>
      <c r="C3160" s="1061"/>
      <c r="D3160" s="291"/>
      <c r="E3160" s="1044"/>
    </row>
    <row r="3161" spans="1:5" x14ac:dyDescent="0.25">
      <c r="A3161" s="290"/>
      <c r="B3161" s="288"/>
      <c r="C3161" s="1061"/>
      <c r="D3161" s="291"/>
      <c r="E3161" s="1044"/>
    </row>
    <row r="3162" spans="1:5" x14ac:dyDescent="0.25">
      <c r="A3162" s="290"/>
      <c r="B3162" s="288"/>
      <c r="C3162" s="1061"/>
      <c r="D3162" s="291"/>
      <c r="E3162" s="1044"/>
    </row>
    <row r="3163" spans="1:5" x14ac:dyDescent="0.25">
      <c r="A3163" s="290"/>
      <c r="B3163" s="288"/>
      <c r="C3163" s="1061"/>
      <c r="D3163" s="291"/>
      <c r="E3163" s="1044"/>
    </row>
    <row r="3164" spans="1:5" x14ac:dyDescent="0.25">
      <c r="A3164" s="290"/>
      <c r="B3164" s="288"/>
      <c r="C3164" s="1061"/>
      <c r="D3164" s="291"/>
      <c r="E3164" s="1044"/>
    </row>
    <row r="3165" spans="1:5" x14ac:dyDescent="0.25">
      <c r="A3165" s="290"/>
      <c r="B3165" s="288"/>
      <c r="C3165" s="1061"/>
      <c r="D3165" s="291"/>
      <c r="E3165" s="1044"/>
    </row>
    <row r="3166" spans="1:5" x14ac:dyDescent="0.25">
      <c r="A3166" s="290"/>
      <c r="B3166" s="288"/>
      <c r="C3166" s="1061"/>
      <c r="D3166" s="291"/>
      <c r="E3166" s="1044"/>
    </row>
    <row r="3167" spans="1:5" x14ac:dyDescent="0.25">
      <c r="A3167" s="290"/>
      <c r="B3167" s="288"/>
      <c r="C3167" s="1061"/>
      <c r="D3167" s="291"/>
      <c r="E3167" s="1044"/>
    </row>
    <row r="3168" spans="1:5" x14ac:dyDescent="0.25">
      <c r="A3168" s="290"/>
      <c r="B3168" s="288"/>
      <c r="C3168" s="1061"/>
      <c r="D3168" s="291"/>
      <c r="E3168" s="1044"/>
    </row>
    <row r="3169" spans="1:5" x14ac:dyDescent="0.25">
      <c r="A3169" s="290"/>
      <c r="B3169" s="288"/>
      <c r="C3169" s="1061"/>
      <c r="D3169" s="291"/>
      <c r="E3169" s="1044"/>
    </row>
    <row r="3170" spans="1:5" x14ac:dyDescent="0.25">
      <c r="A3170" s="290"/>
      <c r="B3170" s="288"/>
      <c r="C3170" s="1061"/>
      <c r="D3170" s="291"/>
      <c r="E3170" s="1044"/>
    </row>
    <row r="3171" spans="1:5" x14ac:dyDescent="0.25">
      <c r="A3171" s="290"/>
      <c r="B3171" s="288"/>
      <c r="C3171" s="1061"/>
      <c r="D3171" s="291"/>
      <c r="E3171" s="1044"/>
    </row>
    <row r="3172" spans="1:5" x14ac:dyDescent="0.25">
      <c r="A3172" s="290"/>
      <c r="B3172" s="288"/>
      <c r="C3172" s="1061"/>
      <c r="D3172" s="291"/>
      <c r="E3172" s="1044"/>
    </row>
    <row r="3173" spans="1:5" x14ac:dyDescent="0.25">
      <c r="A3173" s="290"/>
      <c r="B3173" s="288"/>
      <c r="C3173" s="1061"/>
      <c r="D3173" s="291"/>
      <c r="E3173" s="1044"/>
    </row>
    <row r="3174" spans="1:5" x14ac:dyDescent="0.25">
      <c r="A3174" s="290"/>
      <c r="B3174" s="288"/>
      <c r="C3174" s="1061"/>
      <c r="D3174" s="291"/>
      <c r="E3174" s="1044"/>
    </row>
    <row r="3175" spans="1:5" x14ac:dyDescent="0.25">
      <c r="A3175" s="290"/>
      <c r="B3175" s="288"/>
      <c r="C3175" s="1061"/>
      <c r="D3175" s="291"/>
      <c r="E3175" s="1044"/>
    </row>
    <row r="3176" spans="1:5" x14ac:dyDescent="0.25">
      <c r="A3176" s="290"/>
      <c r="B3176" s="288"/>
      <c r="C3176" s="1061"/>
      <c r="D3176" s="291"/>
      <c r="E3176" s="1044"/>
    </row>
    <row r="3177" spans="1:5" x14ac:dyDescent="0.25">
      <c r="A3177" s="290"/>
      <c r="B3177" s="288"/>
      <c r="C3177" s="1061"/>
      <c r="D3177" s="291"/>
      <c r="E3177" s="1044"/>
    </row>
    <row r="3178" spans="1:5" x14ac:dyDescent="0.25">
      <c r="A3178" s="290"/>
      <c r="B3178" s="288"/>
      <c r="C3178" s="1061"/>
      <c r="D3178" s="291"/>
      <c r="E3178" s="1044"/>
    </row>
    <row r="3179" spans="1:5" x14ac:dyDescent="0.25">
      <c r="A3179" s="290"/>
      <c r="B3179" s="288"/>
      <c r="C3179" s="1061"/>
      <c r="D3179" s="291"/>
      <c r="E3179" s="1044"/>
    </row>
    <row r="3180" spans="1:5" x14ac:dyDescent="0.25">
      <c r="A3180" s="290"/>
      <c r="B3180" s="288"/>
      <c r="C3180" s="1061"/>
      <c r="D3180" s="291"/>
      <c r="E3180" s="1044"/>
    </row>
    <row r="3181" spans="1:5" x14ac:dyDescent="0.25">
      <c r="A3181" s="290"/>
      <c r="B3181" s="288"/>
      <c r="C3181" s="1061"/>
      <c r="D3181" s="291"/>
      <c r="E3181" s="1044"/>
    </row>
    <row r="3182" spans="1:5" x14ac:dyDescent="0.25">
      <c r="A3182" s="290"/>
      <c r="B3182" s="288"/>
      <c r="C3182" s="1061"/>
      <c r="D3182" s="291"/>
      <c r="E3182" s="1044"/>
    </row>
    <row r="3183" spans="1:5" x14ac:dyDescent="0.25">
      <c r="A3183" s="290"/>
      <c r="B3183" s="288"/>
      <c r="C3183" s="1061"/>
      <c r="D3183" s="291"/>
      <c r="E3183" s="1044"/>
    </row>
    <row r="3184" spans="1:5" x14ac:dyDescent="0.25">
      <c r="A3184" s="290"/>
      <c r="B3184" s="288"/>
      <c r="C3184" s="1061"/>
      <c r="D3184" s="291"/>
      <c r="E3184" s="1044"/>
    </row>
    <row r="3185" spans="1:5" x14ac:dyDescent="0.25">
      <c r="A3185" s="290"/>
      <c r="B3185" s="288"/>
      <c r="C3185" s="1061"/>
      <c r="D3185" s="291"/>
      <c r="E3185" s="1044"/>
    </row>
    <row r="3186" spans="1:5" x14ac:dyDescent="0.25">
      <c r="A3186" s="290"/>
      <c r="B3186" s="288"/>
      <c r="C3186" s="1061"/>
      <c r="D3186" s="291"/>
      <c r="E3186" s="1044"/>
    </row>
    <row r="3187" spans="1:5" x14ac:dyDescent="0.25">
      <c r="A3187" s="290"/>
      <c r="B3187" s="288"/>
      <c r="C3187" s="1061"/>
      <c r="D3187" s="291"/>
      <c r="E3187" s="1044"/>
    </row>
    <row r="3188" spans="1:5" x14ac:dyDescent="0.25">
      <c r="A3188" s="290"/>
      <c r="B3188" s="288"/>
      <c r="C3188" s="1061"/>
      <c r="D3188" s="291"/>
      <c r="E3188" s="1044"/>
    </row>
    <row r="3189" spans="1:5" x14ac:dyDescent="0.25">
      <c r="A3189" s="290"/>
      <c r="B3189" s="288"/>
      <c r="C3189" s="1061"/>
      <c r="D3189" s="291"/>
      <c r="E3189" s="1044"/>
    </row>
    <row r="3190" spans="1:5" x14ac:dyDescent="0.25">
      <c r="A3190" s="290"/>
      <c r="B3190" s="288"/>
      <c r="C3190" s="1061"/>
      <c r="D3190" s="291"/>
      <c r="E3190" s="1044"/>
    </row>
    <row r="3191" spans="1:5" x14ac:dyDescent="0.25">
      <c r="A3191" s="290"/>
      <c r="B3191" s="288"/>
      <c r="C3191" s="1061"/>
      <c r="D3191" s="291"/>
      <c r="E3191" s="1044"/>
    </row>
    <row r="3192" spans="1:5" x14ac:dyDescent="0.25">
      <c r="A3192" s="290"/>
      <c r="B3192" s="288"/>
      <c r="C3192" s="1061"/>
      <c r="D3192" s="291"/>
      <c r="E3192" s="1044"/>
    </row>
    <row r="3193" spans="1:5" x14ac:dyDescent="0.25">
      <c r="A3193" s="290"/>
      <c r="B3193" s="288"/>
      <c r="C3193" s="1061"/>
      <c r="D3193" s="291"/>
      <c r="E3193" s="1044"/>
    </row>
    <row r="3194" spans="1:5" x14ac:dyDescent="0.25">
      <c r="A3194" s="290"/>
      <c r="B3194" s="288"/>
      <c r="C3194" s="1061"/>
      <c r="D3194" s="291"/>
      <c r="E3194" s="1044"/>
    </row>
    <row r="3195" spans="1:5" x14ac:dyDescent="0.25">
      <c r="A3195" s="290"/>
      <c r="B3195" s="288"/>
      <c r="C3195" s="1061"/>
      <c r="D3195" s="291"/>
      <c r="E3195" s="1044"/>
    </row>
    <row r="3196" spans="1:5" x14ac:dyDescent="0.25">
      <c r="A3196" s="290"/>
      <c r="B3196" s="288"/>
      <c r="C3196" s="1061"/>
      <c r="D3196" s="291"/>
      <c r="E3196" s="1044"/>
    </row>
    <row r="3197" spans="1:5" x14ac:dyDescent="0.25">
      <c r="A3197" s="290"/>
      <c r="B3197" s="288"/>
      <c r="C3197" s="1061"/>
      <c r="D3197" s="291"/>
      <c r="E3197" s="1044"/>
    </row>
    <row r="3198" spans="1:5" x14ac:dyDescent="0.25">
      <c r="A3198" s="290"/>
      <c r="B3198" s="288"/>
      <c r="C3198" s="1061"/>
      <c r="D3198" s="291"/>
      <c r="E3198" s="1044"/>
    </row>
    <row r="3199" spans="1:5" x14ac:dyDescent="0.25">
      <c r="A3199" s="290"/>
      <c r="B3199" s="288"/>
      <c r="C3199" s="1061"/>
      <c r="D3199" s="291"/>
      <c r="E3199" s="1044"/>
    </row>
    <row r="3200" spans="1:5" x14ac:dyDescent="0.25">
      <c r="A3200" s="290"/>
      <c r="B3200" s="288"/>
      <c r="C3200" s="1061"/>
      <c r="D3200" s="291"/>
      <c r="E3200" s="1044"/>
    </row>
    <row r="3201" spans="1:5" x14ac:dyDescent="0.25">
      <c r="A3201" s="290"/>
      <c r="B3201" s="288"/>
      <c r="C3201" s="1061"/>
      <c r="D3201" s="291"/>
      <c r="E3201" s="1044"/>
    </row>
    <row r="3202" spans="1:5" x14ac:dyDescent="0.25">
      <c r="A3202" s="290"/>
      <c r="B3202" s="288"/>
      <c r="C3202" s="1061"/>
      <c r="D3202" s="291"/>
      <c r="E3202" s="1044"/>
    </row>
    <row r="3203" spans="1:5" x14ac:dyDescent="0.25">
      <c r="A3203" s="290"/>
      <c r="B3203" s="288"/>
      <c r="C3203" s="1061"/>
      <c r="D3203" s="291"/>
      <c r="E3203" s="1044"/>
    </row>
    <row r="3204" spans="1:5" x14ac:dyDescent="0.25">
      <c r="A3204" s="290"/>
      <c r="B3204" s="288"/>
      <c r="C3204" s="1061"/>
      <c r="D3204" s="291"/>
      <c r="E3204" s="1044"/>
    </row>
    <row r="3205" spans="1:5" x14ac:dyDescent="0.25">
      <c r="A3205" s="290"/>
      <c r="B3205" s="288"/>
      <c r="C3205" s="1061"/>
      <c r="D3205" s="291"/>
      <c r="E3205" s="1044"/>
    </row>
    <row r="3206" spans="1:5" x14ac:dyDescent="0.25">
      <c r="A3206" s="290"/>
      <c r="B3206" s="288"/>
      <c r="C3206" s="1061"/>
      <c r="D3206" s="291"/>
      <c r="E3206" s="1044"/>
    </row>
    <row r="3207" spans="1:5" x14ac:dyDescent="0.25">
      <c r="A3207" s="290"/>
      <c r="B3207" s="288"/>
      <c r="C3207" s="1061"/>
      <c r="D3207" s="291"/>
      <c r="E3207" s="1044"/>
    </row>
    <row r="3208" spans="1:5" x14ac:dyDescent="0.25">
      <c r="A3208" s="290"/>
      <c r="B3208" s="288"/>
      <c r="C3208" s="1061"/>
      <c r="D3208" s="291"/>
      <c r="E3208" s="1044"/>
    </row>
    <row r="3209" spans="1:5" x14ac:dyDescent="0.25">
      <c r="A3209" s="290"/>
      <c r="B3209" s="288"/>
      <c r="C3209" s="1061"/>
      <c r="D3209" s="291"/>
      <c r="E3209" s="1044"/>
    </row>
    <row r="3210" spans="1:5" x14ac:dyDescent="0.25">
      <c r="A3210" s="290"/>
      <c r="B3210" s="288"/>
      <c r="C3210" s="1061"/>
      <c r="D3210" s="291"/>
      <c r="E3210" s="1044"/>
    </row>
    <row r="3211" spans="1:5" x14ac:dyDescent="0.25">
      <c r="A3211" s="290"/>
      <c r="B3211" s="288"/>
      <c r="C3211" s="1061"/>
      <c r="D3211" s="291"/>
      <c r="E3211" s="1044"/>
    </row>
    <row r="3212" spans="1:5" x14ac:dyDescent="0.25">
      <c r="A3212" s="290"/>
      <c r="B3212" s="288"/>
      <c r="C3212" s="1061"/>
      <c r="D3212" s="291"/>
      <c r="E3212" s="1044"/>
    </row>
    <row r="3213" spans="1:5" x14ac:dyDescent="0.25">
      <c r="A3213" s="290"/>
      <c r="B3213" s="288"/>
      <c r="C3213" s="1061"/>
      <c r="D3213" s="291"/>
      <c r="E3213" s="1044"/>
    </row>
    <row r="3214" spans="1:5" x14ac:dyDescent="0.25">
      <c r="A3214" s="290"/>
      <c r="B3214" s="288"/>
      <c r="C3214" s="1061"/>
      <c r="D3214" s="291"/>
      <c r="E3214" s="1044"/>
    </row>
    <row r="3215" spans="1:5" x14ac:dyDescent="0.25">
      <c r="A3215" s="290"/>
      <c r="B3215" s="288"/>
      <c r="C3215" s="1061"/>
      <c r="D3215" s="291"/>
      <c r="E3215" s="1044"/>
    </row>
    <row r="3216" spans="1:5" x14ac:dyDescent="0.25">
      <c r="A3216" s="290"/>
      <c r="B3216" s="288"/>
      <c r="C3216" s="1061"/>
      <c r="D3216" s="291"/>
      <c r="E3216" s="1044"/>
    </row>
    <row r="3217" spans="1:5" x14ac:dyDescent="0.25">
      <c r="A3217" s="290"/>
      <c r="B3217" s="288"/>
      <c r="C3217" s="1061"/>
      <c r="D3217" s="291"/>
      <c r="E3217" s="1044"/>
    </row>
    <row r="3218" spans="1:5" x14ac:dyDescent="0.25">
      <c r="A3218" s="290"/>
      <c r="B3218" s="288"/>
      <c r="C3218" s="1061"/>
      <c r="D3218" s="291"/>
      <c r="E3218" s="1044"/>
    </row>
    <row r="3219" spans="1:5" x14ac:dyDescent="0.25">
      <c r="A3219" s="290"/>
      <c r="B3219" s="288"/>
      <c r="C3219" s="1061"/>
      <c r="D3219" s="291"/>
      <c r="E3219" s="1044"/>
    </row>
    <row r="3220" spans="1:5" x14ac:dyDescent="0.25">
      <c r="A3220" s="290"/>
      <c r="B3220" s="288"/>
      <c r="C3220" s="1061"/>
      <c r="D3220" s="291"/>
      <c r="E3220" s="1044"/>
    </row>
    <row r="3221" spans="1:5" x14ac:dyDescent="0.25">
      <c r="A3221" s="290"/>
      <c r="B3221" s="288"/>
      <c r="C3221" s="1061"/>
      <c r="D3221" s="291"/>
      <c r="E3221" s="1044"/>
    </row>
    <row r="3222" spans="1:5" x14ac:dyDescent="0.25">
      <c r="A3222" s="290"/>
      <c r="B3222" s="288"/>
      <c r="C3222" s="1061"/>
      <c r="D3222" s="291"/>
      <c r="E3222" s="1044"/>
    </row>
    <row r="3223" spans="1:5" x14ac:dyDescent="0.25">
      <c r="A3223" s="290"/>
      <c r="B3223" s="288"/>
      <c r="C3223" s="1061"/>
      <c r="D3223" s="291"/>
      <c r="E3223" s="1044"/>
    </row>
    <row r="3224" spans="1:5" x14ac:dyDescent="0.25">
      <c r="A3224" s="290"/>
      <c r="B3224" s="288"/>
      <c r="C3224" s="1061"/>
      <c r="D3224" s="291"/>
      <c r="E3224" s="1044"/>
    </row>
    <row r="3225" spans="1:5" x14ac:dyDescent="0.25">
      <c r="A3225" s="290"/>
      <c r="B3225" s="288"/>
      <c r="C3225" s="1061"/>
      <c r="D3225" s="291"/>
      <c r="E3225" s="1044"/>
    </row>
    <row r="3226" spans="1:5" x14ac:dyDescent="0.25">
      <c r="A3226" s="290"/>
      <c r="B3226" s="288"/>
      <c r="C3226" s="1061"/>
      <c r="D3226" s="291"/>
      <c r="E3226" s="1044"/>
    </row>
    <row r="3227" spans="1:5" x14ac:dyDescent="0.25">
      <c r="A3227" s="290"/>
      <c r="B3227" s="288"/>
      <c r="C3227" s="1061"/>
      <c r="D3227" s="291"/>
      <c r="E3227" s="1044"/>
    </row>
    <row r="3228" spans="1:5" x14ac:dyDescent="0.25">
      <c r="A3228" s="290"/>
      <c r="B3228" s="288"/>
      <c r="C3228" s="1061"/>
      <c r="D3228" s="291"/>
      <c r="E3228" s="1044"/>
    </row>
    <row r="3229" spans="1:5" x14ac:dyDescent="0.25">
      <c r="A3229" s="290"/>
      <c r="B3229" s="288"/>
      <c r="C3229" s="1061"/>
      <c r="D3229" s="291"/>
      <c r="E3229" s="1044"/>
    </row>
    <row r="3230" spans="1:5" x14ac:dyDescent="0.25">
      <c r="A3230" s="290"/>
      <c r="B3230" s="288"/>
      <c r="C3230" s="1061"/>
      <c r="D3230" s="291"/>
      <c r="E3230" s="1044"/>
    </row>
    <row r="3231" spans="1:5" x14ac:dyDescent="0.25">
      <c r="A3231" s="290"/>
      <c r="B3231" s="288"/>
      <c r="C3231" s="1061"/>
      <c r="D3231" s="291"/>
      <c r="E3231" s="1044"/>
    </row>
    <row r="3232" spans="1:5" x14ac:dyDescent="0.25">
      <c r="A3232" s="290"/>
      <c r="B3232" s="288"/>
      <c r="C3232" s="1061"/>
      <c r="D3232" s="291"/>
      <c r="E3232" s="1044"/>
    </row>
    <row r="3233" spans="1:5" x14ac:dyDescent="0.25">
      <c r="A3233" s="290"/>
      <c r="B3233" s="288"/>
      <c r="C3233" s="1061"/>
      <c r="D3233" s="291"/>
      <c r="E3233" s="1044"/>
    </row>
    <row r="3234" spans="1:5" x14ac:dyDescent="0.25">
      <c r="A3234" s="290"/>
      <c r="B3234" s="288"/>
      <c r="C3234" s="1061"/>
      <c r="D3234" s="291"/>
      <c r="E3234" s="1044"/>
    </row>
    <row r="3235" spans="1:5" x14ac:dyDescent="0.25">
      <c r="A3235" s="290"/>
      <c r="B3235" s="288"/>
      <c r="C3235" s="1061"/>
      <c r="D3235" s="291"/>
      <c r="E3235" s="1044"/>
    </row>
    <row r="3236" spans="1:5" x14ac:dyDescent="0.25">
      <c r="A3236" s="290"/>
      <c r="B3236" s="288"/>
      <c r="C3236" s="1061"/>
      <c r="D3236" s="291"/>
      <c r="E3236" s="1044"/>
    </row>
    <row r="3237" spans="1:5" x14ac:dyDescent="0.25">
      <c r="A3237" s="290"/>
      <c r="B3237" s="288"/>
      <c r="C3237" s="1061"/>
      <c r="D3237" s="291"/>
      <c r="E3237" s="1044"/>
    </row>
    <row r="3238" spans="1:5" x14ac:dyDescent="0.25">
      <c r="A3238" s="290"/>
      <c r="B3238" s="288"/>
      <c r="C3238" s="1061"/>
      <c r="D3238" s="291"/>
      <c r="E3238" s="1044"/>
    </row>
    <row r="3239" spans="1:5" x14ac:dyDescent="0.25">
      <c r="A3239" s="290"/>
      <c r="B3239" s="288"/>
      <c r="C3239" s="1061"/>
      <c r="D3239" s="291"/>
      <c r="E3239" s="1044"/>
    </row>
    <row r="3240" spans="1:5" x14ac:dyDescent="0.25">
      <c r="A3240" s="290"/>
      <c r="B3240" s="288"/>
      <c r="C3240" s="1061"/>
      <c r="D3240" s="291"/>
      <c r="E3240" s="1044"/>
    </row>
    <row r="3241" spans="1:5" x14ac:dyDescent="0.25">
      <c r="A3241" s="290"/>
      <c r="B3241" s="288"/>
      <c r="C3241" s="1061"/>
      <c r="D3241" s="291"/>
      <c r="E3241" s="1044"/>
    </row>
    <row r="3242" spans="1:5" x14ac:dyDescent="0.25">
      <c r="A3242" s="290"/>
      <c r="B3242" s="288"/>
      <c r="C3242" s="1061"/>
      <c r="D3242" s="291"/>
      <c r="E3242" s="1044"/>
    </row>
    <row r="3243" spans="1:5" x14ac:dyDescent="0.25">
      <c r="A3243" s="290"/>
      <c r="B3243" s="288"/>
      <c r="C3243" s="1061"/>
      <c r="D3243" s="291"/>
      <c r="E3243" s="1044"/>
    </row>
    <row r="3244" spans="1:5" x14ac:dyDescent="0.25">
      <c r="A3244" s="290"/>
      <c r="B3244" s="288"/>
      <c r="C3244" s="1061"/>
      <c r="D3244" s="291"/>
      <c r="E3244" s="1044"/>
    </row>
    <row r="3245" spans="1:5" x14ac:dyDescent="0.25">
      <c r="A3245" s="290"/>
      <c r="B3245" s="288"/>
      <c r="C3245" s="1061"/>
      <c r="D3245" s="291"/>
      <c r="E3245" s="1044"/>
    </row>
    <row r="3246" spans="1:5" x14ac:dyDescent="0.25">
      <c r="A3246" s="290"/>
      <c r="B3246" s="288"/>
      <c r="C3246" s="1061"/>
      <c r="D3246" s="291"/>
      <c r="E3246" s="1044"/>
    </row>
    <row r="3247" spans="1:5" x14ac:dyDescent="0.25">
      <c r="A3247" s="290"/>
      <c r="B3247" s="288"/>
      <c r="C3247" s="1061"/>
      <c r="D3247" s="291"/>
      <c r="E3247" s="1044"/>
    </row>
    <row r="3248" spans="1:5" x14ac:dyDescent="0.25">
      <c r="A3248" s="290"/>
      <c r="B3248" s="288"/>
      <c r="C3248" s="1061"/>
      <c r="D3248" s="291"/>
      <c r="E3248" s="1044"/>
    </row>
    <row r="3249" spans="1:5" x14ac:dyDescent="0.25">
      <c r="A3249" s="290"/>
      <c r="B3249" s="288"/>
      <c r="C3249" s="1061"/>
      <c r="D3249" s="291"/>
      <c r="E3249" s="1044"/>
    </row>
    <row r="3250" spans="1:5" x14ac:dyDescent="0.25">
      <c r="A3250" s="290"/>
      <c r="B3250" s="288"/>
      <c r="C3250" s="1061"/>
      <c r="D3250" s="291"/>
      <c r="E3250" s="1044"/>
    </row>
    <row r="3251" spans="1:5" x14ac:dyDescent="0.25">
      <c r="A3251" s="290"/>
      <c r="B3251" s="288"/>
      <c r="C3251" s="1061"/>
      <c r="D3251" s="291"/>
      <c r="E3251" s="1044"/>
    </row>
    <row r="3252" spans="1:5" x14ac:dyDescent="0.25">
      <c r="A3252" s="290"/>
      <c r="B3252" s="288"/>
      <c r="C3252" s="1061"/>
      <c r="D3252" s="291"/>
      <c r="E3252" s="1044"/>
    </row>
    <row r="3253" spans="1:5" x14ac:dyDescent="0.25">
      <c r="A3253" s="290"/>
      <c r="B3253" s="288"/>
      <c r="C3253" s="1061"/>
      <c r="D3253" s="291"/>
      <c r="E3253" s="1044"/>
    </row>
    <row r="3254" spans="1:5" x14ac:dyDescent="0.25">
      <c r="A3254" s="290"/>
      <c r="B3254" s="288"/>
      <c r="C3254" s="1061"/>
      <c r="D3254" s="291"/>
      <c r="E3254" s="1044"/>
    </row>
    <row r="3255" spans="1:5" x14ac:dyDescent="0.25">
      <c r="A3255" s="290"/>
      <c r="B3255" s="288"/>
      <c r="C3255" s="1061"/>
      <c r="D3255" s="291"/>
      <c r="E3255" s="1044"/>
    </row>
    <row r="3256" spans="1:5" x14ac:dyDescent="0.25">
      <c r="A3256" s="290"/>
      <c r="B3256" s="288"/>
      <c r="C3256" s="1061"/>
      <c r="D3256" s="291"/>
      <c r="E3256" s="1044"/>
    </row>
    <row r="3257" spans="1:5" x14ac:dyDescent="0.25">
      <c r="A3257" s="290"/>
      <c r="B3257" s="288"/>
      <c r="C3257" s="1061"/>
      <c r="D3257" s="291"/>
      <c r="E3257" s="1044"/>
    </row>
    <row r="3258" spans="1:5" x14ac:dyDescent="0.25">
      <c r="A3258" s="290"/>
      <c r="B3258" s="288"/>
      <c r="C3258" s="1061"/>
      <c r="D3258" s="291"/>
      <c r="E3258" s="1044"/>
    </row>
    <row r="3259" spans="1:5" x14ac:dyDescent="0.25">
      <c r="A3259" s="290"/>
      <c r="B3259" s="288"/>
      <c r="C3259" s="1061"/>
      <c r="D3259" s="291"/>
      <c r="E3259" s="1044"/>
    </row>
    <row r="3260" spans="1:5" x14ac:dyDescent="0.25">
      <c r="A3260" s="290"/>
      <c r="B3260" s="288"/>
      <c r="C3260" s="1061"/>
      <c r="D3260" s="291"/>
      <c r="E3260" s="1044"/>
    </row>
    <row r="3261" spans="1:5" x14ac:dyDescent="0.25">
      <c r="A3261" s="290"/>
      <c r="B3261" s="288"/>
      <c r="C3261" s="1061"/>
      <c r="D3261" s="291"/>
      <c r="E3261" s="1044"/>
    </row>
    <row r="3262" spans="1:5" x14ac:dyDescent="0.25">
      <c r="A3262" s="290"/>
      <c r="B3262" s="288"/>
      <c r="C3262" s="1061"/>
      <c r="D3262" s="291"/>
      <c r="E3262" s="1044"/>
    </row>
    <row r="3263" spans="1:5" x14ac:dyDescent="0.25">
      <c r="A3263" s="290"/>
      <c r="B3263" s="288"/>
      <c r="C3263" s="1061"/>
      <c r="D3263" s="291"/>
      <c r="E3263" s="1044"/>
    </row>
    <row r="3264" spans="1:5" x14ac:dyDescent="0.25">
      <c r="A3264" s="290"/>
      <c r="B3264" s="288"/>
      <c r="C3264" s="1061"/>
      <c r="D3264" s="291"/>
      <c r="E3264" s="1044"/>
    </row>
    <row r="3265" spans="1:5" x14ac:dyDescent="0.25">
      <c r="A3265" s="290"/>
      <c r="B3265" s="288"/>
      <c r="C3265" s="1061"/>
      <c r="D3265" s="291"/>
      <c r="E3265" s="1044"/>
    </row>
    <row r="3266" spans="1:5" x14ac:dyDescent="0.25">
      <c r="A3266" s="290"/>
      <c r="B3266" s="288"/>
      <c r="C3266" s="1061"/>
      <c r="D3266" s="291"/>
      <c r="E3266" s="1044"/>
    </row>
    <row r="3267" spans="1:5" x14ac:dyDescent="0.25">
      <c r="A3267" s="290"/>
      <c r="B3267" s="288"/>
      <c r="C3267" s="1061"/>
      <c r="D3267" s="291"/>
      <c r="E3267" s="1044"/>
    </row>
    <row r="3268" spans="1:5" x14ac:dyDescent="0.25">
      <c r="A3268" s="290"/>
      <c r="B3268" s="288"/>
      <c r="C3268" s="1061"/>
      <c r="D3268" s="291"/>
      <c r="E3268" s="1044"/>
    </row>
    <row r="3269" spans="1:5" x14ac:dyDescent="0.25">
      <c r="A3269" s="290"/>
      <c r="B3269" s="288"/>
      <c r="C3269" s="1061"/>
      <c r="D3269" s="291"/>
      <c r="E3269" s="1044"/>
    </row>
    <row r="3270" spans="1:5" x14ac:dyDescent="0.25">
      <c r="A3270" s="290"/>
      <c r="B3270" s="288"/>
      <c r="C3270" s="1061"/>
      <c r="D3270" s="291"/>
      <c r="E3270" s="1044"/>
    </row>
    <row r="3271" spans="1:5" x14ac:dyDescent="0.25">
      <c r="A3271" s="290"/>
      <c r="B3271" s="288"/>
      <c r="C3271" s="1061"/>
      <c r="D3271" s="291"/>
      <c r="E3271" s="1044"/>
    </row>
    <row r="3272" spans="1:5" x14ac:dyDescent="0.25">
      <c r="A3272" s="290"/>
      <c r="B3272" s="288"/>
      <c r="C3272" s="1061"/>
      <c r="D3272" s="291"/>
      <c r="E3272" s="1044"/>
    </row>
    <row r="3273" spans="1:5" x14ac:dyDescent="0.25">
      <c r="A3273" s="290"/>
      <c r="B3273" s="288"/>
      <c r="C3273" s="1061"/>
      <c r="D3273" s="291"/>
      <c r="E3273" s="1044"/>
    </row>
    <row r="3274" spans="1:5" x14ac:dyDescent="0.25">
      <c r="A3274" s="290"/>
      <c r="B3274" s="288"/>
      <c r="C3274" s="1061"/>
      <c r="D3274" s="291"/>
      <c r="E3274" s="1044"/>
    </row>
    <row r="3275" spans="1:5" x14ac:dyDescent="0.25">
      <c r="A3275" s="290"/>
      <c r="B3275" s="288"/>
      <c r="C3275" s="1061"/>
      <c r="D3275" s="291"/>
      <c r="E3275" s="1044"/>
    </row>
    <row r="3276" spans="1:5" x14ac:dyDescent="0.25">
      <c r="A3276" s="290"/>
      <c r="B3276" s="288"/>
      <c r="C3276" s="1061"/>
      <c r="D3276" s="291"/>
      <c r="E3276" s="1044"/>
    </row>
    <row r="3277" spans="1:5" x14ac:dyDescent="0.25">
      <c r="A3277" s="290"/>
      <c r="B3277" s="288"/>
      <c r="C3277" s="1061"/>
      <c r="D3277" s="291"/>
      <c r="E3277" s="1044"/>
    </row>
    <row r="3278" spans="1:5" x14ac:dyDescent="0.25">
      <c r="A3278" s="290"/>
      <c r="B3278" s="288"/>
      <c r="C3278" s="1061"/>
      <c r="D3278" s="291"/>
      <c r="E3278" s="1044"/>
    </row>
    <row r="3279" spans="1:5" x14ac:dyDescent="0.25">
      <c r="A3279" s="290"/>
      <c r="B3279" s="288"/>
      <c r="C3279" s="1061"/>
      <c r="D3279" s="291"/>
      <c r="E3279" s="1044"/>
    </row>
    <row r="3280" spans="1:5" x14ac:dyDescent="0.25">
      <c r="A3280" s="290"/>
      <c r="B3280" s="288"/>
      <c r="C3280" s="1061"/>
      <c r="D3280" s="291"/>
      <c r="E3280" s="1044"/>
    </row>
    <row r="3281" spans="1:5" x14ac:dyDescent="0.25">
      <c r="A3281" s="290"/>
      <c r="B3281" s="288"/>
      <c r="C3281" s="1061"/>
      <c r="D3281" s="291"/>
      <c r="E3281" s="1044"/>
    </row>
    <row r="3282" spans="1:5" x14ac:dyDescent="0.25">
      <c r="A3282" s="290"/>
      <c r="B3282" s="288"/>
      <c r="C3282" s="1061"/>
      <c r="D3282" s="291"/>
      <c r="E3282" s="1044"/>
    </row>
    <row r="3283" spans="1:5" x14ac:dyDescent="0.25">
      <c r="A3283" s="290"/>
      <c r="B3283" s="288"/>
      <c r="C3283" s="1061"/>
      <c r="D3283" s="291"/>
      <c r="E3283" s="1044"/>
    </row>
    <row r="3284" spans="1:5" x14ac:dyDescent="0.25">
      <c r="A3284" s="290"/>
      <c r="B3284" s="288"/>
      <c r="C3284" s="1061"/>
      <c r="D3284" s="291"/>
      <c r="E3284" s="1044"/>
    </row>
    <row r="3285" spans="1:5" x14ac:dyDescent="0.25">
      <c r="A3285" s="290"/>
      <c r="B3285" s="288"/>
      <c r="C3285" s="1061"/>
      <c r="D3285" s="291"/>
      <c r="E3285" s="1044"/>
    </row>
    <row r="3286" spans="1:5" x14ac:dyDescent="0.25">
      <c r="A3286" s="290"/>
      <c r="B3286" s="288"/>
      <c r="C3286" s="1061"/>
      <c r="D3286" s="291"/>
      <c r="E3286" s="1044"/>
    </row>
    <row r="3287" spans="1:5" x14ac:dyDescent="0.25">
      <c r="A3287" s="290"/>
      <c r="B3287" s="288"/>
      <c r="C3287" s="1061"/>
      <c r="D3287" s="291"/>
      <c r="E3287" s="1044"/>
    </row>
    <row r="3288" spans="1:5" x14ac:dyDescent="0.25">
      <c r="A3288" s="290"/>
      <c r="B3288" s="288"/>
      <c r="C3288" s="1061"/>
      <c r="D3288" s="291"/>
      <c r="E3288" s="1044"/>
    </row>
    <row r="3289" spans="1:5" x14ac:dyDescent="0.25">
      <c r="A3289" s="290"/>
      <c r="B3289" s="288"/>
      <c r="C3289" s="1061"/>
      <c r="D3289" s="291"/>
      <c r="E3289" s="1044"/>
    </row>
    <row r="3290" spans="1:5" x14ac:dyDescent="0.25">
      <c r="A3290" s="290"/>
      <c r="B3290" s="288"/>
      <c r="C3290" s="1061"/>
      <c r="D3290" s="291"/>
      <c r="E3290" s="1044"/>
    </row>
    <row r="3291" spans="1:5" x14ac:dyDescent="0.25">
      <c r="A3291" s="290"/>
      <c r="B3291" s="288"/>
      <c r="C3291" s="1061"/>
      <c r="D3291" s="291"/>
      <c r="E3291" s="1044"/>
    </row>
    <row r="3292" spans="1:5" x14ac:dyDescent="0.25">
      <c r="A3292" s="290"/>
      <c r="B3292" s="288"/>
      <c r="C3292" s="1061"/>
      <c r="D3292" s="291"/>
      <c r="E3292" s="1044"/>
    </row>
    <row r="3293" spans="1:5" x14ac:dyDescent="0.25">
      <c r="A3293" s="290"/>
      <c r="B3293" s="288"/>
      <c r="C3293" s="1061"/>
      <c r="D3293" s="291"/>
      <c r="E3293" s="1044"/>
    </row>
    <row r="3294" spans="1:5" x14ac:dyDescent="0.25">
      <c r="A3294" s="290"/>
      <c r="B3294" s="288"/>
      <c r="C3294" s="1061"/>
      <c r="D3294" s="291"/>
      <c r="E3294" s="1044"/>
    </row>
    <row r="3295" spans="1:5" x14ac:dyDescent="0.25">
      <c r="A3295" s="290"/>
      <c r="B3295" s="288"/>
      <c r="C3295" s="1061"/>
      <c r="D3295" s="291"/>
      <c r="E3295" s="1044"/>
    </row>
    <row r="3296" spans="1:5" x14ac:dyDescent="0.25">
      <c r="A3296" s="290"/>
      <c r="B3296" s="288"/>
      <c r="C3296" s="1061"/>
      <c r="D3296" s="291"/>
      <c r="E3296" s="1044"/>
    </row>
    <row r="3297" spans="1:5" x14ac:dyDescent="0.25">
      <c r="A3297" s="290"/>
      <c r="B3297" s="288"/>
      <c r="C3297" s="1061"/>
      <c r="D3297" s="291"/>
      <c r="E3297" s="1044"/>
    </row>
    <row r="3298" spans="1:5" x14ac:dyDescent="0.25">
      <c r="A3298" s="290"/>
      <c r="B3298" s="288"/>
      <c r="C3298" s="1061"/>
      <c r="D3298" s="291"/>
      <c r="E3298" s="1044"/>
    </row>
    <row r="3299" spans="1:5" x14ac:dyDescent="0.25">
      <c r="A3299" s="290"/>
      <c r="B3299" s="288"/>
      <c r="C3299" s="1061"/>
      <c r="D3299" s="291"/>
      <c r="E3299" s="1044"/>
    </row>
    <row r="3300" spans="1:5" x14ac:dyDescent="0.25">
      <c r="A3300" s="290"/>
      <c r="B3300" s="288"/>
      <c r="C3300" s="1061"/>
      <c r="D3300" s="291"/>
      <c r="E3300" s="1044"/>
    </row>
    <row r="3301" spans="1:5" x14ac:dyDescent="0.25">
      <c r="A3301" s="290"/>
      <c r="B3301" s="288"/>
      <c r="C3301" s="1061"/>
      <c r="D3301" s="291"/>
      <c r="E3301" s="1044"/>
    </row>
    <row r="3302" spans="1:5" x14ac:dyDescent="0.25">
      <c r="A3302" s="290"/>
      <c r="B3302" s="288"/>
      <c r="C3302" s="1061"/>
      <c r="D3302" s="291"/>
      <c r="E3302" s="1044"/>
    </row>
    <row r="3303" spans="1:5" x14ac:dyDescent="0.25">
      <c r="A3303" s="290"/>
      <c r="B3303" s="288"/>
      <c r="C3303" s="1061"/>
      <c r="D3303" s="291"/>
      <c r="E3303" s="1044"/>
    </row>
    <row r="3304" spans="1:5" x14ac:dyDescent="0.25">
      <c r="A3304" s="290"/>
      <c r="B3304" s="288"/>
      <c r="C3304" s="1061"/>
      <c r="D3304" s="291"/>
      <c r="E3304" s="1044"/>
    </row>
    <row r="3305" spans="1:5" x14ac:dyDescent="0.25">
      <c r="A3305" s="290"/>
      <c r="B3305" s="288"/>
      <c r="C3305" s="1061"/>
      <c r="D3305" s="291"/>
      <c r="E3305" s="1044"/>
    </row>
    <row r="3306" spans="1:5" x14ac:dyDescent="0.25">
      <c r="A3306" s="290"/>
      <c r="B3306" s="288"/>
      <c r="C3306" s="1061"/>
      <c r="D3306" s="291"/>
      <c r="E3306" s="1044"/>
    </row>
    <row r="3307" spans="1:5" x14ac:dyDescent="0.25">
      <c r="A3307" s="290"/>
      <c r="B3307" s="288"/>
      <c r="C3307" s="1061"/>
      <c r="D3307" s="291"/>
      <c r="E3307" s="1044"/>
    </row>
    <row r="3308" spans="1:5" x14ac:dyDescent="0.25">
      <c r="A3308" s="290"/>
      <c r="B3308" s="288"/>
      <c r="C3308" s="1061"/>
      <c r="D3308" s="291"/>
      <c r="E3308" s="1044"/>
    </row>
    <row r="3309" spans="1:5" x14ac:dyDescent="0.25">
      <c r="A3309" s="290"/>
      <c r="B3309" s="288"/>
      <c r="C3309" s="1061"/>
      <c r="D3309" s="291"/>
      <c r="E3309" s="1044"/>
    </row>
    <row r="3310" spans="1:5" x14ac:dyDescent="0.25">
      <c r="A3310" s="290"/>
      <c r="B3310" s="288"/>
      <c r="C3310" s="1061"/>
      <c r="D3310" s="291"/>
      <c r="E3310" s="1044"/>
    </row>
    <row r="3311" spans="1:5" x14ac:dyDescent="0.25">
      <c r="A3311" s="290"/>
      <c r="B3311" s="288"/>
      <c r="C3311" s="1061"/>
      <c r="D3311" s="291"/>
      <c r="E3311" s="1044"/>
    </row>
    <row r="3312" spans="1:5" x14ac:dyDescent="0.25">
      <c r="A3312" s="290"/>
      <c r="B3312" s="288"/>
      <c r="C3312" s="1061"/>
      <c r="D3312" s="291"/>
      <c r="E3312" s="1044"/>
    </row>
    <row r="3313" spans="1:5" x14ac:dyDescent="0.25">
      <c r="A3313" s="290"/>
      <c r="B3313" s="288"/>
      <c r="C3313" s="1061"/>
      <c r="D3313" s="291"/>
      <c r="E3313" s="1044"/>
    </row>
    <row r="3314" spans="1:5" x14ac:dyDescent="0.25">
      <c r="A3314" s="290"/>
      <c r="B3314" s="288"/>
      <c r="C3314" s="1061"/>
      <c r="D3314" s="291"/>
      <c r="E3314" s="1044"/>
    </row>
    <row r="3315" spans="1:5" x14ac:dyDescent="0.25">
      <c r="A3315" s="290"/>
      <c r="B3315" s="288"/>
      <c r="C3315" s="1061"/>
      <c r="D3315" s="291"/>
      <c r="E3315" s="1044"/>
    </row>
    <row r="3316" spans="1:5" x14ac:dyDescent="0.25">
      <c r="A3316" s="290"/>
      <c r="B3316" s="288"/>
      <c r="C3316" s="1061"/>
      <c r="D3316" s="291"/>
      <c r="E3316" s="1044"/>
    </row>
    <row r="3317" spans="1:5" x14ac:dyDescent="0.25">
      <c r="A3317" s="290"/>
      <c r="B3317" s="288"/>
      <c r="C3317" s="1061"/>
      <c r="D3317" s="291"/>
      <c r="E3317" s="1044"/>
    </row>
    <row r="3318" spans="1:5" x14ac:dyDescent="0.25">
      <c r="A3318" s="290"/>
      <c r="B3318" s="288"/>
      <c r="C3318" s="1061"/>
      <c r="D3318" s="291"/>
      <c r="E3318" s="1044"/>
    </row>
    <row r="3319" spans="1:5" x14ac:dyDescent="0.25">
      <c r="A3319" s="290"/>
      <c r="B3319" s="288"/>
      <c r="C3319" s="1061"/>
      <c r="D3319" s="291"/>
      <c r="E3319" s="1044"/>
    </row>
    <row r="3320" spans="1:5" x14ac:dyDescent="0.25">
      <c r="A3320" s="290"/>
      <c r="B3320" s="288"/>
      <c r="C3320" s="1061"/>
      <c r="D3320" s="291"/>
      <c r="E3320" s="1044"/>
    </row>
    <row r="3321" spans="1:5" x14ac:dyDescent="0.25">
      <c r="A3321" s="290"/>
      <c r="B3321" s="288"/>
      <c r="C3321" s="1061"/>
      <c r="D3321" s="291"/>
      <c r="E3321" s="1044"/>
    </row>
    <row r="3322" spans="1:5" x14ac:dyDescent="0.25">
      <c r="A3322" s="290"/>
      <c r="B3322" s="288"/>
      <c r="C3322" s="1061"/>
      <c r="D3322" s="291"/>
      <c r="E3322" s="1044"/>
    </row>
    <row r="3323" spans="1:5" x14ac:dyDescent="0.25">
      <c r="A3323" s="290"/>
      <c r="B3323" s="288"/>
      <c r="C3323" s="1061"/>
      <c r="D3323" s="291"/>
      <c r="E3323" s="1044"/>
    </row>
    <row r="3324" spans="1:5" x14ac:dyDescent="0.25">
      <c r="A3324" s="290"/>
      <c r="B3324" s="288"/>
      <c r="C3324" s="1061"/>
      <c r="D3324" s="291"/>
      <c r="E3324" s="1044"/>
    </row>
    <row r="3325" spans="1:5" x14ac:dyDescent="0.25">
      <c r="A3325" s="290"/>
      <c r="B3325" s="288"/>
      <c r="C3325" s="1061"/>
      <c r="D3325" s="291"/>
      <c r="E3325" s="1044"/>
    </row>
    <row r="3326" spans="1:5" x14ac:dyDescent="0.25">
      <c r="A3326" s="290"/>
      <c r="B3326" s="288"/>
      <c r="C3326" s="1061"/>
      <c r="D3326" s="291"/>
      <c r="E3326" s="1044"/>
    </row>
    <row r="3327" spans="1:5" x14ac:dyDescent="0.25">
      <c r="A3327" s="290"/>
      <c r="B3327" s="288"/>
      <c r="C3327" s="1061"/>
      <c r="D3327" s="291"/>
      <c r="E3327" s="1044"/>
    </row>
    <row r="3328" spans="1:5" x14ac:dyDescent="0.25">
      <c r="A3328" s="290"/>
      <c r="B3328" s="288"/>
      <c r="C3328" s="1061"/>
      <c r="D3328" s="291"/>
      <c r="E3328" s="1044"/>
    </row>
    <row r="3329" spans="1:5" x14ac:dyDescent="0.25">
      <c r="A3329" s="290"/>
      <c r="B3329" s="288"/>
      <c r="C3329" s="1061"/>
      <c r="D3329" s="291"/>
      <c r="E3329" s="1044"/>
    </row>
    <row r="3330" spans="1:5" x14ac:dyDescent="0.25">
      <c r="A3330" s="290"/>
      <c r="B3330" s="288"/>
      <c r="C3330" s="1061"/>
      <c r="D3330" s="291"/>
      <c r="E3330" s="1044"/>
    </row>
    <row r="3331" spans="1:5" x14ac:dyDescent="0.25">
      <c r="A3331" s="290"/>
      <c r="B3331" s="288"/>
      <c r="C3331" s="1061"/>
      <c r="D3331" s="291"/>
      <c r="E3331" s="1044"/>
    </row>
    <row r="3332" spans="1:5" x14ac:dyDescent="0.25">
      <c r="A3332" s="290"/>
      <c r="B3332" s="288"/>
      <c r="C3332" s="1061"/>
      <c r="D3332" s="291"/>
      <c r="E3332" s="1044"/>
    </row>
    <row r="3333" spans="1:5" x14ac:dyDescent="0.25">
      <c r="A3333" s="290"/>
      <c r="B3333" s="288"/>
      <c r="C3333" s="1061"/>
      <c r="D3333" s="291"/>
      <c r="E3333" s="1044"/>
    </row>
    <row r="3334" spans="1:5" x14ac:dyDescent="0.25">
      <c r="A3334" s="290"/>
      <c r="B3334" s="288"/>
      <c r="C3334" s="1061"/>
      <c r="D3334" s="291"/>
      <c r="E3334" s="1044"/>
    </row>
    <row r="3335" spans="1:5" x14ac:dyDescent="0.25">
      <c r="A3335" s="290"/>
      <c r="B3335" s="288"/>
      <c r="C3335" s="1061"/>
      <c r="D3335" s="291"/>
      <c r="E3335" s="1044"/>
    </row>
    <row r="3336" spans="1:5" x14ac:dyDescent="0.25">
      <c r="A3336" s="290"/>
      <c r="B3336" s="288"/>
      <c r="C3336" s="1061"/>
      <c r="D3336" s="291"/>
      <c r="E3336" s="1044"/>
    </row>
    <row r="3337" spans="1:5" x14ac:dyDescent="0.25">
      <c r="A3337" s="290"/>
      <c r="B3337" s="288"/>
      <c r="C3337" s="1061"/>
      <c r="D3337" s="291"/>
      <c r="E3337" s="1044"/>
    </row>
    <row r="3338" spans="1:5" x14ac:dyDescent="0.25">
      <c r="A3338" s="290"/>
      <c r="B3338" s="288"/>
      <c r="C3338" s="1061"/>
      <c r="D3338" s="291"/>
      <c r="E3338" s="1044"/>
    </row>
    <row r="3339" spans="1:5" x14ac:dyDescent="0.25">
      <c r="A3339" s="290"/>
      <c r="B3339" s="288"/>
      <c r="C3339" s="1061"/>
      <c r="D3339" s="291"/>
      <c r="E3339" s="1044"/>
    </row>
    <row r="3340" spans="1:5" x14ac:dyDescent="0.25">
      <c r="A3340" s="290"/>
      <c r="B3340" s="288"/>
      <c r="C3340" s="1061"/>
      <c r="D3340" s="291"/>
      <c r="E3340" s="1044"/>
    </row>
    <row r="3341" spans="1:5" x14ac:dyDescent="0.25">
      <c r="A3341" s="290"/>
      <c r="B3341" s="288"/>
      <c r="C3341" s="1061"/>
      <c r="D3341" s="291"/>
      <c r="E3341" s="1044"/>
    </row>
    <row r="3342" spans="1:5" x14ac:dyDescent="0.25">
      <c r="A3342" s="290"/>
      <c r="B3342" s="288"/>
      <c r="C3342" s="1061"/>
      <c r="D3342" s="291"/>
      <c r="E3342" s="1044"/>
    </row>
    <row r="3343" spans="1:5" x14ac:dyDescent="0.25">
      <c r="A3343" s="290"/>
      <c r="B3343" s="288"/>
      <c r="C3343" s="1061"/>
      <c r="D3343" s="291"/>
      <c r="E3343" s="1044"/>
    </row>
    <row r="3344" spans="1:5" x14ac:dyDescent="0.25">
      <c r="A3344" s="290"/>
      <c r="B3344" s="288"/>
      <c r="C3344" s="1061"/>
      <c r="D3344" s="291"/>
      <c r="E3344" s="1044"/>
    </row>
    <row r="3345" spans="1:5" x14ac:dyDescent="0.25">
      <c r="A3345" s="290"/>
      <c r="B3345" s="288"/>
      <c r="C3345" s="1061"/>
      <c r="D3345" s="291"/>
      <c r="E3345" s="1044"/>
    </row>
    <row r="3346" spans="1:5" x14ac:dyDescent="0.25">
      <c r="A3346" s="290"/>
      <c r="B3346" s="288"/>
      <c r="C3346" s="1061"/>
      <c r="D3346" s="291"/>
      <c r="E3346" s="1044"/>
    </row>
    <row r="3347" spans="1:5" x14ac:dyDescent="0.25">
      <c r="A3347" s="290"/>
      <c r="B3347" s="288"/>
      <c r="C3347" s="1061"/>
      <c r="D3347" s="291"/>
      <c r="E3347" s="1044"/>
    </row>
    <row r="3348" spans="1:5" x14ac:dyDescent="0.25">
      <c r="A3348" s="290"/>
      <c r="B3348" s="288"/>
      <c r="C3348" s="1061"/>
      <c r="D3348" s="291"/>
      <c r="E3348" s="1044"/>
    </row>
    <row r="3349" spans="1:5" x14ac:dyDescent="0.25">
      <c r="A3349" s="290"/>
      <c r="B3349" s="288"/>
      <c r="C3349" s="1061"/>
      <c r="D3349" s="291"/>
      <c r="E3349" s="1044"/>
    </row>
    <row r="3350" spans="1:5" x14ac:dyDescent="0.25">
      <c r="A3350" s="290"/>
      <c r="B3350" s="288"/>
      <c r="C3350" s="1061"/>
      <c r="D3350" s="291"/>
      <c r="E3350" s="1044"/>
    </row>
    <row r="3351" spans="1:5" x14ac:dyDescent="0.25">
      <c r="A3351" s="290"/>
      <c r="B3351" s="288"/>
      <c r="C3351" s="1061"/>
      <c r="D3351" s="291"/>
      <c r="E3351" s="1044"/>
    </row>
    <row r="3352" spans="1:5" x14ac:dyDescent="0.25">
      <c r="A3352" s="290"/>
      <c r="B3352" s="288"/>
      <c r="C3352" s="1061"/>
      <c r="D3352" s="291"/>
      <c r="E3352" s="1044"/>
    </row>
    <row r="3353" spans="1:5" x14ac:dyDescent="0.25">
      <c r="A3353" s="290"/>
      <c r="B3353" s="288"/>
      <c r="C3353" s="1061"/>
      <c r="D3353" s="291"/>
      <c r="E3353" s="1044"/>
    </row>
    <row r="3354" spans="1:5" x14ac:dyDescent="0.25">
      <c r="A3354" s="290"/>
      <c r="B3354" s="288"/>
      <c r="C3354" s="1061"/>
      <c r="D3354" s="291"/>
      <c r="E3354" s="1044"/>
    </row>
    <row r="3355" spans="1:5" x14ac:dyDescent="0.25">
      <c r="A3355" s="290"/>
      <c r="B3355" s="288"/>
      <c r="C3355" s="1061"/>
      <c r="D3355" s="291"/>
      <c r="E3355" s="1044"/>
    </row>
    <row r="3356" spans="1:5" x14ac:dyDescent="0.25">
      <c r="A3356" s="290"/>
      <c r="B3356" s="288"/>
      <c r="C3356" s="1061"/>
      <c r="D3356" s="291"/>
      <c r="E3356" s="1044"/>
    </row>
    <row r="3357" spans="1:5" x14ac:dyDescent="0.25">
      <c r="A3357" s="290"/>
      <c r="B3357" s="288"/>
      <c r="C3357" s="1061"/>
      <c r="D3357" s="291"/>
      <c r="E3357" s="1044"/>
    </row>
    <row r="3358" spans="1:5" x14ac:dyDescent="0.25">
      <c r="A3358" s="290"/>
      <c r="B3358" s="288"/>
      <c r="C3358" s="1061"/>
      <c r="D3358" s="291"/>
      <c r="E3358" s="1044"/>
    </row>
    <row r="3359" spans="1:5" x14ac:dyDescent="0.25">
      <c r="A3359" s="290"/>
      <c r="B3359" s="288"/>
      <c r="C3359" s="1061"/>
      <c r="D3359" s="291"/>
      <c r="E3359" s="1044"/>
    </row>
    <row r="3360" spans="1:5" x14ac:dyDescent="0.25">
      <c r="A3360" s="290"/>
      <c r="B3360" s="288"/>
      <c r="C3360" s="1061"/>
      <c r="D3360" s="291"/>
      <c r="E3360" s="1044"/>
    </row>
    <row r="3361" spans="1:5" x14ac:dyDescent="0.25">
      <c r="A3361" s="290"/>
      <c r="B3361" s="288"/>
      <c r="C3361" s="1061"/>
      <c r="D3361" s="291"/>
      <c r="E3361" s="1044"/>
    </row>
    <row r="3362" spans="1:5" x14ac:dyDescent="0.25">
      <c r="A3362" s="290"/>
      <c r="B3362" s="288"/>
      <c r="C3362" s="1061"/>
      <c r="D3362" s="291"/>
      <c r="E3362" s="1044"/>
    </row>
    <row r="3363" spans="1:5" x14ac:dyDescent="0.25">
      <c r="A3363" s="290"/>
      <c r="B3363" s="288"/>
      <c r="C3363" s="1061"/>
      <c r="D3363" s="291"/>
      <c r="E3363" s="1044"/>
    </row>
    <row r="3364" spans="1:5" x14ac:dyDescent="0.25">
      <c r="A3364" s="290"/>
      <c r="B3364" s="288"/>
      <c r="C3364" s="1061"/>
      <c r="D3364" s="291"/>
      <c r="E3364" s="1044"/>
    </row>
    <row r="3365" spans="1:5" x14ac:dyDescent="0.25">
      <c r="A3365" s="290"/>
      <c r="B3365" s="288"/>
      <c r="C3365" s="1061"/>
      <c r="D3365" s="291"/>
      <c r="E3365" s="1044"/>
    </row>
    <row r="3366" spans="1:5" x14ac:dyDescent="0.25">
      <c r="A3366" s="290"/>
      <c r="B3366" s="288"/>
      <c r="C3366" s="1061"/>
      <c r="D3366" s="291"/>
      <c r="E3366" s="1044"/>
    </row>
    <row r="3367" spans="1:5" x14ac:dyDescent="0.25">
      <c r="A3367" s="290"/>
      <c r="B3367" s="288"/>
      <c r="C3367" s="1061"/>
      <c r="D3367" s="291"/>
      <c r="E3367" s="1044"/>
    </row>
    <row r="3368" spans="1:5" x14ac:dyDescent="0.25">
      <c r="A3368" s="290"/>
      <c r="B3368" s="288"/>
      <c r="C3368" s="1061"/>
      <c r="D3368" s="291"/>
      <c r="E3368" s="1044"/>
    </row>
    <row r="3369" spans="1:5" x14ac:dyDescent="0.25">
      <c r="A3369" s="290"/>
      <c r="B3369" s="288"/>
      <c r="C3369" s="1061"/>
      <c r="D3369" s="291"/>
      <c r="E3369" s="1044"/>
    </row>
    <row r="3370" spans="1:5" x14ac:dyDescent="0.25">
      <c r="A3370" s="290"/>
      <c r="B3370" s="288"/>
      <c r="C3370" s="1061"/>
      <c r="D3370" s="291"/>
      <c r="E3370" s="1044"/>
    </row>
    <row r="3371" spans="1:5" x14ac:dyDescent="0.25">
      <c r="A3371" s="290"/>
      <c r="B3371" s="288"/>
      <c r="C3371" s="1061"/>
      <c r="D3371" s="291"/>
      <c r="E3371" s="1044"/>
    </row>
    <row r="3372" spans="1:5" x14ac:dyDescent="0.25">
      <c r="A3372" s="290"/>
      <c r="B3372" s="288"/>
      <c r="C3372" s="1061"/>
      <c r="D3372" s="291"/>
      <c r="E3372" s="1044"/>
    </row>
    <row r="3373" spans="1:5" x14ac:dyDescent="0.25">
      <c r="A3373" s="290"/>
      <c r="B3373" s="288"/>
      <c r="C3373" s="1061"/>
      <c r="D3373" s="291"/>
      <c r="E3373" s="1044"/>
    </row>
    <row r="3374" spans="1:5" x14ac:dyDescent="0.25">
      <c r="A3374" s="290"/>
      <c r="B3374" s="288"/>
      <c r="C3374" s="1061"/>
      <c r="D3374" s="291"/>
      <c r="E3374" s="1044"/>
    </row>
    <row r="3375" spans="1:5" x14ac:dyDescent="0.25">
      <c r="A3375" s="290"/>
      <c r="B3375" s="288"/>
      <c r="C3375" s="1061"/>
      <c r="D3375" s="291"/>
      <c r="E3375" s="1044"/>
    </row>
    <row r="3376" spans="1:5" x14ac:dyDescent="0.25">
      <c r="A3376" s="290"/>
      <c r="B3376" s="288"/>
      <c r="C3376" s="1061"/>
      <c r="D3376" s="291"/>
      <c r="E3376" s="1044"/>
    </row>
    <row r="3377" spans="1:5" x14ac:dyDescent="0.25">
      <c r="A3377" s="290"/>
      <c r="B3377" s="288"/>
      <c r="C3377" s="1061"/>
      <c r="D3377" s="291"/>
      <c r="E3377" s="1044"/>
    </row>
    <row r="3378" spans="1:5" x14ac:dyDescent="0.25">
      <c r="A3378" s="290"/>
      <c r="B3378" s="288"/>
      <c r="C3378" s="1061"/>
      <c r="D3378" s="291"/>
      <c r="E3378" s="1044"/>
    </row>
    <row r="3379" spans="1:5" x14ac:dyDescent="0.25">
      <c r="A3379" s="290"/>
      <c r="B3379" s="288"/>
      <c r="C3379" s="1061"/>
      <c r="D3379" s="291"/>
      <c r="E3379" s="1044"/>
    </row>
    <row r="3380" spans="1:5" x14ac:dyDescent="0.25">
      <c r="A3380" s="290"/>
      <c r="B3380" s="288"/>
      <c r="C3380" s="1061"/>
      <c r="D3380" s="291"/>
      <c r="E3380" s="1044"/>
    </row>
    <row r="3381" spans="1:5" x14ac:dyDescent="0.25">
      <c r="A3381" s="290"/>
      <c r="B3381" s="288"/>
      <c r="C3381" s="1061"/>
      <c r="D3381" s="291"/>
      <c r="E3381" s="1044"/>
    </row>
    <row r="3382" spans="1:5" x14ac:dyDescent="0.25">
      <c r="A3382" s="290"/>
      <c r="B3382" s="288"/>
      <c r="C3382" s="1061"/>
      <c r="D3382" s="291"/>
      <c r="E3382" s="1044"/>
    </row>
    <row r="3383" spans="1:5" x14ac:dyDescent="0.25">
      <c r="A3383" s="290"/>
      <c r="B3383" s="288"/>
      <c r="C3383" s="1061"/>
      <c r="D3383" s="291"/>
      <c r="E3383" s="1044"/>
    </row>
    <row r="3384" spans="1:5" x14ac:dyDescent="0.25">
      <c r="A3384" s="290"/>
      <c r="B3384" s="288"/>
      <c r="C3384" s="1061"/>
      <c r="D3384" s="291"/>
      <c r="E3384" s="1044"/>
    </row>
    <row r="3385" spans="1:5" x14ac:dyDescent="0.25">
      <c r="A3385" s="290"/>
      <c r="B3385" s="288"/>
      <c r="C3385" s="1061"/>
      <c r="D3385" s="291"/>
      <c r="E3385" s="1044"/>
    </row>
    <row r="3386" spans="1:5" x14ac:dyDescent="0.25">
      <c r="A3386" s="290"/>
      <c r="B3386" s="288"/>
      <c r="C3386" s="1061"/>
      <c r="D3386" s="291"/>
      <c r="E3386" s="1044"/>
    </row>
    <row r="3387" spans="1:5" x14ac:dyDescent="0.25">
      <c r="A3387" s="290"/>
      <c r="B3387" s="288"/>
      <c r="C3387" s="1061"/>
      <c r="D3387" s="291"/>
      <c r="E3387" s="1044"/>
    </row>
    <row r="3388" spans="1:5" x14ac:dyDescent="0.25">
      <c r="A3388" s="290"/>
      <c r="B3388" s="288"/>
      <c r="C3388" s="1061"/>
      <c r="D3388" s="291"/>
      <c r="E3388" s="1044"/>
    </row>
    <row r="3389" spans="1:5" x14ac:dyDescent="0.25">
      <c r="A3389" s="290"/>
      <c r="B3389" s="288"/>
      <c r="C3389" s="1061"/>
      <c r="D3389" s="291"/>
      <c r="E3389" s="1044"/>
    </row>
    <row r="3390" spans="1:5" x14ac:dyDescent="0.25">
      <c r="A3390" s="290"/>
      <c r="B3390" s="288"/>
      <c r="C3390" s="1061"/>
      <c r="D3390" s="291"/>
      <c r="E3390" s="1044"/>
    </row>
    <row r="3391" spans="1:5" x14ac:dyDescent="0.25">
      <c r="A3391" s="290"/>
      <c r="B3391" s="288"/>
      <c r="C3391" s="1061"/>
      <c r="D3391" s="291"/>
      <c r="E3391" s="1044"/>
    </row>
    <row r="3392" spans="1:5" x14ac:dyDescent="0.25">
      <c r="A3392" s="290"/>
      <c r="B3392" s="288"/>
      <c r="C3392" s="1061"/>
      <c r="D3392" s="291"/>
      <c r="E3392" s="1044"/>
    </row>
    <row r="3393" spans="1:5" x14ac:dyDescent="0.25">
      <c r="A3393" s="290"/>
      <c r="B3393" s="288"/>
      <c r="C3393" s="1061"/>
      <c r="D3393" s="291"/>
      <c r="E3393" s="1044"/>
    </row>
    <row r="3394" spans="1:5" x14ac:dyDescent="0.25">
      <c r="A3394" s="290"/>
      <c r="B3394" s="288"/>
      <c r="C3394" s="1061"/>
      <c r="D3394" s="291"/>
      <c r="E3394" s="1044"/>
    </row>
    <row r="3395" spans="1:5" x14ac:dyDescent="0.25">
      <c r="A3395" s="290"/>
      <c r="B3395" s="288"/>
      <c r="C3395" s="1061"/>
      <c r="D3395" s="291"/>
      <c r="E3395" s="1044"/>
    </row>
    <row r="3396" spans="1:5" x14ac:dyDescent="0.25">
      <c r="A3396" s="290"/>
      <c r="B3396" s="288"/>
      <c r="C3396" s="1061"/>
      <c r="D3396" s="291"/>
      <c r="E3396" s="1044"/>
    </row>
    <row r="3397" spans="1:5" x14ac:dyDescent="0.25">
      <c r="A3397" s="290"/>
      <c r="B3397" s="288"/>
      <c r="C3397" s="1061"/>
      <c r="D3397" s="291"/>
      <c r="E3397" s="1044"/>
    </row>
    <row r="3398" spans="1:5" x14ac:dyDescent="0.25">
      <c r="A3398" s="290"/>
      <c r="B3398" s="288"/>
      <c r="C3398" s="1061"/>
      <c r="D3398" s="291"/>
      <c r="E3398" s="1044"/>
    </row>
    <row r="3399" spans="1:5" x14ac:dyDescent="0.25">
      <c r="A3399" s="290"/>
      <c r="B3399" s="288"/>
      <c r="C3399" s="1061"/>
      <c r="D3399" s="291"/>
      <c r="E3399" s="1044"/>
    </row>
    <row r="3400" spans="1:5" x14ac:dyDescent="0.25">
      <c r="A3400" s="290"/>
      <c r="B3400" s="288"/>
      <c r="C3400" s="1061"/>
      <c r="D3400" s="291"/>
      <c r="E3400" s="1044"/>
    </row>
    <row r="3401" spans="1:5" x14ac:dyDescent="0.25">
      <c r="A3401" s="290"/>
      <c r="B3401" s="288"/>
      <c r="C3401" s="1061"/>
      <c r="D3401" s="291"/>
      <c r="E3401" s="1044"/>
    </row>
    <row r="3402" spans="1:5" x14ac:dyDescent="0.25">
      <c r="A3402" s="290"/>
      <c r="B3402" s="288"/>
      <c r="C3402" s="1061"/>
      <c r="D3402" s="291"/>
      <c r="E3402" s="1044"/>
    </row>
    <row r="3403" spans="1:5" x14ac:dyDescent="0.25">
      <c r="A3403" s="290"/>
      <c r="B3403" s="288"/>
      <c r="C3403" s="1061"/>
      <c r="D3403" s="291"/>
      <c r="E3403" s="1044"/>
    </row>
    <row r="3404" spans="1:5" x14ac:dyDescent="0.25">
      <c r="A3404" s="290"/>
      <c r="B3404" s="288"/>
      <c r="C3404" s="1061"/>
      <c r="D3404" s="291"/>
      <c r="E3404" s="1044"/>
    </row>
    <row r="3405" spans="1:5" x14ac:dyDescent="0.25">
      <c r="A3405" s="290"/>
      <c r="B3405" s="288"/>
      <c r="C3405" s="1061"/>
      <c r="D3405" s="291"/>
      <c r="E3405" s="1044"/>
    </row>
    <row r="3406" spans="1:5" x14ac:dyDescent="0.25">
      <c r="A3406" s="290"/>
      <c r="B3406" s="288"/>
      <c r="C3406" s="1061"/>
      <c r="D3406" s="291"/>
      <c r="E3406" s="1044"/>
    </row>
    <row r="3407" spans="1:5" x14ac:dyDescent="0.25">
      <c r="A3407" s="290"/>
      <c r="B3407" s="288"/>
      <c r="C3407" s="1061"/>
      <c r="D3407" s="291"/>
      <c r="E3407" s="1044"/>
    </row>
    <row r="3408" spans="1:5" x14ac:dyDescent="0.25">
      <c r="A3408" s="290"/>
      <c r="B3408" s="288"/>
      <c r="C3408" s="1061"/>
      <c r="D3408" s="291"/>
      <c r="E3408" s="1044"/>
    </row>
    <row r="3409" spans="1:5" x14ac:dyDescent="0.25">
      <c r="A3409" s="290"/>
      <c r="B3409" s="288"/>
      <c r="C3409" s="1061"/>
      <c r="D3409" s="291"/>
      <c r="E3409" s="1044"/>
    </row>
    <row r="3410" spans="1:5" x14ac:dyDescent="0.25">
      <c r="A3410" s="290"/>
      <c r="B3410" s="288"/>
      <c r="C3410" s="1061"/>
      <c r="D3410" s="291"/>
      <c r="E3410" s="1044"/>
    </row>
    <row r="3411" spans="1:5" x14ac:dyDescent="0.25">
      <c r="A3411" s="290"/>
      <c r="B3411" s="288"/>
      <c r="C3411" s="1061"/>
      <c r="D3411" s="291"/>
      <c r="E3411" s="1044"/>
    </row>
    <row r="3412" spans="1:5" x14ac:dyDescent="0.25">
      <c r="A3412" s="290"/>
      <c r="B3412" s="288"/>
      <c r="C3412" s="1061"/>
      <c r="D3412" s="291"/>
      <c r="E3412" s="1044"/>
    </row>
    <row r="3413" spans="1:5" x14ac:dyDescent="0.25">
      <c r="A3413" s="290"/>
      <c r="B3413" s="288"/>
      <c r="C3413" s="1061"/>
      <c r="D3413" s="291"/>
      <c r="E3413" s="1044"/>
    </row>
    <row r="3414" spans="1:5" x14ac:dyDescent="0.25">
      <c r="A3414" s="290"/>
      <c r="B3414" s="288"/>
      <c r="C3414" s="1061"/>
      <c r="D3414" s="291"/>
      <c r="E3414" s="1044"/>
    </row>
    <row r="3415" spans="1:5" x14ac:dyDescent="0.25">
      <c r="A3415" s="290"/>
      <c r="B3415" s="288"/>
      <c r="C3415" s="1061"/>
      <c r="D3415" s="291"/>
      <c r="E3415" s="1044"/>
    </row>
    <row r="3416" spans="1:5" x14ac:dyDescent="0.25">
      <c r="A3416" s="290"/>
      <c r="B3416" s="288"/>
      <c r="C3416" s="1061"/>
      <c r="D3416" s="291"/>
      <c r="E3416" s="1044"/>
    </row>
    <row r="3417" spans="1:5" x14ac:dyDescent="0.25">
      <c r="A3417" s="290"/>
      <c r="B3417" s="288"/>
      <c r="C3417" s="1061"/>
      <c r="D3417" s="291"/>
      <c r="E3417" s="1044"/>
    </row>
    <row r="3418" spans="1:5" x14ac:dyDescent="0.25">
      <c r="A3418" s="290"/>
      <c r="B3418" s="288"/>
      <c r="C3418" s="1061"/>
      <c r="D3418" s="291"/>
      <c r="E3418" s="1044"/>
    </row>
    <row r="3419" spans="1:5" x14ac:dyDescent="0.25">
      <c r="A3419" s="290"/>
      <c r="B3419" s="288"/>
      <c r="C3419" s="1061"/>
      <c r="D3419" s="291"/>
      <c r="E3419" s="1044"/>
    </row>
    <row r="3420" spans="1:5" x14ac:dyDescent="0.25">
      <c r="A3420" s="290"/>
      <c r="B3420" s="288"/>
      <c r="C3420" s="1061"/>
      <c r="D3420" s="291"/>
      <c r="E3420" s="1044"/>
    </row>
    <row r="3421" spans="1:5" x14ac:dyDescent="0.25">
      <c r="A3421" s="290"/>
      <c r="B3421" s="288"/>
      <c r="C3421" s="1061"/>
      <c r="D3421" s="291"/>
      <c r="E3421" s="1044"/>
    </row>
    <row r="3422" spans="1:5" x14ac:dyDescent="0.25">
      <c r="A3422" s="290"/>
      <c r="B3422" s="288"/>
      <c r="C3422" s="1061"/>
      <c r="D3422" s="291"/>
      <c r="E3422" s="1044"/>
    </row>
    <row r="3423" spans="1:5" x14ac:dyDescent="0.25">
      <c r="A3423" s="290"/>
      <c r="B3423" s="288"/>
      <c r="C3423" s="1061"/>
      <c r="D3423" s="291"/>
      <c r="E3423" s="1044"/>
    </row>
    <row r="3424" spans="1:5" x14ac:dyDescent="0.25">
      <c r="A3424" s="290"/>
      <c r="B3424" s="288"/>
      <c r="C3424" s="1061"/>
      <c r="D3424" s="291"/>
      <c r="E3424" s="1044"/>
    </row>
    <row r="3425" spans="1:5" x14ac:dyDescent="0.25">
      <c r="A3425" s="290"/>
      <c r="B3425" s="288"/>
      <c r="C3425" s="1061"/>
      <c r="D3425" s="291"/>
      <c r="E3425" s="1044"/>
    </row>
    <row r="3426" spans="1:5" x14ac:dyDescent="0.25">
      <c r="A3426" s="290"/>
      <c r="B3426" s="288"/>
      <c r="C3426" s="1061"/>
      <c r="D3426" s="291"/>
      <c r="E3426" s="1044"/>
    </row>
    <row r="3427" spans="1:5" x14ac:dyDescent="0.25">
      <c r="A3427" s="290"/>
      <c r="B3427" s="288"/>
      <c r="C3427" s="1061"/>
      <c r="D3427" s="291"/>
      <c r="E3427" s="1044"/>
    </row>
    <row r="3428" spans="1:5" x14ac:dyDescent="0.25">
      <c r="A3428" s="290"/>
      <c r="B3428" s="288"/>
      <c r="C3428" s="1061"/>
      <c r="D3428" s="291"/>
      <c r="E3428" s="1044"/>
    </row>
    <row r="3429" spans="1:5" x14ac:dyDescent="0.25">
      <c r="A3429" s="290"/>
      <c r="B3429" s="288"/>
      <c r="C3429" s="1061"/>
      <c r="D3429" s="291"/>
      <c r="E3429" s="1044"/>
    </row>
    <row r="3430" spans="1:5" x14ac:dyDescent="0.25">
      <c r="A3430" s="290"/>
      <c r="B3430" s="288"/>
      <c r="C3430" s="1061"/>
      <c r="D3430" s="291"/>
      <c r="E3430" s="1044"/>
    </row>
    <row r="3431" spans="1:5" x14ac:dyDescent="0.25">
      <c r="A3431" s="290"/>
      <c r="B3431" s="288"/>
      <c r="C3431" s="1061"/>
      <c r="D3431" s="291"/>
      <c r="E3431" s="1044"/>
    </row>
    <row r="3432" spans="1:5" x14ac:dyDescent="0.25">
      <c r="A3432" s="290"/>
      <c r="B3432" s="288"/>
      <c r="C3432" s="1061"/>
      <c r="D3432" s="291"/>
      <c r="E3432" s="1044"/>
    </row>
    <row r="3433" spans="1:5" x14ac:dyDescent="0.25">
      <c r="A3433" s="290"/>
      <c r="B3433" s="288"/>
      <c r="C3433" s="1061"/>
      <c r="D3433" s="291"/>
      <c r="E3433" s="1044"/>
    </row>
    <row r="3434" spans="1:5" x14ac:dyDescent="0.25">
      <c r="A3434" s="290"/>
      <c r="B3434" s="288"/>
      <c r="C3434" s="1061"/>
      <c r="D3434" s="291"/>
      <c r="E3434" s="1044"/>
    </row>
    <row r="3435" spans="1:5" x14ac:dyDescent="0.25">
      <c r="A3435" s="290"/>
      <c r="B3435" s="288"/>
      <c r="C3435" s="1061"/>
      <c r="D3435" s="291"/>
      <c r="E3435" s="1044"/>
    </row>
    <row r="3436" spans="1:5" x14ac:dyDescent="0.25">
      <c r="A3436" s="290"/>
      <c r="B3436" s="288"/>
      <c r="C3436" s="1061"/>
      <c r="D3436" s="291"/>
      <c r="E3436" s="1044"/>
    </row>
    <row r="3437" spans="1:5" x14ac:dyDescent="0.25">
      <c r="A3437" s="290"/>
      <c r="B3437" s="288"/>
      <c r="C3437" s="1061"/>
      <c r="D3437" s="291"/>
      <c r="E3437" s="1044"/>
    </row>
    <row r="3438" spans="1:5" x14ac:dyDescent="0.25">
      <c r="A3438" s="290"/>
      <c r="B3438" s="288"/>
      <c r="C3438" s="1061"/>
      <c r="D3438" s="291"/>
      <c r="E3438" s="1044"/>
    </row>
    <row r="3439" spans="1:5" x14ac:dyDescent="0.25">
      <c r="A3439" s="290"/>
      <c r="B3439" s="288"/>
      <c r="C3439" s="1061"/>
      <c r="D3439" s="291"/>
      <c r="E3439" s="1044"/>
    </row>
    <row r="3440" spans="1:5" x14ac:dyDescent="0.25">
      <c r="A3440" s="290"/>
      <c r="B3440" s="288"/>
      <c r="C3440" s="1061"/>
      <c r="D3440" s="291"/>
      <c r="E3440" s="1044"/>
    </row>
    <row r="3441" spans="1:5" x14ac:dyDescent="0.25">
      <c r="A3441" s="290"/>
      <c r="B3441" s="288"/>
      <c r="C3441" s="1061"/>
      <c r="D3441" s="291"/>
      <c r="E3441" s="1044"/>
    </row>
    <row r="3442" spans="1:5" x14ac:dyDescent="0.25">
      <c r="A3442" s="290"/>
      <c r="B3442" s="288"/>
      <c r="C3442" s="1061"/>
      <c r="D3442" s="291"/>
      <c r="E3442" s="1044"/>
    </row>
    <row r="3443" spans="1:5" x14ac:dyDescent="0.25">
      <c r="A3443" s="290"/>
      <c r="B3443" s="288"/>
      <c r="C3443" s="1061"/>
      <c r="D3443" s="291"/>
      <c r="E3443" s="1044"/>
    </row>
    <row r="3444" spans="1:5" x14ac:dyDescent="0.25">
      <c r="A3444" s="290"/>
      <c r="B3444" s="288"/>
      <c r="C3444" s="1061"/>
      <c r="D3444" s="291"/>
      <c r="E3444" s="1044"/>
    </row>
    <row r="3445" spans="1:5" x14ac:dyDescent="0.25">
      <c r="A3445" s="290"/>
      <c r="B3445" s="288"/>
      <c r="C3445" s="1061"/>
      <c r="D3445" s="291"/>
      <c r="E3445" s="1044"/>
    </row>
    <row r="3446" spans="1:5" x14ac:dyDescent="0.25">
      <c r="A3446" s="290"/>
      <c r="B3446" s="288"/>
      <c r="C3446" s="1061"/>
      <c r="D3446" s="291"/>
      <c r="E3446" s="1044"/>
    </row>
    <row r="3447" spans="1:5" x14ac:dyDescent="0.25">
      <c r="A3447" s="290"/>
      <c r="B3447" s="288"/>
      <c r="C3447" s="1061"/>
      <c r="D3447" s="291"/>
      <c r="E3447" s="1044"/>
    </row>
    <row r="3448" spans="1:5" x14ac:dyDescent="0.25">
      <c r="A3448" s="290"/>
      <c r="B3448" s="288"/>
      <c r="C3448" s="1061"/>
      <c r="D3448" s="291"/>
      <c r="E3448" s="1044"/>
    </row>
    <row r="3449" spans="1:5" x14ac:dyDescent="0.25">
      <c r="A3449" s="290"/>
      <c r="B3449" s="288"/>
      <c r="C3449" s="1061"/>
      <c r="D3449" s="291"/>
      <c r="E3449" s="1044"/>
    </row>
    <row r="3450" spans="1:5" x14ac:dyDescent="0.25">
      <c r="A3450" s="290"/>
      <c r="B3450" s="288"/>
      <c r="C3450" s="1061"/>
      <c r="D3450" s="291"/>
      <c r="E3450" s="1044"/>
    </row>
    <row r="3451" spans="1:5" x14ac:dyDescent="0.25">
      <c r="A3451" s="290"/>
      <c r="B3451" s="288"/>
      <c r="C3451" s="1061"/>
      <c r="D3451" s="291"/>
      <c r="E3451" s="1044"/>
    </row>
    <row r="3452" spans="1:5" x14ac:dyDescent="0.25">
      <c r="A3452" s="290"/>
      <c r="B3452" s="288"/>
      <c r="C3452" s="1061"/>
      <c r="D3452" s="291"/>
      <c r="E3452" s="1044"/>
    </row>
    <row r="3453" spans="1:5" x14ac:dyDescent="0.25">
      <c r="A3453" s="290"/>
      <c r="B3453" s="288"/>
      <c r="C3453" s="1061"/>
      <c r="D3453" s="291"/>
      <c r="E3453" s="1044"/>
    </row>
    <row r="3454" spans="1:5" x14ac:dyDescent="0.25">
      <c r="A3454" s="290"/>
      <c r="B3454" s="288"/>
      <c r="C3454" s="1061"/>
      <c r="D3454" s="291"/>
      <c r="E3454" s="1044"/>
    </row>
    <row r="3455" spans="1:5" x14ac:dyDescent="0.25">
      <c r="A3455" s="290"/>
      <c r="B3455" s="288"/>
      <c r="C3455" s="1061"/>
      <c r="D3455" s="291"/>
      <c r="E3455" s="1044"/>
    </row>
    <row r="3456" spans="1:5" x14ac:dyDescent="0.25">
      <c r="A3456" s="290"/>
      <c r="B3456" s="288"/>
      <c r="C3456" s="1061"/>
      <c r="D3456" s="291"/>
      <c r="E3456" s="1044"/>
    </row>
    <row r="3457" spans="1:5" x14ac:dyDescent="0.25">
      <c r="A3457" s="290"/>
      <c r="B3457" s="288"/>
      <c r="C3457" s="1061"/>
      <c r="D3457" s="291"/>
      <c r="E3457" s="1044"/>
    </row>
    <row r="3458" spans="1:5" x14ac:dyDescent="0.25">
      <c r="A3458" s="290"/>
      <c r="B3458" s="288"/>
      <c r="C3458" s="1061"/>
      <c r="D3458" s="291"/>
      <c r="E3458" s="1044"/>
    </row>
    <row r="3459" spans="1:5" x14ac:dyDescent="0.25">
      <c r="A3459" s="290"/>
      <c r="B3459" s="288"/>
      <c r="C3459" s="1061"/>
      <c r="D3459" s="291"/>
      <c r="E3459" s="1044"/>
    </row>
    <row r="3460" spans="1:5" x14ac:dyDescent="0.25">
      <c r="A3460" s="290"/>
      <c r="B3460" s="288"/>
      <c r="C3460" s="1061"/>
      <c r="D3460" s="291"/>
      <c r="E3460" s="1044"/>
    </row>
    <row r="3461" spans="1:5" x14ac:dyDescent="0.25">
      <c r="A3461" s="290"/>
      <c r="B3461" s="288"/>
      <c r="C3461" s="1061"/>
      <c r="D3461" s="291"/>
      <c r="E3461" s="1044"/>
    </row>
    <row r="3462" spans="1:5" x14ac:dyDescent="0.25">
      <c r="A3462" s="290"/>
      <c r="B3462" s="288"/>
      <c r="C3462" s="1061"/>
      <c r="D3462" s="291"/>
      <c r="E3462" s="1044"/>
    </row>
    <row r="3463" spans="1:5" x14ac:dyDescent="0.25">
      <c r="A3463" s="290"/>
      <c r="B3463" s="288"/>
      <c r="C3463" s="1061"/>
      <c r="D3463" s="291"/>
      <c r="E3463" s="1044"/>
    </row>
    <row r="3464" spans="1:5" x14ac:dyDescent="0.25">
      <c r="A3464" s="290"/>
      <c r="B3464" s="288"/>
      <c r="C3464" s="1061"/>
      <c r="D3464" s="291"/>
      <c r="E3464" s="1044"/>
    </row>
    <row r="3465" spans="1:5" x14ac:dyDescent="0.25">
      <c r="A3465" s="290"/>
      <c r="B3465" s="288"/>
      <c r="C3465" s="1061"/>
      <c r="D3465" s="291"/>
      <c r="E3465" s="1044"/>
    </row>
    <row r="3466" spans="1:5" x14ac:dyDescent="0.25">
      <c r="A3466" s="290"/>
      <c r="B3466" s="288"/>
      <c r="C3466" s="1061"/>
      <c r="D3466" s="291"/>
      <c r="E3466" s="1044"/>
    </row>
    <row r="3467" spans="1:5" x14ac:dyDescent="0.25">
      <c r="A3467" s="290"/>
      <c r="B3467" s="288"/>
      <c r="C3467" s="1061"/>
      <c r="D3467" s="291"/>
      <c r="E3467" s="1044"/>
    </row>
    <row r="3468" spans="1:5" x14ac:dyDescent="0.25">
      <c r="A3468" s="290"/>
      <c r="B3468" s="288"/>
      <c r="C3468" s="1061"/>
      <c r="D3468" s="291"/>
      <c r="E3468" s="1044"/>
    </row>
    <row r="3469" spans="1:5" x14ac:dyDescent="0.25">
      <c r="A3469" s="290"/>
      <c r="B3469" s="288"/>
      <c r="C3469" s="1061"/>
      <c r="D3469" s="291"/>
      <c r="E3469" s="1044"/>
    </row>
    <row r="3470" spans="1:5" x14ac:dyDescent="0.25">
      <c r="A3470" s="290"/>
      <c r="B3470" s="288"/>
      <c r="C3470" s="1061"/>
      <c r="D3470" s="291"/>
      <c r="E3470" s="1044"/>
    </row>
    <row r="3471" spans="1:5" x14ac:dyDescent="0.25">
      <c r="A3471" s="290"/>
      <c r="B3471" s="288"/>
      <c r="C3471" s="1061"/>
      <c r="D3471" s="291"/>
      <c r="E3471" s="1044"/>
    </row>
    <row r="3472" spans="1:5" x14ac:dyDescent="0.25">
      <c r="A3472" s="290"/>
      <c r="B3472" s="288"/>
      <c r="C3472" s="1061"/>
      <c r="D3472" s="291"/>
      <c r="E3472" s="1044"/>
    </row>
    <row r="3473" spans="1:5" x14ac:dyDescent="0.25">
      <c r="A3473" s="290"/>
      <c r="B3473" s="288"/>
      <c r="C3473" s="1061"/>
      <c r="D3473" s="291"/>
      <c r="E3473" s="1044"/>
    </row>
    <row r="3474" spans="1:5" x14ac:dyDescent="0.25">
      <c r="A3474" s="290"/>
      <c r="B3474" s="288"/>
      <c r="C3474" s="1061"/>
      <c r="D3474" s="291"/>
      <c r="E3474" s="1044"/>
    </row>
    <row r="3475" spans="1:5" x14ac:dyDescent="0.25">
      <c r="A3475" s="290"/>
      <c r="B3475" s="288"/>
      <c r="C3475" s="1061"/>
      <c r="D3475" s="291"/>
      <c r="E3475" s="1044"/>
    </row>
    <row r="3476" spans="1:5" x14ac:dyDescent="0.25">
      <c r="A3476" s="290"/>
      <c r="B3476" s="288"/>
      <c r="C3476" s="1061"/>
      <c r="D3476" s="291"/>
      <c r="E3476" s="1044"/>
    </row>
    <row r="3477" spans="1:5" x14ac:dyDescent="0.25">
      <c r="A3477" s="290"/>
      <c r="B3477" s="288"/>
      <c r="C3477" s="1061"/>
      <c r="D3477" s="291"/>
      <c r="E3477" s="1044"/>
    </row>
    <row r="3478" spans="1:5" x14ac:dyDescent="0.25">
      <c r="A3478" s="290"/>
      <c r="B3478" s="288"/>
      <c r="C3478" s="1061"/>
      <c r="D3478" s="291"/>
      <c r="E3478" s="1044"/>
    </row>
    <row r="3479" spans="1:5" x14ac:dyDescent="0.25">
      <c r="A3479" s="290"/>
      <c r="B3479" s="288"/>
      <c r="C3479" s="1061"/>
      <c r="D3479" s="291"/>
      <c r="E3479" s="1044"/>
    </row>
    <row r="3480" spans="1:5" x14ac:dyDescent="0.25">
      <c r="A3480" s="290"/>
      <c r="B3480" s="288"/>
      <c r="C3480" s="1061"/>
      <c r="D3480" s="291"/>
      <c r="E3480" s="1044"/>
    </row>
    <row r="3481" spans="1:5" x14ac:dyDescent="0.25">
      <c r="A3481" s="290"/>
      <c r="B3481" s="288"/>
      <c r="C3481" s="1061"/>
      <c r="D3481" s="291"/>
      <c r="E3481" s="1044"/>
    </row>
    <row r="3482" spans="1:5" x14ac:dyDescent="0.25">
      <c r="A3482" s="290"/>
      <c r="B3482" s="288"/>
      <c r="C3482" s="1061"/>
      <c r="D3482" s="291"/>
      <c r="E3482" s="1044"/>
    </row>
    <row r="3483" spans="1:5" x14ac:dyDescent="0.25">
      <c r="A3483" s="290"/>
      <c r="B3483" s="288"/>
      <c r="C3483" s="1061"/>
      <c r="D3483" s="291"/>
      <c r="E3483" s="1044"/>
    </row>
    <row r="3484" spans="1:5" x14ac:dyDescent="0.25">
      <c r="A3484" s="290"/>
      <c r="B3484" s="288"/>
      <c r="C3484" s="1061"/>
      <c r="D3484" s="291"/>
      <c r="E3484" s="1044"/>
    </row>
    <row r="3485" spans="1:5" x14ac:dyDescent="0.25">
      <c r="A3485" s="290"/>
      <c r="B3485" s="288"/>
      <c r="C3485" s="1061"/>
      <c r="D3485" s="291"/>
      <c r="E3485" s="1044"/>
    </row>
    <row r="3486" spans="1:5" x14ac:dyDescent="0.25">
      <c r="A3486" s="290"/>
      <c r="B3486" s="288"/>
      <c r="C3486" s="1061"/>
      <c r="D3486" s="291"/>
      <c r="E3486" s="1044"/>
    </row>
    <row r="3487" spans="1:5" x14ac:dyDescent="0.25">
      <c r="A3487" s="290"/>
      <c r="B3487" s="288"/>
      <c r="C3487" s="1061"/>
      <c r="D3487" s="291"/>
      <c r="E3487" s="1044"/>
    </row>
    <row r="3488" spans="1:5" x14ac:dyDescent="0.25">
      <c r="A3488" s="290"/>
      <c r="B3488" s="288"/>
      <c r="C3488" s="1061"/>
      <c r="D3488" s="291"/>
      <c r="E3488" s="1044"/>
    </row>
    <row r="3489" spans="1:5" x14ac:dyDescent="0.25">
      <c r="A3489" s="290"/>
      <c r="B3489" s="288"/>
      <c r="C3489" s="1061"/>
      <c r="D3489" s="291"/>
      <c r="E3489" s="1044"/>
    </row>
    <row r="3490" spans="1:5" x14ac:dyDescent="0.25">
      <c r="A3490" s="290"/>
      <c r="B3490" s="288"/>
      <c r="C3490" s="1061"/>
      <c r="D3490" s="291"/>
      <c r="E3490" s="1044"/>
    </row>
    <row r="3491" spans="1:5" x14ac:dyDescent="0.25">
      <c r="A3491" s="290"/>
      <c r="B3491" s="288"/>
      <c r="C3491" s="1061"/>
      <c r="D3491" s="291"/>
      <c r="E3491" s="1044"/>
    </row>
    <row r="3492" spans="1:5" x14ac:dyDescent="0.25">
      <c r="A3492" s="290"/>
      <c r="B3492" s="288"/>
      <c r="C3492" s="1061"/>
      <c r="D3492" s="291"/>
      <c r="E3492" s="1044"/>
    </row>
    <row r="3493" spans="1:5" x14ac:dyDescent="0.25">
      <c r="A3493" s="290"/>
      <c r="B3493" s="288"/>
      <c r="C3493" s="1061"/>
      <c r="D3493" s="291"/>
      <c r="E3493" s="1044"/>
    </row>
    <row r="3494" spans="1:5" x14ac:dyDescent="0.25">
      <c r="A3494" s="290"/>
      <c r="B3494" s="288"/>
      <c r="C3494" s="1061"/>
      <c r="D3494" s="291"/>
      <c r="E3494" s="1044"/>
    </row>
    <row r="3495" spans="1:5" x14ac:dyDescent="0.25">
      <c r="A3495" s="290"/>
      <c r="B3495" s="288"/>
      <c r="C3495" s="1061"/>
      <c r="D3495" s="291"/>
      <c r="E3495" s="1044"/>
    </row>
    <row r="3496" spans="1:5" x14ac:dyDescent="0.25">
      <c r="A3496" s="290"/>
      <c r="B3496" s="288"/>
      <c r="C3496" s="1061"/>
      <c r="D3496" s="291"/>
      <c r="E3496" s="1044"/>
    </row>
    <row r="3497" spans="1:5" x14ac:dyDescent="0.25">
      <c r="A3497" s="290"/>
      <c r="B3497" s="288"/>
      <c r="C3497" s="1061"/>
      <c r="D3497" s="291"/>
      <c r="E3497" s="1044"/>
    </row>
    <row r="3498" spans="1:5" x14ac:dyDescent="0.25">
      <c r="A3498" s="290"/>
      <c r="B3498" s="288"/>
      <c r="C3498" s="1061"/>
      <c r="D3498" s="291"/>
      <c r="E3498" s="1044"/>
    </row>
    <row r="3499" spans="1:5" x14ac:dyDescent="0.25">
      <c r="A3499" s="290"/>
      <c r="B3499" s="288"/>
      <c r="C3499" s="1061"/>
      <c r="D3499" s="291"/>
      <c r="E3499" s="1044"/>
    </row>
    <row r="3500" spans="1:5" x14ac:dyDescent="0.25">
      <c r="A3500" s="290"/>
      <c r="B3500" s="288"/>
      <c r="C3500" s="1061"/>
      <c r="D3500" s="291"/>
      <c r="E3500" s="1044"/>
    </row>
    <row r="3501" spans="1:5" x14ac:dyDescent="0.25">
      <c r="A3501" s="290"/>
      <c r="B3501" s="288"/>
      <c r="C3501" s="1061"/>
      <c r="D3501" s="291"/>
      <c r="E3501" s="1044"/>
    </row>
    <row r="3502" spans="1:5" x14ac:dyDescent="0.25">
      <c r="A3502" s="290"/>
      <c r="B3502" s="288"/>
      <c r="C3502" s="1061"/>
      <c r="D3502" s="291"/>
      <c r="E3502" s="1044"/>
    </row>
    <row r="3503" spans="1:5" x14ac:dyDescent="0.25">
      <c r="A3503" s="290"/>
      <c r="B3503" s="288"/>
      <c r="C3503" s="1061"/>
      <c r="D3503" s="291"/>
      <c r="E3503" s="1044"/>
    </row>
    <row r="3504" spans="1:5" x14ac:dyDescent="0.25">
      <c r="A3504" s="290"/>
      <c r="B3504" s="288"/>
      <c r="C3504" s="1061"/>
      <c r="D3504" s="291"/>
      <c r="E3504" s="1044"/>
    </row>
    <row r="3505" spans="1:5" x14ac:dyDescent="0.25">
      <c r="A3505" s="290"/>
      <c r="B3505" s="288"/>
      <c r="C3505" s="1061"/>
      <c r="D3505" s="291"/>
      <c r="E3505" s="1044"/>
    </row>
    <row r="3506" spans="1:5" x14ac:dyDescent="0.25">
      <c r="A3506" s="290"/>
      <c r="B3506" s="288"/>
      <c r="C3506" s="1061"/>
      <c r="D3506" s="291"/>
      <c r="E3506" s="1044"/>
    </row>
    <row r="3507" spans="1:5" x14ac:dyDescent="0.25">
      <c r="A3507" s="290"/>
      <c r="B3507" s="288"/>
      <c r="C3507" s="1061"/>
      <c r="D3507" s="291"/>
      <c r="E3507" s="1044"/>
    </row>
    <row r="3508" spans="1:5" x14ac:dyDescent="0.25">
      <c r="A3508" s="290"/>
      <c r="B3508" s="288"/>
      <c r="C3508" s="1061"/>
      <c r="D3508" s="291"/>
      <c r="E3508" s="1044"/>
    </row>
    <row r="3509" spans="1:5" x14ac:dyDescent="0.25">
      <c r="A3509" s="290"/>
      <c r="B3509" s="288"/>
      <c r="C3509" s="1061"/>
      <c r="D3509" s="291"/>
      <c r="E3509" s="1044"/>
    </row>
    <row r="3510" spans="1:5" x14ac:dyDescent="0.25">
      <c r="A3510" s="290"/>
      <c r="B3510" s="288"/>
      <c r="C3510" s="1061"/>
      <c r="D3510" s="291"/>
      <c r="E3510" s="1044"/>
    </row>
    <row r="3511" spans="1:5" x14ac:dyDescent="0.25">
      <c r="A3511" s="290"/>
      <c r="B3511" s="288"/>
      <c r="C3511" s="1061"/>
      <c r="D3511" s="291"/>
      <c r="E3511" s="1044"/>
    </row>
    <row r="3512" spans="1:5" x14ac:dyDescent="0.25">
      <c r="A3512" s="290"/>
      <c r="B3512" s="288"/>
      <c r="C3512" s="1061"/>
      <c r="D3512" s="291"/>
      <c r="E3512" s="1044"/>
    </row>
    <row r="3513" spans="1:5" x14ac:dyDescent="0.25">
      <c r="A3513" s="290"/>
      <c r="B3513" s="288"/>
      <c r="C3513" s="1061"/>
      <c r="D3513" s="291"/>
      <c r="E3513" s="1044"/>
    </row>
    <row r="3514" spans="1:5" x14ac:dyDescent="0.25">
      <c r="A3514" s="290"/>
      <c r="B3514" s="288"/>
      <c r="C3514" s="1061"/>
      <c r="D3514" s="291"/>
      <c r="E3514" s="1044"/>
    </row>
    <row r="3515" spans="1:5" x14ac:dyDescent="0.25">
      <c r="A3515" s="290"/>
      <c r="B3515" s="288"/>
      <c r="C3515" s="1061"/>
      <c r="D3515" s="291"/>
      <c r="E3515" s="1044"/>
    </row>
    <row r="3516" spans="1:5" x14ac:dyDescent="0.25">
      <c r="A3516" s="290"/>
      <c r="B3516" s="288"/>
      <c r="C3516" s="1061"/>
      <c r="D3516" s="291"/>
      <c r="E3516" s="1044"/>
    </row>
    <row r="3517" spans="1:5" x14ac:dyDescent="0.25">
      <c r="A3517" s="290"/>
      <c r="B3517" s="288"/>
      <c r="C3517" s="1061"/>
      <c r="D3517" s="291"/>
      <c r="E3517" s="1044"/>
    </row>
    <row r="3518" spans="1:5" x14ac:dyDescent="0.25">
      <c r="A3518" s="290"/>
      <c r="B3518" s="288"/>
      <c r="C3518" s="1061"/>
      <c r="D3518" s="291"/>
      <c r="E3518" s="1044"/>
    </row>
    <row r="3519" spans="1:5" x14ac:dyDescent="0.25">
      <c r="A3519" s="290"/>
      <c r="B3519" s="288"/>
      <c r="C3519" s="1061"/>
      <c r="D3519" s="291"/>
      <c r="E3519" s="1044"/>
    </row>
    <row r="3520" spans="1:5" x14ac:dyDescent="0.25">
      <c r="A3520" s="290"/>
      <c r="B3520" s="288"/>
      <c r="C3520" s="1061"/>
      <c r="D3520" s="291"/>
      <c r="E3520" s="1044"/>
    </row>
    <row r="3521" spans="1:5" x14ac:dyDescent="0.25">
      <c r="A3521" s="290"/>
      <c r="B3521" s="288"/>
      <c r="C3521" s="1061"/>
      <c r="D3521" s="291"/>
      <c r="E3521" s="1044"/>
    </row>
    <row r="3522" spans="1:5" x14ac:dyDescent="0.25">
      <c r="A3522" s="290"/>
      <c r="B3522" s="288"/>
      <c r="C3522" s="1061"/>
      <c r="D3522" s="291"/>
      <c r="E3522" s="1044"/>
    </row>
    <row r="3523" spans="1:5" x14ac:dyDescent="0.25">
      <c r="A3523" s="290"/>
      <c r="B3523" s="288"/>
      <c r="C3523" s="1061"/>
      <c r="D3523" s="291"/>
      <c r="E3523" s="1044"/>
    </row>
    <row r="3524" spans="1:5" x14ac:dyDescent="0.25">
      <c r="A3524" s="290"/>
      <c r="B3524" s="288"/>
      <c r="C3524" s="1061"/>
      <c r="D3524" s="291"/>
      <c r="E3524" s="1044"/>
    </row>
    <row r="3525" spans="1:5" x14ac:dyDescent="0.25">
      <c r="A3525" s="290"/>
      <c r="B3525" s="288"/>
      <c r="C3525" s="1061"/>
      <c r="D3525" s="291"/>
      <c r="E3525" s="1044"/>
    </row>
    <row r="3526" spans="1:5" x14ac:dyDescent="0.25">
      <c r="A3526" s="290"/>
      <c r="B3526" s="288"/>
      <c r="C3526" s="1061"/>
      <c r="D3526" s="291"/>
      <c r="E3526" s="1044"/>
    </row>
    <row r="3527" spans="1:5" x14ac:dyDescent="0.25">
      <c r="A3527" s="290"/>
      <c r="B3527" s="288"/>
      <c r="C3527" s="1061"/>
      <c r="D3527" s="291"/>
      <c r="E3527" s="1044"/>
    </row>
    <row r="3528" spans="1:5" x14ac:dyDescent="0.25">
      <c r="A3528" s="290"/>
      <c r="B3528" s="288"/>
      <c r="C3528" s="1061"/>
      <c r="D3528" s="291"/>
      <c r="E3528" s="1044"/>
    </row>
    <row r="3529" spans="1:5" x14ac:dyDescent="0.25">
      <c r="A3529" s="290"/>
      <c r="B3529" s="288"/>
      <c r="C3529" s="1061"/>
      <c r="D3529" s="291"/>
      <c r="E3529" s="1044"/>
    </row>
    <row r="3530" spans="1:5" x14ac:dyDescent="0.25">
      <c r="A3530" s="290"/>
      <c r="B3530" s="288"/>
      <c r="C3530" s="1061"/>
      <c r="D3530" s="291"/>
      <c r="E3530" s="1044"/>
    </row>
    <row r="3531" spans="1:5" x14ac:dyDescent="0.25">
      <c r="A3531" s="290"/>
      <c r="B3531" s="288"/>
      <c r="C3531" s="1061"/>
      <c r="D3531" s="291"/>
      <c r="E3531" s="1044"/>
    </row>
    <row r="3532" spans="1:5" x14ac:dyDescent="0.25">
      <c r="A3532" s="290"/>
      <c r="B3532" s="288"/>
      <c r="C3532" s="1061"/>
      <c r="D3532" s="291"/>
      <c r="E3532" s="1044"/>
    </row>
    <row r="3533" spans="1:5" x14ac:dyDescent="0.25">
      <c r="A3533" s="290"/>
      <c r="B3533" s="288"/>
      <c r="C3533" s="1061"/>
      <c r="D3533" s="291"/>
      <c r="E3533" s="1044"/>
    </row>
    <row r="3534" spans="1:5" x14ac:dyDescent="0.25">
      <c r="A3534" s="290"/>
      <c r="B3534" s="288"/>
      <c r="C3534" s="1061"/>
      <c r="D3534" s="291"/>
      <c r="E3534" s="1044"/>
    </row>
    <row r="3535" spans="1:5" x14ac:dyDescent="0.25">
      <c r="A3535" s="290"/>
      <c r="B3535" s="288"/>
      <c r="C3535" s="1061"/>
      <c r="D3535" s="291"/>
      <c r="E3535" s="1044"/>
    </row>
    <row r="3536" spans="1:5" x14ac:dyDescent="0.25">
      <c r="A3536" s="290"/>
      <c r="B3536" s="288"/>
      <c r="C3536" s="1061"/>
      <c r="D3536" s="291"/>
      <c r="E3536" s="1044"/>
    </row>
    <row r="3537" spans="1:5" x14ac:dyDescent="0.25">
      <c r="A3537" s="290"/>
      <c r="B3537" s="288"/>
      <c r="C3537" s="1061"/>
      <c r="D3537" s="291"/>
      <c r="E3537" s="1044"/>
    </row>
    <row r="3538" spans="1:5" x14ac:dyDescent="0.25">
      <c r="A3538" s="290"/>
      <c r="B3538" s="288"/>
      <c r="C3538" s="1061"/>
      <c r="D3538" s="291"/>
      <c r="E3538" s="1044"/>
    </row>
    <row r="3539" spans="1:5" x14ac:dyDescent="0.25">
      <c r="A3539" s="290"/>
      <c r="B3539" s="288"/>
      <c r="C3539" s="1061"/>
      <c r="D3539" s="291"/>
      <c r="E3539" s="1044"/>
    </row>
    <row r="3540" spans="1:5" x14ac:dyDescent="0.25">
      <c r="A3540" s="290"/>
      <c r="B3540" s="288"/>
      <c r="C3540" s="1061"/>
      <c r="D3540" s="291"/>
      <c r="E3540" s="1044"/>
    </row>
    <row r="3541" spans="1:5" x14ac:dyDescent="0.25">
      <c r="A3541" s="290"/>
      <c r="B3541" s="288"/>
      <c r="C3541" s="1061"/>
      <c r="D3541" s="291"/>
      <c r="E3541" s="1044"/>
    </row>
    <row r="3542" spans="1:5" x14ac:dyDescent="0.25">
      <c r="A3542" s="290"/>
      <c r="B3542" s="288"/>
      <c r="C3542" s="1061"/>
      <c r="D3542" s="291"/>
      <c r="E3542" s="1044"/>
    </row>
    <row r="3543" spans="1:5" x14ac:dyDescent="0.25">
      <c r="A3543" s="290"/>
      <c r="B3543" s="288"/>
      <c r="C3543" s="1061"/>
      <c r="D3543" s="291"/>
      <c r="E3543" s="1044"/>
    </row>
    <row r="3544" spans="1:5" x14ac:dyDescent="0.25">
      <c r="A3544" s="290"/>
      <c r="B3544" s="288"/>
      <c r="C3544" s="1061"/>
      <c r="D3544" s="291"/>
      <c r="E3544" s="1044"/>
    </row>
    <row r="3545" spans="1:5" x14ac:dyDescent="0.25">
      <c r="A3545" s="290"/>
      <c r="B3545" s="288"/>
      <c r="C3545" s="1061"/>
      <c r="D3545" s="291"/>
      <c r="E3545" s="1044"/>
    </row>
    <row r="3546" spans="1:5" x14ac:dyDescent="0.25">
      <c r="A3546" s="290"/>
      <c r="B3546" s="288"/>
      <c r="C3546" s="1061"/>
      <c r="D3546" s="291"/>
      <c r="E3546" s="1044"/>
    </row>
    <row r="3547" spans="1:5" x14ac:dyDescent="0.25">
      <c r="A3547" s="290"/>
      <c r="B3547" s="288"/>
      <c r="C3547" s="1061"/>
      <c r="D3547" s="291"/>
      <c r="E3547" s="1044"/>
    </row>
    <row r="3548" spans="1:5" x14ac:dyDescent="0.25">
      <c r="A3548" s="290"/>
      <c r="B3548" s="288"/>
      <c r="C3548" s="1061"/>
      <c r="D3548" s="291"/>
      <c r="E3548" s="1044"/>
    </row>
    <row r="3549" spans="1:5" x14ac:dyDescent="0.25">
      <c r="A3549" s="290"/>
      <c r="B3549" s="288"/>
      <c r="C3549" s="1061"/>
      <c r="D3549" s="291"/>
      <c r="E3549" s="1044"/>
    </row>
    <row r="3550" spans="1:5" x14ac:dyDescent="0.25">
      <c r="A3550" s="290"/>
      <c r="B3550" s="288"/>
      <c r="C3550" s="1061"/>
      <c r="D3550" s="291"/>
      <c r="E3550" s="1044"/>
    </row>
    <row r="3551" spans="1:5" x14ac:dyDescent="0.25">
      <c r="A3551" s="290"/>
      <c r="B3551" s="288"/>
      <c r="C3551" s="1061"/>
      <c r="D3551" s="291"/>
      <c r="E3551" s="1044"/>
    </row>
    <row r="3552" spans="1:5" x14ac:dyDescent="0.25">
      <c r="A3552" s="290"/>
      <c r="B3552" s="288"/>
      <c r="C3552" s="1061"/>
      <c r="D3552" s="291"/>
      <c r="E3552" s="1044"/>
    </row>
    <row r="3553" spans="1:5" x14ac:dyDescent="0.25">
      <c r="A3553" s="290"/>
      <c r="B3553" s="288"/>
      <c r="C3553" s="1061"/>
      <c r="D3553" s="291"/>
      <c r="E3553" s="1044"/>
    </row>
    <row r="3554" spans="1:5" x14ac:dyDescent="0.25">
      <c r="A3554" s="290"/>
      <c r="B3554" s="288"/>
      <c r="C3554" s="1061"/>
      <c r="D3554" s="291"/>
      <c r="E3554" s="1044"/>
    </row>
    <row r="3555" spans="1:5" x14ac:dyDescent="0.25">
      <c r="A3555" s="290"/>
      <c r="B3555" s="288"/>
      <c r="C3555" s="1061"/>
      <c r="D3555" s="291"/>
      <c r="E3555" s="1044"/>
    </row>
    <row r="3556" spans="1:5" x14ac:dyDescent="0.25">
      <c r="A3556" s="290"/>
      <c r="B3556" s="288"/>
      <c r="C3556" s="1061"/>
      <c r="D3556" s="291"/>
      <c r="E3556" s="1044"/>
    </row>
    <row r="3557" spans="1:5" x14ac:dyDescent="0.25">
      <c r="A3557" s="290"/>
      <c r="B3557" s="288"/>
      <c r="C3557" s="1061"/>
      <c r="D3557" s="291"/>
      <c r="E3557" s="1044"/>
    </row>
    <row r="3558" spans="1:5" x14ac:dyDescent="0.25">
      <c r="A3558" s="290"/>
      <c r="B3558" s="288"/>
      <c r="C3558" s="1061"/>
      <c r="D3558" s="291"/>
      <c r="E3558" s="1044"/>
    </row>
    <row r="3559" spans="1:5" x14ac:dyDescent="0.25">
      <c r="A3559" s="290"/>
      <c r="B3559" s="288"/>
      <c r="C3559" s="1061"/>
      <c r="D3559" s="291"/>
      <c r="E3559" s="1044"/>
    </row>
    <row r="3560" spans="1:5" x14ac:dyDescent="0.25">
      <c r="A3560" s="290"/>
      <c r="B3560" s="288"/>
      <c r="C3560" s="1061"/>
      <c r="D3560" s="291"/>
      <c r="E3560" s="1044"/>
    </row>
    <row r="3561" spans="1:5" x14ac:dyDescent="0.25">
      <c r="A3561" s="290"/>
      <c r="B3561" s="288"/>
      <c r="C3561" s="1061"/>
      <c r="D3561" s="291"/>
      <c r="E3561" s="1044"/>
    </row>
    <row r="3562" spans="1:5" x14ac:dyDescent="0.25">
      <c r="A3562" s="290"/>
      <c r="B3562" s="288"/>
      <c r="C3562" s="1061"/>
      <c r="D3562" s="291"/>
      <c r="E3562" s="1044"/>
    </row>
    <row r="3563" spans="1:5" x14ac:dyDescent="0.25">
      <c r="A3563" s="290"/>
      <c r="B3563" s="288"/>
      <c r="C3563" s="1061"/>
      <c r="D3563" s="291"/>
      <c r="E3563" s="1044"/>
    </row>
    <row r="3564" spans="1:5" x14ac:dyDescent="0.25">
      <c r="A3564" s="290"/>
      <c r="B3564" s="288"/>
      <c r="C3564" s="1061"/>
      <c r="D3564" s="291"/>
      <c r="E3564" s="1044"/>
    </row>
    <row r="3565" spans="1:5" x14ac:dyDescent="0.25">
      <c r="A3565" s="290"/>
      <c r="B3565" s="288"/>
      <c r="C3565" s="1061"/>
      <c r="D3565" s="291"/>
      <c r="E3565" s="1044"/>
    </row>
    <row r="3566" spans="1:5" x14ac:dyDescent="0.25">
      <c r="A3566" s="290"/>
      <c r="B3566" s="288"/>
      <c r="C3566" s="1061"/>
      <c r="D3566" s="291"/>
      <c r="E3566" s="1044"/>
    </row>
    <row r="3567" spans="1:5" x14ac:dyDescent="0.25">
      <c r="A3567" s="290"/>
      <c r="B3567" s="288"/>
      <c r="C3567" s="1061"/>
      <c r="D3567" s="291"/>
      <c r="E3567" s="1044"/>
    </row>
    <row r="3568" spans="1:5" x14ac:dyDescent="0.25">
      <c r="A3568" s="290"/>
      <c r="B3568" s="288"/>
      <c r="C3568" s="1061"/>
      <c r="D3568" s="291"/>
      <c r="E3568" s="1044"/>
    </row>
    <row r="3569" spans="1:5" x14ac:dyDescent="0.25">
      <c r="A3569" s="290"/>
      <c r="B3569" s="288"/>
      <c r="C3569" s="1061"/>
      <c r="D3569" s="291"/>
      <c r="E3569" s="1044"/>
    </row>
    <row r="3570" spans="1:5" x14ac:dyDescent="0.25">
      <c r="A3570" s="290"/>
      <c r="B3570" s="288"/>
      <c r="C3570" s="1061"/>
      <c r="D3570" s="291"/>
      <c r="E3570" s="1044"/>
    </row>
    <row r="3571" spans="1:5" x14ac:dyDescent="0.25">
      <c r="A3571" s="290"/>
      <c r="B3571" s="288"/>
      <c r="C3571" s="1061"/>
      <c r="D3571" s="291"/>
      <c r="E3571" s="1044"/>
    </row>
    <row r="3572" spans="1:5" x14ac:dyDescent="0.25">
      <c r="A3572" s="290"/>
      <c r="B3572" s="288"/>
      <c r="C3572" s="1061"/>
      <c r="D3572" s="291"/>
      <c r="E3572" s="1044"/>
    </row>
    <row r="3573" spans="1:5" x14ac:dyDescent="0.25">
      <c r="A3573" s="290"/>
      <c r="B3573" s="288"/>
      <c r="C3573" s="1061"/>
      <c r="D3573" s="291"/>
      <c r="E3573" s="1044"/>
    </row>
    <row r="3574" spans="1:5" x14ac:dyDescent="0.25">
      <c r="A3574" s="290"/>
      <c r="B3574" s="288"/>
      <c r="C3574" s="1061"/>
      <c r="D3574" s="291"/>
      <c r="E3574" s="1044"/>
    </row>
    <row r="3575" spans="1:5" x14ac:dyDescent="0.25">
      <c r="A3575" s="290"/>
      <c r="B3575" s="288"/>
      <c r="C3575" s="1061"/>
      <c r="D3575" s="291"/>
      <c r="E3575" s="1044"/>
    </row>
    <row r="3576" spans="1:5" x14ac:dyDescent="0.25">
      <c r="A3576" s="290"/>
      <c r="B3576" s="288"/>
      <c r="C3576" s="1061"/>
      <c r="D3576" s="291"/>
      <c r="E3576" s="1044"/>
    </row>
    <row r="3577" spans="1:5" x14ac:dyDescent="0.25">
      <c r="A3577" s="290"/>
      <c r="B3577" s="288"/>
      <c r="C3577" s="1061"/>
      <c r="D3577" s="291"/>
      <c r="E3577" s="1044"/>
    </row>
    <row r="3578" spans="1:5" x14ac:dyDescent="0.25">
      <c r="A3578" s="290"/>
      <c r="B3578" s="288"/>
      <c r="C3578" s="1061"/>
      <c r="D3578" s="291"/>
      <c r="E3578" s="1044"/>
    </row>
    <row r="3579" spans="1:5" x14ac:dyDescent="0.25">
      <c r="A3579" s="290"/>
      <c r="B3579" s="288"/>
      <c r="C3579" s="1061"/>
      <c r="D3579" s="291"/>
      <c r="E3579" s="1044"/>
    </row>
    <row r="3580" spans="1:5" x14ac:dyDescent="0.25">
      <c r="A3580" s="290"/>
      <c r="B3580" s="288"/>
      <c r="C3580" s="1061"/>
      <c r="D3580" s="291"/>
      <c r="E3580" s="1044"/>
    </row>
    <row r="3581" spans="1:5" x14ac:dyDescent="0.25">
      <c r="A3581" s="290"/>
      <c r="B3581" s="288"/>
      <c r="C3581" s="1061"/>
      <c r="D3581" s="291"/>
      <c r="E3581" s="1044"/>
    </row>
    <row r="3582" spans="1:5" x14ac:dyDescent="0.25">
      <c r="A3582" s="290"/>
      <c r="B3582" s="288"/>
      <c r="C3582" s="1061"/>
      <c r="D3582" s="291"/>
      <c r="E3582" s="1044"/>
    </row>
    <row r="3583" spans="1:5" x14ac:dyDescent="0.25">
      <c r="A3583" s="290"/>
      <c r="B3583" s="288"/>
      <c r="C3583" s="1061"/>
      <c r="D3583" s="291"/>
      <c r="E3583" s="1044"/>
    </row>
    <row r="3584" spans="1:5" x14ac:dyDescent="0.25">
      <c r="A3584" s="290"/>
      <c r="B3584" s="288"/>
      <c r="C3584" s="1061"/>
      <c r="D3584" s="291"/>
      <c r="E3584" s="1044"/>
    </row>
    <row r="3585" spans="1:5" x14ac:dyDescent="0.25">
      <c r="A3585" s="290"/>
      <c r="B3585" s="288"/>
      <c r="C3585" s="1061"/>
      <c r="D3585" s="291"/>
      <c r="E3585" s="1044"/>
    </row>
    <row r="3586" spans="1:5" x14ac:dyDescent="0.25">
      <c r="A3586" s="290"/>
      <c r="B3586" s="288"/>
      <c r="C3586" s="1061"/>
      <c r="D3586" s="291"/>
      <c r="E3586" s="1044"/>
    </row>
    <row r="3587" spans="1:5" x14ac:dyDescent="0.25">
      <c r="A3587" s="290"/>
      <c r="B3587" s="288"/>
      <c r="C3587" s="1061"/>
      <c r="D3587" s="291"/>
      <c r="E3587" s="1044"/>
    </row>
    <row r="3588" spans="1:5" x14ac:dyDescent="0.25">
      <c r="A3588" s="290"/>
      <c r="B3588" s="288"/>
      <c r="C3588" s="1061"/>
      <c r="D3588" s="291"/>
      <c r="E3588" s="1044"/>
    </row>
    <row r="3589" spans="1:5" x14ac:dyDescent="0.25">
      <c r="A3589" s="290"/>
      <c r="B3589" s="288"/>
      <c r="C3589" s="1061"/>
      <c r="D3589" s="291"/>
      <c r="E3589" s="1044"/>
    </row>
    <row r="3590" spans="1:5" x14ac:dyDescent="0.25">
      <c r="A3590" s="290"/>
      <c r="B3590" s="288"/>
      <c r="C3590" s="1061"/>
      <c r="D3590" s="291"/>
      <c r="E3590" s="1044"/>
    </row>
    <row r="3591" spans="1:5" x14ac:dyDescent="0.25">
      <c r="A3591" s="290"/>
      <c r="B3591" s="288"/>
      <c r="C3591" s="1061"/>
      <c r="D3591" s="291"/>
      <c r="E3591" s="1044"/>
    </row>
    <row r="3592" spans="1:5" x14ac:dyDescent="0.25">
      <c r="A3592" s="290"/>
      <c r="B3592" s="288"/>
      <c r="C3592" s="1061"/>
      <c r="D3592" s="291"/>
      <c r="E3592" s="1044"/>
    </row>
    <row r="3593" spans="1:5" x14ac:dyDescent="0.25">
      <c r="A3593" s="290"/>
      <c r="B3593" s="288"/>
      <c r="C3593" s="1061"/>
      <c r="D3593" s="291"/>
      <c r="E3593" s="1044"/>
    </row>
    <row r="3594" spans="1:5" x14ac:dyDescent="0.25">
      <c r="A3594" s="290"/>
      <c r="B3594" s="288"/>
      <c r="C3594" s="1061"/>
      <c r="D3594" s="291"/>
      <c r="E3594" s="1044"/>
    </row>
    <row r="3595" spans="1:5" x14ac:dyDescent="0.25">
      <c r="A3595" s="290"/>
      <c r="B3595" s="288"/>
      <c r="C3595" s="1061"/>
      <c r="D3595" s="291"/>
      <c r="E3595" s="1044"/>
    </row>
    <row r="3596" spans="1:5" x14ac:dyDescent="0.25">
      <c r="A3596" s="290"/>
      <c r="B3596" s="288"/>
      <c r="C3596" s="1061"/>
      <c r="D3596" s="291"/>
      <c r="E3596" s="1044"/>
    </row>
    <row r="3597" spans="1:5" x14ac:dyDescent="0.25">
      <c r="A3597" s="290"/>
      <c r="B3597" s="288"/>
      <c r="C3597" s="1061"/>
      <c r="D3597" s="291"/>
      <c r="E3597" s="1044"/>
    </row>
    <row r="3598" spans="1:5" x14ac:dyDescent="0.25">
      <c r="A3598" s="290"/>
      <c r="B3598" s="288"/>
      <c r="C3598" s="1061"/>
      <c r="D3598" s="291"/>
      <c r="E3598" s="1044"/>
    </row>
    <row r="3599" spans="1:5" x14ac:dyDescent="0.25">
      <c r="A3599" s="290"/>
      <c r="B3599" s="288"/>
      <c r="C3599" s="1061"/>
      <c r="D3599" s="291"/>
      <c r="E3599" s="1044"/>
    </row>
    <row r="3600" spans="1:5" x14ac:dyDescent="0.25">
      <c r="A3600" s="290"/>
      <c r="B3600" s="288"/>
      <c r="C3600" s="1061"/>
      <c r="D3600" s="291"/>
      <c r="E3600" s="1044"/>
    </row>
    <row r="3601" spans="1:5" x14ac:dyDescent="0.25">
      <c r="A3601" s="290"/>
      <c r="B3601" s="288"/>
      <c r="C3601" s="1061"/>
      <c r="D3601" s="291"/>
      <c r="E3601" s="1044"/>
    </row>
    <row r="3602" spans="1:5" x14ac:dyDescent="0.25">
      <c r="A3602" s="290"/>
      <c r="B3602" s="288"/>
      <c r="C3602" s="1061"/>
      <c r="D3602" s="291"/>
      <c r="E3602" s="1044"/>
    </row>
    <row r="3603" spans="1:5" x14ac:dyDescent="0.25">
      <c r="A3603" s="290"/>
      <c r="B3603" s="288"/>
      <c r="C3603" s="1061"/>
      <c r="D3603" s="291"/>
      <c r="E3603" s="1044"/>
    </row>
    <row r="3604" spans="1:5" x14ac:dyDescent="0.25">
      <c r="A3604" s="290"/>
      <c r="B3604" s="288"/>
      <c r="C3604" s="1061"/>
      <c r="D3604" s="291"/>
      <c r="E3604" s="1044"/>
    </row>
    <row r="3605" spans="1:5" x14ac:dyDescent="0.25">
      <c r="A3605" s="290"/>
      <c r="B3605" s="288"/>
      <c r="C3605" s="1061"/>
      <c r="D3605" s="291"/>
      <c r="E3605" s="1044"/>
    </row>
    <row r="3606" spans="1:5" x14ac:dyDescent="0.25">
      <c r="A3606" s="290"/>
      <c r="B3606" s="288"/>
      <c r="C3606" s="1061"/>
      <c r="D3606" s="291"/>
      <c r="E3606" s="1044"/>
    </row>
    <row r="3607" spans="1:5" x14ac:dyDescent="0.25">
      <c r="A3607" s="290"/>
      <c r="B3607" s="288"/>
      <c r="C3607" s="1061"/>
      <c r="D3607" s="291"/>
      <c r="E3607" s="1044"/>
    </row>
    <row r="3608" spans="1:5" x14ac:dyDescent="0.25">
      <c r="A3608" s="290"/>
      <c r="B3608" s="288"/>
      <c r="C3608" s="1061"/>
      <c r="D3608" s="291"/>
      <c r="E3608" s="1044"/>
    </row>
    <row r="3609" spans="1:5" x14ac:dyDescent="0.25">
      <c r="A3609" s="290"/>
      <c r="B3609" s="288"/>
      <c r="C3609" s="1061"/>
      <c r="D3609" s="291"/>
      <c r="E3609" s="1044"/>
    </row>
    <row r="3610" spans="1:5" x14ac:dyDescent="0.25">
      <c r="A3610" s="290"/>
      <c r="B3610" s="288"/>
      <c r="C3610" s="1061"/>
      <c r="D3610" s="291"/>
      <c r="E3610" s="1044"/>
    </row>
    <row r="3611" spans="1:5" x14ac:dyDescent="0.25">
      <c r="A3611" s="290"/>
      <c r="B3611" s="288"/>
      <c r="C3611" s="1061"/>
      <c r="D3611" s="291"/>
      <c r="E3611" s="1044"/>
    </row>
    <row r="3612" spans="1:5" x14ac:dyDescent="0.25">
      <c r="A3612" s="290"/>
      <c r="B3612" s="288"/>
      <c r="C3612" s="1061"/>
      <c r="D3612" s="291"/>
      <c r="E3612" s="1044"/>
    </row>
    <row r="3613" spans="1:5" x14ac:dyDescent="0.25">
      <c r="A3613" s="290"/>
      <c r="B3613" s="288"/>
      <c r="C3613" s="1061"/>
      <c r="D3613" s="291"/>
      <c r="E3613" s="1044"/>
    </row>
    <row r="3614" spans="1:5" x14ac:dyDescent="0.25">
      <c r="A3614" s="290"/>
      <c r="B3614" s="288"/>
      <c r="C3614" s="1061"/>
      <c r="D3614" s="291"/>
      <c r="E3614" s="1044"/>
    </row>
    <row r="3615" spans="1:5" x14ac:dyDescent="0.25">
      <c r="A3615" s="290"/>
      <c r="B3615" s="288"/>
      <c r="C3615" s="1061"/>
      <c r="D3615" s="291"/>
      <c r="E3615" s="1044"/>
    </row>
    <row r="3616" spans="1:5" x14ac:dyDescent="0.25">
      <c r="A3616" s="290"/>
      <c r="B3616" s="288"/>
      <c r="C3616" s="1061"/>
      <c r="D3616" s="291"/>
      <c r="E3616" s="1044"/>
    </row>
    <row r="3617" spans="1:5" x14ac:dyDescent="0.25">
      <c r="A3617" s="290"/>
      <c r="B3617" s="288"/>
      <c r="C3617" s="1061"/>
      <c r="D3617" s="291"/>
      <c r="E3617" s="1044"/>
    </row>
    <row r="3618" spans="1:5" x14ac:dyDescent="0.25">
      <c r="A3618" s="290"/>
      <c r="B3618" s="288"/>
      <c r="C3618" s="1061"/>
      <c r="D3618" s="291"/>
      <c r="E3618" s="1044"/>
    </row>
    <row r="3619" spans="1:5" x14ac:dyDescent="0.25">
      <c r="A3619" s="290"/>
      <c r="B3619" s="288"/>
      <c r="C3619" s="1061"/>
      <c r="D3619" s="291"/>
      <c r="E3619" s="1044"/>
    </row>
    <row r="3620" spans="1:5" x14ac:dyDescent="0.25">
      <c r="A3620" s="290"/>
      <c r="B3620" s="288"/>
      <c r="C3620" s="1061"/>
      <c r="D3620" s="291"/>
      <c r="E3620" s="1044"/>
    </row>
    <row r="3621" spans="1:5" x14ac:dyDescent="0.25">
      <c r="A3621" s="290"/>
      <c r="B3621" s="288"/>
      <c r="C3621" s="1061"/>
      <c r="D3621" s="291"/>
      <c r="E3621" s="1044"/>
    </row>
    <row r="3622" spans="1:5" x14ac:dyDescent="0.25">
      <c r="A3622" s="290"/>
      <c r="B3622" s="288"/>
      <c r="C3622" s="1061"/>
      <c r="D3622" s="291"/>
      <c r="E3622" s="1044"/>
    </row>
    <row r="3623" spans="1:5" x14ac:dyDescent="0.25">
      <c r="A3623" s="290"/>
      <c r="B3623" s="288"/>
      <c r="C3623" s="1061"/>
      <c r="D3623" s="291"/>
      <c r="E3623" s="1044"/>
    </row>
    <row r="3624" spans="1:5" x14ac:dyDescent="0.25">
      <c r="A3624" s="290"/>
      <c r="B3624" s="288"/>
      <c r="C3624" s="1061"/>
      <c r="D3624" s="291"/>
      <c r="E3624" s="1044"/>
    </row>
    <row r="3625" spans="1:5" x14ac:dyDescent="0.25">
      <c r="A3625" s="290"/>
      <c r="B3625" s="288"/>
      <c r="C3625" s="1061"/>
      <c r="D3625" s="291"/>
      <c r="E3625" s="1044"/>
    </row>
    <row r="3626" spans="1:5" x14ac:dyDescent="0.25">
      <c r="A3626" s="290"/>
      <c r="B3626" s="288"/>
      <c r="C3626" s="1061"/>
      <c r="D3626" s="291"/>
      <c r="E3626" s="1044"/>
    </row>
    <row r="3627" spans="1:5" x14ac:dyDescent="0.25">
      <c r="A3627" s="290"/>
      <c r="B3627" s="288"/>
      <c r="C3627" s="1061"/>
      <c r="D3627" s="291"/>
      <c r="E3627" s="1044"/>
    </row>
    <row r="3628" spans="1:5" x14ac:dyDescent="0.25">
      <c r="A3628" s="290"/>
      <c r="B3628" s="288"/>
      <c r="C3628" s="1061"/>
      <c r="D3628" s="291"/>
      <c r="E3628" s="1044"/>
    </row>
    <row r="3629" spans="1:5" x14ac:dyDescent="0.25">
      <c r="A3629" s="290"/>
      <c r="B3629" s="288"/>
      <c r="C3629" s="1061"/>
      <c r="D3629" s="291"/>
      <c r="E3629" s="1044"/>
    </row>
    <row r="3630" spans="1:5" x14ac:dyDescent="0.25">
      <c r="A3630" s="290"/>
      <c r="B3630" s="288"/>
      <c r="C3630" s="1061"/>
      <c r="D3630" s="291"/>
      <c r="E3630" s="1044"/>
    </row>
    <row r="3631" spans="1:5" x14ac:dyDescent="0.25">
      <c r="A3631" s="290"/>
      <c r="B3631" s="288"/>
      <c r="C3631" s="1061"/>
      <c r="D3631" s="291"/>
      <c r="E3631" s="1044"/>
    </row>
    <row r="3632" spans="1:5" x14ac:dyDescent="0.25">
      <c r="A3632" s="290"/>
      <c r="B3632" s="288"/>
      <c r="C3632" s="1061"/>
      <c r="D3632" s="291"/>
      <c r="E3632" s="1044"/>
    </row>
    <row r="3633" spans="1:5" x14ac:dyDescent="0.25">
      <c r="A3633" s="290"/>
      <c r="B3633" s="288"/>
      <c r="C3633" s="1061"/>
      <c r="D3633" s="291"/>
      <c r="E3633" s="1044"/>
    </row>
    <row r="3634" spans="1:5" x14ac:dyDescent="0.25">
      <c r="A3634" s="290"/>
      <c r="B3634" s="288"/>
      <c r="C3634" s="1061"/>
      <c r="D3634" s="291"/>
      <c r="E3634" s="1044"/>
    </row>
    <row r="3635" spans="1:5" x14ac:dyDescent="0.25">
      <c r="A3635" s="290"/>
      <c r="B3635" s="288"/>
      <c r="C3635" s="1061"/>
      <c r="D3635" s="291"/>
      <c r="E3635" s="1044"/>
    </row>
    <row r="3636" spans="1:5" x14ac:dyDescent="0.25">
      <c r="A3636" s="290"/>
      <c r="B3636" s="288"/>
      <c r="C3636" s="1061"/>
      <c r="D3636" s="291"/>
      <c r="E3636" s="1044"/>
    </row>
    <row r="3637" spans="1:5" x14ac:dyDescent="0.25">
      <c r="A3637" s="290"/>
      <c r="B3637" s="288"/>
      <c r="C3637" s="1061"/>
      <c r="D3637" s="291"/>
      <c r="E3637" s="1044"/>
    </row>
    <row r="3638" spans="1:5" x14ac:dyDescent="0.25">
      <c r="A3638" s="290"/>
      <c r="B3638" s="288"/>
      <c r="C3638" s="1061"/>
      <c r="D3638" s="291"/>
      <c r="E3638" s="1044"/>
    </row>
    <row r="3639" spans="1:5" x14ac:dyDescent="0.25">
      <c r="A3639" s="290"/>
      <c r="B3639" s="288"/>
      <c r="C3639" s="1061"/>
      <c r="D3639" s="291"/>
      <c r="E3639" s="1044"/>
    </row>
    <row r="3640" spans="1:5" x14ac:dyDescent="0.25">
      <c r="A3640" s="290"/>
      <c r="B3640" s="288"/>
      <c r="C3640" s="1061"/>
      <c r="D3640" s="291"/>
      <c r="E3640" s="1044"/>
    </row>
    <row r="3641" spans="1:5" x14ac:dyDescent="0.25">
      <c r="A3641" s="290"/>
      <c r="B3641" s="288"/>
      <c r="C3641" s="1061"/>
      <c r="D3641" s="291"/>
      <c r="E3641" s="1044"/>
    </row>
    <row r="3642" spans="1:5" x14ac:dyDescent="0.25">
      <c r="A3642" s="290"/>
      <c r="B3642" s="288"/>
      <c r="C3642" s="1061"/>
      <c r="D3642" s="291"/>
      <c r="E3642" s="1044"/>
    </row>
    <row r="3643" spans="1:5" x14ac:dyDescent="0.25">
      <c r="A3643" s="290"/>
      <c r="B3643" s="288"/>
      <c r="C3643" s="1061"/>
      <c r="D3643" s="291"/>
      <c r="E3643" s="1044"/>
    </row>
    <row r="3644" spans="1:5" x14ac:dyDescent="0.25">
      <c r="A3644" s="290"/>
      <c r="B3644" s="288"/>
      <c r="C3644" s="1061"/>
      <c r="D3644" s="291"/>
      <c r="E3644" s="1044"/>
    </row>
    <row r="3645" spans="1:5" x14ac:dyDescent="0.25">
      <c r="A3645" s="290"/>
      <c r="B3645" s="288"/>
      <c r="C3645" s="1061"/>
      <c r="D3645" s="291"/>
      <c r="E3645" s="1044"/>
    </row>
    <row r="3646" spans="1:5" x14ac:dyDescent="0.25">
      <c r="A3646" s="290"/>
      <c r="B3646" s="288"/>
      <c r="C3646" s="1061"/>
      <c r="D3646" s="291"/>
      <c r="E3646" s="1044"/>
    </row>
    <row r="3647" spans="1:5" x14ac:dyDescent="0.25">
      <c r="A3647" s="290"/>
      <c r="B3647" s="288"/>
      <c r="C3647" s="1061"/>
      <c r="D3647" s="291"/>
      <c r="E3647" s="1044"/>
    </row>
    <row r="3648" spans="1:5" x14ac:dyDescent="0.25">
      <c r="A3648" s="290"/>
      <c r="B3648" s="288"/>
      <c r="C3648" s="1061"/>
      <c r="D3648" s="291"/>
      <c r="E3648" s="1044"/>
    </row>
    <row r="3649" spans="1:5" x14ac:dyDescent="0.25">
      <c r="A3649" s="290"/>
      <c r="B3649" s="288"/>
      <c r="C3649" s="1061"/>
      <c r="D3649" s="291"/>
      <c r="E3649" s="1044"/>
    </row>
    <row r="3650" spans="1:5" x14ac:dyDescent="0.25">
      <c r="A3650" s="290"/>
      <c r="B3650" s="288"/>
      <c r="C3650" s="1061"/>
      <c r="D3650" s="291"/>
      <c r="E3650" s="1044"/>
    </row>
    <row r="3651" spans="1:5" x14ac:dyDescent="0.25">
      <c r="A3651" s="290"/>
      <c r="B3651" s="288"/>
      <c r="C3651" s="1061"/>
      <c r="D3651" s="291"/>
      <c r="E3651" s="1044"/>
    </row>
    <row r="3652" spans="1:5" x14ac:dyDescent="0.25">
      <c r="A3652" s="290"/>
      <c r="B3652" s="288"/>
      <c r="C3652" s="1061"/>
      <c r="D3652" s="291"/>
      <c r="E3652" s="1044"/>
    </row>
    <row r="3653" spans="1:5" x14ac:dyDescent="0.25">
      <c r="A3653" s="290"/>
      <c r="B3653" s="288"/>
      <c r="C3653" s="1061"/>
      <c r="D3653" s="291"/>
      <c r="E3653" s="1044"/>
    </row>
    <row r="3654" spans="1:5" x14ac:dyDescent="0.25">
      <c r="A3654" s="290"/>
      <c r="B3654" s="288"/>
      <c r="C3654" s="1061"/>
      <c r="D3654" s="291"/>
      <c r="E3654" s="1044"/>
    </row>
    <row r="3655" spans="1:5" x14ac:dyDescent="0.25">
      <c r="A3655" s="290"/>
      <c r="B3655" s="288"/>
      <c r="C3655" s="1061"/>
      <c r="D3655" s="291"/>
      <c r="E3655" s="1044"/>
    </row>
    <row r="3656" spans="1:5" x14ac:dyDescent="0.25">
      <c r="A3656" s="290"/>
      <c r="B3656" s="288"/>
      <c r="C3656" s="1061"/>
      <c r="D3656" s="291"/>
      <c r="E3656" s="1044"/>
    </row>
    <row r="3657" spans="1:5" x14ac:dyDescent="0.25">
      <c r="A3657" s="290"/>
      <c r="B3657" s="288"/>
      <c r="C3657" s="1061"/>
      <c r="D3657" s="291"/>
      <c r="E3657" s="1044"/>
    </row>
    <row r="3658" spans="1:5" x14ac:dyDescent="0.25">
      <c r="A3658" s="290"/>
      <c r="B3658" s="288"/>
      <c r="C3658" s="1061"/>
      <c r="D3658" s="291"/>
      <c r="E3658" s="1044"/>
    </row>
    <row r="3659" spans="1:5" x14ac:dyDescent="0.25">
      <c r="A3659" s="290"/>
      <c r="B3659" s="288"/>
      <c r="C3659" s="1061"/>
      <c r="D3659" s="291"/>
      <c r="E3659" s="1044"/>
    </row>
    <row r="3660" spans="1:5" x14ac:dyDescent="0.25">
      <c r="A3660" s="290"/>
      <c r="B3660" s="288"/>
      <c r="C3660" s="1061"/>
      <c r="D3660" s="291"/>
      <c r="E3660" s="1044"/>
    </row>
    <row r="3661" spans="1:5" x14ac:dyDescent="0.25">
      <c r="A3661" s="290"/>
      <c r="B3661" s="288"/>
      <c r="C3661" s="1061"/>
      <c r="D3661" s="291"/>
      <c r="E3661" s="1044"/>
    </row>
    <row r="3662" spans="1:5" x14ac:dyDescent="0.25">
      <c r="A3662" s="290"/>
      <c r="B3662" s="288"/>
      <c r="C3662" s="1061"/>
      <c r="D3662" s="291"/>
      <c r="E3662" s="1044"/>
    </row>
    <row r="3663" spans="1:5" x14ac:dyDescent="0.25">
      <c r="A3663" s="290"/>
      <c r="B3663" s="288"/>
      <c r="C3663" s="1061"/>
      <c r="D3663" s="291"/>
      <c r="E3663" s="1044"/>
    </row>
    <row r="3664" spans="1:5" x14ac:dyDescent="0.25">
      <c r="A3664" s="290"/>
      <c r="B3664" s="288"/>
      <c r="C3664" s="1061"/>
      <c r="D3664" s="291"/>
      <c r="E3664" s="1044"/>
    </row>
    <row r="3665" spans="1:5" x14ac:dyDescent="0.25">
      <c r="A3665" s="290"/>
      <c r="B3665" s="288"/>
      <c r="C3665" s="1061"/>
      <c r="D3665" s="291"/>
      <c r="E3665" s="1044"/>
    </row>
    <row r="3666" spans="1:5" x14ac:dyDescent="0.25">
      <c r="A3666" s="290"/>
      <c r="B3666" s="288"/>
      <c r="C3666" s="1061"/>
      <c r="D3666" s="291"/>
      <c r="E3666" s="1044"/>
    </row>
    <row r="3667" spans="1:5" x14ac:dyDescent="0.25">
      <c r="A3667" s="290"/>
      <c r="B3667" s="288"/>
      <c r="C3667" s="1061"/>
      <c r="D3667" s="291"/>
      <c r="E3667" s="1044"/>
    </row>
    <row r="3668" spans="1:5" x14ac:dyDescent="0.25">
      <c r="A3668" s="290"/>
      <c r="B3668" s="288"/>
      <c r="C3668" s="1061"/>
      <c r="D3668" s="291"/>
      <c r="E3668" s="1044"/>
    </row>
    <row r="3669" spans="1:5" x14ac:dyDescent="0.25">
      <c r="A3669" s="290"/>
      <c r="B3669" s="288"/>
      <c r="C3669" s="1061"/>
      <c r="D3669" s="291"/>
      <c r="E3669" s="1044"/>
    </row>
    <row r="3670" spans="1:5" x14ac:dyDescent="0.25">
      <c r="A3670" s="290"/>
      <c r="B3670" s="288"/>
      <c r="C3670" s="1061"/>
      <c r="D3670" s="291"/>
      <c r="E3670" s="1044"/>
    </row>
    <row r="3671" spans="1:5" x14ac:dyDescent="0.25">
      <c r="A3671" s="290"/>
      <c r="B3671" s="288"/>
      <c r="C3671" s="1061"/>
      <c r="D3671" s="291"/>
      <c r="E3671" s="1044"/>
    </row>
    <row r="3672" spans="1:5" x14ac:dyDescent="0.25">
      <c r="A3672" s="290"/>
      <c r="B3672" s="288"/>
      <c r="C3672" s="1061"/>
      <c r="D3672" s="291"/>
      <c r="E3672" s="1044"/>
    </row>
    <row r="3673" spans="1:5" x14ac:dyDescent="0.25">
      <c r="A3673" s="290"/>
      <c r="B3673" s="288"/>
      <c r="C3673" s="1061"/>
      <c r="D3673" s="291"/>
      <c r="E3673" s="1044"/>
    </row>
    <row r="3674" spans="1:5" x14ac:dyDescent="0.25">
      <c r="A3674" s="290"/>
      <c r="B3674" s="288"/>
      <c r="C3674" s="1061"/>
      <c r="D3674" s="291"/>
      <c r="E3674" s="1044"/>
    </row>
    <row r="3675" spans="1:5" x14ac:dyDescent="0.25">
      <c r="A3675" s="290"/>
      <c r="B3675" s="288"/>
      <c r="C3675" s="1061"/>
      <c r="D3675" s="291"/>
      <c r="E3675" s="1044"/>
    </row>
    <row r="3676" spans="1:5" x14ac:dyDescent="0.25">
      <c r="A3676" s="290"/>
      <c r="B3676" s="288"/>
      <c r="C3676" s="1061"/>
      <c r="D3676" s="291"/>
      <c r="E3676" s="1044"/>
    </row>
    <row r="3677" spans="1:5" x14ac:dyDescent="0.25">
      <c r="A3677" s="290"/>
      <c r="B3677" s="288"/>
      <c r="C3677" s="1061"/>
      <c r="D3677" s="291"/>
      <c r="E3677" s="1044"/>
    </row>
    <row r="3678" spans="1:5" x14ac:dyDescent="0.25">
      <c r="A3678" s="290"/>
      <c r="B3678" s="288"/>
      <c r="C3678" s="1061"/>
      <c r="D3678" s="291"/>
      <c r="E3678" s="1044"/>
    </row>
    <row r="3679" spans="1:5" x14ac:dyDescent="0.25">
      <c r="A3679" s="290"/>
      <c r="B3679" s="288"/>
      <c r="C3679" s="1061"/>
      <c r="D3679" s="291"/>
      <c r="E3679" s="1044"/>
    </row>
    <row r="3680" spans="1:5" x14ac:dyDescent="0.25">
      <c r="A3680" s="290"/>
      <c r="B3680" s="288"/>
      <c r="C3680" s="1061"/>
      <c r="D3680" s="291"/>
      <c r="E3680" s="1044"/>
    </row>
    <row r="3681" spans="1:5" x14ac:dyDescent="0.25">
      <c r="A3681" s="290"/>
      <c r="B3681" s="288"/>
      <c r="C3681" s="1061"/>
      <c r="D3681" s="291"/>
      <c r="E3681" s="1044"/>
    </row>
    <row r="3682" spans="1:5" x14ac:dyDescent="0.25">
      <c r="A3682" s="290"/>
      <c r="B3682" s="288"/>
      <c r="C3682" s="1061"/>
      <c r="D3682" s="291"/>
      <c r="E3682" s="1044"/>
    </row>
    <row r="3683" spans="1:5" x14ac:dyDescent="0.25">
      <c r="A3683" s="290"/>
      <c r="B3683" s="288"/>
      <c r="C3683" s="1061"/>
      <c r="D3683" s="291"/>
      <c r="E3683" s="1044"/>
    </row>
    <row r="3684" spans="1:5" x14ac:dyDescent="0.25">
      <c r="A3684" s="290"/>
      <c r="B3684" s="288"/>
      <c r="C3684" s="1061"/>
      <c r="D3684" s="291"/>
      <c r="E3684" s="1044"/>
    </row>
    <row r="3685" spans="1:5" x14ac:dyDescent="0.25">
      <c r="A3685" s="290"/>
      <c r="B3685" s="288"/>
      <c r="C3685" s="1061"/>
      <c r="D3685" s="291"/>
      <c r="E3685" s="1044"/>
    </row>
    <row r="3686" spans="1:5" x14ac:dyDescent="0.25">
      <c r="A3686" s="290"/>
      <c r="B3686" s="288"/>
      <c r="C3686" s="1061"/>
      <c r="D3686" s="291"/>
      <c r="E3686" s="1044"/>
    </row>
    <row r="3687" spans="1:5" x14ac:dyDescent="0.25">
      <c r="A3687" s="290"/>
      <c r="B3687" s="288"/>
      <c r="C3687" s="1061"/>
      <c r="D3687" s="291"/>
      <c r="E3687" s="1044"/>
    </row>
    <row r="3688" spans="1:5" x14ac:dyDescent="0.25">
      <c r="A3688" s="290"/>
      <c r="B3688" s="288"/>
      <c r="C3688" s="1061"/>
      <c r="D3688" s="291"/>
      <c r="E3688" s="1044"/>
    </row>
    <row r="3689" spans="1:5" x14ac:dyDescent="0.25">
      <c r="A3689" s="290"/>
      <c r="B3689" s="288"/>
      <c r="C3689" s="1061"/>
      <c r="D3689" s="291"/>
      <c r="E3689" s="1044"/>
    </row>
    <row r="3690" spans="1:5" x14ac:dyDescent="0.25">
      <c r="A3690" s="290"/>
      <c r="B3690" s="288"/>
      <c r="C3690" s="1061"/>
      <c r="D3690" s="291"/>
      <c r="E3690" s="1044"/>
    </row>
    <row r="3691" spans="1:5" x14ac:dyDescent="0.25">
      <c r="A3691" s="290"/>
      <c r="B3691" s="288"/>
      <c r="C3691" s="1061"/>
      <c r="D3691" s="291"/>
      <c r="E3691" s="1044"/>
    </row>
    <row r="3692" spans="1:5" x14ac:dyDescent="0.25">
      <c r="A3692" s="290"/>
      <c r="B3692" s="288"/>
      <c r="C3692" s="1061"/>
      <c r="D3692" s="291"/>
      <c r="E3692" s="1044"/>
    </row>
    <row r="3693" spans="1:5" x14ac:dyDescent="0.25">
      <c r="A3693" s="290"/>
      <c r="B3693" s="288"/>
      <c r="C3693" s="1061"/>
      <c r="D3693" s="291"/>
      <c r="E3693" s="1044"/>
    </row>
    <row r="3694" spans="1:5" x14ac:dyDescent="0.25">
      <c r="A3694" s="290"/>
      <c r="B3694" s="288"/>
      <c r="C3694" s="1061"/>
      <c r="D3694" s="291"/>
      <c r="E3694" s="1044"/>
    </row>
    <row r="3695" spans="1:5" x14ac:dyDescent="0.25">
      <c r="A3695" s="290"/>
      <c r="B3695" s="288"/>
      <c r="C3695" s="1061"/>
      <c r="D3695" s="291"/>
      <c r="E3695" s="1044"/>
    </row>
    <row r="3696" spans="1:5" x14ac:dyDescent="0.25">
      <c r="A3696" s="290"/>
      <c r="B3696" s="288"/>
      <c r="C3696" s="1061"/>
      <c r="D3696" s="291"/>
      <c r="E3696" s="1044"/>
    </row>
    <row r="3697" spans="1:5" x14ac:dyDescent="0.25">
      <c r="A3697" s="290"/>
      <c r="B3697" s="288"/>
      <c r="C3697" s="1061"/>
      <c r="D3697" s="291"/>
      <c r="E3697" s="1044"/>
    </row>
    <row r="3698" spans="1:5" x14ac:dyDescent="0.25">
      <c r="A3698" s="290"/>
      <c r="B3698" s="288"/>
      <c r="C3698" s="1061"/>
      <c r="D3698" s="291"/>
      <c r="E3698" s="1044"/>
    </row>
    <row r="3699" spans="1:5" x14ac:dyDescent="0.25">
      <c r="A3699" s="290"/>
      <c r="B3699" s="288"/>
      <c r="C3699" s="1061"/>
      <c r="D3699" s="291"/>
      <c r="E3699" s="1044"/>
    </row>
    <row r="3700" spans="1:5" x14ac:dyDescent="0.25">
      <c r="A3700" s="290"/>
      <c r="B3700" s="288"/>
      <c r="C3700" s="1061"/>
      <c r="D3700" s="291"/>
      <c r="E3700" s="1044"/>
    </row>
    <row r="3701" spans="1:5" x14ac:dyDescent="0.25">
      <c r="A3701" s="290"/>
      <c r="B3701" s="288"/>
      <c r="C3701" s="1061"/>
      <c r="D3701" s="291"/>
      <c r="E3701" s="1044"/>
    </row>
    <row r="3702" spans="1:5" x14ac:dyDescent="0.25">
      <c r="A3702" s="290"/>
      <c r="B3702" s="288"/>
      <c r="C3702" s="1061"/>
      <c r="D3702" s="291"/>
      <c r="E3702" s="1044"/>
    </row>
    <row r="3703" spans="1:5" x14ac:dyDescent="0.25">
      <c r="A3703" s="290"/>
      <c r="B3703" s="288"/>
      <c r="C3703" s="1061"/>
      <c r="D3703" s="291"/>
      <c r="E3703" s="1044"/>
    </row>
    <row r="3704" spans="1:5" x14ac:dyDescent="0.25">
      <c r="A3704" s="290"/>
      <c r="B3704" s="288"/>
      <c r="C3704" s="1061"/>
      <c r="D3704" s="291"/>
      <c r="E3704" s="1044"/>
    </row>
    <row r="3705" spans="1:5" x14ac:dyDescent="0.25">
      <c r="A3705" s="290"/>
      <c r="B3705" s="288"/>
      <c r="C3705" s="1061"/>
      <c r="D3705" s="291"/>
      <c r="E3705" s="1044"/>
    </row>
    <row r="3706" spans="1:5" x14ac:dyDescent="0.25">
      <c r="A3706" s="290"/>
      <c r="B3706" s="288"/>
      <c r="C3706" s="1061"/>
      <c r="D3706" s="291"/>
      <c r="E3706" s="1044"/>
    </row>
    <row r="3707" spans="1:5" x14ac:dyDescent="0.25">
      <c r="A3707" s="290"/>
      <c r="B3707" s="288"/>
      <c r="C3707" s="1061"/>
      <c r="D3707" s="291"/>
      <c r="E3707" s="1044"/>
    </row>
    <row r="3708" spans="1:5" x14ac:dyDescent="0.25">
      <c r="A3708" s="290"/>
      <c r="B3708" s="288"/>
      <c r="C3708" s="1061"/>
      <c r="D3708" s="291"/>
      <c r="E3708" s="1044"/>
    </row>
    <row r="3709" spans="1:5" x14ac:dyDescent="0.25">
      <c r="A3709" s="290"/>
      <c r="B3709" s="288"/>
      <c r="C3709" s="1061"/>
      <c r="D3709" s="291"/>
      <c r="E3709" s="1044"/>
    </row>
    <row r="3710" spans="1:5" x14ac:dyDescent="0.25">
      <c r="A3710" s="290"/>
      <c r="B3710" s="288"/>
      <c r="C3710" s="1061"/>
      <c r="D3710" s="291"/>
      <c r="E3710" s="1044"/>
    </row>
    <row r="3711" spans="1:5" x14ac:dyDescent="0.25">
      <c r="A3711" s="290"/>
      <c r="B3711" s="288"/>
      <c r="C3711" s="1061"/>
      <c r="D3711" s="291"/>
      <c r="E3711" s="1044"/>
    </row>
    <row r="3712" spans="1:5" x14ac:dyDescent="0.25">
      <c r="A3712" s="290"/>
      <c r="B3712" s="288"/>
      <c r="C3712" s="1061"/>
      <c r="D3712" s="291"/>
      <c r="E3712" s="1044"/>
    </row>
    <row r="3713" spans="1:5" x14ac:dyDescent="0.25">
      <c r="A3713" s="290"/>
      <c r="B3713" s="288"/>
      <c r="C3713" s="1061"/>
      <c r="D3713" s="291"/>
      <c r="E3713" s="1044"/>
    </row>
    <row r="3714" spans="1:5" x14ac:dyDescent="0.25">
      <c r="A3714" s="290"/>
      <c r="B3714" s="288"/>
      <c r="C3714" s="1061"/>
      <c r="D3714" s="291"/>
      <c r="E3714" s="1044"/>
    </row>
    <row r="3715" spans="1:5" x14ac:dyDescent="0.25">
      <c r="A3715" s="290"/>
      <c r="B3715" s="288"/>
      <c r="C3715" s="1061"/>
      <c r="D3715" s="291"/>
      <c r="E3715" s="1044"/>
    </row>
    <row r="3716" spans="1:5" x14ac:dyDescent="0.25">
      <c r="A3716" s="290"/>
      <c r="B3716" s="288"/>
      <c r="C3716" s="1061"/>
      <c r="D3716" s="291"/>
      <c r="E3716" s="1044"/>
    </row>
    <row r="3717" spans="1:5" x14ac:dyDescent="0.25">
      <c r="A3717" s="290"/>
      <c r="B3717" s="288"/>
      <c r="C3717" s="1061"/>
      <c r="D3717" s="291"/>
      <c r="E3717" s="1044"/>
    </row>
    <row r="3718" spans="1:5" x14ac:dyDescent="0.25">
      <c r="A3718" s="290"/>
      <c r="B3718" s="288"/>
      <c r="C3718" s="1061"/>
      <c r="D3718" s="291"/>
      <c r="E3718" s="1044"/>
    </row>
    <row r="3719" spans="1:5" x14ac:dyDescent="0.25">
      <c r="A3719" s="290"/>
      <c r="B3719" s="288"/>
      <c r="C3719" s="1061"/>
      <c r="D3719" s="291"/>
      <c r="E3719" s="1044"/>
    </row>
    <row r="3720" spans="1:5" x14ac:dyDescent="0.25">
      <c r="A3720" s="290"/>
      <c r="B3720" s="288"/>
      <c r="C3720" s="1061"/>
      <c r="D3720" s="291"/>
      <c r="E3720" s="1044"/>
    </row>
    <row r="3721" spans="1:5" x14ac:dyDescent="0.25">
      <c r="A3721" s="290"/>
      <c r="B3721" s="288"/>
      <c r="C3721" s="1061"/>
      <c r="D3721" s="291"/>
      <c r="E3721" s="1044"/>
    </row>
    <row r="3722" spans="1:5" x14ac:dyDescent="0.25">
      <c r="A3722" s="290"/>
      <c r="B3722" s="288"/>
      <c r="C3722" s="1061"/>
      <c r="D3722" s="291"/>
      <c r="E3722" s="1044"/>
    </row>
    <row r="3723" spans="1:5" x14ac:dyDescent="0.25">
      <c r="A3723" s="290"/>
      <c r="B3723" s="288"/>
      <c r="C3723" s="1061"/>
      <c r="D3723" s="291"/>
      <c r="E3723" s="1044"/>
    </row>
    <row r="3724" spans="1:5" x14ac:dyDescent="0.25">
      <c r="A3724" s="290"/>
      <c r="B3724" s="288"/>
      <c r="C3724" s="1061"/>
      <c r="D3724" s="291"/>
      <c r="E3724" s="1044"/>
    </row>
    <row r="3725" spans="1:5" x14ac:dyDescent="0.25">
      <c r="A3725" s="290"/>
      <c r="B3725" s="288"/>
      <c r="C3725" s="1061"/>
      <c r="D3725" s="291"/>
      <c r="E3725" s="1044"/>
    </row>
    <row r="3726" spans="1:5" x14ac:dyDescent="0.25">
      <c r="A3726" s="290"/>
      <c r="B3726" s="288"/>
      <c r="C3726" s="1061"/>
      <c r="D3726" s="291"/>
      <c r="E3726" s="1044"/>
    </row>
    <row r="3727" spans="1:5" x14ac:dyDescent="0.25">
      <c r="A3727" s="290"/>
      <c r="B3727" s="288"/>
      <c r="C3727" s="1061"/>
      <c r="D3727" s="291"/>
      <c r="E3727" s="1044"/>
    </row>
    <row r="3728" spans="1:5" x14ac:dyDescent="0.25">
      <c r="A3728" s="290"/>
      <c r="B3728" s="288"/>
      <c r="C3728" s="1061"/>
      <c r="D3728" s="291"/>
      <c r="E3728" s="1044"/>
    </row>
    <row r="3729" spans="1:5" x14ac:dyDescent="0.25">
      <c r="A3729" s="290"/>
      <c r="B3729" s="288"/>
      <c r="C3729" s="1061"/>
      <c r="D3729" s="291"/>
      <c r="E3729" s="1044"/>
    </row>
    <row r="3730" spans="1:5" x14ac:dyDescent="0.25">
      <c r="A3730" s="290"/>
      <c r="B3730" s="288"/>
      <c r="C3730" s="1061"/>
      <c r="D3730" s="291"/>
      <c r="E3730" s="1044"/>
    </row>
    <row r="3731" spans="1:5" x14ac:dyDescent="0.25">
      <c r="A3731" s="290"/>
      <c r="B3731" s="288"/>
      <c r="C3731" s="1061"/>
      <c r="D3731" s="291"/>
      <c r="E3731" s="1044"/>
    </row>
    <row r="3732" spans="1:5" x14ac:dyDescent="0.25">
      <c r="A3732" s="290"/>
      <c r="B3732" s="288"/>
      <c r="C3732" s="1061"/>
      <c r="D3732" s="291"/>
      <c r="E3732" s="1044"/>
    </row>
    <row r="3733" spans="1:5" x14ac:dyDescent="0.25">
      <c r="A3733" s="290"/>
      <c r="B3733" s="288"/>
      <c r="C3733" s="1061"/>
      <c r="D3733" s="291"/>
      <c r="E3733" s="1044"/>
    </row>
    <row r="3734" spans="1:5" x14ac:dyDescent="0.25">
      <c r="A3734" s="290"/>
      <c r="B3734" s="288"/>
      <c r="C3734" s="1061"/>
      <c r="D3734" s="291"/>
      <c r="E3734" s="1044"/>
    </row>
    <row r="3735" spans="1:5" x14ac:dyDescent="0.25">
      <c r="A3735" s="290"/>
      <c r="B3735" s="288"/>
      <c r="C3735" s="1061"/>
      <c r="D3735" s="291"/>
      <c r="E3735" s="1044"/>
    </row>
    <row r="3736" spans="1:5" x14ac:dyDescent="0.25">
      <c r="A3736" s="290"/>
      <c r="B3736" s="288"/>
      <c r="C3736" s="1061"/>
      <c r="D3736" s="291"/>
      <c r="E3736" s="1044"/>
    </row>
    <row r="3737" spans="1:5" x14ac:dyDescent="0.25">
      <c r="A3737" s="290"/>
      <c r="B3737" s="288"/>
      <c r="C3737" s="1061"/>
      <c r="D3737" s="291"/>
      <c r="E3737" s="1044"/>
    </row>
    <row r="3738" spans="1:5" x14ac:dyDescent="0.25">
      <c r="A3738" s="290"/>
      <c r="B3738" s="288"/>
      <c r="C3738" s="1061"/>
      <c r="D3738" s="291"/>
      <c r="E3738" s="1044"/>
    </row>
    <row r="3739" spans="1:5" x14ac:dyDescent="0.25">
      <c r="A3739" s="290"/>
      <c r="B3739" s="288"/>
      <c r="C3739" s="1061"/>
      <c r="D3739" s="291"/>
      <c r="E3739" s="1044"/>
    </row>
    <row r="3740" spans="1:5" x14ac:dyDescent="0.25">
      <c r="A3740" s="290"/>
      <c r="B3740" s="288"/>
      <c r="C3740" s="1061"/>
      <c r="D3740" s="291"/>
      <c r="E3740" s="1044"/>
    </row>
    <row r="3741" spans="1:5" x14ac:dyDescent="0.25">
      <c r="A3741" s="290"/>
      <c r="B3741" s="288"/>
      <c r="C3741" s="1061"/>
      <c r="D3741" s="291"/>
      <c r="E3741" s="1044"/>
    </row>
    <row r="3742" spans="1:5" x14ac:dyDescent="0.25">
      <c r="A3742" s="290"/>
      <c r="B3742" s="288"/>
      <c r="C3742" s="1061"/>
      <c r="D3742" s="291"/>
      <c r="E3742" s="1044"/>
    </row>
    <row r="3743" spans="1:5" x14ac:dyDescent="0.25">
      <c r="A3743" s="290"/>
      <c r="B3743" s="288"/>
      <c r="C3743" s="1061"/>
      <c r="D3743" s="291"/>
      <c r="E3743" s="1044"/>
    </row>
    <row r="3744" spans="1:5" x14ac:dyDescent="0.25">
      <c r="A3744" s="290"/>
      <c r="B3744" s="288"/>
      <c r="C3744" s="1061"/>
      <c r="D3744" s="291"/>
      <c r="E3744" s="1044"/>
    </row>
    <row r="3745" spans="1:5" x14ac:dyDescent="0.25">
      <c r="A3745" s="290"/>
      <c r="B3745" s="288"/>
      <c r="C3745" s="1061"/>
      <c r="D3745" s="291"/>
      <c r="E3745" s="1044"/>
    </row>
    <row r="3746" spans="1:5" x14ac:dyDescent="0.25">
      <c r="A3746" s="290"/>
      <c r="B3746" s="288"/>
      <c r="C3746" s="1061"/>
      <c r="D3746" s="291"/>
      <c r="E3746" s="1044"/>
    </row>
    <row r="3747" spans="1:5" x14ac:dyDescent="0.25">
      <c r="A3747" s="290"/>
      <c r="B3747" s="288"/>
      <c r="C3747" s="1061"/>
      <c r="D3747" s="291"/>
      <c r="E3747" s="1044"/>
    </row>
    <row r="3748" spans="1:5" x14ac:dyDescent="0.25">
      <c r="A3748" s="290"/>
      <c r="B3748" s="288"/>
      <c r="C3748" s="1061"/>
      <c r="D3748" s="291"/>
      <c r="E3748" s="1044"/>
    </row>
    <row r="3749" spans="1:5" x14ac:dyDescent="0.25">
      <c r="A3749" s="290"/>
      <c r="B3749" s="288"/>
      <c r="C3749" s="1061"/>
      <c r="D3749" s="291"/>
      <c r="E3749" s="1044"/>
    </row>
    <row r="3750" spans="1:5" x14ac:dyDescent="0.25">
      <c r="A3750" s="290"/>
      <c r="B3750" s="288"/>
      <c r="C3750" s="1061"/>
      <c r="D3750" s="291"/>
      <c r="E3750" s="1044"/>
    </row>
    <row r="3751" spans="1:5" x14ac:dyDescent="0.25">
      <c r="A3751" s="290"/>
      <c r="B3751" s="288"/>
      <c r="C3751" s="1061"/>
      <c r="D3751" s="291"/>
      <c r="E3751" s="1044"/>
    </row>
    <row r="3752" spans="1:5" x14ac:dyDescent="0.25">
      <c r="A3752" s="290"/>
      <c r="B3752" s="288"/>
      <c r="C3752" s="1061"/>
      <c r="D3752" s="291"/>
      <c r="E3752" s="1044"/>
    </row>
    <row r="3753" spans="1:5" x14ac:dyDescent="0.25">
      <c r="A3753" s="290"/>
      <c r="B3753" s="288"/>
      <c r="C3753" s="1061"/>
      <c r="D3753" s="291"/>
      <c r="E3753" s="1044"/>
    </row>
    <row r="3754" spans="1:5" x14ac:dyDescent="0.25">
      <c r="A3754" s="290"/>
      <c r="B3754" s="288"/>
      <c r="C3754" s="1061"/>
      <c r="D3754" s="291"/>
      <c r="E3754" s="1044"/>
    </row>
    <row r="3755" spans="1:5" x14ac:dyDescent="0.25">
      <c r="A3755" s="290"/>
      <c r="B3755" s="288"/>
      <c r="C3755" s="1061"/>
      <c r="D3755" s="291"/>
      <c r="E3755" s="1044"/>
    </row>
    <row r="3756" spans="1:5" x14ac:dyDescent="0.25">
      <c r="A3756" s="290"/>
      <c r="B3756" s="288"/>
      <c r="C3756" s="1061"/>
      <c r="D3756" s="291"/>
      <c r="E3756" s="1044"/>
    </row>
    <row r="3757" spans="1:5" x14ac:dyDescent="0.25">
      <c r="A3757" s="290"/>
      <c r="B3757" s="288"/>
      <c r="C3757" s="1061"/>
      <c r="D3757" s="291"/>
      <c r="E3757" s="1044"/>
    </row>
    <row r="3758" spans="1:5" x14ac:dyDescent="0.25">
      <c r="A3758" s="290"/>
      <c r="B3758" s="288"/>
      <c r="C3758" s="1061"/>
      <c r="D3758" s="291"/>
      <c r="E3758" s="1044"/>
    </row>
    <row r="3759" spans="1:5" x14ac:dyDescent="0.25">
      <c r="A3759" s="290"/>
      <c r="B3759" s="288"/>
      <c r="C3759" s="1061"/>
      <c r="D3759" s="291"/>
      <c r="E3759" s="1044"/>
    </row>
    <row r="3760" spans="1:5" x14ac:dyDescent="0.25">
      <c r="A3760" s="290"/>
      <c r="B3760" s="288"/>
      <c r="C3760" s="1061"/>
      <c r="D3760" s="291"/>
      <c r="E3760" s="1044"/>
    </row>
    <row r="3761" spans="1:5" x14ac:dyDescent="0.25">
      <c r="A3761" s="290"/>
      <c r="B3761" s="288"/>
      <c r="C3761" s="1061"/>
      <c r="D3761" s="291"/>
      <c r="E3761" s="1044"/>
    </row>
    <row r="3762" spans="1:5" x14ac:dyDescent="0.25">
      <c r="A3762" s="290"/>
      <c r="B3762" s="288"/>
      <c r="C3762" s="1061"/>
      <c r="D3762" s="291"/>
      <c r="E3762" s="1044"/>
    </row>
    <row r="3763" spans="1:5" x14ac:dyDescent="0.25">
      <c r="A3763" s="290"/>
      <c r="B3763" s="288"/>
      <c r="C3763" s="1061"/>
      <c r="D3763" s="291"/>
      <c r="E3763" s="1044"/>
    </row>
    <row r="3764" spans="1:5" x14ac:dyDescent="0.25">
      <c r="A3764" s="290"/>
      <c r="B3764" s="288"/>
      <c r="C3764" s="1061"/>
      <c r="D3764" s="291"/>
      <c r="E3764" s="1044"/>
    </row>
    <row r="3765" spans="1:5" x14ac:dyDescent="0.25">
      <c r="A3765" s="290"/>
      <c r="B3765" s="288"/>
      <c r="C3765" s="1061"/>
      <c r="D3765" s="291"/>
      <c r="E3765" s="1044"/>
    </row>
    <row r="3766" spans="1:5" x14ac:dyDescent="0.25">
      <c r="A3766" s="290"/>
      <c r="B3766" s="288"/>
      <c r="C3766" s="1061"/>
      <c r="D3766" s="291"/>
      <c r="E3766" s="1044"/>
    </row>
    <row r="3767" spans="1:5" x14ac:dyDescent="0.25">
      <c r="A3767" s="290"/>
      <c r="B3767" s="288"/>
      <c r="C3767" s="1061"/>
      <c r="D3767" s="291"/>
      <c r="E3767" s="1044"/>
    </row>
    <row r="3768" spans="1:5" x14ac:dyDescent="0.25">
      <c r="A3768" s="290"/>
      <c r="B3768" s="288"/>
      <c r="C3768" s="1061"/>
      <c r="D3768" s="291"/>
      <c r="E3768" s="1044"/>
    </row>
    <row r="3769" spans="1:5" x14ac:dyDescent="0.25">
      <c r="A3769" s="290"/>
      <c r="B3769" s="288"/>
      <c r="C3769" s="1061"/>
      <c r="D3769" s="291"/>
      <c r="E3769" s="1044"/>
    </row>
    <row r="3770" spans="1:5" x14ac:dyDescent="0.25">
      <c r="A3770" s="290"/>
      <c r="B3770" s="288"/>
      <c r="C3770" s="1061"/>
      <c r="D3770" s="291"/>
      <c r="E3770" s="1044"/>
    </row>
    <row r="3771" spans="1:5" x14ac:dyDescent="0.25">
      <c r="A3771" s="290"/>
      <c r="B3771" s="288"/>
      <c r="C3771" s="1061"/>
      <c r="D3771" s="291"/>
      <c r="E3771" s="1044"/>
    </row>
    <row r="3772" spans="1:5" x14ac:dyDescent="0.25">
      <c r="A3772" s="290"/>
      <c r="B3772" s="288"/>
      <c r="C3772" s="1061"/>
      <c r="D3772" s="291"/>
      <c r="E3772" s="1044"/>
    </row>
    <row r="3773" spans="1:5" x14ac:dyDescent="0.25">
      <c r="A3773" s="290"/>
      <c r="B3773" s="288"/>
      <c r="C3773" s="1061"/>
      <c r="D3773" s="291"/>
      <c r="E3773" s="1044"/>
    </row>
    <row r="3774" spans="1:5" x14ac:dyDescent="0.25">
      <c r="A3774" s="290"/>
      <c r="B3774" s="288"/>
      <c r="C3774" s="1061"/>
      <c r="D3774" s="291"/>
      <c r="E3774" s="1044"/>
    </row>
    <row r="3775" spans="1:5" x14ac:dyDescent="0.25">
      <c r="A3775" s="290"/>
      <c r="B3775" s="288"/>
      <c r="C3775" s="1061"/>
      <c r="D3775" s="291"/>
      <c r="E3775" s="1044"/>
    </row>
    <row r="3776" spans="1:5" x14ac:dyDescent="0.25">
      <c r="A3776" s="290"/>
      <c r="B3776" s="288"/>
      <c r="C3776" s="1061"/>
      <c r="D3776" s="291"/>
      <c r="E3776" s="1044"/>
    </row>
    <row r="3777" spans="1:5" x14ac:dyDescent="0.25">
      <c r="A3777" s="290"/>
      <c r="B3777" s="288"/>
      <c r="C3777" s="1061"/>
      <c r="D3777" s="291"/>
      <c r="E3777" s="1044"/>
    </row>
    <row r="3778" spans="1:5" x14ac:dyDescent="0.25">
      <c r="A3778" s="290"/>
      <c r="B3778" s="288"/>
      <c r="C3778" s="1061"/>
      <c r="D3778" s="291"/>
      <c r="E3778" s="1044"/>
    </row>
    <row r="3779" spans="1:5" x14ac:dyDescent="0.25">
      <c r="A3779" s="290"/>
      <c r="B3779" s="288"/>
      <c r="C3779" s="1061"/>
      <c r="D3779" s="291"/>
      <c r="E3779" s="1044"/>
    </row>
    <row r="3780" spans="1:5" x14ac:dyDescent="0.25">
      <c r="A3780" s="290"/>
      <c r="B3780" s="288"/>
      <c r="C3780" s="1061"/>
      <c r="D3780" s="291"/>
      <c r="E3780" s="1044"/>
    </row>
    <row r="3781" spans="1:5" x14ac:dyDescent="0.25">
      <c r="A3781" s="290"/>
      <c r="B3781" s="288"/>
      <c r="C3781" s="1061"/>
      <c r="D3781" s="291"/>
      <c r="E3781" s="1044"/>
    </row>
    <row r="3782" spans="1:5" x14ac:dyDescent="0.25">
      <c r="A3782" s="290"/>
      <c r="B3782" s="288"/>
      <c r="C3782" s="1061"/>
      <c r="D3782" s="291"/>
      <c r="E3782" s="1044"/>
    </row>
    <row r="3783" spans="1:5" x14ac:dyDescent="0.25">
      <c r="A3783" s="290"/>
      <c r="B3783" s="288"/>
      <c r="C3783" s="1061"/>
      <c r="D3783" s="291"/>
      <c r="E3783" s="1044"/>
    </row>
    <row r="3784" spans="1:5" x14ac:dyDescent="0.25">
      <c r="A3784" s="290"/>
      <c r="B3784" s="288"/>
      <c r="C3784" s="1061"/>
      <c r="D3784" s="291"/>
      <c r="E3784" s="1044"/>
    </row>
    <row r="3785" spans="1:5" x14ac:dyDescent="0.25">
      <c r="A3785" s="290"/>
      <c r="B3785" s="288"/>
      <c r="C3785" s="1061"/>
      <c r="D3785" s="291"/>
      <c r="E3785" s="1044"/>
    </row>
    <row r="3786" spans="1:5" x14ac:dyDescent="0.25">
      <c r="A3786" s="290"/>
      <c r="B3786" s="288"/>
      <c r="C3786" s="1061"/>
      <c r="D3786" s="291"/>
      <c r="E3786" s="1044"/>
    </row>
    <row r="3787" spans="1:5" x14ac:dyDescent="0.25">
      <c r="A3787" s="290"/>
      <c r="B3787" s="288"/>
      <c r="C3787" s="1061"/>
      <c r="D3787" s="291"/>
      <c r="E3787" s="1044"/>
    </row>
    <row r="3788" spans="1:5" x14ac:dyDescent="0.25">
      <c r="A3788" s="290"/>
      <c r="B3788" s="288"/>
      <c r="C3788" s="1061"/>
      <c r="D3788" s="291"/>
      <c r="E3788" s="1044"/>
    </row>
    <row r="3789" spans="1:5" x14ac:dyDescent="0.25">
      <c r="A3789" s="290"/>
      <c r="B3789" s="288"/>
      <c r="C3789" s="1061"/>
      <c r="D3789" s="291"/>
      <c r="E3789" s="1044"/>
    </row>
    <row r="3790" spans="1:5" x14ac:dyDescent="0.25">
      <c r="A3790" s="290"/>
      <c r="B3790" s="288"/>
      <c r="C3790" s="1061"/>
      <c r="D3790" s="291"/>
      <c r="E3790" s="1044"/>
    </row>
    <row r="3791" spans="1:5" x14ac:dyDescent="0.25">
      <c r="A3791" s="290"/>
      <c r="B3791" s="288"/>
      <c r="C3791" s="1061"/>
      <c r="D3791" s="291"/>
      <c r="E3791" s="1044"/>
    </row>
    <row r="3792" spans="1:5" x14ac:dyDescent="0.25">
      <c r="A3792" s="290"/>
      <c r="B3792" s="288"/>
      <c r="C3792" s="1061"/>
      <c r="D3792" s="291"/>
      <c r="E3792" s="1044"/>
    </row>
    <row r="3793" spans="1:5" x14ac:dyDescent="0.25">
      <c r="A3793" s="290"/>
      <c r="B3793" s="288"/>
      <c r="C3793" s="1061"/>
      <c r="D3793" s="291"/>
      <c r="E3793" s="1044"/>
    </row>
    <row r="3794" spans="1:5" x14ac:dyDescent="0.25">
      <c r="A3794" s="290"/>
      <c r="B3794" s="288"/>
      <c r="C3794" s="1061"/>
      <c r="D3794" s="291"/>
      <c r="E3794" s="1044"/>
    </row>
    <row r="3795" spans="1:5" x14ac:dyDescent="0.25">
      <c r="A3795" s="290"/>
      <c r="B3795" s="288"/>
      <c r="C3795" s="1061"/>
      <c r="D3795" s="291"/>
      <c r="E3795" s="1044"/>
    </row>
    <row r="3796" spans="1:5" x14ac:dyDescent="0.25">
      <c r="A3796" s="290"/>
      <c r="B3796" s="288"/>
      <c r="C3796" s="1061"/>
      <c r="D3796" s="291"/>
      <c r="E3796" s="1044"/>
    </row>
    <row r="3797" spans="1:5" x14ac:dyDescent="0.25">
      <c r="A3797" s="290"/>
      <c r="B3797" s="288"/>
      <c r="C3797" s="1061"/>
      <c r="D3797" s="291"/>
      <c r="E3797" s="1044"/>
    </row>
    <row r="3798" spans="1:5" x14ac:dyDescent="0.25">
      <c r="A3798" s="290"/>
      <c r="B3798" s="288"/>
      <c r="C3798" s="1061"/>
      <c r="D3798" s="291"/>
      <c r="E3798" s="1044"/>
    </row>
    <row r="3799" spans="1:5" x14ac:dyDescent="0.25">
      <c r="A3799" s="290"/>
      <c r="B3799" s="288"/>
      <c r="C3799" s="1061"/>
      <c r="D3799" s="291"/>
      <c r="E3799" s="1044"/>
    </row>
    <row r="3800" spans="1:5" x14ac:dyDescent="0.25">
      <c r="A3800" s="290"/>
      <c r="B3800" s="288"/>
      <c r="C3800" s="1061"/>
      <c r="D3800" s="291"/>
      <c r="E3800" s="1044"/>
    </row>
    <row r="3801" spans="1:5" x14ac:dyDescent="0.25">
      <c r="A3801" s="290"/>
      <c r="B3801" s="288"/>
      <c r="C3801" s="1061"/>
      <c r="D3801" s="291"/>
      <c r="E3801" s="1044"/>
    </row>
    <row r="3802" spans="1:5" x14ac:dyDescent="0.25">
      <c r="A3802" s="290"/>
      <c r="B3802" s="288"/>
      <c r="C3802" s="1061"/>
      <c r="D3802" s="291"/>
      <c r="E3802" s="1044"/>
    </row>
    <row r="3803" spans="1:5" x14ac:dyDescent="0.25">
      <c r="A3803" s="290"/>
      <c r="B3803" s="288"/>
      <c r="C3803" s="1061"/>
      <c r="D3803" s="291"/>
      <c r="E3803" s="1044"/>
    </row>
    <row r="3804" spans="1:5" x14ac:dyDescent="0.25">
      <c r="A3804" s="290"/>
      <c r="B3804" s="288"/>
      <c r="C3804" s="1061"/>
      <c r="D3804" s="291"/>
      <c r="E3804" s="1044"/>
    </row>
    <row r="3805" spans="1:5" x14ac:dyDescent="0.25">
      <c r="A3805" s="290"/>
      <c r="B3805" s="288"/>
      <c r="C3805" s="1061"/>
      <c r="D3805" s="291"/>
      <c r="E3805" s="1044"/>
    </row>
    <row r="3806" spans="1:5" x14ac:dyDescent="0.25">
      <c r="A3806" s="290"/>
      <c r="B3806" s="288"/>
      <c r="C3806" s="1061"/>
      <c r="D3806" s="291"/>
      <c r="E3806" s="1044"/>
    </row>
    <row r="3807" spans="1:5" x14ac:dyDescent="0.25">
      <c r="A3807" s="290"/>
      <c r="B3807" s="288"/>
      <c r="C3807" s="1061"/>
      <c r="D3807" s="291"/>
      <c r="E3807" s="1044"/>
    </row>
    <row r="3808" spans="1:5" x14ac:dyDescent="0.25">
      <c r="A3808" s="290"/>
      <c r="B3808" s="288"/>
      <c r="C3808" s="1061"/>
      <c r="D3808" s="291"/>
      <c r="E3808" s="1044"/>
    </row>
    <row r="3809" spans="1:5" x14ac:dyDescent="0.25">
      <c r="A3809" s="290"/>
      <c r="B3809" s="288"/>
      <c r="C3809" s="1061"/>
      <c r="D3809" s="291"/>
      <c r="E3809" s="1044"/>
    </row>
    <row r="3810" spans="1:5" x14ac:dyDescent="0.25">
      <c r="A3810" s="290"/>
      <c r="B3810" s="288"/>
      <c r="C3810" s="1061"/>
      <c r="D3810" s="291"/>
      <c r="E3810" s="1044"/>
    </row>
    <row r="3811" spans="1:5" x14ac:dyDescent="0.25">
      <c r="A3811" s="290"/>
      <c r="B3811" s="288"/>
      <c r="C3811" s="1061"/>
      <c r="D3811" s="291"/>
      <c r="E3811" s="1044"/>
    </row>
    <row r="3812" spans="1:5" x14ac:dyDescent="0.25">
      <c r="A3812" s="290"/>
      <c r="B3812" s="288"/>
      <c r="C3812" s="1061"/>
      <c r="D3812" s="291"/>
      <c r="E3812" s="1044"/>
    </row>
    <row r="3813" spans="1:5" x14ac:dyDescent="0.25">
      <c r="A3813" s="290"/>
      <c r="B3813" s="288"/>
      <c r="C3813" s="1061"/>
      <c r="D3813" s="291"/>
      <c r="E3813" s="1044"/>
    </row>
    <row r="3814" spans="1:5" x14ac:dyDescent="0.25">
      <c r="A3814" s="290"/>
      <c r="B3814" s="288"/>
      <c r="C3814" s="1061"/>
      <c r="D3814" s="291"/>
      <c r="E3814" s="1044"/>
    </row>
    <row r="3815" spans="1:5" x14ac:dyDescent="0.25">
      <c r="A3815" s="290"/>
      <c r="B3815" s="288"/>
      <c r="C3815" s="1061"/>
      <c r="D3815" s="291"/>
      <c r="E3815" s="1044"/>
    </row>
    <row r="3816" spans="1:5" x14ac:dyDescent="0.25">
      <c r="A3816" s="290"/>
      <c r="B3816" s="288"/>
      <c r="C3816" s="1061"/>
      <c r="D3816" s="291"/>
      <c r="E3816" s="1044"/>
    </row>
    <row r="3817" spans="1:5" x14ac:dyDescent="0.25">
      <c r="A3817" s="290"/>
      <c r="B3817" s="288"/>
      <c r="C3817" s="1061"/>
      <c r="D3817" s="291"/>
      <c r="E3817" s="1044"/>
    </row>
    <row r="3818" spans="1:5" x14ac:dyDescent="0.25">
      <c r="A3818" s="290"/>
      <c r="B3818" s="288"/>
      <c r="C3818" s="1061"/>
      <c r="D3818" s="291"/>
      <c r="E3818" s="1044"/>
    </row>
    <row r="3819" spans="1:5" x14ac:dyDescent="0.25">
      <c r="A3819" s="290"/>
      <c r="B3819" s="288"/>
      <c r="C3819" s="1061"/>
      <c r="D3819" s="291"/>
      <c r="E3819" s="1044"/>
    </row>
    <row r="3820" spans="1:5" x14ac:dyDescent="0.25">
      <c r="A3820" s="290"/>
      <c r="B3820" s="288"/>
      <c r="C3820" s="1061"/>
      <c r="D3820" s="291"/>
      <c r="E3820" s="1044"/>
    </row>
    <row r="3821" spans="1:5" x14ac:dyDescent="0.25">
      <c r="A3821" s="290"/>
      <c r="B3821" s="288"/>
      <c r="C3821" s="1061"/>
      <c r="D3821" s="291"/>
      <c r="E3821" s="1044"/>
    </row>
    <row r="3822" spans="1:5" x14ac:dyDescent="0.25">
      <c r="A3822" s="290"/>
      <c r="B3822" s="288"/>
      <c r="C3822" s="1061"/>
      <c r="D3822" s="291"/>
      <c r="E3822" s="1044"/>
    </row>
    <row r="3823" spans="1:5" x14ac:dyDescent="0.25">
      <c r="A3823" s="290"/>
      <c r="B3823" s="288"/>
      <c r="C3823" s="1061"/>
      <c r="D3823" s="291"/>
      <c r="E3823" s="1044"/>
    </row>
    <row r="3824" spans="1:5" x14ac:dyDescent="0.25">
      <c r="A3824" s="290"/>
      <c r="B3824" s="288"/>
      <c r="C3824" s="1061"/>
      <c r="D3824" s="291"/>
      <c r="E3824" s="1044"/>
    </row>
    <row r="3825" spans="1:5" x14ac:dyDescent="0.25">
      <c r="A3825" s="290"/>
      <c r="B3825" s="288"/>
      <c r="C3825" s="1061"/>
      <c r="D3825" s="291"/>
      <c r="E3825" s="1044"/>
    </row>
    <row r="3826" spans="1:5" x14ac:dyDescent="0.25">
      <c r="A3826" s="290"/>
      <c r="B3826" s="288"/>
      <c r="C3826" s="1061"/>
      <c r="D3826" s="291"/>
      <c r="E3826" s="1044"/>
    </row>
    <row r="3827" spans="1:5" x14ac:dyDescent="0.25">
      <c r="A3827" s="290"/>
      <c r="B3827" s="288"/>
      <c r="C3827" s="1061"/>
      <c r="D3827" s="291"/>
      <c r="E3827" s="1044"/>
    </row>
    <row r="3828" spans="1:5" x14ac:dyDescent="0.25">
      <c r="A3828" s="290"/>
      <c r="B3828" s="288"/>
      <c r="C3828" s="1061"/>
      <c r="D3828" s="291"/>
      <c r="E3828" s="1044"/>
    </row>
    <row r="3829" spans="1:5" x14ac:dyDescent="0.25">
      <c r="A3829" s="290"/>
      <c r="B3829" s="288"/>
      <c r="C3829" s="1061"/>
      <c r="D3829" s="291"/>
      <c r="E3829" s="1044"/>
    </row>
    <row r="3830" spans="1:5" x14ac:dyDescent="0.25">
      <c r="A3830" s="290"/>
      <c r="B3830" s="288"/>
      <c r="C3830" s="1061"/>
      <c r="D3830" s="291"/>
      <c r="E3830" s="1044"/>
    </row>
    <row r="3831" spans="1:5" x14ac:dyDescent="0.25">
      <c r="A3831" s="290"/>
      <c r="B3831" s="288"/>
      <c r="C3831" s="1061"/>
      <c r="D3831" s="291"/>
      <c r="E3831" s="1044"/>
    </row>
    <row r="3832" spans="1:5" x14ac:dyDescent="0.25">
      <c r="A3832" s="290"/>
      <c r="B3832" s="288"/>
      <c r="C3832" s="1061"/>
      <c r="D3832" s="291"/>
      <c r="E3832" s="1044"/>
    </row>
    <row r="3833" spans="1:5" x14ac:dyDescent="0.25">
      <c r="A3833" s="290"/>
      <c r="B3833" s="288"/>
      <c r="C3833" s="1061"/>
      <c r="D3833" s="291"/>
      <c r="E3833" s="1044"/>
    </row>
    <row r="3834" spans="1:5" x14ac:dyDescent="0.25">
      <c r="A3834" s="290"/>
      <c r="B3834" s="288"/>
      <c r="C3834" s="1061"/>
      <c r="D3834" s="291"/>
      <c r="E3834" s="1044"/>
    </row>
    <row r="3835" spans="1:5" x14ac:dyDescent="0.25">
      <c r="A3835" s="290"/>
      <c r="B3835" s="288"/>
      <c r="C3835" s="1061"/>
      <c r="D3835" s="291"/>
      <c r="E3835" s="1044"/>
    </row>
    <row r="3836" spans="1:5" x14ac:dyDescent="0.25">
      <c r="A3836" s="290"/>
      <c r="B3836" s="288"/>
      <c r="C3836" s="1061"/>
      <c r="D3836" s="291"/>
      <c r="E3836" s="1044"/>
    </row>
    <row r="3837" spans="1:5" x14ac:dyDescent="0.25">
      <c r="A3837" s="290"/>
      <c r="B3837" s="288"/>
      <c r="C3837" s="1061"/>
      <c r="D3837" s="291"/>
      <c r="E3837" s="1044"/>
    </row>
    <row r="3838" spans="1:5" x14ac:dyDescent="0.25">
      <c r="A3838" s="290"/>
      <c r="B3838" s="288"/>
      <c r="C3838" s="1061"/>
      <c r="D3838" s="291"/>
      <c r="E3838" s="1044"/>
    </row>
    <row r="3839" spans="1:5" x14ac:dyDescent="0.25">
      <c r="A3839" s="290"/>
      <c r="B3839" s="288"/>
      <c r="C3839" s="1061"/>
      <c r="D3839" s="291"/>
      <c r="E3839" s="1044"/>
    </row>
    <row r="3840" spans="1:5" x14ac:dyDescent="0.25">
      <c r="A3840" s="290"/>
      <c r="B3840" s="288"/>
      <c r="C3840" s="1061"/>
      <c r="D3840" s="291"/>
      <c r="E3840" s="1044"/>
    </row>
    <row r="3841" spans="1:5" x14ac:dyDescent="0.25">
      <c r="A3841" s="290"/>
      <c r="B3841" s="288"/>
      <c r="C3841" s="1061"/>
      <c r="D3841" s="291"/>
      <c r="E3841" s="1044"/>
    </row>
    <row r="3842" spans="1:5" x14ac:dyDescent="0.25">
      <c r="A3842" s="290"/>
      <c r="B3842" s="288"/>
      <c r="C3842" s="1061"/>
      <c r="D3842" s="291"/>
      <c r="E3842" s="1044"/>
    </row>
    <row r="3843" spans="1:5" x14ac:dyDescent="0.25">
      <c r="A3843" s="290"/>
      <c r="B3843" s="288"/>
      <c r="C3843" s="1061"/>
      <c r="D3843" s="291"/>
      <c r="E3843" s="1044"/>
    </row>
    <row r="3844" spans="1:5" x14ac:dyDescent="0.25">
      <c r="A3844" s="290"/>
      <c r="B3844" s="288"/>
      <c r="C3844" s="1061"/>
      <c r="D3844" s="291"/>
      <c r="E3844" s="1044"/>
    </row>
    <row r="3845" spans="1:5" x14ac:dyDescent="0.25">
      <c r="A3845" s="290"/>
      <c r="B3845" s="288"/>
      <c r="C3845" s="1061"/>
      <c r="D3845" s="291"/>
      <c r="E3845" s="1044"/>
    </row>
    <row r="3846" spans="1:5" x14ac:dyDescent="0.25">
      <c r="A3846" s="290"/>
      <c r="B3846" s="288"/>
      <c r="C3846" s="1061"/>
      <c r="D3846" s="291"/>
      <c r="E3846" s="1044"/>
    </row>
    <row r="3847" spans="1:5" x14ac:dyDescent="0.25">
      <c r="A3847" s="290"/>
      <c r="B3847" s="288"/>
      <c r="C3847" s="1061"/>
      <c r="D3847" s="291"/>
      <c r="E3847" s="1044"/>
    </row>
    <row r="3848" spans="1:5" x14ac:dyDescent="0.25">
      <c r="A3848" s="290"/>
      <c r="B3848" s="288"/>
      <c r="C3848" s="1061"/>
      <c r="D3848" s="291"/>
      <c r="E3848" s="1044"/>
    </row>
    <row r="3849" spans="1:5" x14ac:dyDescent="0.25">
      <c r="A3849" s="290"/>
      <c r="B3849" s="288"/>
      <c r="C3849" s="1061"/>
      <c r="D3849" s="291"/>
      <c r="E3849" s="1044"/>
    </row>
    <row r="3850" spans="1:5" x14ac:dyDescent="0.25">
      <c r="A3850" s="290"/>
      <c r="B3850" s="288"/>
      <c r="C3850" s="1061"/>
      <c r="D3850" s="291"/>
      <c r="E3850" s="1044"/>
    </row>
    <row r="3851" spans="1:5" x14ac:dyDescent="0.25">
      <c r="A3851" s="290"/>
      <c r="B3851" s="288"/>
      <c r="C3851" s="1061"/>
      <c r="D3851" s="291"/>
      <c r="E3851" s="1044"/>
    </row>
    <row r="3852" spans="1:5" x14ac:dyDescent="0.25">
      <c r="A3852" s="290"/>
      <c r="B3852" s="288"/>
      <c r="C3852" s="1061"/>
      <c r="D3852" s="291"/>
      <c r="E3852" s="1044"/>
    </row>
    <row r="3853" spans="1:5" x14ac:dyDescent="0.25">
      <c r="A3853" s="290"/>
      <c r="B3853" s="288"/>
      <c r="C3853" s="1061"/>
      <c r="D3853" s="291"/>
      <c r="E3853" s="1044"/>
    </row>
    <row r="3854" spans="1:5" x14ac:dyDescent="0.25">
      <c r="A3854" s="290"/>
      <c r="B3854" s="288"/>
      <c r="C3854" s="1061"/>
      <c r="D3854" s="291"/>
      <c r="E3854" s="1044"/>
    </row>
    <row r="3855" spans="1:5" x14ac:dyDescent="0.25">
      <c r="A3855" s="290"/>
      <c r="B3855" s="288"/>
      <c r="C3855" s="1061"/>
      <c r="D3855" s="291"/>
      <c r="E3855" s="1044"/>
    </row>
    <row r="3856" spans="1:5" x14ac:dyDescent="0.25">
      <c r="A3856" s="290"/>
      <c r="B3856" s="288"/>
      <c r="C3856" s="1061"/>
      <c r="D3856" s="291"/>
      <c r="E3856" s="1044"/>
    </row>
    <row r="3857" spans="1:5" x14ac:dyDescent="0.25">
      <c r="A3857" s="290"/>
      <c r="B3857" s="288"/>
      <c r="C3857" s="1061"/>
      <c r="D3857" s="291"/>
      <c r="E3857" s="1044"/>
    </row>
    <row r="3858" spans="1:5" x14ac:dyDescent="0.25">
      <c r="A3858" s="290"/>
      <c r="B3858" s="288"/>
      <c r="C3858" s="1061"/>
      <c r="D3858" s="291"/>
      <c r="E3858" s="1044"/>
    </row>
    <row r="3859" spans="1:5" x14ac:dyDescent="0.25">
      <c r="A3859" s="290"/>
      <c r="B3859" s="288"/>
      <c r="C3859" s="1061"/>
      <c r="D3859" s="291"/>
      <c r="E3859" s="1044"/>
    </row>
    <row r="3860" spans="1:5" x14ac:dyDescent="0.25">
      <c r="A3860" s="290"/>
      <c r="B3860" s="288"/>
      <c r="C3860" s="1061"/>
      <c r="D3860" s="291"/>
      <c r="E3860" s="1044"/>
    </row>
    <row r="3861" spans="1:5" x14ac:dyDescent="0.25">
      <c r="A3861" s="290"/>
      <c r="B3861" s="288"/>
      <c r="C3861" s="1061"/>
      <c r="D3861" s="291"/>
      <c r="E3861" s="1044"/>
    </row>
    <row r="3862" spans="1:5" x14ac:dyDescent="0.25">
      <c r="A3862" s="290"/>
      <c r="B3862" s="288"/>
      <c r="C3862" s="1061"/>
      <c r="D3862" s="291"/>
      <c r="E3862" s="1044"/>
    </row>
    <row r="3863" spans="1:5" x14ac:dyDescent="0.25">
      <c r="A3863" s="290"/>
      <c r="B3863" s="288"/>
      <c r="C3863" s="1061"/>
      <c r="D3863" s="291"/>
      <c r="E3863" s="1044"/>
    </row>
    <row r="3864" spans="1:5" x14ac:dyDescent="0.25">
      <c r="A3864" s="290"/>
      <c r="B3864" s="288"/>
      <c r="C3864" s="1061"/>
      <c r="D3864" s="291"/>
      <c r="E3864" s="1044"/>
    </row>
    <row r="3865" spans="1:5" x14ac:dyDescent="0.25">
      <c r="A3865" s="290"/>
      <c r="B3865" s="288"/>
      <c r="C3865" s="1061"/>
      <c r="D3865" s="291"/>
      <c r="E3865" s="1044"/>
    </row>
    <row r="3866" spans="1:5" x14ac:dyDescent="0.25">
      <c r="A3866" s="290"/>
      <c r="B3866" s="288"/>
      <c r="C3866" s="1061"/>
      <c r="D3866" s="291"/>
      <c r="E3866" s="1044"/>
    </row>
    <row r="3867" spans="1:5" x14ac:dyDescent="0.25">
      <c r="A3867" s="290"/>
      <c r="B3867" s="288"/>
      <c r="C3867" s="1061"/>
      <c r="D3867" s="291"/>
      <c r="E3867" s="1044"/>
    </row>
    <row r="3868" spans="1:5" x14ac:dyDescent="0.25">
      <c r="A3868" s="290"/>
      <c r="B3868" s="288"/>
      <c r="C3868" s="1061"/>
      <c r="D3868" s="291"/>
      <c r="E3868" s="1044"/>
    </row>
    <row r="3869" spans="1:5" x14ac:dyDescent="0.25">
      <c r="A3869" s="290"/>
      <c r="B3869" s="288"/>
      <c r="C3869" s="1061"/>
      <c r="D3869" s="291"/>
      <c r="E3869" s="1044"/>
    </row>
    <row r="3870" spans="1:5" x14ac:dyDescent="0.25">
      <c r="A3870" s="290"/>
      <c r="B3870" s="288"/>
      <c r="C3870" s="1061"/>
      <c r="D3870" s="291"/>
      <c r="E3870" s="1044"/>
    </row>
    <row r="3871" spans="1:5" x14ac:dyDescent="0.25">
      <c r="A3871" s="290"/>
      <c r="B3871" s="288"/>
      <c r="C3871" s="1061"/>
      <c r="D3871" s="291"/>
      <c r="E3871" s="1044"/>
    </row>
    <row r="3872" spans="1:5" x14ac:dyDescent="0.25">
      <c r="A3872" s="290"/>
      <c r="B3872" s="288"/>
      <c r="C3872" s="1061"/>
      <c r="D3872" s="291"/>
      <c r="E3872" s="1044"/>
    </row>
    <row r="3873" spans="1:5" x14ac:dyDescent="0.25">
      <c r="A3873" s="290"/>
      <c r="B3873" s="288"/>
      <c r="C3873" s="1061"/>
      <c r="D3873" s="291"/>
      <c r="E3873" s="1044"/>
    </row>
    <row r="3874" spans="1:5" x14ac:dyDescent="0.25">
      <c r="A3874" s="290"/>
      <c r="B3874" s="288"/>
      <c r="C3874" s="1061"/>
      <c r="D3874" s="291"/>
      <c r="E3874" s="1044"/>
    </row>
    <row r="3875" spans="1:5" x14ac:dyDescent="0.25">
      <c r="A3875" s="290"/>
      <c r="B3875" s="288"/>
      <c r="C3875" s="1061"/>
      <c r="D3875" s="291"/>
      <c r="E3875" s="1044"/>
    </row>
    <row r="3876" spans="1:5" x14ac:dyDescent="0.25">
      <c r="A3876" s="290"/>
      <c r="B3876" s="288"/>
      <c r="C3876" s="1061"/>
      <c r="D3876" s="291"/>
      <c r="E3876" s="1044"/>
    </row>
    <row r="3877" spans="1:5" x14ac:dyDescent="0.25">
      <c r="A3877" s="290"/>
      <c r="B3877" s="288"/>
      <c r="C3877" s="1061"/>
      <c r="D3877" s="291"/>
      <c r="E3877" s="1044"/>
    </row>
    <row r="3878" spans="1:5" x14ac:dyDescent="0.25">
      <c r="A3878" s="290"/>
      <c r="B3878" s="288"/>
      <c r="C3878" s="1061"/>
      <c r="D3878" s="291"/>
      <c r="E3878" s="1044"/>
    </row>
    <row r="3879" spans="1:5" x14ac:dyDescent="0.25">
      <c r="A3879" s="290"/>
      <c r="B3879" s="288"/>
      <c r="C3879" s="1061"/>
      <c r="D3879" s="291"/>
      <c r="E3879" s="1044"/>
    </row>
    <row r="3880" spans="1:5" x14ac:dyDescent="0.25">
      <c r="A3880" s="290"/>
      <c r="B3880" s="288"/>
      <c r="C3880" s="1061"/>
      <c r="D3880" s="291"/>
      <c r="E3880" s="1044"/>
    </row>
    <row r="3881" spans="1:5" x14ac:dyDescent="0.25">
      <c r="A3881" s="290"/>
      <c r="B3881" s="288"/>
      <c r="C3881" s="1061"/>
      <c r="D3881" s="291"/>
      <c r="E3881" s="1044"/>
    </row>
    <row r="3882" spans="1:5" x14ac:dyDescent="0.25">
      <c r="A3882" s="290"/>
      <c r="B3882" s="288"/>
      <c r="C3882" s="1061"/>
      <c r="D3882" s="291"/>
      <c r="E3882" s="1044"/>
    </row>
    <row r="3883" spans="1:5" x14ac:dyDescent="0.25">
      <c r="A3883" s="290"/>
      <c r="B3883" s="288"/>
      <c r="C3883" s="1061"/>
      <c r="D3883" s="291"/>
      <c r="E3883" s="1044"/>
    </row>
    <row r="3884" spans="1:5" x14ac:dyDescent="0.25">
      <c r="A3884" s="290"/>
      <c r="B3884" s="288"/>
      <c r="C3884" s="1061"/>
      <c r="D3884" s="291"/>
      <c r="E3884" s="1044"/>
    </row>
    <row r="3885" spans="1:5" x14ac:dyDescent="0.25">
      <c r="A3885" s="290"/>
      <c r="B3885" s="288"/>
      <c r="C3885" s="1061"/>
      <c r="D3885" s="291"/>
      <c r="E3885" s="1044"/>
    </row>
    <row r="3886" spans="1:5" x14ac:dyDescent="0.25">
      <c r="A3886" s="290"/>
      <c r="B3886" s="288"/>
      <c r="C3886" s="1061"/>
      <c r="D3886" s="291"/>
      <c r="E3886" s="1044"/>
    </row>
    <row r="3887" spans="1:5" x14ac:dyDescent="0.25">
      <c r="A3887" s="290"/>
      <c r="B3887" s="288"/>
      <c r="C3887" s="1061"/>
      <c r="D3887" s="291"/>
      <c r="E3887" s="1044"/>
    </row>
    <row r="3888" spans="1:5" x14ac:dyDescent="0.25">
      <c r="A3888" s="290"/>
      <c r="B3888" s="288"/>
      <c r="C3888" s="1061"/>
      <c r="D3888" s="291"/>
      <c r="E3888" s="1044"/>
    </row>
    <row r="3889" spans="1:5" x14ac:dyDescent="0.25">
      <c r="A3889" s="290"/>
      <c r="B3889" s="288"/>
      <c r="C3889" s="1061"/>
      <c r="D3889" s="291"/>
      <c r="E3889" s="1044"/>
    </row>
    <row r="3890" spans="1:5" x14ac:dyDescent="0.25">
      <c r="A3890" s="290"/>
      <c r="B3890" s="288"/>
      <c r="C3890" s="1061"/>
      <c r="D3890" s="291"/>
      <c r="E3890" s="1044"/>
    </row>
    <row r="3891" spans="1:5" x14ac:dyDescent="0.25">
      <c r="A3891" s="290"/>
      <c r="B3891" s="288"/>
      <c r="C3891" s="1061"/>
      <c r="D3891" s="291"/>
      <c r="E3891" s="1044"/>
    </row>
    <row r="3892" spans="1:5" x14ac:dyDescent="0.25">
      <c r="A3892" s="290"/>
      <c r="B3892" s="288"/>
      <c r="C3892" s="1061"/>
      <c r="D3892" s="291"/>
      <c r="E3892" s="1044"/>
    </row>
    <row r="3893" spans="1:5" x14ac:dyDescent="0.25">
      <c r="A3893" s="290"/>
      <c r="B3893" s="288"/>
      <c r="C3893" s="1061"/>
      <c r="D3893" s="291"/>
      <c r="E3893" s="1044"/>
    </row>
    <row r="3894" spans="1:5" x14ac:dyDescent="0.25">
      <c r="A3894" s="290"/>
      <c r="B3894" s="288"/>
      <c r="C3894" s="1061"/>
      <c r="D3894" s="291"/>
      <c r="E3894" s="1044"/>
    </row>
    <row r="3895" spans="1:5" x14ac:dyDescent="0.25">
      <c r="A3895" s="290"/>
      <c r="B3895" s="288"/>
      <c r="C3895" s="1061"/>
      <c r="D3895" s="291"/>
      <c r="E3895" s="1044"/>
    </row>
    <row r="3896" spans="1:5" x14ac:dyDescent="0.25">
      <c r="A3896" s="290"/>
      <c r="B3896" s="288"/>
      <c r="C3896" s="1061"/>
      <c r="D3896" s="291"/>
      <c r="E3896" s="1044"/>
    </row>
    <row r="3897" spans="1:5" x14ac:dyDescent="0.25">
      <c r="A3897" s="290"/>
      <c r="B3897" s="288"/>
      <c r="C3897" s="1061"/>
      <c r="D3897" s="291"/>
      <c r="E3897" s="1044"/>
    </row>
    <row r="3898" spans="1:5" x14ac:dyDescent="0.25">
      <c r="A3898" s="290"/>
      <c r="B3898" s="288"/>
      <c r="C3898" s="1061"/>
      <c r="D3898" s="291"/>
      <c r="E3898" s="1044"/>
    </row>
    <row r="3899" spans="1:5" x14ac:dyDescent="0.25">
      <c r="A3899" s="290"/>
      <c r="B3899" s="288"/>
      <c r="C3899" s="1061"/>
      <c r="D3899" s="291"/>
      <c r="E3899" s="1044"/>
    </row>
    <row r="3900" spans="1:5" x14ac:dyDescent="0.25">
      <c r="A3900" s="290"/>
      <c r="B3900" s="288"/>
      <c r="C3900" s="1061"/>
      <c r="D3900" s="291"/>
      <c r="E3900" s="1044"/>
    </row>
    <row r="3901" spans="1:5" x14ac:dyDescent="0.25">
      <c r="A3901" s="290"/>
      <c r="B3901" s="288"/>
      <c r="C3901" s="1061"/>
      <c r="D3901" s="291"/>
      <c r="E3901" s="1044"/>
    </row>
    <row r="3902" spans="1:5" x14ac:dyDescent="0.25">
      <c r="A3902" s="290"/>
      <c r="B3902" s="288"/>
      <c r="C3902" s="1061"/>
      <c r="D3902" s="291"/>
      <c r="E3902" s="1044"/>
    </row>
    <row r="3903" spans="1:5" x14ac:dyDescent="0.25">
      <c r="A3903" s="290"/>
      <c r="B3903" s="288"/>
      <c r="C3903" s="1061"/>
      <c r="D3903" s="291"/>
      <c r="E3903" s="1044"/>
    </row>
    <row r="3904" spans="1:5" x14ac:dyDescent="0.25">
      <c r="A3904" s="290"/>
      <c r="B3904" s="288"/>
      <c r="C3904" s="1061"/>
      <c r="D3904" s="291"/>
      <c r="E3904" s="1044"/>
    </row>
    <row r="3905" spans="1:5" x14ac:dyDescent="0.25">
      <c r="A3905" s="290"/>
      <c r="B3905" s="288"/>
      <c r="C3905" s="1061"/>
      <c r="D3905" s="291"/>
      <c r="E3905" s="1044"/>
    </row>
    <row r="3906" spans="1:5" x14ac:dyDescent="0.25">
      <c r="A3906" s="290"/>
      <c r="B3906" s="288"/>
      <c r="C3906" s="1061"/>
      <c r="D3906" s="291"/>
      <c r="E3906" s="1044"/>
    </row>
    <row r="3907" spans="1:5" x14ac:dyDescent="0.25">
      <c r="A3907" s="290"/>
      <c r="B3907" s="288"/>
      <c r="C3907" s="1061"/>
      <c r="D3907" s="291"/>
      <c r="E3907" s="1044"/>
    </row>
    <row r="3908" spans="1:5" x14ac:dyDescent="0.25">
      <c r="A3908" s="290"/>
      <c r="B3908" s="288"/>
      <c r="C3908" s="1061"/>
      <c r="D3908" s="291"/>
      <c r="E3908" s="1044"/>
    </row>
    <row r="3909" spans="1:5" x14ac:dyDescent="0.25">
      <c r="A3909" s="290"/>
      <c r="B3909" s="288"/>
      <c r="C3909" s="1061"/>
      <c r="D3909" s="291"/>
      <c r="E3909" s="1044"/>
    </row>
    <row r="3910" spans="1:5" x14ac:dyDescent="0.25">
      <c r="A3910" s="290"/>
      <c r="B3910" s="288"/>
      <c r="C3910" s="1061"/>
      <c r="D3910" s="291"/>
      <c r="E3910" s="1044"/>
    </row>
    <row r="3911" spans="1:5" x14ac:dyDescent="0.25">
      <c r="A3911" s="290"/>
      <c r="B3911" s="288"/>
      <c r="C3911" s="1061"/>
      <c r="D3911" s="291"/>
      <c r="E3911" s="1044"/>
    </row>
    <row r="3912" spans="1:5" x14ac:dyDescent="0.25">
      <c r="A3912" s="290"/>
      <c r="B3912" s="288"/>
      <c r="C3912" s="1061"/>
      <c r="D3912" s="291"/>
      <c r="E3912" s="1044"/>
    </row>
    <row r="3913" spans="1:5" x14ac:dyDescent="0.25">
      <c r="A3913" s="290"/>
      <c r="B3913" s="288"/>
      <c r="C3913" s="1061"/>
      <c r="D3913" s="291"/>
      <c r="E3913" s="1044"/>
    </row>
    <row r="3914" spans="1:5" x14ac:dyDescent="0.25">
      <c r="A3914" s="290"/>
      <c r="B3914" s="288"/>
      <c r="C3914" s="1061"/>
      <c r="D3914" s="291"/>
      <c r="E3914" s="1044"/>
    </row>
    <row r="3915" spans="1:5" x14ac:dyDescent="0.25">
      <c r="A3915" s="290"/>
      <c r="B3915" s="288"/>
      <c r="C3915" s="1061"/>
      <c r="D3915" s="291"/>
      <c r="E3915" s="1044"/>
    </row>
    <row r="3916" spans="1:5" x14ac:dyDescent="0.25">
      <c r="A3916" s="290"/>
      <c r="B3916" s="288"/>
      <c r="C3916" s="1061"/>
      <c r="D3916" s="291"/>
      <c r="E3916" s="1044"/>
    </row>
    <row r="3917" spans="1:5" x14ac:dyDescent="0.25">
      <c r="A3917" s="290"/>
      <c r="B3917" s="288"/>
      <c r="C3917" s="1061"/>
      <c r="D3917" s="291"/>
      <c r="E3917" s="1044"/>
    </row>
    <row r="3918" spans="1:5" x14ac:dyDescent="0.25">
      <c r="A3918" s="290"/>
      <c r="B3918" s="288"/>
      <c r="C3918" s="1061"/>
      <c r="D3918" s="291"/>
      <c r="E3918" s="1044"/>
    </row>
    <row r="3919" spans="1:5" x14ac:dyDescent="0.25">
      <c r="A3919" s="290"/>
      <c r="B3919" s="288"/>
      <c r="C3919" s="1061"/>
      <c r="D3919" s="291"/>
      <c r="E3919" s="1044"/>
    </row>
    <row r="3920" spans="1:5" x14ac:dyDescent="0.25">
      <c r="A3920" s="290"/>
      <c r="B3920" s="288"/>
      <c r="C3920" s="1061"/>
      <c r="D3920" s="291"/>
      <c r="E3920" s="1044"/>
    </row>
    <row r="3921" spans="1:5" x14ac:dyDescent="0.25">
      <c r="A3921" s="290"/>
      <c r="B3921" s="288"/>
      <c r="C3921" s="1061"/>
      <c r="D3921" s="291"/>
      <c r="E3921" s="1044"/>
    </row>
    <row r="3922" spans="1:5" x14ac:dyDescent="0.25">
      <c r="A3922" s="290"/>
      <c r="B3922" s="288"/>
      <c r="C3922" s="1061"/>
      <c r="D3922" s="291"/>
      <c r="E3922" s="1044"/>
    </row>
    <row r="3923" spans="1:5" x14ac:dyDescent="0.25">
      <c r="A3923" s="290"/>
      <c r="B3923" s="288"/>
      <c r="C3923" s="1061"/>
      <c r="D3923" s="291"/>
      <c r="E3923" s="1044"/>
    </row>
    <row r="3924" spans="1:5" x14ac:dyDescent="0.25">
      <c r="A3924" s="290"/>
      <c r="B3924" s="288"/>
      <c r="C3924" s="1061"/>
      <c r="D3924" s="291"/>
      <c r="E3924" s="1044"/>
    </row>
    <row r="3925" spans="1:5" x14ac:dyDescent="0.25">
      <c r="A3925" s="290"/>
      <c r="B3925" s="288"/>
      <c r="C3925" s="1061"/>
      <c r="D3925" s="291"/>
      <c r="E3925" s="1044"/>
    </row>
    <row r="3926" spans="1:5" x14ac:dyDescent="0.25">
      <c r="A3926" s="290"/>
      <c r="B3926" s="288"/>
      <c r="C3926" s="1061"/>
      <c r="D3926" s="291"/>
      <c r="E3926" s="1044"/>
    </row>
    <row r="3927" spans="1:5" x14ac:dyDescent="0.25">
      <c r="A3927" s="290"/>
      <c r="B3927" s="288"/>
      <c r="C3927" s="1061"/>
      <c r="D3927" s="291"/>
      <c r="E3927" s="1044"/>
    </row>
    <row r="3928" spans="1:5" x14ac:dyDescent="0.25">
      <c r="A3928" s="290"/>
      <c r="B3928" s="288"/>
      <c r="C3928" s="1061"/>
      <c r="D3928" s="291"/>
      <c r="E3928" s="1044"/>
    </row>
    <row r="3929" spans="1:5" x14ac:dyDescent="0.25">
      <c r="A3929" s="290"/>
      <c r="B3929" s="288"/>
      <c r="C3929" s="1061"/>
      <c r="D3929" s="291"/>
      <c r="E3929" s="1044"/>
    </row>
    <row r="3930" spans="1:5" x14ac:dyDescent="0.25">
      <c r="A3930" s="290"/>
      <c r="B3930" s="288"/>
      <c r="C3930" s="1061"/>
      <c r="D3930" s="291"/>
      <c r="E3930" s="1044"/>
    </row>
    <row r="3931" spans="1:5" x14ac:dyDescent="0.25">
      <c r="A3931" s="290"/>
      <c r="B3931" s="288"/>
      <c r="C3931" s="1061"/>
      <c r="D3931" s="291"/>
      <c r="E3931" s="1044"/>
    </row>
    <row r="3932" spans="1:5" x14ac:dyDescent="0.25">
      <c r="A3932" s="290"/>
      <c r="B3932" s="288"/>
      <c r="C3932" s="1061"/>
      <c r="D3932" s="291"/>
      <c r="E3932" s="1044"/>
    </row>
    <row r="3933" spans="1:5" x14ac:dyDescent="0.25">
      <c r="A3933" s="290"/>
      <c r="B3933" s="288"/>
      <c r="C3933" s="1061"/>
      <c r="D3933" s="291"/>
      <c r="E3933" s="1044"/>
    </row>
    <row r="3934" spans="1:5" x14ac:dyDescent="0.25">
      <c r="A3934" s="290"/>
      <c r="B3934" s="288"/>
      <c r="C3934" s="1061"/>
      <c r="D3934" s="291"/>
      <c r="E3934" s="1044"/>
    </row>
    <row r="3935" spans="1:5" x14ac:dyDescent="0.25">
      <c r="A3935" s="290"/>
      <c r="B3935" s="288"/>
      <c r="C3935" s="1061"/>
      <c r="D3935" s="291"/>
      <c r="E3935" s="1044"/>
    </row>
    <row r="3936" spans="1:5" x14ac:dyDescent="0.25">
      <c r="A3936" s="290"/>
      <c r="B3936" s="288"/>
      <c r="C3936" s="1061"/>
      <c r="D3936" s="291"/>
      <c r="E3936" s="1044"/>
    </row>
    <row r="3937" spans="1:5" x14ac:dyDescent="0.25">
      <c r="A3937" s="290"/>
      <c r="B3937" s="288"/>
      <c r="C3937" s="1061"/>
      <c r="D3937" s="291"/>
      <c r="E3937" s="1044"/>
    </row>
    <row r="3938" spans="1:5" x14ac:dyDescent="0.25">
      <c r="A3938" s="290"/>
      <c r="B3938" s="288"/>
      <c r="C3938" s="1061"/>
      <c r="D3938" s="291"/>
      <c r="E3938" s="1044"/>
    </row>
    <row r="3939" spans="1:5" x14ac:dyDescent="0.25">
      <c r="A3939" s="290"/>
      <c r="B3939" s="288"/>
      <c r="C3939" s="1061"/>
      <c r="D3939" s="291"/>
      <c r="E3939" s="1044"/>
    </row>
    <row r="3940" spans="1:5" x14ac:dyDescent="0.25">
      <c r="A3940" s="290"/>
      <c r="B3940" s="288"/>
      <c r="C3940" s="1061"/>
      <c r="D3940" s="291"/>
      <c r="E3940" s="1044"/>
    </row>
    <row r="3941" spans="1:5" x14ac:dyDescent="0.25">
      <c r="A3941" s="290"/>
      <c r="B3941" s="288"/>
      <c r="C3941" s="1061"/>
      <c r="D3941" s="291"/>
      <c r="E3941" s="1044"/>
    </row>
    <row r="3942" spans="1:5" x14ac:dyDescent="0.25">
      <c r="A3942" s="290"/>
      <c r="B3942" s="288"/>
      <c r="C3942" s="1061"/>
      <c r="D3942" s="291"/>
      <c r="E3942" s="1044"/>
    </row>
    <row r="3943" spans="1:5" x14ac:dyDescent="0.25">
      <c r="A3943" s="290"/>
      <c r="B3943" s="288"/>
      <c r="C3943" s="1061"/>
      <c r="D3943" s="291"/>
      <c r="E3943" s="1044"/>
    </row>
    <row r="3944" spans="1:5" x14ac:dyDescent="0.25">
      <c r="A3944" s="290"/>
      <c r="B3944" s="288"/>
      <c r="C3944" s="1061"/>
      <c r="D3944" s="291"/>
      <c r="E3944" s="1044"/>
    </row>
    <row r="3945" spans="1:5" x14ac:dyDescent="0.25">
      <c r="A3945" s="290"/>
      <c r="B3945" s="288"/>
      <c r="C3945" s="1061"/>
      <c r="D3945" s="291"/>
      <c r="E3945" s="1044"/>
    </row>
    <row r="3946" spans="1:5" x14ac:dyDescent="0.25">
      <c r="A3946" s="290"/>
      <c r="B3946" s="288"/>
      <c r="C3946" s="1061"/>
      <c r="D3946" s="291"/>
      <c r="E3946" s="1044"/>
    </row>
    <row r="3947" spans="1:5" x14ac:dyDescent="0.25">
      <c r="A3947" s="290"/>
      <c r="B3947" s="288"/>
      <c r="C3947" s="1061"/>
      <c r="D3947" s="291"/>
      <c r="E3947" s="1044"/>
    </row>
    <row r="3948" spans="1:5" x14ac:dyDescent="0.25">
      <c r="A3948" s="290"/>
      <c r="B3948" s="288"/>
      <c r="C3948" s="1061"/>
      <c r="D3948" s="291"/>
      <c r="E3948" s="1044"/>
    </row>
    <row r="3949" spans="1:5" x14ac:dyDescent="0.25">
      <c r="A3949" s="290"/>
      <c r="B3949" s="288"/>
      <c r="C3949" s="1061"/>
      <c r="D3949" s="291"/>
      <c r="E3949" s="1044"/>
    </row>
    <row r="3950" spans="1:5" x14ac:dyDescent="0.25">
      <c r="A3950" s="290"/>
      <c r="B3950" s="288"/>
      <c r="C3950" s="1061"/>
      <c r="D3950" s="291"/>
      <c r="E3950" s="1044"/>
    </row>
    <row r="3951" spans="1:5" x14ac:dyDescent="0.25">
      <c r="A3951" s="290"/>
      <c r="B3951" s="288"/>
      <c r="C3951" s="1061"/>
      <c r="D3951" s="291"/>
      <c r="E3951" s="1044"/>
    </row>
    <row r="3952" spans="1:5" x14ac:dyDescent="0.25">
      <c r="A3952" s="290"/>
      <c r="B3952" s="288"/>
      <c r="C3952" s="1061"/>
      <c r="D3952" s="291"/>
      <c r="E3952" s="1044"/>
    </row>
    <row r="3953" spans="1:5" x14ac:dyDescent="0.25">
      <c r="A3953" s="290"/>
      <c r="B3953" s="288"/>
      <c r="C3953" s="1061"/>
      <c r="D3953" s="291"/>
      <c r="E3953" s="1044"/>
    </row>
    <row r="3954" spans="1:5" x14ac:dyDescent="0.25">
      <c r="A3954" s="290"/>
      <c r="B3954" s="288"/>
      <c r="C3954" s="1061"/>
      <c r="D3954" s="291"/>
      <c r="E3954" s="1044"/>
    </row>
    <row r="3955" spans="1:5" x14ac:dyDescent="0.25">
      <c r="A3955" s="290"/>
      <c r="B3955" s="288"/>
      <c r="C3955" s="1061"/>
      <c r="D3955" s="291"/>
      <c r="E3955" s="1044"/>
    </row>
    <row r="3956" spans="1:5" x14ac:dyDescent="0.25">
      <c r="A3956" s="290"/>
      <c r="B3956" s="288"/>
      <c r="C3956" s="1061"/>
      <c r="D3956" s="291"/>
      <c r="E3956" s="1044"/>
    </row>
    <row r="3957" spans="1:5" x14ac:dyDescent="0.25">
      <c r="A3957" s="290"/>
      <c r="B3957" s="288"/>
      <c r="C3957" s="1061"/>
      <c r="D3957" s="291"/>
      <c r="E3957" s="1044"/>
    </row>
    <row r="3958" spans="1:5" x14ac:dyDescent="0.25">
      <c r="A3958" s="290"/>
      <c r="B3958" s="288"/>
      <c r="C3958" s="1061"/>
      <c r="D3958" s="291"/>
      <c r="E3958" s="1044"/>
    </row>
    <row r="3959" spans="1:5" x14ac:dyDescent="0.25">
      <c r="A3959" s="290"/>
      <c r="B3959" s="288"/>
      <c r="C3959" s="1061"/>
      <c r="D3959" s="291"/>
      <c r="E3959" s="1044"/>
    </row>
    <row r="3960" spans="1:5" x14ac:dyDescent="0.25">
      <c r="A3960" s="290"/>
      <c r="B3960" s="288"/>
      <c r="C3960" s="1061"/>
      <c r="D3960" s="291"/>
      <c r="E3960" s="1044"/>
    </row>
    <row r="3961" spans="1:5" x14ac:dyDescent="0.25">
      <c r="A3961" s="290"/>
      <c r="B3961" s="288"/>
      <c r="C3961" s="1061"/>
      <c r="D3961" s="291"/>
      <c r="E3961" s="1044"/>
    </row>
    <row r="3962" spans="1:5" x14ac:dyDescent="0.25">
      <c r="A3962" s="290"/>
      <c r="B3962" s="288"/>
      <c r="C3962" s="1061"/>
      <c r="D3962" s="291"/>
      <c r="E3962" s="1044"/>
    </row>
    <row r="3963" spans="1:5" x14ac:dyDescent="0.25">
      <c r="A3963" s="290"/>
      <c r="B3963" s="288"/>
      <c r="C3963" s="1061"/>
      <c r="D3963" s="291"/>
      <c r="E3963" s="1044"/>
    </row>
    <row r="3964" spans="1:5" x14ac:dyDescent="0.25">
      <c r="A3964" s="290"/>
      <c r="B3964" s="288"/>
      <c r="C3964" s="1061"/>
      <c r="D3964" s="291"/>
      <c r="E3964" s="1044"/>
    </row>
    <row r="3965" spans="1:5" x14ac:dyDescent="0.25">
      <c r="A3965" s="290"/>
      <c r="B3965" s="288"/>
      <c r="C3965" s="1061"/>
      <c r="D3965" s="291"/>
      <c r="E3965" s="1044"/>
    </row>
    <row r="3966" spans="1:5" x14ac:dyDescent="0.25">
      <c r="A3966" s="290"/>
      <c r="B3966" s="288"/>
      <c r="C3966" s="1061"/>
      <c r="D3966" s="291"/>
      <c r="E3966" s="1044"/>
    </row>
    <row r="3967" spans="1:5" x14ac:dyDescent="0.25">
      <c r="A3967" s="290"/>
      <c r="B3967" s="288"/>
      <c r="C3967" s="1061"/>
      <c r="D3967" s="291"/>
      <c r="E3967" s="1044"/>
    </row>
    <row r="3968" spans="1:5" x14ac:dyDescent="0.25">
      <c r="A3968" s="290"/>
      <c r="B3968" s="288"/>
      <c r="C3968" s="1061"/>
      <c r="D3968" s="291"/>
      <c r="E3968" s="1044"/>
    </row>
    <row r="3969" spans="1:5" x14ac:dyDescent="0.25">
      <c r="A3969" s="290"/>
      <c r="B3969" s="288"/>
      <c r="C3969" s="1061"/>
      <c r="D3969" s="291"/>
      <c r="E3969" s="1044"/>
    </row>
    <row r="3970" spans="1:5" x14ac:dyDescent="0.25">
      <c r="A3970" s="290"/>
      <c r="B3970" s="288"/>
      <c r="C3970" s="1061"/>
      <c r="D3970" s="291"/>
      <c r="E3970" s="1044"/>
    </row>
    <row r="3971" spans="1:5" x14ac:dyDescent="0.25">
      <c r="A3971" s="290"/>
      <c r="B3971" s="288"/>
      <c r="C3971" s="1061"/>
      <c r="D3971" s="291"/>
      <c r="E3971" s="1044"/>
    </row>
    <row r="3972" spans="1:5" x14ac:dyDescent="0.25">
      <c r="A3972" s="290"/>
      <c r="B3972" s="288"/>
      <c r="C3972" s="1061"/>
      <c r="D3972" s="291"/>
      <c r="E3972" s="1044"/>
    </row>
    <row r="3973" spans="1:5" x14ac:dyDescent="0.25">
      <c r="A3973" s="290"/>
      <c r="B3973" s="288"/>
      <c r="C3973" s="1061"/>
      <c r="D3973" s="291"/>
      <c r="E3973" s="1044"/>
    </row>
    <row r="3974" spans="1:5" x14ac:dyDescent="0.25">
      <c r="A3974" s="290"/>
      <c r="B3974" s="288"/>
      <c r="C3974" s="1061"/>
      <c r="D3974" s="291"/>
      <c r="E3974" s="1044"/>
    </row>
    <row r="3975" spans="1:5" x14ac:dyDescent="0.25">
      <c r="A3975" s="290"/>
      <c r="B3975" s="288"/>
      <c r="C3975" s="1061"/>
      <c r="D3975" s="291"/>
      <c r="E3975" s="1044"/>
    </row>
    <row r="3976" spans="1:5" x14ac:dyDescent="0.25">
      <c r="A3976" s="290"/>
      <c r="B3976" s="288"/>
      <c r="C3976" s="1061"/>
      <c r="D3976" s="291"/>
      <c r="E3976" s="1044"/>
    </row>
    <row r="3977" spans="1:5" x14ac:dyDescent="0.25">
      <c r="A3977" s="290"/>
      <c r="B3977" s="288"/>
      <c r="C3977" s="1061"/>
      <c r="D3977" s="291"/>
      <c r="E3977" s="1044"/>
    </row>
    <row r="3978" spans="1:5" x14ac:dyDescent="0.25">
      <c r="A3978" s="290"/>
      <c r="B3978" s="288"/>
      <c r="C3978" s="1061"/>
      <c r="D3978" s="291"/>
      <c r="E3978" s="1044"/>
    </row>
    <row r="3979" spans="1:5" x14ac:dyDescent="0.25">
      <c r="A3979" s="290"/>
      <c r="B3979" s="288"/>
      <c r="C3979" s="1061"/>
      <c r="D3979" s="291"/>
      <c r="E3979" s="1044"/>
    </row>
    <row r="3980" spans="1:5" x14ac:dyDescent="0.25">
      <c r="A3980" s="290"/>
      <c r="B3980" s="288"/>
      <c r="C3980" s="1061"/>
      <c r="D3980" s="291"/>
      <c r="E3980" s="1044"/>
    </row>
    <row r="3981" spans="1:5" x14ac:dyDescent="0.25">
      <c r="A3981" s="290"/>
      <c r="B3981" s="288"/>
      <c r="C3981" s="1061"/>
      <c r="D3981" s="291"/>
      <c r="E3981" s="1044"/>
    </row>
    <row r="3982" spans="1:5" x14ac:dyDescent="0.25">
      <c r="A3982" s="290"/>
      <c r="B3982" s="288"/>
      <c r="C3982" s="1061"/>
      <c r="D3982" s="291"/>
      <c r="E3982" s="1044"/>
    </row>
    <row r="3983" spans="1:5" x14ac:dyDescent="0.25">
      <c r="A3983" s="290"/>
      <c r="B3983" s="288"/>
      <c r="C3983" s="1061"/>
      <c r="D3983" s="291"/>
      <c r="E3983" s="1044"/>
    </row>
    <row r="3984" spans="1:5" x14ac:dyDescent="0.25">
      <c r="A3984" s="290"/>
      <c r="B3984" s="288"/>
      <c r="C3984" s="1061"/>
      <c r="D3984" s="291"/>
      <c r="E3984" s="1044"/>
    </row>
    <row r="3985" spans="1:5" x14ac:dyDescent="0.25">
      <c r="A3985" s="290"/>
      <c r="B3985" s="288"/>
      <c r="C3985" s="1061"/>
      <c r="D3985" s="291"/>
      <c r="E3985" s="1044"/>
    </row>
    <row r="3986" spans="1:5" x14ac:dyDescent="0.25">
      <c r="A3986" s="290"/>
      <c r="B3986" s="288"/>
      <c r="C3986" s="1061"/>
      <c r="D3986" s="291"/>
      <c r="E3986" s="1044"/>
    </row>
    <row r="3987" spans="1:5" x14ac:dyDescent="0.25">
      <c r="A3987" s="290"/>
      <c r="B3987" s="288"/>
      <c r="C3987" s="1061"/>
      <c r="D3987" s="291"/>
      <c r="E3987" s="1044"/>
    </row>
    <row r="3988" spans="1:5" x14ac:dyDescent="0.25">
      <c r="A3988" s="290"/>
      <c r="B3988" s="288"/>
      <c r="C3988" s="1061"/>
      <c r="D3988" s="291"/>
      <c r="E3988" s="1044"/>
    </row>
    <row r="3989" spans="1:5" x14ac:dyDescent="0.25">
      <c r="A3989" s="290"/>
      <c r="B3989" s="288"/>
      <c r="C3989" s="1061"/>
      <c r="D3989" s="291"/>
      <c r="E3989" s="1044"/>
    </row>
    <row r="3990" spans="1:5" x14ac:dyDescent="0.25">
      <c r="A3990" s="290"/>
      <c r="B3990" s="288"/>
      <c r="C3990" s="1061"/>
      <c r="D3990" s="291"/>
      <c r="E3990" s="1044"/>
    </row>
    <row r="3991" spans="1:5" x14ac:dyDescent="0.25">
      <c r="A3991" s="290"/>
      <c r="B3991" s="288"/>
      <c r="C3991" s="1061"/>
      <c r="D3991" s="291"/>
      <c r="E3991" s="1044"/>
    </row>
    <row r="3992" spans="1:5" x14ac:dyDescent="0.25">
      <c r="A3992" s="290"/>
      <c r="B3992" s="288"/>
      <c r="C3992" s="1061"/>
      <c r="D3992" s="291"/>
      <c r="E3992" s="1044"/>
    </row>
    <row r="3993" spans="1:5" x14ac:dyDescent="0.25">
      <c r="A3993" s="290"/>
      <c r="B3993" s="288"/>
      <c r="C3993" s="1061"/>
      <c r="D3993" s="291"/>
      <c r="E3993" s="1044"/>
    </row>
    <row r="3994" spans="1:5" x14ac:dyDescent="0.25">
      <c r="A3994" s="290"/>
      <c r="B3994" s="288"/>
      <c r="C3994" s="1061"/>
      <c r="D3994" s="291"/>
      <c r="E3994" s="1044"/>
    </row>
    <row r="3995" spans="1:5" x14ac:dyDescent="0.25">
      <c r="A3995" s="290"/>
      <c r="B3995" s="288"/>
      <c r="C3995" s="1061"/>
      <c r="D3995" s="291"/>
      <c r="E3995" s="1044"/>
    </row>
    <row r="3996" spans="1:5" x14ac:dyDescent="0.25">
      <c r="A3996" s="290"/>
      <c r="B3996" s="288"/>
      <c r="C3996" s="1061"/>
      <c r="D3996" s="291"/>
      <c r="E3996" s="1044"/>
    </row>
    <row r="3997" spans="1:5" x14ac:dyDescent="0.25">
      <c r="A3997" s="290"/>
      <c r="B3997" s="288"/>
      <c r="C3997" s="1061"/>
      <c r="D3997" s="291"/>
      <c r="E3997" s="1044"/>
    </row>
    <row r="3998" spans="1:5" x14ac:dyDescent="0.25">
      <c r="A3998" s="290"/>
      <c r="B3998" s="288"/>
      <c r="C3998" s="1061"/>
      <c r="D3998" s="291"/>
      <c r="E3998" s="1044"/>
    </row>
    <row r="3999" spans="1:5" x14ac:dyDescent="0.25">
      <c r="A3999" s="290"/>
      <c r="B3999" s="288"/>
      <c r="C3999" s="1061"/>
      <c r="D3999" s="291"/>
      <c r="E3999" s="1044"/>
    </row>
    <row r="4000" spans="1:5" x14ac:dyDescent="0.25">
      <c r="A4000" s="290"/>
      <c r="B4000" s="288"/>
      <c r="C4000" s="1061"/>
      <c r="D4000" s="291"/>
      <c r="E4000" s="1044"/>
    </row>
    <row r="4001" spans="1:5" x14ac:dyDescent="0.25">
      <c r="A4001" s="290"/>
      <c r="B4001" s="288"/>
      <c r="C4001" s="1061"/>
      <c r="D4001" s="291"/>
      <c r="E4001" s="1044"/>
    </row>
    <row r="4002" spans="1:5" x14ac:dyDescent="0.25">
      <c r="A4002" s="290"/>
      <c r="B4002" s="288"/>
      <c r="C4002" s="1061"/>
      <c r="D4002" s="291"/>
      <c r="E4002" s="1044"/>
    </row>
    <row r="4003" spans="1:5" x14ac:dyDescent="0.25">
      <c r="A4003" s="290"/>
      <c r="B4003" s="288"/>
      <c r="C4003" s="1061"/>
      <c r="D4003" s="291"/>
      <c r="E4003" s="1044"/>
    </row>
    <row r="4004" spans="1:5" x14ac:dyDescent="0.25">
      <c r="A4004" s="290"/>
      <c r="B4004" s="288"/>
      <c r="C4004" s="1061"/>
      <c r="D4004" s="291"/>
      <c r="E4004" s="1044"/>
    </row>
    <row r="4005" spans="1:5" x14ac:dyDescent="0.25">
      <c r="A4005" s="290"/>
      <c r="B4005" s="288"/>
      <c r="C4005" s="1061"/>
      <c r="D4005" s="291"/>
      <c r="E4005" s="1044"/>
    </row>
    <row r="4006" spans="1:5" x14ac:dyDescent="0.25">
      <c r="A4006" s="290"/>
      <c r="B4006" s="288"/>
      <c r="C4006" s="1061"/>
      <c r="D4006" s="291"/>
      <c r="E4006" s="1044"/>
    </row>
    <row r="4007" spans="1:5" x14ac:dyDescent="0.25">
      <c r="A4007" s="290"/>
      <c r="B4007" s="288"/>
      <c r="C4007" s="1061"/>
      <c r="D4007" s="291"/>
      <c r="E4007" s="1044"/>
    </row>
    <row r="4008" spans="1:5" x14ac:dyDescent="0.25">
      <c r="A4008" s="290"/>
      <c r="B4008" s="288"/>
      <c r="C4008" s="1061"/>
      <c r="D4008" s="291"/>
      <c r="E4008" s="1044"/>
    </row>
    <row r="4009" spans="1:5" x14ac:dyDescent="0.25">
      <c r="A4009" s="290"/>
      <c r="B4009" s="288"/>
      <c r="C4009" s="1061"/>
      <c r="D4009" s="291"/>
      <c r="E4009" s="1044"/>
    </row>
    <row r="4010" spans="1:5" x14ac:dyDescent="0.25">
      <c r="A4010" s="290"/>
      <c r="B4010" s="288"/>
      <c r="C4010" s="1061"/>
      <c r="D4010" s="291"/>
      <c r="E4010" s="1044"/>
    </row>
    <row r="4011" spans="1:5" x14ac:dyDescent="0.25">
      <c r="A4011" s="290"/>
      <c r="B4011" s="288"/>
      <c r="C4011" s="1061"/>
      <c r="D4011" s="291"/>
      <c r="E4011" s="1044"/>
    </row>
    <row r="4012" spans="1:5" x14ac:dyDescent="0.25">
      <c r="A4012" s="290"/>
      <c r="B4012" s="288"/>
      <c r="C4012" s="1061"/>
      <c r="D4012" s="291"/>
      <c r="E4012" s="1044"/>
    </row>
    <row r="4013" spans="1:5" x14ac:dyDescent="0.25">
      <c r="A4013" s="290"/>
      <c r="B4013" s="288"/>
      <c r="C4013" s="1061"/>
      <c r="D4013" s="291"/>
      <c r="E4013" s="1044"/>
    </row>
    <row r="4014" spans="1:5" x14ac:dyDescent="0.25">
      <c r="A4014" s="290"/>
      <c r="B4014" s="288"/>
      <c r="C4014" s="1061"/>
      <c r="D4014" s="291"/>
      <c r="E4014" s="1044"/>
    </row>
    <row r="4015" spans="1:5" x14ac:dyDescent="0.25">
      <c r="A4015" s="290"/>
      <c r="B4015" s="288"/>
      <c r="C4015" s="1061"/>
      <c r="D4015" s="291"/>
      <c r="E4015" s="1044"/>
    </row>
    <row r="4016" spans="1:5" x14ac:dyDescent="0.25">
      <c r="A4016" s="290"/>
      <c r="B4016" s="288"/>
      <c r="C4016" s="1061"/>
      <c r="D4016" s="291"/>
      <c r="E4016" s="1044"/>
    </row>
    <row r="4017" spans="1:5" x14ac:dyDescent="0.25">
      <c r="A4017" s="290"/>
      <c r="B4017" s="288"/>
      <c r="C4017" s="1061"/>
      <c r="D4017" s="291"/>
      <c r="E4017" s="1044"/>
    </row>
    <row r="4018" spans="1:5" x14ac:dyDescent="0.25">
      <c r="A4018" s="290"/>
      <c r="B4018" s="288"/>
      <c r="C4018" s="1061"/>
      <c r="D4018" s="291"/>
      <c r="E4018" s="1044"/>
    </row>
    <row r="4019" spans="1:5" x14ac:dyDescent="0.25">
      <c r="A4019" s="290"/>
      <c r="B4019" s="288"/>
      <c r="C4019" s="1061"/>
      <c r="D4019" s="291"/>
      <c r="E4019" s="1044"/>
    </row>
    <row r="4020" spans="1:5" x14ac:dyDescent="0.25">
      <c r="A4020" s="290"/>
      <c r="B4020" s="288"/>
      <c r="C4020" s="1061"/>
      <c r="D4020" s="291"/>
      <c r="E4020" s="1044"/>
    </row>
    <row r="4021" spans="1:5" x14ac:dyDescent="0.25">
      <c r="A4021" s="290"/>
      <c r="B4021" s="288"/>
      <c r="C4021" s="1061"/>
      <c r="D4021" s="291"/>
      <c r="E4021" s="1044"/>
    </row>
    <row r="4022" spans="1:5" x14ac:dyDescent="0.25">
      <c r="A4022" s="290"/>
      <c r="B4022" s="288"/>
      <c r="C4022" s="1061"/>
      <c r="D4022" s="291"/>
      <c r="E4022" s="1044"/>
    </row>
    <row r="4023" spans="1:5" x14ac:dyDescent="0.25">
      <c r="A4023" s="290"/>
      <c r="B4023" s="288"/>
      <c r="C4023" s="1061"/>
      <c r="D4023" s="291"/>
      <c r="E4023" s="1044"/>
    </row>
    <row r="4024" spans="1:5" x14ac:dyDescent="0.25">
      <c r="A4024" s="290"/>
      <c r="B4024" s="288"/>
      <c r="C4024" s="1061"/>
      <c r="D4024" s="291"/>
      <c r="E4024" s="1044"/>
    </row>
    <row r="4025" spans="1:5" x14ac:dyDescent="0.25">
      <c r="A4025" s="290"/>
      <c r="B4025" s="288"/>
      <c r="C4025" s="1061"/>
      <c r="D4025" s="291"/>
      <c r="E4025" s="1044"/>
    </row>
    <row r="4026" spans="1:5" x14ac:dyDescent="0.25">
      <c r="A4026" s="290"/>
      <c r="B4026" s="288"/>
      <c r="C4026" s="1061"/>
      <c r="D4026" s="291"/>
      <c r="E4026" s="1044"/>
    </row>
    <row r="4027" spans="1:5" x14ac:dyDescent="0.25">
      <c r="A4027" s="290"/>
      <c r="B4027" s="288"/>
      <c r="C4027" s="1061"/>
      <c r="D4027" s="291"/>
      <c r="E4027" s="1044"/>
    </row>
    <row r="4028" spans="1:5" x14ac:dyDescent="0.25">
      <c r="A4028" s="290"/>
      <c r="B4028" s="288"/>
      <c r="C4028" s="1061"/>
      <c r="D4028" s="291"/>
      <c r="E4028" s="1044"/>
    </row>
    <row r="4029" spans="1:5" x14ac:dyDescent="0.25">
      <c r="A4029" s="290"/>
      <c r="B4029" s="288"/>
      <c r="C4029" s="1061"/>
      <c r="D4029" s="291"/>
      <c r="E4029" s="1044"/>
    </row>
    <row r="4030" spans="1:5" x14ac:dyDescent="0.25">
      <c r="A4030" s="290"/>
      <c r="B4030" s="288"/>
      <c r="C4030" s="1061"/>
      <c r="D4030" s="291"/>
      <c r="E4030" s="1044"/>
    </row>
    <row r="4031" spans="1:5" x14ac:dyDescent="0.25">
      <c r="A4031" s="290"/>
      <c r="B4031" s="288"/>
      <c r="C4031" s="1061"/>
      <c r="D4031" s="291"/>
      <c r="E4031" s="1044"/>
    </row>
    <row r="4032" spans="1:5" x14ac:dyDescent="0.25">
      <c r="A4032" s="290"/>
      <c r="B4032" s="288"/>
      <c r="C4032" s="1061"/>
      <c r="D4032" s="291"/>
      <c r="E4032" s="1044"/>
    </row>
    <row r="4033" spans="1:5" x14ac:dyDescent="0.25">
      <c r="A4033" s="290"/>
      <c r="B4033" s="288"/>
      <c r="C4033" s="1061"/>
      <c r="D4033" s="291"/>
      <c r="E4033" s="1044"/>
    </row>
    <row r="4034" spans="1:5" x14ac:dyDescent="0.25">
      <c r="A4034" s="290"/>
      <c r="B4034" s="288"/>
      <c r="C4034" s="1061"/>
      <c r="D4034" s="291"/>
      <c r="E4034" s="1044"/>
    </row>
    <row r="4035" spans="1:5" x14ac:dyDescent="0.25">
      <c r="A4035" s="290"/>
      <c r="B4035" s="288"/>
      <c r="C4035" s="1061"/>
      <c r="D4035" s="291"/>
      <c r="E4035" s="1044"/>
    </row>
    <row r="4036" spans="1:5" x14ac:dyDescent="0.25">
      <c r="A4036" s="290"/>
      <c r="B4036" s="288"/>
      <c r="C4036" s="1061"/>
      <c r="D4036" s="291"/>
      <c r="E4036" s="1044"/>
    </row>
    <row r="4037" spans="1:5" x14ac:dyDescent="0.25">
      <c r="A4037" s="290"/>
      <c r="B4037" s="288"/>
      <c r="C4037" s="1061"/>
      <c r="D4037" s="291"/>
      <c r="E4037" s="1044"/>
    </row>
    <row r="4038" spans="1:5" x14ac:dyDescent="0.25">
      <c r="A4038" s="290"/>
      <c r="B4038" s="288"/>
      <c r="C4038" s="1061"/>
      <c r="D4038" s="291"/>
      <c r="E4038" s="1044"/>
    </row>
    <row r="4039" spans="1:5" x14ac:dyDescent="0.25">
      <c r="A4039" s="290"/>
      <c r="B4039" s="288"/>
      <c r="C4039" s="1061"/>
      <c r="D4039" s="291"/>
      <c r="E4039" s="1044"/>
    </row>
    <row r="4040" spans="1:5" x14ac:dyDescent="0.25">
      <c r="A4040" s="290"/>
      <c r="B4040" s="288"/>
      <c r="C4040" s="1061"/>
      <c r="D4040" s="291"/>
      <c r="E4040" s="1044"/>
    </row>
    <row r="4041" spans="1:5" x14ac:dyDescent="0.25">
      <c r="A4041" s="290"/>
      <c r="B4041" s="288"/>
      <c r="C4041" s="1061"/>
      <c r="D4041" s="291"/>
      <c r="E4041" s="1044"/>
    </row>
    <row r="4042" spans="1:5" x14ac:dyDescent="0.25">
      <c r="A4042" s="290"/>
      <c r="B4042" s="288"/>
      <c r="C4042" s="1061"/>
      <c r="D4042" s="291"/>
      <c r="E4042" s="1044"/>
    </row>
    <row r="4043" spans="1:5" x14ac:dyDescent="0.25">
      <c r="A4043" s="290"/>
      <c r="B4043" s="288"/>
      <c r="C4043" s="1061"/>
      <c r="D4043" s="291"/>
      <c r="E4043" s="1044"/>
    </row>
    <row r="4044" spans="1:5" x14ac:dyDescent="0.25">
      <c r="A4044" s="290"/>
      <c r="B4044" s="288"/>
      <c r="C4044" s="1061"/>
      <c r="D4044" s="291"/>
      <c r="E4044" s="1044"/>
    </row>
    <row r="4045" spans="1:5" x14ac:dyDescent="0.25">
      <c r="A4045" s="290"/>
      <c r="B4045" s="288"/>
      <c r="C4045" s="1061"/>
      <c r="D4045" s="291"/>
      <c r="E4045" s="1044"/>
    </row>
    <row r="4046" spans="1:5" x14ac:dyDescent="0.25">
      <c r="A4046" s="290"/>
      <c r="B4046" s="288"/>
      <c r="C4046" s="1061"/>
      <c r="D4046" s="291"/>
      <c r="E4046" s="1044"/>
    </row>
    <row r="4047" spans="1:5" x14ac:dyDescent="0.25">
      <c r="A4047" s="290"/>
      <c r="B4047" s="288"/>
      <c r="C4047" s="1061"/>
      <c r="D4047" s="291"/>
      <c r="E4047" s="1044"/>
    </row>
    <row r="4048" spans="1:5" x14ac:dyDescent="0.25">
      <c r="A4048" s="290"/>
      <c r="B4048" s="288"/>
      <c r="C4048" s="1061"/>
      <c r="D4048" s="291"/>
      <c r="E4048" s="1044"/>
    </row>
    <row r="4049" spans="1:5" x14ac:dyDescent="0.25">
      <c r="A4049" s="290"/>
      <c r="B4049" s="288"/>
      <c r="C4049" s="1061"/>
      <c r="D4049" s="291"/>
      <c r="E4049" s="1044"/>
    </row>
    <row r="4050" spans="1:5" x14ac:dyDescent="0.25">
      <c r="A4050" s="290"/>
      <c r="B4050" s="288"/>
      <c r="C4050" s="1061"/>
      <c r="D4050" s="291"/>
      <c r="E4050" s="1044"/>
    </row>
    <row r="4051" spans="1:5" x14ac:dyDescent="0.25">
      <c r="A4051" s="290"/>
      <c r="B4051" s="288"/>
      <c r="C4051" s="1061"/>
      <c r="D4051" s="291"/>
      <c r="E4051" s="1044"/>
    </row>
    <row r="4052" spans="1:5" x14ac:dyDescent="0.25">
      <c r="A4052" s="290"/>
      <c r="B4052" s="288"/>
      <c r="C4052" s="1061"/>
      <c r="D4052" s="291"/>
      <c r="E4052" s="1044"/>
    </row>
    <row r="4053" spans="1:5" x14ac:dyDescent="0.25">
      <c r="A4053" s="290"/>
      <c r="B4053" s="288"/>
      <c r="C4053" s="1061"/>
      <c r="D4053" s="291"/>
      <c r="E4053" s="1044"/>
    </row>
    <row r="4054" spans="1:5" x14ac:dyDescent="0.25">
      <c r="A4054" s="290"/>
      <c r="B4054" s="288"/>
      <c r="C4054" s="1061"/>
      <c r="D4054" s="291"/>
      <c r="E4054" s="1044"/>
    </row>
    <row r="4055" spans="1:5" x14ac:dyDescent="0.25">
      <c r="A4055" s="290"/>
      <c r="B4055" s="288"/>
      <c r="C4055" s="1061"/>
      <c r="D4055" s="291"/>
      <c r="E4055" s="1044"/>
    </row>
    <row r="4056" spans="1:5" x14ac:dyDescent="0.25">
      <c r="A4056" s="290"/>
      <c r="B4056" s="288"/>
      <c r="C4056" s="1061"/>
      <c r="D4056" s="291"/>
      <c r="E4056" s="1044"/>
    </row>
    <row r="4057" spans="1:5" x14ac:dyDescent="0.25">
      <c r="A4057" s="290"/>
      <c r="B4057" s="288"/>
      <c r="C4057" s="1061"/>
      <c r="D4057" s="291"/>
      <c r="E4057" s="1044"/>
    </row>
    <row r="4058" spans="1:5" x14ac:dyDescent="0.25">
      <c r="A4058" s="290"/>
      <c r="B4058" s="288"/>
      <c r="C4058" s="1061"/>
      <c r="D4058" s="291"/>
      <c r="E4058" s="1044"/>
    </row>
    <row r="4059" spans="1:5" x14ac:dyDescent="0.25">
      <c r="A4059" s="290"/>
      <c r="B4059" s="288"/>
      <c r="C4059" s="1061"/>
      <c r="D4059" s="291"/>
      <c r="E4059" s="1044"/>
    </row>
    <row r="4060" spans="1:5" x14ac:dyDescent="0.25">
      <c r="A4060" s="290"/>
      <c r="B4060" s="288"/>
      <c r="C4060" s="1061"/>
      <c r="D4060" s="291"/>
      <c r="E4060" s="1044"/>
    </row>
    <row r="4061" spans="1:5" x14ac:dyDescent="0.25">
      <c r="A4061" s="290"/>
      <c r="B4061" s="288"/>
      <c r="C4061" s="1061"/>
      <c r="D4061" s="291"/>
      <c r="E4061" s="1044"/>
    </row>
    <row r="4062" spans="1:5" x14ac:dyDescent="0.25">
      <c r="A4062" s="290"/>
      <c r="B4062" s="288"/>
      <c r="C4062" s="1061"/>
      <c r="D4062" s="291"/>
      <c r="E4062" s="1044"/>
    </row>
    <row r="4063" spans="1:5" x14ac:dyDescent="0.25">
      <c r="A4063" s="290"/>
      <c r="B4063" s="288"/>
      <c r="C4063" s="1061"/>
      <c r="D4063" s="291"/>
      <c r="E4063" s="1044"/>
    </row>
    <row r="4064" spans="1:5" x14ac:dyDescent="0.25">
      <c r="A4064" s="290"/>
      <c r="B4064" s="288"/>
      <c r="C4064" s="1061"/>
      <c r="D4064" s="291"/>
      <c r="E4064" s="1044"/>
    </row>
    <row r="4065" spans="1:5" x14ac:dyDescent="0.25">
      <c r="A4065" s="290"/>
      <c r="B4065" s="288"/>
      <c r="C4065" s="1061"/>
      <c r="D4065" s="291"/>
      <c r="E4065" s="1044"/>
    </row>
    <row r="4066" spans="1:5" x14ac:dyDescent="0.25">
      <c r="A4066" s="290"/>
      <c r="B4066" s="288"/>
      <c r="C4066" s="1061"/>
      <c r="D4066" s="291"/>
      <c r="E4066" s="1044"/>
    </row>
    <row r="4067" spans="1:5" x14ac:dyDescent="0.25">
      <c r="A4067" s="290"/>
      <c r="B4067" s="288"/>
      <c r="C4067" s="1061"/>
      <c r="D4067" s="291"/>
      <c r="E4067" s="1044"/>
    </row>
    <row r="4068" spans="1:5" x14ac:dyDescent="0.25">
      <c r="A4068" s="290"/>
      <c r="B4068" s="288"/>
      <c r="C4068" s="1061"/>
      <c r="D4068" s="291"/>
      <c r="E4068" s="1044"/>
    </row>
    <row r="4069" spans="1:5" x14ac:dyDescent="0.25">
      <c r="A4069" s="290"/>
      <c r="B4069" s="288"/>
      <c r="C4069" s="1061"/>
      <c r="D4069" s="291"/>
      <c r="E4069" s="1044"/>
    </row>
    <row r="4070" spans="1:5" x14ac:dyDescent="0.25">
      <c r="A4070" s="290"/>
      <c r="B4070" s="288"/>
      <c r="C4070" s="1061"/>
      <c r="D4070" s="291"/>
      <c r="E4070" s="1044"/>
    </row>
    <row r="4071" spans="1:5" x14ac:dyDescent="0.25">
      <c r="A4071" s="290"/>
      <c r="B4071" s="288"/>
      <c r="C4071" s="1061"/>
      <c r="D4071" s="291"/>
      <c r="E4071" s="1044"/>
    </row>
    <row r="4072" spans="1:5" x14ac:dyDescent="0.25">
      <c r="A4072" s="290"/>
      <c r="B4072" s="288"/>
      <c r="C4072" s="1061"/>
      <c r="D4072" s="291"/>
      <c r="E4072" s="1044"/>
    </row>
    <row r="4073" spans="1:5" x14ac:dyDescent="0.25">
      <c r="A4073" s="290"/>
      <c r="B4073" s="288"/>
      <c r="C4073" s="1061"/>
      <c r="D4073" s="291"/>
      <c r="E4073" s="1044"/>
    </row>
    <row r="4074" spans="1:5" x14ac:dyDescent="0.25">
      <c r="A4074" s="290"/>
      <c r="B4074" s="288"/>
      <c r="C4074" s="1061"/>
      <c r="D4074" s="291"/>
      <c r="E4074" s="1044"/>
    </row>
    <row r="4075" spans="1:5" x14ac:dyDescent="0.25">
      <c r="A4075" s="290"/>
      <c r="B4075" s="288"/>
      <c r="C4075" s="1061"/>
      <c r="D4075" s="291"/>
      <c r="E4075" s="1044"/>
    </row>
    <row r="4076" spans="1:5" x14ac:dyDescent="0.25">
      <c r="A4076" s="290"/>
      <c r="B4076" s="288"/>
      <c r="C4076" s="1061"/>
      <c r="D4076" s="291"/>
      <c r="E4076" s="1044"/>
    </row>
    <row r="4077" spans="1:5" x14ac:dyDescent="0.25">
      <c r="A4077" s="290"/>
      <c r="B4077" s="288"/>
      <c r="C4077" s="1061"/>
      <c r="D4077" s="291"/>
      <c r="E4077" s="1044"/>
    </row>
    <row r="4078" spans="1:5" x14ac:dyDescent="0.25">
      <c r="A4078" s="290"/>
      <c r="B4078" s="288"/>
      <c r="C4078" s="1061"/>
      <c r="D4078" s="291"/>
      <c r="E4078" s="1044"/>
    </row>
    <row r="4079" spans="1:5" x14ac:dyDescent="0.25">
      <c r="A4079" s="290"/>
      <c r="B4079" s="288"/>
      <c r="C4079" s="1061"/>
      <c r="D4079" s="291"/>
      <c r="E4079" s="1044"/>
    </row>
    <row r="4080" spans="1:5" x14ac:dyDescent="0.25">
      <c r="A4080" s="290"/>
      <c r="B4080" s="288"/>
      <c r="C4080" s="1061"/>
      <c r="D4080" s="291"/>
      <c r="E4080" s="1044"/>
    </row>
    <row r="4081" spans="1:5" x14ac:dyDescent="0.25">
      <c r="A4081" s="290"/>
      <c r="B4081" s="288"/>
      <c r="C4081" s="1061"/>
      <c r="D4081" s="291"/>
      <c r="E4081" s="1044"/>
    </row>
    <row r="4082" spans="1:5" x14ac:dyDescent="0.25">
      <c r="A4082" s="290"/>
      <c r="B4082" s="288"/>
      <c r="C4082" s="1061"/>
      <c r="D4082" s="291"/>
      <c r="E4082" s="1044"/>
    </row>
    <row r="4083" spans="1:5" x14ac:dyDescent="0.25">
      <c r="A4083" s="290"/>
      <c r="B4083" s="288"/>
      <c r="C4083" s="1061"/>
      <c r="D4083" s="291"/>
      <c r="E4083" s="1044"/>
    </row>
    <row r="4084" spans="1:5" x14ac:dyDescent="0.25">
      <c r="A4084" s="290"/>
      <c r="B4084" s="288"/>
      <c r="C4084" s="1061"/>
      <c r="D4084" s="291"/>
      <c r="E4084" s="1044"/>
    </row>
    <row r="4085" spans="1:5" x14ac:dyDescent="0.25">
      <c r="A4085" s="290"/>
      <c r="B4085" s="288"/>
      <c r="C4085" s="1061"/>
      <c r="D4085" s="291"/>
      <c r="E4085" s="1044"/>
    </row>
    <row r="4086" spans="1:5" x14ac:dyDescent="0.25">
      <c r="A4086" s="290"/>
      <c r="B4086" s="288"/>
      <c r="C4086" s="1061"/>
      <c r="D4086" s="291"/>
      <c r="E4086" s="1044"/>
    </row>
    <row r="4087" spans="1:5" x14ac:dyDescent="0.25">
      <c r="A4087" s="290"/>
      <c r="B4087" s="288"/>
      <c r="C4087" s="1061"/>
      <c r="D4087" s="291"/>
      <c r="E4087" s="1044"/>
    </row>
    <row r="4088" spans="1:5" x14ac:dyDescent="0.25">
      <c r="A4088" s="290"/>
      <c r="B4088" s="288"/>
      <c r="C4088" s="1061"/>
      <c r="D4088" s="291"/>
      <c r="E4088" s="1044"/>
    </row>
    <row r="4089" spans="1:5" x14ac:dyDescent="0.25">
      <c r="A4089" s="290"/>
      <c r="B4089" s="288"/>
      <c r="C4089" s="1061"/>
      <c r="D4089" s="291"/>
      <c r="E4089" s="1044"/>
    </row>
    <row r="4090" spans="1:5" x14ac:dyDescent="0.25">
      <c r="A4090" s="290"/>
      <c r="B4090" s="288"/>
      <c r="C4090" s="1061"/>
      <c r="D4090" s="291"/>
      <c r="E4090" s="1044"/>
    </row>
    <row r="4091" spans="1:5" x14ac:dyDescent="0.25">
      <c r="A4091" s="290"/>
      <c r="B4091" s="288"/>
      <c r="C4091" s="1061"/>
      <c r="D4091" s="291"/>
      <c r="E4091" s="1044"/>
    </row>
    <row r="4092" spans="1:5" x14ac:dyDescent="0.25">
      <c r="A4092" s="290"/>
      <c r="B4092" s="288"/>
      <c r="C4092" s="1061"/>
      <c r="D4092" s="291"/>
      <c r="E4092" s="1044"/>
    </row>
    <row r="4093" spans="1:5" x14ac:dyDescent="0.25">
      <c r="A4093" s="290"/>
      <c r="B4093" s="288"/>
      <c r="C4093" s="1061"/>
      <c r="D4093" s="291"/>
      <c r="E4093" s="1044"/>
    </row>
    <row r="4094" spans="1:5" x14ac:dyDescent="0.25">
      <c r="A4094" s="290"/>
      <c r="B4094" s="288"/>
      <c r="C4094" s="1061"/>
      <c r="D4094" s="291"/>
      <c r="E4094" s="1044"/>
    </row>
    <row r="4095" spans="1:5" x14ac:dyDescent="0.25">
      <c r="A4095" s="290"/>
      <c r="B4095" s="288"/>
      <c r="C4095" s="1061"/>
      <c r="D4095" s="291"/>
      <c r="E4095" s="1044"/>
    </row>
    <row r="4096" spans="1:5" x14ac:dyDescent="0.25">
      <c r="A4096" s="290"/>
      <c r="B4096" s="288"/>
      <c r="C4096" s="1061"/>
      <c r="D4096" s="291"/>
      <c r="E4096" s="1044"/>
    </row>
    <row r="4097" spans="1:5" x14ac:dyDescent="0.25">
      <c r="A4097" s="290"/>
      <c r="B4097" s="288"/>
      <c r="C4097" s="1061"/>
      <c r="D4097" s="291"/>
      <c r="E4097" s="1044"/>
    </row>
    <row r="4098" spans="1:5" x14ac:dyDescent="0.25">
      <c r="A4098" s="290"/>
      <c r="B4098" s="288"/>
      <c r="C4098" s="1061"/>
      <c r="D4098" s="291"/>
      <c r="E4098" s="1044"/>
    </row>
    <row r="4099" spans="1:5" x14ac:dyDescent="0.25">
      <c r="A4099" s="290"/>
      <c r="B4099" s="288"/>
      <c r="C4099" s="1061"/>
      <c r="D4099" s="291"/>
      <c r="E4099" s="1044"/>
    </row>
    <row r="4100" spans="1:5" x14ac:dyDescent="0.25">
      <c r="A4100" s="290"/>
      <c r="B4100" s="288"/>
      <c r="C4100" s="1061"/>
      <c r="D4100" s="291"/>
      <c r="E4100" s="1044"/>
    </row>
    <row r="4101" spans="1:5" x14ac:dyDescent="0.25">
      <c r="A4101" s="290"/>
      <c r="B4101" s="288"/>
      <c r="C4101" s="1061"/>
      <c r="D4101" s="291"/>
      <c r="E4101" s="1044"/>
    </row>
    <row r="4102" spans="1:5" x14ac:dyDescent="0.25">
      <c r="A4102" s="290"/>
      <c r="B4102" s="288"/>
      <c r="C4102" s="1061"/>
      <c r="D4102" s="291"/>
      <c r="E4102" s="1044"/>
    </row>
    <row r="4103" spans="1:5" x14ac:dyDescent="0.25">
      <c r="A4103" s="290"/>
      <c r="B4103" s="288"/>
      <c r="C4103" s="1061"/>
      <c r="D4103" s="291"/>
      <c r="E4103" s="1044"/>
    </row>
    <row r="4104" spans="1:5" x14ac:dyDescent="0.25">
      <c r="A4104" s="290"/>
      <c r="B4104" s="288"/>
      <c r="C4104" s="1061"/>
      <c r="D4104" s="291"/>
      <c r="E4104" s="1044"/>
    </row>
    <row r="4105" spans="1:5" x14ac:dyDescent="0.25">
      <c r="A4105" s="290"/>
      <c r="B4105" s="288"/>
      <c r="C4105" s="1061"/>
      <c r="D4105" s="291"/>
      <c r="E4105" s="1044"/>
    </row>
    <row r="4106" spans="1:5" x14ac:dyDescent="0.25">
      <c r="A4106" s="290"/>
      <c r="B4106" s="288"/>
      <c r="C4106" s="1061"/>
      <c r="D4106" s="291"/>
      <c r="E4106" s="1044"/>
    </row>
    <row r="4107" spans="1:5" x14ac:dyDescent="0.25">
      <c r="A4107" s="290"/>
      <c r="B4107" s="288"/>
      <c r="C4107" s="1061"/>
      <c r="D4107" s="291"/>
      <c r="E4107" s="1044"/>
    </row>
    <row r="4108" spans="1:5" x14ac:dyDescent="0.25">
      <c r="A4108" s="290"/>
      <c r="B4108" s="288"/>
      <c r="C4108" s="1061"/>
      <c r="D4108" s="291"/>
      <c r="E4108" s="1044"/>
    </row>
    <row r="4109" spans="1:5" x14ac:dyDescent="0.25">
      <c r="A4109" s="290"/>
      <c r="B4109" s="288"/>
      <c r="C4109" s="1061"/>
      <c r="D4109" s="291"/>
      <c r="E4109" s="1044"/>
    </row>
    <row r="4110" spans="1:5" x14ac:dyDescent="0.25">
      <c r="A4110" s="290"/>
      <c r="B4110" s="288"/>
      <c r="C4110" s="1061"/>
      <c r="D4110" s="291"/>
      <c r="E4110" s="1044"/>
    </row>
    <row r="4111" spans="1:5" x14ac:dyDescent="0.25">
      <c r="A4111" s="290"/>
      <c r="B4111" s="288"/>
      <c r="C4111" s="1061"/>
      <c r="D4111" s="291"/>
      <c r="E4111" s="1044"/>
    </row>
    <row r="4112" spans="1:5" x14ac:dyDescent="0.25">
      <c r="A4112" s="290"/>
      <c r="B4112" s="288"/>
      <c r="C4112" s="1061"/>
      <c r="D4112" s="291"/>
      <c r="E4112" s="1044"/>
    </row>
    <row r="4113" spans="1:5" x14ac:dyDescent="0.25">
      <c r="A4113" s="290"/>
      <c r="B4113" s="288"/>
      <c r="C4113" s="1061"/>
      <c r="D4113" s="291"/>
      <c r="E4113" s="1044"/>
    </row>
    <row r="4114" spans="1:5" x14ac:dyDescent="0.25">
      <c r="A4114" s="290"/>
      <c r="B4114" s="288"/>
      <c r="C4114" s="1061"/>
      <c r="D4114" s="291"/>
      <c r="E4114" s="1044"/>
    </row>
    <row r="4115" spans="1:5" x14ac:dyDescent="0.25">
      <c r="A4115" s="290"/>
      <c r="B4115" s="288"/>
      <c r="C4115" s="1061"/>
      <c r="D4115" s="291"/>
      <c r="E4115" s="1044"/>
    </row>
    <row r="4116" spans="1:5" x14ac:dyDescent="0.25">
      <c r="A4116" s="290"/>
      <c r="B4116" s="288"/>
      <c r="C4116" s="1061"/>
      <c r="D4116" s="291"/>
      <c r="E4116" s="1044"/>
    </row>
    <row r="4117" spans="1:5" x14ac:dyDescent="0.25">
      <c r="A4117" s="290"/>
      <c r="B4117" s="288"/>
      <c r="C4117" s="1061"/>
      <c r="D4117" s="291"/>
      <c r="E4117" s="1044"/>
    </row>
    <row r="4118" spans="1:5" x14ac:dyDescent="0.25">
      <c r="A4118" s="290"/>
      <c r="B4118" s="288"/>
      <c r="C4118" s="1061"/>
      <c r="D4118" s="291"/>
      <c r="E4118" s="1044"/>
    </row>
    <row r="4119" spans="1:5" x14ac:dyDescent="0.25">
      <c r="A4119" s="290"/>
      <c r="B4119" s="288"/>
      <c r="C4119" s="1061"/>
      <c r="D4119" s="291"/>
      <c r="E4119" s="1044"/>
    </row>
    <row r="4120" spans="1:5" x14ac:dyDescent="0.25">
      <c r="A4120" s="290"/>
      <c r="B4120" s="288"/>
      <c r="C4120" s="1061"/>
      <c r="D4120" s="291"/>
      <c r="E4120" s="1044"/>
    </row>
    <row r="4121" spans="1:5" x14ac:dyDescent="0.25">
      <c r="A4121" s="290"/>
      <c r="B4121" s="288"/>
      <c r="C4121" s="1061"/>
      <c r="D4121" s="291"/>
      <c r="E4121" s="1044"/>
    </row>
    <row r="4122" spans="1:5" x14ac:dyDescent="0.25">
      <c r="A4122" s="290"/>
      <c r="B4122" s="288"/>
      <c r="C4122" s="1061"/>
      <c r="D4122" s="291"/>
      <c r="E4122" s="1044"/>
    </row>
    <row r="4123" spans="1:5" x14ac:dyDescent="0.25">
      <c r="A4123" s="290"/>
      <c r="B4123" s="288"/>
      <c r="C4123" s="1061"/>
      <c r="D4123" s="291"/>
      <c r="E4123" s="1044"/>
    </row>
    <row r="4124" spans="1:5" x14ac:dyDescent="0.25">
      <c r="A4124" s="290"/>
      <c r="B4124" s="288"/>
      <c r="C4124" s="1061"/>
      <c r="D4124" s="291"/>
      <c r="E4124" s="1044"/>
    </row>
    <row r="4125" spans="1:5" x14ac:dyDescent="0.25">
      <c r="A4125" s="290"/>
      <c r="B4125" s="288"/>
      <c r="C4125" s="1061"/>
      <c r="D4125" s="291"/>
      <c r="E4125" s="1044"/>
    </row>
    <row r="4126" spans="1:5" x14ac:dyDescent="0.25">
      <c r="A4126" s="290"/>
      <c r="B4126" s="288"/>
      <c r="C4126" s="1061"/>
      <c r="D4126" s="291"/>
      <c r="E4126" s="1044"/>
    </row>
    <row r="4127" spans="1:5" x14ac:dyDescent="0.25">
      <c r="A4127" s="290"/>
      <c r="B4127" s="288"/>
      <c r="C4127" s="1061"/>
      <c r="D4127" s="291"/>
      <c r="E4127" s="1044"/>
    </row>
    <row r="4128" spans="1:5" x14ac:dyDescent="0.25">
      <c r="A4128" s="290"/>
      <c r="B4128" s="288"/>
      <c r="C4128" s="1061"/>
      <c r="D4128" s="291"/>
      <c r="E4128" s="1044"/>
    </row>
    <row r="4129" spans="1:5" x14ac:dyDescent="0.25">
      <c r="A4129" s="290"/>
      <c r="B4129" s="288"/>
      <c r="C4129" s="1061"/>
      <c r="D4129" s="291"/>
      <c r="E4129" s="1044"/>
    </row>
    <row r="4130" spans="1:5" x14ac:dyDescent="0.25">
      <c r="A4130" s="290"/>
      <c r="B4130" s="288"/>
      <c r="C4130" s="1061"/>
      <c r="D4130" s="291"/>
      <c r="E4130" s="1044"/>
    </row>
    <row r="4131" spans="1:5" x14ac:dyDescent="0.25">
      <c r="A4131" s="290"/>
      <c r="B4131" s="288"/>
      <c r="C4131" s="1061"/>
      <c r="D4131" s="291"/>
      <c r="E4131" s="1044"/>
    </row>
    <row r="4132" spans="1:5" x14ac:dyDescent="0.25">
      <c r="A4132" s="290"/>
      <c r="B4132" s="288"/>
      <c r="C4132" s="1061"/>
      <c r="D4132" s="291"/>
      <c r="E4132" s="1044"/>
    </row>
    <row r="4133" spans="1:5" x14ac:dyDescent="0.25">
      <c r="A4133" s="290"/>
      <c r="B4133" s="288"/>
      <c r="C4133" s="1061"/>
      <c r="D4133" s="291"/>
      <c r="E4133" s="1044"/>
    </row>
    <row r="4134" spans="1:5" x14ac:dyDescent="0.25">
      <c r="A4134" s="290"/>
      <c r="B4134" s="288"/>
      <c r="C4134" s="1061"/>
      <c r="D4134" s="291"/>
      <c r="E4134" s="1044"/>
    </row>
    <row r="4135" spans="1:5" x14ac:dyDescent="0.25">
      <c r="A4135" s="290"/>
      <c r="B4135" s="288"/>
      <c r="C4135" s="1061"/>
      <c r="D4135" s="291"/>
      <c r="E4135" s="1044"/>
    </row>
    <row r="4136" spans="1:5" x14ac:dyDescent="0.25">
      <c r="A4136" s="290"/>
      <c r="B4136" s="288"/>
      <c r="C4136" s="1061"/>
      <c r="D4136" s="291"/>
      <c r="E4136" s="1044"/>
    </row>
    <row r="4137" spans="1:5" x14ac:dyDescent="0.25">
      <c r="A4137" s="290"/>
      <c r="B4137" s="288"/>
      <c r="C4137" s="1061"/>
      <c r="D4137" s="291"/>
      <c r="E4137" s="1044"/>
    </row>
    <row r="4138" spans="1:5" x14ac:dyDescent="0.25">
      <c r="A4138" s="290"/>
      <c r="B4138" s="288"/>
      <c r="C4138" s="1061"/>
      <c r="D4138" s="291"/>
      <c r="E4138" s="1044"/>
    </row>
    <row r="4139" spans="1:5" x14ac:dyDescent="0.25">
      <c r="A4139" s="290"/>
      <c r="B4139" s="288"/>
      <c r="C4139" s="1061"/>
      <c r="D4139" s="291"/>
      <c r="E4139" s="1044"/>
    </row>
    <row r="4140" spans="1:5" x14ac:dyDescent="0.25">
      <c r="A4140" s="290"/>
      <c r="B4140" s="288"/>
      <c r="C4140" s="1061"/>
      <c r="D4140" s="291"/>
      <c r="E4140" s="1044"/>
    </row>
    <row r="4141" spans="1:5" x14ac:dyDescent="0.25">
      <c r="A4141" s="290"/>
      <c r="B4141" s="288"/>
      <c r="C4141" s="1061"/>
      <c r="D4141" s="291"/>
      <c r="E4141" s="1044"/>
    </row>
    <row r="4142" spans="1:5" x14ac:dyDescent="0.25">
      <c r="A4142" s="290"/>
      <c r="B4142" s="288"/>
      <c r="C4142" s="1061"/>
      <c r="D4142" s="291"/>
      <c r="E4142" s="1044"/>
    </row>
    <row r="4143" spans="1:5" x14ac:dyDescent="0.25">
      <c r="A4143" s="290"/>
      <c r="B4143" s="288"/>
      <c r="C4143" s="1061"/>
      <c r="D4143" s="291"/>
      <c r="E4143" s="1044"/>
    </row>
    <row r="4144" spans="1:5" x14ac:dyDescent="0.25">
      <c r="A4144" s="290"/>
      <c r="B4144" s="288"/>
      <c r="C4144" s="1061"/>
      <c r="D4144" s="291"/>
      <c r="E4144" s="1044"/>
    </row>
    <row r="4145" spans="1:5" x14ac:dyDescent="0.25">
      <c r="A4145" s="290"/>
      <c r="B4145" s="288"/>
      <c r="C4145" s="1061"/>
      <c r="D4145" s="291"/>
      <c r="E4145" s="1044"/>
    </row>
    <row r="4146" spans="1:5" x14ac:dyDescent="0.25">
      <c r="A4146" s="290"/>
      <c r="B4146" s="288"/>
      <c r="C4146" s="1061"/>
      <c r="D4146" s="291"/>
      <c r="E4146" s="1044"/>
    </row>
    <row r="4147" spans="1:5" x14ac:dyDescent="0.25">
      <c r="A4147" s="290"/>
      <c r="B4147" s="288"/>
      <c r="C4147" s="1061"/>
      <c r="D4147" s="291"/>
      <c r="E4147" s="1044"/>
    </row>
    <row r="4148" spans="1:5" x14ac:dyDescent="0.25">
      <c r="A4148" s="290"/>
      <c r="B4148" s="288"/>
      <c r="C4148" s="1061"/>
      <c r="D4148" s="291"/>
      <c r="E4148" s="1044"/>
    </row>
    <row r="4149" spans="1:5" x14ac:dyDescent="0.25">
      <c r="A4149" s="290"/>
      <c r="B4149" s="288"/>
      <c r="C4149" s="1061"/>
      <c r="D4149" s="291"/>
      <c r="E4149" s="1044"/>
    </row>
    <row r="4150" spans="1:5" x14ac:dyDescent="0.25">
      <c r="A4150" s="290"/>
      <c r="B4150" s="288"/>
      <c r="C4150" s="1061"/>
      <c r="D4150" s="291"/>
      <c r="E4150" s="1044"/>
    </row>
    <row r="4151" spans="1:5" x14ac:dyDescent="0.25">
      <c r="A4151" s="290"/>
      <c r="B4151" s="288"/>
      <c r="C4151" s="1061"/>
      <c r="D4151" s="291"/>
      <c r="E4151" s="1044"/>
    </row>
    <row r="4152" spans="1:5" x14ac:dyDescent="0.25">
      <c r="A4152" s="290"/>
      <c r="B4152" s="288"/>
      <c r="C4152" s="1061"/>
      <c r="D4152" s="291"/>
      <c r="E4152" s="1044"/>
    </row>
    <row r="4153" spans="1:5" x14ac:dyDescent="0.25">
      <c r="A4153" s="290"/>
      <c r="B4153" s="288"/>
      <c r="C4153" s="1061"/>
      <c r="D4153" s="291"/>
      <c r="E4153" s="1044"/>
    </row>
    <row r="4154" spans="1:5" x14ac:dyDescent="0.25">
      <c r="A4154" s="290"/>
      <c r="B4154" s="288"/>
      <c r="C4154" s="1061"/>
      <c r="D4154" s="291"/>
      <c r="E4154" s="1044"/>
    </row>
    <row r="4155" spans="1:5" x14ac:dyDescent="0.25">
      <c r="A4155" s="290"/>
      <c r="B4155" s="288"/>
      <c r="C4155" s="1061"/>
      <c r="D4155" s="291"/>
      <c r="E4155" s="1044"/>
    </row>
    <row r="4156" spans="1:5" x14ac:dyDescent="0.25">
      <c r="A4156" s="290"/>
      <c r="B4156" s="288"/>
      <c r="C4156" s="1061"/>
      <c r="D4156" s="291"/>
      <c r="E4156" s="1044"/>
    </row>
    <row r="4157" spans="1:5" x14ac:dyDescent="0.25">
      <c r="A4157" s="290"/>
      <c r="B4157" s="288"/>
      <c r="C4157" s="1061"/>
      <c r="D4157" s="291"/>
      <c r="E4157" s="1044"/>
    </row>
    <row r="4158" spans="1:5" x14ac:dyDescent="0.25">
      <c r="A4158" s="290"/>
      <c r="B4158" s="288"/>
      <c r="C4158" s="1061"/>
      <c r="D4158" s="291"/>
      <c r="E4158" s="1044"/>
    </row>
    <row r="4159" spans="1:5" x14ac:dyDescent="0.25">
      <c r="A4159" s="290"/>
      <c r="B4159" s="288"/>
      <c r="C4159" s="1061"/>
      <c r="D4159" s="291"/>
      <c r="E4159" s="1044"/>
    </row>
    <row r="4160" spans="1:5" x14ac:dyDescent="0.25">
      <c r="A4160" s="290"/>
      <c r="B4160" s="288"/>
      <c r="C4160" s="1061"/>
      <c r="D4160" s="291"/>
      <c r="E4160" s="1044"/>
    </row>
    <row r="4161" spans="1:5" x14ac:dyDescent="0.25">
      <c r="A4161" s="290"/>
      <c r="B4161" s="288"/>
      <c r="C4161" s="1061"/>
      <c r="D4161" s="291"/>
      <c r="E4161" s="1044"/>
    </row>
    <row r="4162" spans="1:5" x14ac:dyDescent="0.25">
      <c r="A4162" s="290"/>
      <c r="B4162" s="288"/>
      <c r="C4162" s="1061"/>
      <c r="D4162" s="291"/>
      <c r="E4162" s="1044"/>
    </row>
    <row r="4163" spans="1:5" x14ac:dyDescent="0.25">
      <c r="A4163" s="290"/>
      <c r="B4163" s="288"/>
      <c r="C4163" s="1061"/>
      <c r="D4163" s="291"/>
      <c r="E4163" s="1044"/>
    </row>
    <row r="4164" spans="1:5" x14ac:dyDescent="0.25">
      <c r="A4164" s="290"/>
      <c r="B4164" s="288"/>
      <c r="C4164" s="1061"/>
      <c r="D4164" s="291"/>
      <c r="E4164" s="1044"/>
    </row>
    <row r="4165" spans="1:5" x14ac:dyDescent="0.25">
      <c r="A4165" s="290"/>
      <c r="B4165" s="288"/>
      <c r="C4165" s="1061"/>
      <c r="D4165" s="291"/>
      <c r="E4165" s="1044"/>
    </row>
    <row r="4166" spans="1:5" x14ac:dyDescent="0.25">
      <c r="A4166" s="290"/>
      <c r="B4166" s="288"/>
      <c r="C4166" s="1061"/>
      <c r="D4166" s="291"/>
      <c r="E4166" s="1044"/>
    </row>
    <row r="4167" spans="1:5" x14ac:dyDescent="0.25">
      <c r="A4167" s="290"/>
      <c r="B4167" s="288"/>
      <c r="C4167" s="1061"/>
      <c r="D4167" s="291"/>
      <c r="E4167" s="1044"/>
    </row>
    <row r="4168" spans="1:5" x14ac:dyDescent="0.25">
      <c r="A4168" s="290"/>
      <c r="B4168" s="288"/>
      <c r="C4168" s="1061"/>
      <c r="D4168" s="291"/>
      <c r="E4168" s="1044"/>
    </row>
    <row r="4169" spans="1:5" x14ac:dyDescent="0.25">
      <c r="A4169" s="290"/>
      <c r="B4169" s="288"/>
      <c r="C4169" s="1061"/>
      <c r="D4169" s="291"/>
      <c r="E4169" s="1044"/>
    </row>
    <row r="4170" spans="1:5" x14ac:dyDescent="0.25">
      <c r="A4170" s="290"/>
      <c r="B4170" s="288"/>
      <c r="C4170" s="1061"/>
      <c r="D4170" s="291"/>
      <c r="E4170" s="1044"/>
    </row>
    <row r="4171" spans="1:5" x14ac:dyDescent="0.25">
      <c r="A4171" s="290"/>
      <c r="B4171" s="288"/>
      <c r="C4171" s="1061"/>
      <c r="D4171" s="291"/>
      <c r="E4171" s="1044"/>
    </row>
    <row r="4172" spans="1:5" x14ac:dyDescent="0.25">
      <c r="A4172" s="290"/>
      <c r="B4172" s="288"/>
      <c r="C4172" s="1061"/>
      <c r="D4172" s="291"/>
      <c r="E4172" s="1044"/>
    </row>
    <row r="4173" spans="1:5" x14ac:dyDescent="0.25">
      <c r="A4173" s="290"/>
      <c r="B4173" s="288"/>
      <c r="C4173" s="1061"/>
      <c r="D4173" s="291"/>
      <c r="E4173" s="1044"/>
    </row>
    <row r="4174" spans="1:5" x14ac:dyDescent="0.25">
      <c r="A4174" s="290"/>
      <c r="B4174" s="288"/>
      <c r="C4174" s="1061"/>
      <c r="D4174" s="291"/>
      <c r="E4174" s="1044"/>
    </row>
    <row r="4175" spans="1:5" x14ac:dyDescent="0.25">
      <c r="A4175" s="290"/>
      <c r="B4175" s="288"/>
      <c r="C4175" s="1061"/>
      <c r="D4175" s="291"/>
      <c r="E4175" s="1044"/>
    </row>
    <row r="4176" spans="1:5" x14ac:dyDescent="0.25">
      <c r="A4176" s="290"/>
      <c r="B4176" s="288"/>
      <c r="C4176" s="1061"/>
      <c r="D4176" s="291"/>
      <c r="E4176" s="1044"/>
    </row>
    <row r="4177" spans="1:5" x14ac:dyDescent="0.25">
      <c r="A4177" s="290"/>
      <c r="B4177" s="288"/>
      <c r="C4177" s="1061"/>
      <c r="D4177" s="291"/>
      <c r="E4177" s="1044"/>
    </row>
    <row r="4178" spans="1:5" x14ac:dyDescent="0.25">
      <c r="A4178" s="290"/>
      <c r="B4178" s="288"/>
      <c r="C4178" s="1061"/>
      <c r="D4178" s="291"/>
      <c r="E4178" s="1044"/>
    </row>
    <row r="4179" spans="1:5" x14ac:dyDescent="0.25">
      <c r="A4179" s="290"/>
      <c r="B4179" s="288"/>
      <c r="C4179" s="1061"/>
      <c r="D4179" s="291"/>
      <c r="E4179" s="1044"/>
    </row>
    <row r="4180" spans="1:5" x14ac:dyDescent="0.25">
      <c r="A4180" s="290"/>
      <c r="B4180" s="288"/>
      <c r="C4180" s="1061"/>
      <c r="D4180" s="291"/>
      <c r="E4180" s="1044"/>
    </row>
    <row r="4181" spans="1:5" x14ac:dyDescent="0.25">
      <c r="A4181" s="290"/>
      <c r="B4181" s="288"/>
      <c r="C4181" s="1061"/>
      <c r="D4181" s="291"/>
      <c r="E4181" s="1044"/>
    </row>
    <row r="4182" spans="1:5" x14ac:dyDescent="0.25">
      <c r="A4182" s="290"/>
      <c r="B4182" s="288"/>
      <c r="C4182" s="1061"/>
      <c r="D4182" s="291"/>
      <c r="E4182" s="1044"/>
    </row>
    <row r="4183" spans="1:5" x14ac:dyDescent="0.25">
      <c r="A4183" s="290"/>
      <c r="B4183" s="288"/>
      <c r="C4183" s="1061"/>
      <c r="D4183" s="291"/>
      <c r="E4183" s="1044"/>
    </row>
    <row r="4184" spans="1:5" x14ac:dyDescent="0.25">
      <c r="A4184" s="290"/>
      <c r="B4184" s="288"/>
      <c r="C4184" s="1061"/>
      <c r="D4184" s="291"/>
      <c r="E4184" s="1044"/>
    </row>
    <row r="4185" spans="1:5" x14ac:dyDescent="0.25">
      <c r="A4185" s="290"/>
      <c r="B4185" s="288"/>
      <c r="C4185" s="1061"/>
      <c r="D4185" s="291"/>
      <c r="E4185" s="1044"/>
    </row>
    <row r="4186" spans="1:5" x14ac:dyDescent="0.25">
      <c r="A4186" s="290"/>
      <c r="B4186" s="288"/>
      <c r="C4186" s="1061"/>
      <c r="D4186" s="291"/>
      <c r="E4186" s="1044"/>
    </row>
    <row r="4187" spans="1:5" x14ac:dyDescent="0.25">
      <c r="A4187" s="290"/>
      <c r="B4187" s="288"/>
      <c r="C4187" s="1061"/>
      <c r="D4187" s="291"/>
      <c r="E4187" s="1044"/>
    </row>
    <row r="4188" spans="1:5" x14ac:dyDescent="0.25">
      <c r="A4188" s="290"/>
      <c r="B4188" s="288"/>
      <c r="C4188" s="1061"/>
      <c r="D4188" s="291"/>
      <c r="E4188" s="1044"/>
    </row>
    <row r="4189" spans="1:5" x14ac:dyDescent="0.25">
      <c r="A4189" s="290"/>
      <c r="B4189" s="288"/>
      <c r="C4189" s="1061"/>
      <c r="D4189" s="291"/>
      <c r="E4189" s="1044"/>
    </row>
    <row r="4190" spans="1:5" x14ac:dyDescent="0.25">
      <c r="A4190" s="290"/>
      <c r="B4190" s="288"/>
      <c r="C4190" s="1061"/>
      <c r="D4190" s="291"/>
      <c r="E4190" s="1044"/>
    </row>
    <row r="4191" spans="1:5" x14ac:dyDescent="0.25">
      <c r="A4191" s="290"/>
      <c r="B4191" s="288"/>
      <c r="C4191" s="1061"/>
      <c r="D4191" s="291"/>
      <c r="E4191" s="1044"/>
    </row>
    <row r="4192" spans="1:5" x14ac:dyDescent="0.25">
      <c r="A4192" s="290"/>
      <c r="B4192" s="288"/>
      <c r="C4192" s="1061"/>
      <c r="D4192" s="291"/>
      <c r="E4192" s="1044"/>
    </row>
    <row r="4193" spans="1:5" x14ac:dyDescent="0.25">
      <c r="A4193" s="290"/>
      <c r="B4193" s="288"/>
      <c r="C4193" s="1061"/>
      <c r="D4193" s="291"/>
      <c r="E4193" s="1044"/>
    </row>
    <row r="4194" spans="1:5" x14ac:dyDescent="0.25">
      <c r="A4194" s="290"/>
      <c r="B4194" s="288"/>
      <c r="C4194" s="1061"/>
      <c r="D4194" s="291"/>
      <c r="E4194" s="1044"/>
    </row>
    <row r="4195" spans="1:5" x14ac:dyDescent="0.25">
      <c r="A4195" s="290"/>
      <c r="B4195" s="288"/>
      <c r="C4195" s="1061"/>
      <c r="D4195" s="291"/>
      <c r="E4195" s="1044"/>
    </row>
    <row r="4196" spans="1:5" x14ac:dyDescent="0.25">
      <c r="A4196" s="290"/>
      <c r="B4196" s="288"/>
      <c r="C4196" s="1061"/>
      <c r="D4196" s="291"/>
      <c r="E4196" s="1044"/>
    </row>
    <row r="4197" spans="1:5" x14ac:dyDescent="0.25">
      <c r="A4197" s="290"/>
      <c r="B4197" s="288"/>
      <c r="C4197" s="1061"/>
      <c r="D4197" s="291"/>
      <c r="E4197" s="1044"/>
    </row>
    <row r="4198" spans="1:5" x14ac:dyDescent="0.25">
      <c r="A4198" s="290"/>
      <c r="B4198" s="288"/>
      <c r="C4198" s="1061"/>
      <c r="D4198" s="291"/>
      <c r="E4198" s="1044"/>
    </row>
    <row r="4199" spans="1:5" x14ac:dyDescent="0.25">
      <c r="A4199" s="290"/>
      <c r="B4199" s="288"/>
      <c r="C4199" s="1061"/>
      <c r="D4199" s="291"/>
      <c r="E4199" s="1044"/>
    </row>
    <row r="4200" spans="1:5" x14ac:dyDescent="0.25">
      <c r="A4200" s="290"/>
      <c r="B4200" s="288"/>
      <c r="C4200" s="1061"/>
      <c r="D4200" s="291"/>
      <c r="E4200" s="1044"/>
    </row>
    <row r="4201" spans="1:5" x14ac:dyDescent="0.25">
      <c r="A4201" s="290"/>
      <c r="B4201" s="288"/>
      <c r="C4201" s="1061"/>
      <c r="D4201" s="291"/>
      <c r="E4201" s="1044"/>
    </row>
    <row r="4202" spans="1:5" x14ac:dyDescent="0.25">
      <c r="A4202" s="290"/>
      <c r="B4202" s="288"/>
      <c r="C4202" s="1061"/>
      <c r="D4202" s="291"/>
      <c r="E4202" s="1044"/>
    </row>
    <row r="4203" spans="1:5" x14ac:dyDescent="0.25">
      <c r="A4203" s="290"/>
      <c r="B4203" s="288"/>
      <c r="C4203" s="1061"/>
      <c r="D4203" s="291"/>
      <c r="E4203" s="1044"/>
    </row>
    <row r="4204" spans="1:5" x14ac:dyDescent="0.25">
      <c r="A4204" s="290"/>
      <c r="B4204" s="288"/>
      <c r="C4204" s="1061"/>
      <c r="D4204" s="291"/>
      <c r="E4204" s="1044"/>
    </row>
    <row r="4205" spans="1:5" x14ac:dyDescent="0.25">
      <c r="A4205" s="290"/>
      <c r="B4205" s="288"/>
      <c r="C4205" s="1061"/>
      <c r="D4205" s="291"/>
      <c r="E4205" s="1044"/>
    </row>
    <row r="4206" spans="1:5" x14ac:dyDescent="0.25">
      <c r="A4206" s="290"/>
      <c r="B4206" s="288"/>
      <c r="C4206" s="1061"/>
      <c r="D4206" s="291"/>
      <c r="E4206" s="1044"/>
    </row>
    <row r="4207" spans="1:5" x14ac:dyDescent="0.25">
      <c r="A4207" s="290"/>
      <c r="B4207" s="288"/>
      <c r="C4207" s="1061"/>
      <c r="D4207" s="291"/>
      <c r="E4207" s="1044"/>
    </row>
    <row r="4208" spans="1:5" x14ac:dyDescent="0.25">
      <c r="A4208" s="290"/>
      <c r="B4208" s="288"/>
      <c r="C4208" s="1061"/>
      <c r="D4208" s="291"/>
      <c r="E4208" s="1044"/>
    </row>
    <row r="4209" spans="1:5" x14ac:dyDescent="0.25">
      <c r="A4209" s="290"/>
      <c r="B4209" s="288"/>
      <c r="C4209" s="1061"/>
      <c r="D4209" s="291"/>
      <c r="E4209" s="1044"/>
    </row>
    <row r="4210" spans="1:5" x14ac:dyDescent="0.25">
      <c r="A4210" s="290"/>
      <c r="B4210" s="288"/>
      <c r="C4210" s="1061"/>
      <c r="D4210" s="291"/>
      <c r="E4210" s="1044"/>
    </row>
    <row r="4211" spans="1:5" x14ac:dyDescent="0.25">
      <c r="A4211" s="290"/>
      <c r="B4211" s="288"/>
      <c r="C4211" s="1061"/>
      <c r="D4211" s="291"/>
      <c r="E4211" s="1044"/>
    </row>
    <row r="4212" spans="1:5" x14ac:dyDescent="0.25">
      <c r="A4212" s="290"/>
      <c r="B4212" s="288"/>
      <c r="C4212" s="1061"/>
      <c r="D4212" s="291"/>
      <c r="E4212" s="1044"/>
    </row>
    <row r="4213" spans="1:5" x14ac:dyDescent="0.25">
      <c r="A4213" s="290"/>
      <c r="B4213" s="288"/>
      <c r="C4213" s="1061"/>
      <c r="D4213" s="291"/>
      <c r="E4213" s="1044"/>
    </row>
    <row r="4214" spans="1:5" x14ac:dyDescent="0.25">
      <c r="A4214" s="290"/>
      <c r="B4214" s="288"/>
      <c r="C4214" s="1061"/>
      <c r="D4214" s="291"/>
      <c r="E4214" s="1044"/>
    </row>
    <row r="4215" spans="1:5" x14ac:dyDescent="0.25">
      <c r="A4215" s="290"/>
      <c r="B4215" s="288"/>
      <c r="C4215" s="1061"/>
      <c r="D4215" s="291"/>
      <c r="E4215" s="1044"/>
    </row>
    <row r="4216" spans="1:5" x14ac:dyDescent="0.25">
      <c r="A4216" s="290"/>
      <c r="B4216" s="288"/>
      <c r="C4216" s="1061"/>
      <c r="D4216" s="291"/>
      <c r="E4216" s="1044"/>
    </row>
    <row r="4217" spans="1:5" x14ac:dyDescent="0.25">
      <c r="A4217" s="290"/>
      <c r="B4217" s="288"/>
      <c r="C4217" s="1061"/>
      <c r="D4217" s="291"/>
      <c r="E4217" s="1044"/>
    </row>
    <row r="4218" spans="1:5" x14ac:dyDescent="0.25">
      <c r="A4218" s="290"/>
      <c r="B4218" s="288"/>
      <c r="C4218" s="1061"/>
      <c r="D4218" s="291"/>
      <c r="E4218" s="1044"/>
    </row>
    <row r="4219" spans="1:5" x14ac:dyDescent="0.25">
      <c r="A4219" s="290"/>
      <c r="B4219" s="288"/>
      <c r="C4219" s="1061"/>
      <c r="D4219" s="291"/>
      <c r="E4219" s="1044"/>
    </row>
    <row r="4220" spans="1:5" x14ac:dyDescent="0.25">
      <c r="A4220" s="290"/>
      <c r="B4220" s="288"/>
      <c r="C4220" s="1061"/>
      <c r="D4220" s="291"/>
      <c r="E4220" s="1044"/>
    </row>
    <row r="4221" spans="1:5" x14ac:dyDescent="0.25">
      <c r="A4221" s="290"/>
      <c r="B4221" s="288"/>
      <c r="C4221" s="1061"/>
      <c r="D4221" s="291"/>
      <c r="E4221" s="1044"/>
    </row>
    <row r="4222" spans="1:5" x14ac:dyDescent="0.25">
      <c r="A4222" s="290"/>
      <c r="B4222" s="288"/>
      <c r="C4222" s="1061"/>
      <c r="D4222" s="291"/>
      <c r="E4222" s="1044"/>
    </row>
    <row r="4223" spans="1:5" x14ac:dyDescent="0.25">
      <c r="A4223" s="290"/>
      <c r="B4223" s="288"/>
      <c r="C4223" s="1061"/>
      <c r="D4223" s="291"/>
      <c r="E4223" s="1044"/>
    </row>
    <row r="4224" spans="1:5" x14ac:dyDescent="0.25">
      <c r="A4224" s="290"/>
      <c r="B4224" s="288"/>
      <c r="C4224" s="1061"/>
      <c r="D4224" s="291"/>
      <c r="E4224" s="1044"/>
    </row>
    <row r="4225" spans="1:5" x14ac:dyDescent="0.25">
      <c r="A4225" s="290"/>
      <c r="B4225" s="288"/>
      <c r="C4225" s="1061"/>
      <c r="D4225" s="291"/>
      <c r="E4225" s="1044"/>
    </row>
    <row r="4226" spans="1:5" x14ac:dyDescent="0.25">
      <c r="A4226" s="290"/>
      <c r="B4226" s="288"/>
      <c r="C4226" s="1061"/>
      <c r="D4226" s="291"/>
      <c r="E4226" s="1044"/>
    </row>
    <row r="4227" spans="1:5" x14ac:dyDescent="0.25">
      <c r="A4227" s="290"/>
      <c r="B4227" s="288"/>
      <c r="C4227" s="1061"/>
      <c r="D4227" s="291"/>
      <c r="E4227" s="1044"/>
    </row>
    <row r="4228" spans="1:5" x14ac:dyDescent="0.25">
      <c r="A4228" s="290"/>
      <c r="B4228" s="288"/>
      <c r="C4228" s="1061"/>
      <c r="D4228" s="291"/>
      <c r="E4228" s="1044"/>
    </row>
    <row r="4229" spans="1:5" x14ac:dyDescent="0.25">
      <c r="A4229" s="290"/>
      <c r="B4229" s="288"/>
      <c r="C4229" s="1061"/>
      <c r="D4229" s="291"/>
      <c r="E4229" s="1044"/>
    </row>
    <row r="4230" spans="1:5" x14ac:dyDescent="0.25">
      <c r="A4230" s="290"/>
      <c r="B4230" s="288"/>
      <c r="C4230" s="1061"/>
      <c r="D4230" s="291"/>
      <c r="E4230" s="1044"/>
    </row>
    <row r="4231" spans="1:5" x14ac:dyDescent="0.25">
      <c r="A4231" s="290"/>
      <c r="B4231" s="288"/>
      <c r="C4231" s="1061"/>
      <c r="D4231" s="291"/>
      <c r="E4231" s="1044"/>
    </row>
    <row r="4232" spans="1:5" x14ac:dyDescent="0.25">
      <c r="A4232" s="290"/>
      <c r="B4232" s="288"/>
      <c r="C4232" s="1061"/>
      <c r="D4232" s="291"/>
      <c r="E4232" s="1044"/>
    </row>
    <row r="4233" spans="1:5" x14ac:dyDescent="0.25">
      <c r="A4233" s="290"/>
      <c r="B4233" s="288"/>
      <c r="C4233" s="1061"/>
      <c r="D4233" s="291"/>
      <c r="E4233" s="1044"/>
    </row>
    <row r="4234" spans="1:5" x14ac:dyDescent="0.25">
      <c r="A4234" s="290"/>
      <c r="B4234" s="288"/>
      <c r="C4234" s="1061"/>
      <c r="D4234" s="291"/>
      <c r="E4234" s="1044"/>
    </row>
    <row r="4235" spans="1:5" x14ac:dyDescent="0.25">
      <c r="A4235" s="290"/>
      <c r="B4235" s="288"/>
      <c r="C4235" s="1061"/>
      <c r="D4235" s="291"/>
      <c r="E4235" s="1044"/>
    </row>
    <row r="4236" spans="1:5" x14ac:dyDescent="0.25">
      <c r="A4236" s="290"/>
      <c r="B4236" s="288"/>
      <c r="C4236" s="1061"/>
      <c r="D4236" s="291"/>
      <c r="E4236" s="1044"/>
    </row>
    <row r="4237" spans="1:5" x14ac:dyDescent="0.25">
      <c r="A4237" s="290"/>
      <c r="B4237" s="288"/>
      <c r="C4237" s="1061"/>
      <c r="D4237" s="291"/>
      <c r="E4237" s="1044"/>
    </row>
    <row r="4238" spans="1:5" x14ac:dyDescent="0.25">
      <c r="A4238" s="290"/>
      <c r="B4238" s="288"/>
      <c r="C4238" s="1061"/>
      <c r="D4238" s="291"/>
      <c r="E4238" s="1044"/>
    </row>
    <row r="4239" spans="1:5" x14ac:dyDescent="0.25">
      <c r="A4239" s="290"/>
      <c r="B4239" s="288"/>
      <c r="C4239" s="1061"/>
      <c r="D4239" s="291"/>
      <c r="E4239" s="1044"/>
    </row>
    <row r="4240" spans="1:5" x14ac:dyDescent="0.25">
      <c r="A4240" s="290"/>
      <c r="B4240" s="288"/>
      <c r="C4240" s="1061"/>
      <c r="D4240" s="291"/>
      <c r="E4240" s="1044"/>
    </row>
    <row r="4241" spans="1:5" x14ac:dyDescent="0.25">
      <c r="A4241" s="290"/>
      <c r="B4241" s="288"/>
      <c r="C4241" s="1061"/>
      <c r="D4241" s="291"/>
      <c r="E4241" s="1044"/>
    </row>
    <row r="4242" spans="1:5" x14ac:dyDescent="0.25">
      <c r="A4242" s="290"/>
      <c r="B4242" s="288"/>
      <c r="C4242" s="1061"/>
      <c r="D4242" s="291"/>
      <c r="E4242" s="1044"/>
    </row>
    <row r="4243" spans="1:5" x14ac:dyDescent="0.25">
      <c r="A4243" s="290"/>
      <c r="B4243" s="288"/>
      <c r="C4243" s="1061"/>
      <c r="D4243" s="291"/>
      <c r="E4243" s="1044"/>
    </row>
    <row r="4244" spans="1:5" x14ac:dyDescent="0.25">
      <c r="A4244" s="290"/>
      <c r="B4244" s="288"/>
      <c r="C4244" s="1061"/>
      <c r="D4244" s="291"/>
      <c r="E4244" s="1044"/>
    </row>
    <row r="4245" spans="1:5" x14ac:dyDescent="0.25">
      <c r="A4245" s="290"/>
      <c r="B4245" s="288"/>
      <c r="C4245" s="1061"/>
      <c r="D4245" s="291"/>
      <c r="E4245" s="1044"/>
    </row>
    <row r="4246" spans="1:5" x14ac:dyDescent="0.25">
      <c r="A4246" s="290"/>
      <c r="B4246" s="288"/>
      <c r="C4246" s="1061"/>
      <c r="D4246" s="291"/>
      <c r="E4246" s="1044"/>
    </row>
    <row r="4247" spans="1:5" x14ac:dyDescent="0.25">
      <c r="A4247" s="290"/>
      <c r="B4247" s="288"/>
      <c r="C4247" s="1061"/>
      <c r="D4247" s="291"/>
      <c r="E4247" s="1044"/>
    </row>
    <row r="4248" spans="1:5" x14ac:dyDescent="0.25">
      <c r="A4248" s="290"/>
      <c r="B4248" s="288"/>
      <c r="C4248" s="1061"/>
      <c r="D4248" s="291"/>
      <c r="E4248" s="1044"/>
    </row>
    <row r="4249" spans="1:5" x14ac:dyDescent="0.25">
      <c r="A4249" s="290"/>
      <c r="B4249" s="288"/>
      <c r="C4249" s="1061"/>
      <c r="D4249" s="291"/>
      <c r="E4249" s="1044"/>
    </row>
    <row r="4250" spans="1:5" x14ac:dyDescent="0.25">
      <c r="A4250" s="290"/>
      <c r="B4250" s="288"/>
      <c r="C4250" s="1061"/>
      <c r="D4250" s="291"/>
      <c r="E4250" s="1044"/>
    </row>
    <row r="4251" spans="1:5" x14ac:dyDescent="0.25">
      <c r="A4251" s="290"/>
      <c r="B4251" s="288"/>
      <c r="C4251" s="1061"/>
      <c r="D4251" s="291"/>
      <c r="E4251" s="1044"/>
    </row>
    <row r="4252" spans="1:5" x14ac:dyDescent="0.25">
      <c r="A4252" s="290"/>
      <c r="B4252" s="288"/>
      <c r="C4252" s="1061"/>
      <c r="D4252" s="291"/>
      <c r="E4252" s="1044"/>
    </row>
    <row r="4253" spans="1:5" x14ac:dyDescent="0.25">
      <c r="A4253" s="290"/>
      <c r="B4253" s="288"/>
      <c r="C4253" s="1061"/>
      <c r="D4253" s="291"/>
      <c r="E4253" s="1044"/>
    </row>
    <row r="4254" spans="1:5" x14ac:dyDescent="0.25">
      <c r="A4254" s="290"/>
      <c r="B4254" s="288"/>
      <c r="C4254" s="1061"/>
      <c r="D4254" s="291"/>
      <c r="E4254" s="1044"/>
    </row>
    <row r="4255" spans="1:5" x14ac:dyDescent="0.25">
      <c r="A4255" s="290"/>
      <c r="B4255" s="288"/>
      <c r="C4255" s="1061"/>
      <c r="D4255" s="291"/>
      <c r="E4255" s="1044"/>
    </row>
    <row r="4256" spans="1:5" x14ac:dyDescent="0.25">
      <c r="A4256" s="290"/>
      <c r="B4256" s="288"/>
      <c r="C4256" s="1061"/>
      <c r="D4256" s="291"/>
      <c r="E4256" s="1044"/>
    </row>
    <row r="4257" spans="1:5" x14ac:dyDescent="0.25">
      <c r="A4257" s="290"/>
      <c r="B4257" s="288"/>
      <c r="C4257" s="1061"/>
      <c r="D4257" s="291"/>
      <c r="E4257" s="1044"/>
    </row>
    <row r="4258" spans="1:5" x14ac:dyDescent="0.25">
      <c r="A4258" s="290"/>
      <c r="B4258" s="288"/>
      <c r="C4258" s="1061"/>
      <c r="D4258" s="291"/>
      <c r="E4258" s="1044"/>
    </row>
    <row r="4259" spans="1:5" x14ac:dyDescent="0.25">
      <c r="A4259" s="290"/>
      <c r="B4259" s="288"/>
      <c r="C4259" s="1061"/>
      <c r="D4259" s="291"/>
      <c r="E4259" s="1044"/>
    </row>
    <row r="4260" spans="1:5" x14ac:dyDescent="0.25">
      <c r="A4260" s="290"/>
      <c r="B4260" s="288"/>
      <c r="C4260" s="1061"/>
      <c r="D4260" s="291"/>
      <c r="E4260" s="1044"/>
    </row>
    <row r="4261" spans="1:5" x14ac:dyDescent="0.25">
      <c r="A4261" s="290"/>
      <c r="B4261" s="288"/>
      <c r="C4261" s="1061"/>
      <c r="D4261" s="291"/>
      <c r="E4261" s="1044"/>
    </row>
    <row r="4262" spans="1:5" x14ac:dyDescent="0.25">
      <c r="A4262" s="290"/>
      <c r="B4262" s="288"/>
      <c r="C4262" s="1061"/>
      <c r="D4262" s="291"/>
      <c r="E4262" s="1044"/>
    </row>
    <row r="4263" spans="1:5" x14ac:dyDescent="0.25">
      <c r="A4263" s="290"/>
      <c r="B4263" s="288"/>
      <c r="C4263" s="1061"/>
      <c r="D4263" s="291"/>
      <c r="E4263" s="1044"/>
    </row>
    <row r="4264" spans="1:5" x14ac:dyDescent="0.25">
      <c r="A4264" s="290"/>
      <c r="B4264" s="288"/>
      <c r="C4264" s="1061"/>
      <c r="D4264" s="291"/>
      <c r="E4264" s="1044"/>
    </row>
    <row r="4265" spans="1:5" x14ac:dyDescent="0.25">
      <c r="A4265" s="290"/>
      <c r="B4265" s="288"/>
      <c r="C4265" s="1061"/>
      <c r="D4265" s="291"/>
      <c r="E4265" s="1044"/>
    </row>
    <row r="4266" spans="1:5" x14ac:dyDescent="0.25">
      <c r="A4266" s="290"/>
      <c r="B4266" s="288"/>
      <c r="C4266" s="1061"/>
      <c r="D4266" s="291"/>
      <c r="E4266" s="1044"/>
    </row>
    <row r="4267" spans="1:5" x14ac:dyDescent="0.25">
      <c r="A4267" s="290"/>
      <c r="B4267" s="288"/>
      <c r="C4267" s="1061"/>
      <c r="D4267" s="291"/>
      <c r="E4267" s="1044"/>
    </row>
    <row r="4268" spans="1:5" x14ac:dyDescent="0.25">
      <c r="A4268" s="290"/>
      <c r="B4268" s="288"/>
      <c r="C4268" s="1061"/>
      <c r="D4268" s="291"/>
      <c r="E4268" s="1044"/>
    </row>
    <row r="4269" spans="1:5" x14ac:dyDescent="0.25">
      <c r="A4269" s="290"/>
      <c r="B4269" s="288"/>
      <c r="C4269" s="1061"/>
      <c r="D4269" s="291"/>
      <c r="E4269" s="1044"/>
    </row>
    <row r="4270" spans="1:5" x14ac:dyDescent="0.25">
      <c r="A4270" s="290"/>
      <c r="B4270" s="288"/>
      <c r="C4270" s="1061"/>
      <c r="D4270" s="291"/>
      <c r="E4270" s="1044"/>
    </row>
    <row r="4271" spans="1:5" x14ac:dyDescent="0.25">
      <c r="A4271" s="290"/>
      <c r="B4271" s="288"/>
      <c r="C4271" s="1061"/>
      <c r="D4271" s="291"/>
      <c r="E4271" s="1044"/>
    </row>
    <row r="4272" spans="1:5" x14ac:dyDescent="0.25">
      <c r="A4272" s="290"/>
      <c r="B4272" s="288"/>
      <c r="C4272" s="1061"/>
      <c r="D4272" s="291"/>
      <c r="E4272" s="1044"/>
    </row>
    <row r="4273" spans="1:5" x14ac:dyDescent="0.25">
      <c r="A4273" s="290"/>
      <c r="B4273" s="288"/>
      <c r="C4273" s="1061"/>
      <c r="D4273" s="291"/>
      <c r="E4273" s="1044"/>
    </row>
    <row r="4274" spans="1:5" x14ac:dyDescent="0.25">
      <c r="A4274" s="290"/>
      <c r="B4274" s="288"/>
      <c r="C4274" s="1061"/>
      <c r="D4274" s="291"/>
      <c r="E4274" s="1044"/>
    </row>
    <row r="4275" spans="1:5" x14ac:dyDescent="0.25">
      <c r="A4275" s="290"/>
      <c r="B4275" s="288"/>
      <c r="C4275" s="1061"/>
      <c r="D4275" s="291"/>
      <c r="E4275" s="1044"/>
    </row>
    <row r="4276" spans="1:5" x14ac:dyDescent="0.25">
      <c r="A4276" s="290"/>
      <c r="B4276" s="288"/>
      <c r="C4276" s="1061"/>
      <c r="D4276" s="291"/>
      <c r="E4276" s="1044"/>
    </row>
    <row r="4277" spans="1:5" x14ac:dyDescent="0.25">
      <c r="A4277" s="290"/>
      <c r="B4277" s="288"/>
      <c r="C4277" s="1061"/>
      <c r="D4277" s="291"/>
      <c r="E4277" s="1044"/>
    </row>
    <row r="4278" spans="1:5" x14ac:dyDescent="0.25">
      <c r="A4278" s="290"/>
      <c r="B4278" s="288"/>
      <c r="C4278" s="1061"/>
      <c r="D4278" s="291"/>
      <c r="E4278" s="1044"/>
    </row>
    <row r="4279" spans="1:5" x14ac:dyDescent="0.25">
      <c r="A4279" s="290"/>
      <c r="B4279" s="288"/>
      <c r="C4279" s="1061"/>
      <c r="D4279" s="291"/>
      <c r="E4279" s="1044"/>
    </row>
    <row r="4280" spans="1:5" x14ac:dyDescent="0.25">
      <c r="A4280" s="290"/>
      <c r="B4280" s="288"/>
      <c r="C4280" s="1061"/>
      <c r="D4280" s="291"/>
      <c r="E4280" s="1044"/>
    </row>
    <row r="4281" spans="1:5" x14ac:dyDescent="0.25">
      <c r="A4281" s="290"/>
      <c r="B4281" s="288"/>
      <c r="C4281" s="1061"/>
      <c r="D4281" s="291"/>
      <c r="E4281" s="1044"/>
    </row>
    <row r="4282" spans="1:5" x14ac:dyDescent="0.25">
      <c r="A4282" s="290"/>
      <c r="B4282" s="288"/>
      <c r="C4282" s="1061"/>
      <c r="D4282" s="291"/>
      <c r="E4282" s="1044"/>
    </row>
    <row r="4283" spans="1:5" x14ac:dyDescent="0.25">
      <c r="A4283" s="290"/>
      <c r="B4283" s="288"/>
      <c r="C4283" s="1061"/>
      <c r="D4283" s="291"/>
      <c r="E4283" s="1044"/>
    </row>
    <row r="4284" spans="1:5" x14ac:dyDescent="0.25">
      <c r="A4284" s="290"/>
      <c r="B4284" s="288"/>
      <c r="C4284" s="1061"/>
      <c r="D4284" s="291"/>
      <c r="E4284" s="1044"/>
    </row>
    <row r="4285" spans="1:5" x14ac:dyDescent="0.25">
      <c r="A4285" s="290"/>
      <c r="B4285" s="288"/>
      <c r="C4285" s="1061"/>
      <c r="D4285" s="291"/>
      <c r="E4285" s="1044"/>
    </row>
    <row r="4286" spans="1:5" x14ac:dyDescent="0.25">
      <c r="A4286" s="290"/>
      <c r="B4286" s="288"/>
      <c r="C4286" s="1061"/>
      <c r="D4286" s="291"/>
      <c r="E4286" s="1044"/>
    </row>
    <row r="4287" spans="1:5" x14ac:dyDescent="0.25">
      <c r="A4287" s="290"/>
      <c r="B4287" s="288"/>
      <c r="C4287" s="1061"/>
      <c r="D4287" s="291"/>
      <c r="E4287" s="1044"/>
    </row>
    <row r="4288" spans="1:5" x14ac:dyDescent="0.25">
      <c r="A4288" s="290"/>
      <c r="B4288" s="288"/>
      <c r="C4288" s="1061"/>
      <c r="D4288" s="291"/>
      <c r="E4288" s="1044"/>
    </row>
    <row r="4289" spans="1:5" x14ac:dyDescent="0.25">
      <c r="A4289" s="290"/>
      <c r="B4289" s="288"/>
      <c r="C4289" s="1061"/>
      <c r="D4289" s="291"/>
      <c r="E4289" s="1044"/>
    </row>
    <row r="4290" spans="1:5" x14ac:dyDescent="0.25">
      <c r="A4290" s="290"/>
      <c r="B4290" s="288"/>
      <c r="C4290" s="1061"/>
      <c r="D4290" s="291"/>
      <c r="E4290" s="1044"/>
    </row>
    <row r="4291" spans="1:5" x14ac:dyDescent="0.25">
      <c r="A4291" s="290"/>
      <c r="B4291" s="288"/>
      <c r="C4291" s="1061"/>
      <c r="D4291" s="291"/>
      <c r="E4291" s="1044"/>
    </row>
    <row r="4292" spans="1:5" x14ac:dyDescent="0.25">
      <c r="A4292" s="290"/>
      <c r="B4292" s="288"/>
      <c r="C4292" s="1061"/>
      <c r="D4292" s="291"/>
      <c r="E4292" s="1044"/>
    </row>
    <row r="4293" spans="1:5" x14ac:dyDescent="0.25">
      <c r="A4293" s="290"/>
      <c r="B4293" s="288"/>
      <c r="C4293" s="1061"/>
      <c r="D4293" s="291"/>
      <c r="E4293" s="1044"/>
    </row>
    <row r="4294" spans="1:5" x14ac:dyDescent="0.25">
      <c r="A4294" s="290"/>
      <c r="B4294" s="288"/>
      <c r="C4294" s="1061"/>
      <c r="D4294" s="291"/>
      <c r="E4294" s="1044"/>
    </row>
    <row r="4295" spans="1:5" x14ac:dyDescent="0.25">
      <c r="A4295" s="290"/>
      <c r="B4295" s="288"/>
      <c r="C4295" s="1061"/>
      <c r="D4295" s="291"/>
      <c r="E4295" s="1044"/>
    </row>
    <row r="4296" spans="1:5" x14ac:dyDescent="0.25">
      <c r="A4296" s="290"/>
      <c r="B4296" s="288"/>
      <c r="C4296" s="1061"/>
      <c r="D4296" s="291"/>
      <c r="E4296" s="1044"/>
    </row>
    <row r="4297" spans="1:5" x14ac:dyDescent="0.25">
      <c r="A4297" s="290"/>
      <c r="B4297" s="288"/>
      <c r="C4297" s="1061"/>
      <c r="D4297" s="291"/>
      <c r="E4297" s="1044"/>
    </row>
    <row r="4298" spans="1:5" x14ac:dyDescent="0.25">
      <c r="A4298" s="290"/>
      <c r="B4298" s="288"/>
      <c r="C4298" s="1061"/>
      <c r="D4298" s="291"/>
      <c r="E4298" s="1044"/>
    </row>
    <row r="4299" spans="1:5" x14ac:dyDescent="0.25">
      <c r="A4299" s="290"/>
      <c r="B4299" s="288"/>
      <c r="C4299" s="1061"/>
      <c r="D4299" s="291"/>
      <c r="E4299" s="1044"/>
    </row>
    <row r="4300" spans="1:5" x14ac:dyDescent="0.25">
      <c r="A4300" s="290"/>
      <c r="B4300" s="288"/>
      <c r="C4300" s="1061"/>
      <c r="D4300" s="291"/>
      <c r="E4300" s="1044"/>
    </row>
    <row r="4301" spans="1:5" x14ac:dyDescent="0.25">
      <c r="A4301" s="290"/>
      <c r="B4301" s="288"/>
      <c r="C4301" s="1061"/>
      <c r="D4301" s="291"/>
      <c r="E4301" s="1044"/>
    </row>
    <row r="4302" spans="1:5" x14ac:dyDescent="0.25">
      <c r="A4302" s="290"/>
      <c r="B4302" s="288"/>
      <c r="C4302" s="1061"/>
      <c r="D4302" s="291"/>
      <c r="E4302" s="1044"/>
    </row>
    <row r="4303" spans="1:5" x14ac:dyDescent="0.25">
      <c r="A4303" s="290"/>
      <c r="B4303" s="288"/>
      <c r="C4303" s="1061"/>
      <c r="D4303" s="291"/>
      <c r="E4303" s="1044"/>
    </row>
    <row r="4304" spans="1:5" x14ac:dyDescent="0.25">
      <c r="A4304" s="290"/>
      <c r="B4304" s="288"/>
      <c r="C4304" s="1061"/>
      <c r="D4304" s="291"/>
      <c r="E4304" s="1044"/>
    </row>
    <row r="4305" spans="1:5" x14ac:dyDescent="0.25">
      <c r="A4305" s="290"/>
      <c r="B4305" s="288"/>
      <c r="C4305" s="1061"/>
      <c r="D4305" s="291"/>
      <c r="E4305" s="1044"/>
    </row>
    <row r="4306" spans="1:5" x14ac:dyDescent="0.25">
      <c r="A4306" s="290"/>
      <c r="B4306" s="288"/>
      <c r="C4306" s="1061"/>
      <c r="D4306" s="291"/>
      <c r="E4306" s="1044"/>
    </row>
    <row r="4307" spans="1:5" x14ac:dyDescent="0.25">
      <c r="A4307" s="290"/>
      <c r="B4307" s="288"/>
      <c r="C4307" s="1061"/>
      <c r="D4307" s="291"/>
      <c r="E4307" s="1044"/>
    </row>
    <row r="4308" spans="1:5" x14ac:dyDescent="0.25">
      <c r="A4308" s="290"/>
      <c r="B4308" s="288"/>
      <c r="C4308" s="1061"/>
      <c r="D4308" s="291"/>
      <c r="E4308" s="1044"/>
    </row>
    <row r="4309" spans="1:5" x14ac:dyDescent="0.25">
      <c r="A4309" s="290"/>
      <c r="B4309" s="288"/>
      <c r="C4309" s="1061"/>
      <c r="D4309" s="291"/>
      <c r="E4309" s="1044"/>
    </row>
    <row r="4310" spans="1:5" x14ac:dyDescent="0.25">
      <c r="A4310" s="290"/>
      <c r="B4310" s="288"/>
      <c r="C4310" s="1061"/>
      <c r="D4310" s="291"/>
      <c r="E4310" s="1044"/>
    </row>
    <row r="4311" spans="1:5" x14ac:dyDescent="0.25">
      <c r="A4311" s="290"/>
      <c r="B4311" s="288"/>
      <c r="C4311" s="1061"/>
      <c r="D4311" s="291"/>
      <c r="E4311" s="1044"/>
    </row>
    <row r="4312" spans="1:5" x14ac:dyDescent="0.25">
      <c r="A4312" s="290"/>
      <c r="B4312" s="288"/>
      <c r="C4312" s="1061"/>
      <c r="D4312" s="291"/>
      <c r="E4312" s="1044"/>
    </row>
    <row r="4313" spans="1:5" x14ac:dyDescent="0.25">
      <c r="A4313" s="290"/>
      <c r="B4313" s="288"/>
      <c r="C4313" s="1061"/>
      <c r="D4313" s="291"/>
      <c r="E4313" s="1044"/>
    </row>
    <row r="4314" spans="1:5" x14ac:dyDescent="0.25">
      <c r="A4314" s="290"/>
      <c r="B4314" s="288"/>
      <c r="C4314" s="1061"/>
      <c r="D4314" s="291"/>
      <c r="E4314" s="1044"/>
    </row>
    <row r="4315" spans="1:5" x14ac:dyDescent="0.25">
      <c r="A4315" s="290"/>
      <c r="B4315" s="288"/>
      <c r="C4315" s="1061"/>
      <c r="D4315" s="291"/>
      <c r="E4315" s="1044"/>
    </row>
    <row r="4316" spans="1:5" x14ac:dyDescent="0.25">
      <c r="A4316" s="290"/>
      <c r="B4316" s="288"/>
      <c r="C4316" s="1061"/>
      <c r="D4316" s="291"/>
      <c r="E4316" s="1044"/>
    </row>
    <row r="4317" spans="1:5" x14ac:dyDescent="0.25">
      <c r="A4317" s="290"/>
      <c r="B4317" s="288"/>
      <c r="C4317" s="1061"/>
      <c r="D4317" s="291"/>
      <c r="E4317" s="1044"/>
    </row>
    <row r="4318" spans="1:5" x14ac:dyDescent="0.25">
      <c r="A4318" s="290"/>
      <c r="B4318" s="288"/>
      <c r="C4318" s="1061"/>
      <c r="D4318" s="291"/>
      <c r="E4318" s="1044"/>
    </row>
    <row r="4319" spans="1:5" x14ac:dyDescent="0.25">
      <c r="A4319" s="290"/>
      <c r="B4319" s="288"/>
      <c r="C4319" s="1061"/>
      <c r="D4319" s="291"/>
      <c r="E4319" s="1044"/>
    </row>
    <row r="4320" spans="1:5" x14ac:dyDescent="0.25">
      <c r="A4320" s="290"/>
      <c r="B4320" s="288"/>
      <c r="C4320" s="1061"/>
      <c r="D4320" s="291"/>
      <c r="E4320" s="1044"/>
    </row>
    <row r="4321" spans="1:5" x14ac:dyDescent="0.25">
      <c r="A4321" s="290"/>
      <c r="B4321" s="288"/>
      <c r="C4321" s="1061"/>
      <c r="D4321" s="291"/>
      <c r="E4321" s="1044"/>
    </row>
    <row r="4322" spans="1:5" x14ac:dyDescent="0.25">
      <c r="A4322" s="290"/>
      <c r="B4322" s="288"/>
      <c r="C4322" s="1061"/>
      <c r="D4322" s="291"/>
      <c r="E4322" s="1044"/>
    </row>
    <row r="4323" spans="1:5" x14ac:dyDescent="0.25">
      <c r="A4323" s="290"/>
      <c r="B4323" s="288"/>
      <c r="C4323" s="1061"/>
      <c r="D4323" s="291"/>
      <c r="E4323" s="1044"/>
    </row>
    <row r="4324" spans="1:5" x14ac:dyDescent="0.25">
      <c r="A4324" s="290"/>
      <c r="B4324" s="288"/>
      <c r="C4324" s="1061"/>
      <c r="D4324" s="291"/>
      <c r="E4324" s="1044"/>
    </row>
    <row r="4325" spans="1:5" x14ac:dyDescent="0.25">
      <c r="A4325" s="290"/>
      <c r="B4325" s="288"/>
      <c r="C4325" s="1061"/>
      <c r="D4325" s="291"/>
      <c r="E4325" s="1044"/>
    </row>
    <row r="4326" spans="1:5" x14ac:dyDescent="0.25">
      <c r="A4326" s="290"/>
      <c r="B4326" s="288"/>
      <c r="C4326" s="1061"/>
      <c r="D4326" s="291"/>
      <c r="E4326" s="1044"/>
    </row>
    <row r="4327" spans="1:5" x14ac:dyDescent="0.25">
      <c r="A4327" s="290"/>
      <c r="B4327" s="288"/>
      <c r="C4327" s="1061"/>
      <c r="D4327" s="291"/>
      <c r="E4327" s="1044"/>
    </row>
    <row r="4328" spans="1:5" x14ac:dyDescent="0.25">
      <c r="A4328" s="290"/>
      <c r="B4328" s="288"/>
      <c r="C4328" s="1061"/>
      <c r="D4328" s="291"/>
      <c r="E4328" s="1044"/>
    </row>
    <row r="4329" spans="1:5" x14ac:dyDescent="0.25">
      <c r="A4329" s="290"/>
      <c r="B4329" s="288"/>
      <c r="C4329" s="1061"/>
      <c r="D4329" s="291"/>
      <c r="E4329" s="1044"/>
    </row>
    <row r="4330" spans="1:5" x14ac:dyDescent="0.25">
      <c r="A4330" s="290"/>
      <c r="B4330" s="288"/>
      <c r="C4330" s="1061"/>
      <c r="D4330" s="291"/>
      <c r="E4330" s="1044"/>
    </row>
    <row r="4331" spans="1:5" x14ac:dyDescent="0.25">
      <c r="A4331" s="290"/>
      <c r="B4331" s="288"/>
      <c r="C4331" s="1061"/>
      <c r="D4331" s="291"/>
      <c r="E4331" s="1044"/>
    </row>
    <row r="4332" spans="1:5" x14ac:dyDescent="0.25">
      <c r="A4332" s="290"/>
      <c r="B4332" s="288"/>
      <c r="C4332" s="1061"/>
      <c r="D4332" s="291"/>
      <c r="E4332" s="1044"/>
    </row>
    <row r="4333" spans="1:5" x14ac:dyDescent="0.25">
      <c r="A4333" s="290"/>
      <c r="B4333" s="288"/>
      <c r="C4333" s="1061"/>
      <c r="D4333" s="291"/>
      <c r="E4333" s="1044"/>
    </row>
    <row r="4334" spans="1:5" x14ac:dyDescent="0.25">
      <c r="A4334" s="290"/>
      <c r="B4334" s="288"/>
      <c r="C4334" s="1061"/>
      <c r="D4334" s="291"/>
      <c r="E4334" s="1044"/>
    </row>
    <row r="4335" spans="1:5" x14ac:dyDescent="0.25">
      <c r="A4335" s="290"/>
      <c r="B4335" s="288"/>
      <c r="C4335" s="1061"/>
      <c r="D4335" s="291"/>
      <c r="E4335" s="1044"/>
    </row>
    <row r="4336" spans="1:5" x14ac:dyDescent="0.25">
      <c r="A4336" s="290"/>
      <c r="B4336" s="288"/>
      <c r="C4336" s="1061"/>
      <c r="D4336" s="291"/>
      <c r="E4336" s="1044"/>
    </row>
    <row r="4337" spans="1:5" x14ac:dyDescent="0.25">
      <c r="A4337" s="290"/>
      <c r="B4337" s="288"/>
      <c r="C4337" s="1061"/>
      <c r="D4337" s="291"/>
      <c r="E4337" s="1044"/>
    </row>
    <row r="4338" spans="1:5" x14ac:dyDescent="0.25">
      <c r="A4338" s="290"/>
      <c r="B4338" s="288"/>
      <c r="C4338" s="1061"/>
      <c r="D4338" s="291"/>
      <c r="E4338" s="1044"/>
    </row>
    <row r="4339" spans="1:5" x14ac:dyDescent="0.25">
      <c r="A4339" s="290"/>
      <c r="B4339" s="288"/>
      <c r="C4339" s="1061"/>
      <c r="D4339" s="291"/>
      <c r="E4339" s="1044"/>
    </row>
    <row r="4340" spans="1:5" x14ac:dyDescent="0.25">
      <c r="A4340" s="290"/>
      <c r="B4340" s="288"/>
      <c r="C4340" s="1061"/>
      <c r="D4340" s="291"/>
      <c r="E4340" s="1044"/>
    </row>
    <row r="4341" spans="1:5" x14ac:dyDescent="0.25">
      <c r="A4341" s="290"/>
      <c r="B4341" s="288"/>
      <c r="C4341" s="1061"/>
      <c r="D4341" s="291"/>
      <c r="E4341" s="1044"/>
    </row>
    <row r="4342" spans="1:5" x14ac:dyDescent="0.25">
      <c r="A4342" s="290"/>
      <c r="B4342" s="288"/>
      <c r="C4342" s="1061"/>
      <c r="D4342" s="291"/>
      <c r="E4342" s="1044"/>
    </row>
    <row r="4343" spans="1:5" x14ac:dyDescent="0.25">
      <c r="A4343" s="290"/>
      <c r="B4343" s="288"/>
      <c r="C4343" s="1061"/>
      <c r="D4343" s="291"/>
      <c r="E4343" s="1044"/>
    </row>
    <row r="4344" spans="1:5" x14ac:dyDescent="0.25">
      <c r="A4344" s="290"/>
      <c r="B4344" s="288"/>
      <c r="C4344" s="1061"/>
      <c r="D4344" s="291"/>
      <c r="E4344" s="1044"/>
    </row>
    <row r="4345" spans="1:5" x14ac:dyDescent="0.25">
      <c r="A4345" s="290"/>
      <c r="B4345" s="288"/>
      <c r="C4345" s="1061"/>
      <c r="D4345" s="291"/>
      <c r="E4345" s="1044"/>
    </row>
    <row r="4346" spans="1:5" x14ac:dyDescent="0.25">
      <c r="A4346" s="290"/>
      <c r="B4346" s="288"/>
      <c r="C4346" s="1061"/>
      <c r="D4346" s="291"/>
      <c r="E4346" s="1044"/>
    </row>
    <row r="4347" spans="1:5" x14ac:dyDescent="0.25">
      <c r="A4347" s="290"/>
      <c r="B4347" s="288"/>
      <c r="C4347" s="1061"/>
      <c r="D4347" s="291"/>
      <c r="E4347" s="1044"/>
    </row>
    <row r="4348" spans="1:5" x14ac:dyDescent="0.25">
      <c r="A4348" s="290"/>
      <c r="B4348" s="288"/>
      <c r="C4348" s="1061"/>
      <c r="D4348" s="291"/>
      <c r="E4348" s="1044"/>
    </row>
    <row r="4349" spans="1:5" x14ac:dyDescent="0.25">
      <c r="A4349" s="290"/>
      <c r="B4349" s="288"/>
      <c r="C4349" s="1061"/>
      <c r="D4349" s="291"/>
      <c r="E4349" s="1044"/>
    </row>
    <row r="4350" spans="1:5" x14ac:dyDescent="0.25">
      <c r="A4350" s="290"/>
      <c r="B4350" s="288"/>
      <c r="C4350" s="1061"/>
      <c r="D4350" s="291"/>
      <c r="E4350" s="1044"/>
    </row>
    <row r="4351" spans="1:5" x14ac:dyDescent="0.25">
      <c r="A4351" s="290"/>
      <c r="B4351" s="288"/>
      <c r="C4351" s="1061"/>
      <c r="D4351" s="291"/>
      <c r="E4351" s="1044"/>
    </row>
    <row r="4352" spans="1:5" x14ac:dyDescent="0.25">
      <c r="A4352" s="290"/>
      <c r="B4352" s="288"/>
      <c r="C4352" s="1061"/>
      <c r="D4352" s="291"/>
      <c r="E4352" s="1044"/>
    </row>
    <row r="4353" spans="1:5" x14ac:dyDescent="0.25">
      <c r="A4353" s="290"/>
      <c r="B4353" s="288"/>
      <c r="C4353" s="1061"/>
      <c r="D4353" s="291"/>
      <c r="E4353" s="1044"/>
    </row>
    <row r="4354" spans="1:5" x14ac:dyDescent="0.25">
      <c r="A4354" s="290"/>
      <c r="B4354" s="288"/>
      <c r="C4354" s="1061"/>
      <c r="D4354" s="291"/>
      <c r="E4354" s="1044"/>
    </row>
    <row r="4355" spans="1:5" x14ac:dyDescent="0.25">
      <c r="A4355" s="290"/>
      <c r="B4355" s="288"/>
      <c r="C4355" s="1061"/>
      <c r="D4355" s="291"/>
      <c r="E4355" s="1044"/>
    </row>
    <row r="4356" spans="1:5" x14ac:dyDescent="0.25">
      <c r="A4356" s="290"/>
      <c r="B4356" s="288"/>
      <c r="C4356" s="1061"/>
      <c r="D4356" s="291"/>
      <c r="E4356" s="1044"/>
    </row>
    <row r="4357" spans="1:5" x14ac:dyDescent="0.25">
      <c r="A4357" s="290"/>
      <c r="B4357" s="288"/>
      <c r="C4357" s="1061"/>
      <c r="D4357" s="291"/>
      <c r="E4357" s="1044"/>
    </row>
    <row r="4358" spans="1:5" x14ac:dyDescent="0.25">
      <c r="A4358" s="290"/>
      <c r="B4358" s="288"/>
      <c r="C4358" s="1061"/>
      <c r="D4358" s="291"/>
      <c r="E4358" s="1044"/>
    </row>
    <row r="4359" spans="1:5" x14ac:dyDescent="0.25">
      <c r="A4359" s="290"/>
      <c r="B4359" s="288"/>
      <c r="C4359" s="1061"/>
      <c r="D4359" s="291"/>
      <c r="E4359" s="1044"/>
    </row>
    <row r="4360" spans="1:5" x14ac:dyDescent="0.25">
      <c r="A4360" s="290"/>
      <c r="B4360" s="288"/>
      <c r="C4360" s="1061"/>
      <c r="D4360" s="291"/>
      <c r="E4360" s="1044"/>
    </row>
    <row r="4361" spans="1:5" x14ac:dyDescent="0.25">
      <c r="A4361" s="290"/>
      <c r="B4361" s="288"/>
      <c r="C4361" s="1061"/>
      <c r="D4361" s="291"/>
      <c r="E4361" s="1044"/>
    </row>
    <row r="4362" spans="1:5" x14ac:dyDescent="0.25">
      <c r="A4362" s="290"/>
      <c r="B4362" s="288"/>
      <c r="C4362" s="1061"/>
      <c r="D4362" s="291"/>
      <c r="E4362" s="1044"/>
    </row>
    <row r="4363" spans="1:5" x14ac:dyDescent="0.25">
      <c r="A4363" s="290"/>
      <c r="B4363" s="288"/>
      <c r="C4363" s="1061"/>
      <c r="D4363" s="291"/>
      <c r="E4363" s="1044"/>
    </row>
    <row r="4364" spans="1:5" x14ac:dyDescent="0.25">
      <c r="A4364" s="290"/>
      <c r="B4364" s="288"/>
      <c r="C4364" s="1061"/>
      <c r="D4364" s="291"/>
      <c r="E4364" s="1044"/>
    </row>
    <row r="4365" spans="1:5" x14ac:dyDescent="0.25">
      <c r="A4365" s="290"/>
      <c r="B4365" s="288"/>
      <c r="C4365" s="1061"/>
      <c r="D4365" s="291"/>
      <c r="E4365" s="1044"/>
    </row>
    <row r="4366" spans="1:5" x14ac:dyDescent="0.25">
      <c r="A4366" s="290"/>
      <c r="B4366" s="288"/>
      <c r="C4366" s="1061"/>
      <c r="D4366" s="291"/>
      <c r="E4366" s="1044"/>
    </row>
    <row r="4367" spans="1:5" x14ac:dyDescent="0.25">
      <c r="A4367" s="290"/>
      <c r="B4367" s="288"/>
      <c r="C4367" s="1061"/>
      <c r="D4367" s="291"/>
      <c r="E4367" s="1044"/>
    </row>
    <row r="4368" spans="1:5" x14ac:dyDescent="0.25">
      <c r="A4368" s="290"/>
      <c r="B4368" s="288"/>
      <c r="C4368" s="1061"/>
      <c r="D4368" s="291"/>
      <c r="E4368" s="1044"/>
    </row>
    <row r="4369" spans="1:5" x14ac:dyDescent="0.25">
      <c r="A4369" s="290"/>
      <c r="B4369" s="288"/>
      <c r="C4369" s="1061"/>
      <c r="D4369" s="291"/>
      <c r="E4369" s="1044"/>
    </row>
    <row r="4370" spans="1:5" x14ac:dyDescent="0.25">
      <c r="A4370" s="290"/>
      <c r="B4370" s="288"/>
      <c r="C4370" s="1061"/>
      <c r="D4370" s="291"/>
      <c r="E4370" s="1044"/>
    </row>
    <row r="4371" spans="1:5" x14ac:dyDescent="0.25">
      <c r="A4371" s="290"/>
      <c r="B4371" s="288"/>
      <c r="C4371" s="1061"/>
      <c r="D4371" s="291"/>
      <c r="E4371" s="1044"/>
    </row>
    <row r="4372" spans="1:5" x14ac:dyDescent="0.25">
      <c r="A4372" s="290"/>
      <c r="B4372" s="288"/>
      <c r="C4372" s="1061"/>
      <c r="D4372" s="291"/>
      <c r="E4372" s="1044"/>
    </row>
    <row r="4373" spans="1:5" x14ac:dyDescent="0.25">
      <c r="A4373" s="290"/>
      <c r="B4373" s="288"/>
      <c r="C4373" s="1061"/>
      <c r="D4373" s="291"/>
      <c r="E4373" s="1044"/>
    </row>
    <row r="4374" spans="1:5" x14ac:dyDescent="0.25">
      <c r="A4374" s="290"/>
      <c r="B4374" s="288"/>
      <c r="C4374" s="1061"/>
      <c r="D4374" s="291"/>
      <c r="E4374" s="1044"/>
    </row>
    <row r="4375" spans="1:5" x14ac:dyDescent="0.25">
      <c r="A4375" s="290"/>
      <c r="B4375" s="288"/>
      <c r="C4375" s="1061"/>
      <c r="D4375" s="291"/>
      <c r="E4375" s="1044"/>
    </row>
    <row r="4376" spans="1:5" x14ac:dyDescent="0.25">
      <c r="A4376" s="290"/>
      <c r="B4376" s="288"/>
      <c r="C4376" s="1061"/>
      <c r="D4376" s="291"/>
      <c r="E4376" s="1044"/>
    </row>
    <row r="4377" spans="1:5" x14ac:dyDescent="0.25">
      <c r="A4377" s="290"/>
      <c r="B4377" s="288"/>
      <c r="C4377" s="1061"/>
      <c r="D4377" s="291"/>
      <c r="E4377" s="1044"/>
    </row>
    <row r="4378" spans="1:5" x14ac:dyDescent="0.25">
      <c r="A4378" s="290"/>
      <c r="B4378" s="288"/>
      <c r="C4378" s="1061"/>
      <c r="D4378" s="291"/>
      <c r="E4378" s="1044"/>
    </row>
    <row r="4379" spans="1:5" x14ac:dyDescent="0.25">
      <c r="A4379" s="290"/>
      <c r="B4379" s="288"/>
      <c r="C4379" s="1061"/>
      <c r="D4379" s="291"/>
      <c r="E4379" s="1044"/>
    </row>
    <row r="4380" spans="1:5" x14ac:dyDescent="0.25">
      <c r="A4380" s="290"/>
      <c r="B4380" s="288"/>
      <c r="C4380" s="1061"/>
      <c r="D4380" s="291"/>
      <c r="E4380" s="1044"/>
    </row>
    <row r="4381" spans="1:5" x14ac:dyDescent="0.25">
      <c r="A4381" s="290"/>
      <c r="B4381" s="288"/>
      <c r="C4381" s="1061"/>
      <c r="D4381" s="291"/>
      <c r="E4381" s="1044"/>
    </row>
    <row r="4382" spans="1:5" x14ac:dyDescent="0.25">
      <c r="A4382" s="290"/>
      <c r="B4382" s="288"/>
      <c r="C4382" s="1061"/>
      <c r="D4382" s="291"/>
      <c r="E4382" s="1044"/>
    </row>
    <row r="4383" spans="1:5" x14ac:dyDescent="0.25">
      <c r="A4383" s="290"/>
      <c r="B4383" s="288"/>
      <c r="C4383" s="1061"/>
      <c r="D4383" s="291"/>
      <c r="E4383" s="1044"/>
    </row>
    <row r="4384" spans="1:5" x14ac:dyDescent="0.25">
      <c r="A4384" s="290"/>
      <c r="B4384" s="288"/>
      <c r="C4384" s="1061"/>
      <c r="D4384" s="291"/>
      <c r="E4384" s="1044"/>
    </row>
    <row r="4385" spans="1:5" x14ac:dyDescent="0.25">
      <c r="A4385" s="290"/>
      <c r="B4385" s="288"/>
      <c r="C4385" s="1061"/>
      <c r="D4385" s="291"/>
      <c r="E4385" s="1044"/>
    </row>
    <row r="4386" spans="1:5" x14ac:dyDescent="0.25">
      <c r="A4386" s="290"/>
      <c r="B4386" s="288"/>
      <c r="C4386" s="1061"/>
      <c r="D4386" s="291"/>
      <c r="E4386" s="1044"/>
    </row>
    <row r="4387" spans="1:5" x14ac:dyDescent="0.25">
      <c r="A4387" s="290"/>
      <c r="B4387" s="288"/>
      <c r="C4387" s="1061"/>
      <c r="D4387" s="291"/>
      <c r="E4387" s="1044"/>
    </row>
    <row r="4388" spans="1:5" x14ac:dyDescent="0.25">
      <c r="A4388" s="290"/>
      <c r="B4388" s="288"/>
      <c r="C4388" s="1061"/>
      <c r="D4388" s="291"/>
      <c r="E4388" s="1044"/>
    </row>
    <row r="4389" spans="1:5" x14ac:dyDescent="0.25">
      <c r="A4389" s="290"/>
      <c r="B4389" s="288"/>
      <c r="C4389" s="1061"/>
      <c r="D4389" s="291"/>
      <c r="E4389" s="1044"/>
    </row>
    <row r="4390" spans="1:5" x14ac:dyDescent="0.25">
      <c r="A4390" s="290"/>
      <c r="B4390" s="288"/>
      <c r="C4390" s="1061"/>
      <c r="D4390" s="291"/>
      <c r="E4390" s="1044"/>
    </row>
    <row r="4391" spans="1:5" x14ac:dyDescent="0.25">
      <c r="A4391" s="290"/>
      <c r="B4391" s="288"/>
      <c r="C4391" s="1061"/>
      <c r="D4391" s="291"/>
      <c r="E4391" s="1044"/>
    </row>
    <row r="4392" spans="1:5" x14ac:dyDescent="0.25">
      <c r="A4392" s="290"/>
      <c r="B4392" s="288"/>
      <c r="C4392" s="1061"/>
      <c r="D4392" s="291"/>
      <c r="E4392" s="1044"/>
    </row>
    <row r="4393" spans="1:5" x14ac:dyDescent="0.25">
      <c r="A4393" s="290"/>
      <c r="B4393" s="288"/>
      <c r="C4393" s="1061"/>
      <c r="D4393" s="291"/>
      <c r="E4393" s="1044"/>
    </row>
    <row r="4394" spans="1:5" x14ac:dyDescent="0.25">
      <c r="A4394" s="290"/>
      <c r="B4394" s="288"/>
      <c r="C4394" s="1061"/>
      <c r="D4394" s="291"/>
      <c r="E4394" s="1044"/>
    </row>
    <row r="4395" spans="1:5" x14ac:dyDescent="0.25">
      <c r="A4395" s="290"/>
      <c r="B4395" s="288"/>
      <c r="C4395" s="1061"/>
      <c r="D4395" s="291"/>
      <c r="E4395" s="1044"/>
    </row>
    <row r="4396" spans="1:5" x14ac:dyDescent="0.25">
      <c r="A4396" s="290"/>
      <c r="B4396" s="288"/>
      <c r="C4396" s="1061"/>
      <c r="D4396" s="291"/>
      <c r="E4396" s="1044"/>
    </row>
    <row r="4397" spans="1:5" x14ac:dyDescent="0.25">
      <c r="A4397" s="290"/>
      <c r="B4397" s="288"/>
      <c r="C4397" s="1061"/>
      <c r="D4397" s="291"/>
      <c r="E4397" s="1044"/>
    </row>
    <row r="4398" spans="1:5" x14ac:dyDescent="0.25">
      <c r="A4398" s="290"/>
      <c r="B4398" s="288"/>
      <c r="C4398" s="1061"/>
      <c r="D4398" s="291"/>
      <c r="E4398" s="1044"/>
    </row>
    <row r="4399" spans="1:5" x14ac:dyDescent="0.25">
      <c r="A4399" s="290"/>
      <c r="B4399" s="288"/>
      <c r="C4399" s="1061"/>
      <c r="D4399" s="291"/>
      <c r="E4399" s="1044"/>
    </row>
    <row r="4400" spans="1:5" x14ac:dyDescent="0.25">
      <c r="A4400" s="290"/>
      <c r="B4400" s="288"/>
      <c r="C4400" s="1061"/>
      <c r="D4400" s="291"/>
      <c r="E4400" s="1044"/>
    </row>
    <row r="4401" spans="1:5" x14ac:dyDescent="0.25">
      <c r="A4401" s="290"/>
      <c r="B4401" s="288"/>
      <c r="C4401" s="1061"/>
      <c r="D4401" s="291"/>
      <c r="E4401" s="1044"/>
    </row>
    <row r="4402" spans="1:5" x14ac:dyDescent="0.25">
      <c r="A4402" s="290"/>
      <c r="B4402" s="288"/>
      <c r="C4402" s="1061"/>
      <c r="D4402" s="291"/>
      <c r="E4402" s="1044"/>
    </row>
    <row r="4403" spans="1:5" x14ac:dyDescent="0.25">
      <c r="A4403" s="290"/>
      <c r="B4403" s="288"/>
      <c r="C4403" s="1061"/>
      <c r="D4403" s="291"/>
      <c r="E4403" s="1044"/>
    </row>
    <row r="4404" spans="1:5" x14ac:dyDescent="0.25">
      <c r="A4404" s="290"/>
      <c r="B4404" s="288"/>
      <c r="C4404" s="1061"/>
      <c r="D4404" s="291"/>
      <c r="E4404" s="1044"/>
    </row>
    <row r="4405" spans="1:5" x14ac:dyDescent="0.25">
      <c r="A4405" s="290"/>
      <c r="B4405" s="288"/>
      <c r="C4405" s="1061"/>
      <c r="D4405" s="291"/>
      <c r="E4405" s="1044"/>
    </row>
    <row r="4406" spans="1:5" x14ac:dyDescent="0.25">
      <c r="A4406" s="290"/>
      <c r="B4406" s="288"/>
      <c r="C4406" s="1061"/>
      <c r="D4406" s="291"/>
      <c r="E4406" s="1044"/>
    </row>
    <row r="4407" spans="1:5" x14ac:dyDescent="0.25">
      <c r="A4407" s="290"/>
      <c r="B4407" s="288"/>
      <c r="C4407" s="1061"/>
      <c r="D4407" s="291"/>
      <c r="E4407" s="1044"/>
    </row>
    <row r="4408" spans="1:5" x14ac:dyDescent="0.25">
      <c r="A4408" s="290"/>
      <c r="B4408" s="288"/>
      <c r="C4408" s="1061"/>
      <c r="D4408" s="291"/>
      <c r="E4408" s="1044"/>
    </row>
    <row r="4409" spans="1:5" x14ac:dyDescent="0.25">
      <c r="A4409" s="290"/>
      <c r="B4409" s="288"/>
      <c r="C4409" s="1061"/>
      <c r="D4409" s="291"/>
      <c r="E4409" s="1044"/>
    </row>
    <row r="4410" spans="1:5" x14ac:dyDescent="0.25">
      <c r="A4410" s="290"/>
      <c r="B4410" s="288"/>
      <c r="C4410" s="1061"/>
      <c r="D4410" s="291"/>
      <c r="E4410" s="1044"/>
    </row>
    <row r="4411" spans="1:5" x14ac:dyDescent="0.25">
      <c r="A4411" s="290"/>
      <c r="B4411" s="288"/>
      <c r="C4411" s="1061"/>
      <c r="D4411" s="291"/>
      <c r="E4411" s="1044"/>
    </row>
    <row r="4412" spans="1:5" x14ac:dyDescent="0.25">
      <c r="A4412" s="290"/>
      <c r="B4412" s="288"/>
      <c r="C4412" s="1061"/>
      <c r="D4412" s="291"/>
      <c r="E4412" s="1044"/>
    </row>
    <row r="4413" spans="1:5" x14ac:dyDescent="0.25">
      <c r="A4413" s="290"/>
      <c r="B4413" s="288"/>
      <c r="C4413" s="1061"/>
      <c r="D4413" s="291"/>
      <c r="E4413" s="1044"/>
    </row>
    <row r="4414" spans="1:5" x14ac:dyDescent="0.25">
      <c r="A4414" s="290"/>
      <c r="B4414" s="288"/>
      <c r="C4414" s="1061"/>
      <c r="D4414" s="291"/>
      <c r="E4414" s="1044"/>
    </row>
    <row r="4415" spans="1:5" x14ac:dyDescent="0.25">
      <c r="A4415" s="290"/>
      <c r="B4415" s="288"/>
      <c r="C4415" s="1061"/>
      <c r="D4415" s="291"/>
      <c r="E4415" s="1044"/>
    </row>
    <row r="4416" spans="1:5" x14ac:dyDescent="0.25">
      <c r="A4416" s="290"/>
      <c r="B4416" s="288"/>
      <c r="C4416" s="1061"/>
      <c r="D4416" s="291"/>
      <c r="E4416" s="1044"/>
    </row>
    <row r="4417" spans="1:5" x14ac:dyDescent="0.25">
      <c r="A4417" s="290"/>
      <c r="B4417" s="288"/>
      <c r="C4417" s="1061"/>
      <c r="D4417" s="291"/>
      <c r="E4417" s="1044"/>
    </row>
    <row r="4418" spans="1:5" x14ac:dyDescent="0.25">
      <c r="A4418" s="290"/>
      <c r="B4418" s="288"/>
      <c r="C4418" s="1061"/>
      <c r="D4418" s="291"/>
      <c r="E4418" s="1044"/>
    </row>
    <row r="4419" spans="1:5" x14ac:dyDescent="0.25">
      <c r="A4419" s="290"/>
      <c r="B4419" s="288"/>
      <c r="C4419" s="1061"/>
      <c r="D4419" s="291"/>
      <c r="E4419" s="1044"/>
    </row>
    <row r="4420" spans="1:5" x14ac:dyDescent="0.25">
      <c r="A4420" s="290"/>
      <c r="B4420" s="288"/>
      <c r="C4420" s="1061"/>
      <c r="D4420" s="291"/>
      <c r="E4420" s="1044"/>
    </row>
    <row r="4421" spans="1:5" x14ac:dyDescent="0.25">
      <c r="A4421" s="290"/>
      <c r="B4421" s="288"/>
      <c r="C4421" s="1061"/>
      <c r="D4421" s="291"/>
      <c r="E4421" s="1044"/>
    </row>
    <row r="4422" spans="1:5" x14ac:dyDescent="0.25">
      <c r="A4422" s="290"/>
      <c r="B4422" s="288"/>
      <c r="C4422" s="1061"/>
      <c r="D4422" s="291"/>
      <c r="E4422" s="1044"/>
    </row>
    <row r="4423" spans="1:5" x14ac:dyDescent="0.25">
      <c r="A4423" s="290"/>
      <c r="B4423" s="288"/>
      <c r="C4423" s="1061"/>
      <c r="D4423" s="291"/>
      <c r="E4423" s="1044"/>
    </row>
    <row r="4424" spans="1:5" x14ac:dyDescent="0.25">
      <c r="A4424" s="290"/>
      <c r="B4424" s="288"/>
      <c r="C4424" s="1061"/>
      <c r="D4424" s="291"/>
      <c r="E4424" s="1044"/>
    </row>
    <row r="4425" spans="1:5" x14ac:dyDescent="0.25">
      <c r="A4425" s="290"/>
      <c r="B4425" s="288"/>
      <c r="C4425" s="1061"/>
      <c r="D4425" s="291"/>
      <c r="E4425" s="1044"/>
    </row>
    <row r="4426" spans="1:5" x14ac:dyDescent="0.25">
      <c r="A4426" s="290"/>
      <c r="B4426" s="288"/>
      <c r="C4426" s="1061"/>
      <c r="D4426" s="291"/>
      <c r="E4426" s="1044"/>
    </row>
    <row r="4427" spans="1:5" x14ac:dyDescent="0.25">
      <c r="A4427" s="290"/>
      <c r="B4427" s="288"/>
      <c r="C4427" s="1061"/>
      <c r="D4427" s="291"/>
      <c r="E4427" s="1044"/>
    </row>
    <row r="4428" spans="1:5" x14ac:dyDescent="0.25">
      <c r="A4428" s="290"/>
      <c r="B4428" s="288"/>
      <c r="C4428" s="1061"/>
      <c r="D4428" s="291"/>
      <c r="E4428" s="1044"/>
    </row>
    <row r="4429" spans="1:5" x14ac:dyDescent="0.25">
      <c r="A4429" s="290"/>
      <c r="B4429" s="288"/>
      <c r="C4429" s="1061"/>
      <c r="D4429" s="291"/>
      <c r="E4429" s="1044"/>
    </row>
    <row r="4430" spans="1:5" x14ac:dyDescent="0.25">
      <c r="A4430" s="290"/>
      <c r="B4430" s="288"/>
      <c r="C4430" s="1061"/>
      <c r="D4430" s="291"/>
      <c r="E4430" s="1044"/>
    </row>
    <row r="4431" spans="1:5" x14ac:dyDescent="0.25">
      <c r="A4431" s="290"/>
      <c r="B4431" s="288"/>
      <c r="C4431" s="1061"/>
      <c r="D4431" s="291"/>
      <c r="E4431" s="1044"/>
    </row>
    <row r="4432" spans="1:5" x14ac:dyDescent="0.25">
      <c r="A4432" s="290"/>
      <c r="B4432" s="288"/>
      <c r="C4432" s="1061"/>
      <c r="D4432" s="291"/>
      <c r="E4432" s="1044"/>
    </row>
    <row r="4433" spans="1:5" x14ac:dyDescent="0.25">
      <c r="A4433" s="290"/>
      <c r="B4433" s="288"/>
      <c r="C4433" s="1061"/>
      <c r="D4433" s="291"/>
      <c r="E4433" s="1044"/>
    </row>
    <row r="4434" spans="1:5" x14ac:dyDescent="0.25">
      <c r="A4434" s="290"/>
      <c r="B4434" s="288"/>
      <c r="C4434" s="1061"/>
      <c r="D4434" s="291"/>
      <c r="E4434" s="1044"/>
    </row>
    <row r="4435" spans="1:5" x14ac:dyDescent="0.25">
      <c r="A4435" s="290"/>
      <c r="B4435" s="288"/>
      <c r="C4435" s="1061"/>
      <c r="D4435" s="291"/>
      <c r="E4435" s="1044"/>
    </row>
    <row r="4436" spans="1:5" x14ac:dyDescent="0.25">
      <c r="A4436" s="290"/>
      <c r="B4436" s="288"/>
      <c r="C4436" s="1061"/>
      <c r="D4436" s="291"/>
      <c r="E4436" s="1044"/>
    </row>
    <row r="4437" spans="1:5" x14ac:dyDescent="0.25">
      <c r="A4437" s="290"/>
      <c r="B4437" s="288"/>
      <c r="C4437" s="1061"/>
      <c r="D4437" s="291"/>
      <c r="E4437" s="1044"/>
    </row>
    <row r="4438" spans="1:5" x14ac:dyDescent="0.25">
      <c r="A4438" s="290"/>
      <c r="B4438" s="288"/>
      <c r="C4438" s="1061"/>
      <c r="D4438" s="291"/>
      <c r="E4438" s="1044"/>
    </row>
    <row r="4439" spans="1:5" x14ac:dyDescent="0.25">
      <c r="A4439" s="290"/>
      <c r="B4439" s="288"/>
      <c r="C4439" s="1061"/>
      <c r="D4439" s="291"/>
      <c r="E4439" s="1044"/>
    </row>
    <row r="4440" spans="1:5" x14ac:dyDescent="0.25">
      <c r="A4440" s="290"/>
      <c r="B4440" s="288"/>
      <c r="C4440" s="1061"/>
      <c r="D4440" s="291"/>
      <c r="E4440" s="1044"/>
    </row>
    <row r="4441" spans="1:5" x14ac:dyDescent="0.25">
      <c r="A4441" s="290"/>
      <c r="B4441" s="288"/>
      <c r="C4441" s="1061"/>
      <c r="D4441" s="291"/>
      <c r="E4441" s="1044"/>
    </row>
    <row r="4442" spans="1:5" x14ac:dyDescent="0.25">
      <c r="A4442" s="290"/>
      <c r="B4442" s="288"/>
      <c r="C4442" s="1061"/>
      <c r="D4442" s="291"/>
      <c r="E4442" s="1044"/>
    </row>
    <row r="4443" spans="1:5" x14ac:dyDescent="0.25">
      <c r="A4443" s="290"/>
      <c r="B4443" s="288"/>
      <c r="C4443" s="1061"/>
      <c r="D4443" s="291"/>
      <c r="E4443" s="1044"/>
    </row>
    <row r="4444" spans="1:5" x14ac:dyDescent="0.25">
      <c r="A4444" s="290"/>
      <c r="B4444" s="288"/>
      <c r="C4444" s="1061"/>
      <c r="D4444" s="291"/>
      <c r="E4444" s="1044"/>
    </row>
    <row r="4445" spans="1:5" x14ac:dyDescent="0.25">
      <c r="A4445" s="290"/>
      <c r="B4445" s="288"/>
      <c r="C4445" s="1061"/>
      <c r="D4445" s="291"/>
      <c r="E4445" s="1044"/>
    </row>
    <row r="4446" spans="1:5" x14ac:dyDescent="0.25">
      <c r="A4446" s="290"/>
      <c r="B4446" s="288"/>
      <c r="C4446" s="1061"/>
      <c r="D4446" s="291"/>
      <c r="E4446" s="1044"/>
    </row>
    <row r="4447" spans="1:5" x14ac:dyDescent="0.25">
      <c r="A4447" s="290"/>
      <c r="B4447" s="288"/>
      <c r="C4447" s="1061"/>
      <c r="D4447" s="291"/>
      <c r="E4447" s="1044"/>
    </row>
    <row r="4448" spans="1:5" x14ac:dyDescent="0.25">
      <c r="A4448" s="290"/>
      <c r="B4448" s="288"/>
      <c r="C4448" s="1061"/>
      <c r="D4448" s="291"/>
      <c r="E4448" s="1044"/>
    </row>
    <row r="4449" spans="1:5" x14ac:dyDescent="0.25">
      <c r="A4449" s="290"/>
      <c r="B4449" s="288"/>
      <c r="C4449" s="1061"/>
      <c r="D4449" s="291"/>
      <c r="E4449" s="1044"/>
    </row>
    <row r="4450" spans="1:5" x14ac:dyDescent="0.25">
      <c r="A4450" s="290"/>
      <c r="B4450" s="288"/>
      <c r="C4450" s="1061"/>
      <c r="D4450" s="291"/>
      <c r="E4450" s="1044"/>
    </row>
    <row r="4451" spans="1:5" x14ac:dyDescent="0.25">
      <c r="A4451" s="290"/>
      <c r="B4451" s="288"/>
      <c r="C4451" s="1061"/>
      <c r="D4451" s="291"/>
      <c r="E4451" s="1044"/>
    </row>
    <row r="4452" spans="1:5" x14ac:dyDescent="0.25">
      <c r="A4452" s="290"/>
      <c r="B4452" s="288"/>
      <c r="C4452" s="1061"/>
      <c r="D4452" s="291"/>
      <c r="E4452" s="1044"/>
    </row>
    <row r="4453" spans="1:5" x14ac:dyDescent="0.25">
      <c r="A4453" s="290"/>
      <c r="B4453" s="288"/>
      <c r="C4453" s="1061"/>
      <c r="D4453" s="291"/>
      <c r="E4453" s="1044"/>
    </row>
    <row r="4454" spans="1:5" x14ac:dyDescent="0.25">
      <c r="A4454" s="290"/>
      <c r="B4454" s="288"/>
      <c r="C4454" s="1061"/>
      <c r="D4454" s="291"/>
      <c r="E4454" s="1044"/>
    </row>
    <row r="4455" spans="1:5" x14ac:dyDescent="0.25">
      <c r="A4455" s="290"/>
      <c r="B4455" s="288"/>
      <c r="C4455" s="1061"/>
      <c r="D4455" s="291"/>
      <c r="E4455" s="1044"/>
    </row>
    <row r="4456" spans="1:5" x14ac:dyDescent="0.25">
      <c r="A4456" s="290"/>
      <c r="B4456" s="288"/>
      <c r="C4456" s="1061"/>
      <c r="D4456" s="291"/>
      <c r="E4456" s="1044"/>
    </row>
    <row r="4457" spans="1:5" x14ac:dyDescent="0.25">
      <c r="A4457" s="290"/>
      <c r="B4457" s="288"/>
      <c r="C4457" s="1061"/>
      <c r="D4457" s="291"/>
      <c r="E4457" s="1044"/>
    </row>
    <row r="4458" spans="1:5" x14ac:dyDescent="0.25">
      <c r="A4458" s="290"/>
      <c r="B4458" s="288"/>
      <c r="C4458" s="1061"/>
      <c r="D4458" s="291"/>
      <c r="E4458" s="1044"/>
    </row>
    <row r="4459" spans="1:5" x14ac:dyDescent="0.25">
      <c r="A4459" s="290"/>
      <c r="B4459" s="288"/>
      <c r="C4459" s="1061"/>
      <c r="D4459" s="291"/>
      <c r="E4459" s="1044"/>
    </row>
    <row r="4460" spans="1:5" x14ac:dyDescent="0.25">
      <c r="A4460" s="290"/>
      <c r="B4460" s="288"/>
      <c r="C4460" s="1061"/>
      <c r="D4460" s="291"/>
      <c r="E4460" s="1044"/>
    </row>
    <row r="4461" spans="1:5" x14ac:dyDescent="0.25">
      <c r="A4461" s="290"/>
      <c r="B4461" s="288"/>
      <c r="C4461" s="1061"/>
      <c r="D4461" s="291"/>
      <c r="E4461" s="1044"/>
    </row>
    <row r="4462" spans="1:5" x14ac:dyDescent="0.25">
      <c r="A4462" s="290"/>
      <c r="B4462" s="288"/>
      <c r="C4462" s="1061"/>
      <c r="D4462" s="291"/>
      <c r="E4462" s="1044"/>
    </row>
    <row r="4463" spans="1:5" x14ac:dyDescent="0.25">
      <c r="A4463" s="290"/>
      <c r="B4463" s="288"/>
      <c r="C4463" s="1061"/>
      <c r="D4463" s="291"/>
      <c r="E4463" s="1044"/>
    </row>
    <row r="4464" spans="1:5" x14ac:dyDescent="0.25">
      <c r="A4464" s="290"/>
      <c r="B4464" s="288"/>
      <c r="C4464" s="1061"/>
      <c r="D4464" s="291"/>
      <c r="E4464" s="1044"/>
    </row>
    <row r="4465" spans="1:5" x14ac:dyDescent="0.25">
      <c r="A4465" s="290"/>
      <c r="B4465" s="288"/>
      <c r="C4465" s="1061"/>
      <c r="D4465" s="291"/>
      <c r="E4465" s="1044"/>
    </row>
    <row r="4466" spans="1:5" x14ac:dyDescent="0.25">
      <c r="A4466" s="290"/>
      <c r="B4466" s="288"/>
      <c r="C4466" s="1061"/>
      <c r="D4466" s="291"/>
      <c r="E4466" s="1044"/>
    </row>
    <row r="4467" spans="1:5" x14ac:dyDescent="0.25">
      <c r="A4467" s="290"/>
      <c r="B4467" s="288"/>
      <c r="C4467" s="1061"/>
      <c r="D4467" s="291"/>
      <c r="E4467" s="1044"/>
    </row>
    <row r="4468" spans="1:5" x14ac:dyDescent="0.25">
      <c r="A4468" s="290"/>
      <c r="B4468" s="288"/>
      <c r="C4468" s="1061"/>
      <c r="D4468" s="291"/>
      <c r="E4468" s="1044"/>
    </row>
    <row r="4469" spans="1:5" x14ac:dyDescent="0.25">
      <c r="A4469" s="290"/>
      <c r="B4469" s="288"/>
      <c r="C4469" s="1061"/>
      <c r="D4469" s="291"/>
      <c r="E4469" s="1044"/>
    </row>
    <row r="4470" spans="1:5" x14ac:dyDescent="0.25">
      <c r="A4470" s="290"/>
      <c r="B4470" s="288"/>
      <c r="C4470" s="1061"/>
      <c r="D4470" s="291"/>
      <c r="E4470" s="1044"/>
    </row>
    <row r="4471" spans="1:5" x14ac:dyDescent="0.25">
      <c r="A4471" s="290"/>
      <c r="B4471" s="288"/>
      <c r="C4471" s="1061"/>
      <c r="D4471" s="291"/>
      <c r="E4471" s="1044"/>
    </row>
    <row r="4472" spans="1:5" x14ac:dyDescent="0.25">
      <c r="A4472" s="290"/>
      <c r="B4472" s="288"/>
      <c r="C4472" s="1061"/>
      <c r="D4472" s="291"/>
      <c r="E4472" s="1044"/>
    </row>
    <row r="4473" spans="1:5" x14ac:dyDescent="0.25">
      <c r="A4473" s="290"/>
      <c r="B4473" s="288"/>
      <c r="C4473" s="1061"/>
      <c r="D4473" s="291"/>
      <c r="E4473" s="1044"/>
    </row>
    <row r="4474" spans="1:5" x14ac:dyDescent="0.25">
      <c r="A4474" s="290"/>
      <c r="B4474" s="288"/>
      <c r="C4474" s="1061"/>
      <c r="D4474" s="291"/>
      <c r="E4474" s="1044"/>
    </row>
    <row r="4475" spans="1:5" x14ac:dyDescent="0.25">
      <c r="A4475" s="290"/>
      <c r="B4475" s="288"/>
      <c r="C4475" s="1061"/>
      <c r="D4475" s="291"/>
      <c r="E4475" s="1044"/>
    </row>
    <row r="4476" spans="1:5" x14ac:dyDescent="0.25">
      <c r="A4476" s="290"/>
      <c r="B4476" s="288"/>
      <c r="C4476" s="1061"/>
      <c r="D4476" s="291"/>
      <c r="E4476" s="1044"/>
    </row>
    <row r="4477" spans="1:5" x14ac:dyDescent="0.25">
      <c r="A4477" s="290"/>
      <c r="B4477" s="288"/>
      <c r="C4477" s="1061"/>
      <c r="D4477" s="291"/>
      <c r="E4477" s="1044"/>
    </row>
    <row r="4478" spans="1:5" x14ac:dyDescent="0.25">
      <c r="A4478" s="290"/>
      <c r="B4478" s="288"/>
      <c r="C4478" s="1061"/>
      <c r="D4478" s="291"/>
      <c r="E4478" s="1044"/>
    </row>
    <row r="4479" spans="1:5" x14ac:dyDescent="0.25">
      <c r="A4479" s="290"/>
      <c r="B4479" s="288"/>
      <c r="C4479" s="1061"/>
      <c r="D4479" s="291"/>
      <c r="E4479" s="1044"/>
    </row>
    <row r="4480" spans="1:5" x14ac:dyDescent="0.25">
      <c r="A4480" s="290"/>
      <c r="B4480" s="288"/>
      <c r="C4480" s="1061"/>
      <c r="D4480" s="291"/>
      <c r="E4480" s="1044"/>
    </row>
    <row r="4481" spans="1:5" x14ac:dyDescent="0.25">
      <c r="A4481" s="290"/>
      <c r="B4481" s="288"/>
      <c r="C4481" s="1061"/>
      <c r="D4481" s="291"/>
      <c r="E4481" s="1044"/>
    </row>
    <row r="4482" spans="1:5" x14ac:dyDescent="0.25">
      <c r="A4482" s="290"/>
      <c r="B4482" s="288"/>
      <c r="C4482" s="1061"/>
      <c r="D4482" s="291"/>
      <c r="E4482" s="1044"/>
    </row>
    <row r="4483" spans="1:5" x14ac:dyDescent="0.25">
      <c r="A4483" s="290"/>
      <c r="B4483" s="288"/>
      <c r="C4483" s="1061"/>
      <c r="D4483" s="291"/>
      <c r="E4483" s="1044"/>
    </row>
    <row r="4484" spans="1:5" x14ac:dyDescent="0.25">
      <c r="A4484" s="290"/>
      <c r="B4484" s="288"/>
      <c r="C4484" s="1061"/>
      <c r="D4484" s="291"/>
      <c r="E4484" s="1044"/>
    </row>
    <row r="4485" spans="1:5" x14ac:dyDescent="0.25">
      <c r="A4485" s="290"/>
      <c r="B4485" s="288"/>
      <c r="C4485" s="1061"/>
      <c r="D4485" s="291"/>
      <c r="E4485" s="1044"/>
    </row>
    <row r="4486" spans="1:5" x14ac:dyDescent="0.25">
      <c r="A4486" s="290"/>
      <c r="B4486" s="288"/>
      <c r="C4486" s="1061"/>
      <c r="D4486" s="291"/>
      <c r="E4486" s="1044"/>
    </row>
    <row r="4487" spans="1:5" x14ac:dyDescent="0.25">
      <c r="A4487" s="294"/>
      <c r="B4487" s="295"/>
      <c r="C4487" s="1062"/>
      <c r="D4487" s="296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5"/>
  <sheetViews>
    <sheetView workbookViewId="0">
      <selection activeCell="C16" sqref="C16"/>
    </sheetView>
  </sheetViews>
  <sheetFormatPr baseColWidth="10" defaultRowHeight="15" x14ac:dyDescent="0.25"/>
  <cols>
    <col min="1" max="1" width="14.5703125" bestFit="1" customWidth="1"/>
    <col min="2" max="2" width="17" bestFit="1" customWidth="1"/>
    <col min="3" max="4" width="15.5703125" bestFit="1" customWidth="1"/>
    <col min="5" max="5" width="16.140625" bestFit="1" customWidth="1"/>
    <col min="6" max="6" width="15.5703125" bestFit="1" customWidth="1"/>
    <col min="7" max="7" width="20.42578125" bestFit="1" customWidth="1"/>
    <col min="8" max="8" width="19.7109375" bestFit="1" customWidth="1"/>
    <col min="9" max="9" width="15.42578125" bestFit="1" customWidth="1"/>
    <col min="10" max="10" width="15.5703125" bestFit="1" customWidth="1"/>
    <col min="11" max="11" width="13.7109375" customWidth="1"/>
    <col min="12" max="12" width="15.5703125" bestFit="1" customWidth="1"/>
    <col min="13" max="13" width="24.28515625" style="1145" bestFit="1" customWidth="1"/>
    <col min="14" max="14" width="33.5703125" bestFit="1" customWidth="1"/>
  </cols>
  <sheetData>
    <row r="1" spans="1:14" x14ac:dyDescent="0.25">
      <c r="A1" s="914" t="s">
        <v>988</v>
      </c>
      <c r="B1" s="914" t="s">
        <v>635</v>
      </c>
      <c r="C1" s="914" t="s">
        <v>993</v>
      </c>
      <c r="D1" s="914" t="s">
        <v>989</v>
      </c>
      <c r="E1" s="914" t="s">
        <v>990</v>
      </c>
      <c r="F1" s="914" t="s">
        <v>991</v>
      </c>
      <c r="G1" s="914" t="str">
        <f ca="1">UPPER(TEXT( +TODAY(),"MMMYY"))</f>
        <v>SEP21</v>
      </c>
      <c r="H1" s="914">
        <f ca="1">IF(A2=G1,E2,0)+IF(A3=G1,E3,0)+IF(A4=G1,E4,0)+IF(A5=G1,E5,0)+IF(A6=G1,E6,0)+IF(A7=G1,E7,0)+IF(A8=G1,E8,0)+IF(A9=G1,E9,0)</f>
        <v>0</v>
      </c>
    </row>
    <row r="2" spans="1:14" x14ac:dyDescent="0.25">
      <c r="A2" s="943" t="str">
        <f>UPPER(TEXT("01/02/2021","MMMYY"))</f>
        <v>FEB21</v>
      </c>
      <c r="B2" s="912">
        <v>162000</v>
      </c>
      <c r="C2" s="912">
        <f>+B2*0.012</f>
        <v>1944</v>
      </c>
      <c r="D2" s="912">
        <v>8260</v>
      </c>
      <c r="E2" s="912">
        <f>+B2+C2-D2</f>
        <v>155684</v>
      </c>
      <c r="F2" s="913"/>
      <c r="G2" s="107"/>
    </row>
    <row r="3" spans="1:14" x14ac:dyDescent="0.25">
      <c r="A3" s="912" t="str">
        <f>UPPER(TEXT("01/03/2021","MMMYY"))</f>
        <v>MAR21</v>
      </c>
      <c r="B3" s="912">
        <v>11836.96</v>
      </c>
      <c r="C3" s="912">
        <f>1146.17+152.32</f>
        <v>1298.49</v>
      </c>
      <c r="D3" s="912">
        <f t="shared" ref="D3:D9" si="0">+B3+C3</f>
        <v>13135.449999999999</v>
      </c>
      <c r="E3" s="912">
        <v>211362.55</v>
      </c>
      <c r="F3" s="913"/>
      <c r="G3" s="107"/>
      <c r="N3" s="1146"/>
    </row>
    <row r="4" spans="1:14" x14ac:dyDescent="0.25">
      <c r="A4" s="912" t="str">
        <f>UPPER(TEXT("01/04/2021","MMMYY"))</f>
        <v>ABR21</v>
      </c>
      <c r="B4" s="912">
        <f>11836.96</f>
        <v>11836.96</v>
      </c>
      <c r="C4" s="912">
        <f>1098.15+152.32</f>
        <v>1250.47</v>
      </c>
      <c r="D4" s="912">
        <f t="shared" si="0"/>
        <v>13087.429999999998</v>
      </c>
      <c r="E4" s="912">
        <v>199525.59</v>
      </c>
      <c r="F4" s="913"/>
      <c r="G4" s="107"/>
      <c r="N4" s="1146"/>
    </row>
    <row r="5" spans="1:14" x14ac:dyDescent="0.25">
      <c r="A5" s="912" t="str">
        <f>UPPER(TEXT("01/05/2021","MMMYY"))</f>
        <v>MAY21</v>
      </c>
      <c r="B5" s="912">
        <f>11836.96+856.58</f>
        <v>12693.539999999999</v>
      </c>
      <c r="C5" s="912">
        <f>1059.77+152.32</f>
        <v>1212.0899999999999</v>
      </c>
      <c r="D5" s="912">
        <f t="shared" si="0"/>
        <v>13905.63</v>
      </c>
      <c r="E5" s="912">
        <v>186832.05</v>
      </c>
      <c r="F5" s="913"/>
      <c r="G5" s="107"/>
      <c r="N5" s="1146"/>
    </row>
    <row r="6" spans="1:14" x14ac:dyDescent="0.25">
      <c r="A6" s="912" t="str">
        <f>UPPER(TEXT("01/06/2021","MMMYY"))</f>
        <v>JUN21</v>
      </c>
      <c r="B6" s="912">
        <f>11836.96+856.58</f>
        <v>12693.539999999999</v>
      </c>
      <c r="C6" s="912">
        <f>1009.37+152.32</f>
        <v>1161.69</v>
      </c>
      <c r="D6" s="912">
        <f t="shared" si="0"/>
        <v>13855.23</v>
      </c>
      <c r="E6" s="912">
        <v>174138.51</v>
      </c>
      <c r="F6" s="913"/>
      <c r="G6" s="107"/>
      <c r="N6" s="1146"/>
    </row>
    <row r="7" spans="1:14" x14ac:dyDescent="0.25">
      <c r="A7" s="912" t="str">
        <f>UPPER(TEXT("01/07/2021","MMMYY"))</f>
        <v>JUL21</v>
      </c>
      <c r="B7" s="912">
        <f>11836.96+856.58-144.77+7709.26</f>
        <v>20258.03</v>
      </c>
      <c r="C7" s="912">
        <f>957.19+244.83</f>
        <v>1202.02</v>
      </c>
      <c r="D7" s="912">
        <f t="shared" si="0"/>
        <v>21460.05</v>
      </c>
      <c r="E7" s="912">
        <v>153880.48000000001</v>
      </c>
      <c r="F7" s="913"/>
      <c r="G7" s="107"/>
      <c r="K7" s="746"/>
      <c r="N7" s="1146"/>
    </row>
    <row r="8" spans="1:14" x14ac:dyDescent="0.25">
      <c r="A8" s="912" t="str">
        <f>UPPER(TEXT("01/08/2021","MMMYY"))</f>
        <v>AGO21</v>
      </c>
      <c r="B8" s="912">
        <f>11836.96</f>
        <v>11836.96</v>
      </c>
      <c r="C8" s="912">
        <f>903.17+152.32</f>
        <v>1055.49</v>
      </c>
      <c r="D8" s="912">
        <f t="shared" si="0"/>
        <v>12892.449999999999</v>
      </c>
      <c r="E8" s="912">
        <v>114154.65</v>
      </c>
      <c r="F8" s="913"/>
      <c r="G8" s="107"/>
      <c r="K8" s="746"/>
      <c r="N8" s="1146"/>
    </row>
    <row r="9" spans="1:14" x14ac:dyDescent="0.25">
      <c r="A9" s="992" t="str">
        <f>UPPER(TEXT("01/09/2021","MMMYY"))</f>
        <v>SEP21</v>
      </c>
      <c r="B9" s="992">
        <v>114154.65</v>
      </c>
      <c r="C9" s="992">
        <f>5363+1836</f>
        <v>7199</v>
      </c>
      <c r="D9" s="992">
        <f t="shared" si="0"/>
        <v>121353.65</v>
      </c>
      <c r="E9" s="992">
        <v>0</v>
      </c>
      <c r="F9" s="993" t="s">
        <v>1018</v>
      </c>
      <c r="G9" s="107" t="s">
        <v>1109</v>
      </c>
      <c r="K9" s="746"/>
      <c r="N9" s="1146"/>
    </row>
    <row r="11" spans="1:14" x14ac:dyDescent="0.25">
      <c r="A11" s="909" t="s">
        <v>992</v>
      </c>
      <c r="B11" s="909"/>
      <c r="C11" s="909">
        <f>SUM(C2:C10)</f>
        <v>16323.25</v>
      </c>
      <c r="D11" s="910">
        <f>SUM(D2:D10)</f>
        <v>217949.88999999998</v>
      </c>
      <c r="E11" s="909"/>
      <c r="F11" s="911">
        <f>COUNTA(F2:F9)</f>
        <v>1</v>
      </c>
    </row>
    <row r="13" spans="1:14" x14ac:dyDescent="0.25">
      <c r="A13" s="909" t="s">
        <v>994</v>
      </c>
      <c r="B13" s="909">
        <f>+B2</f>
        <v>162000</v>
      </c>
    </row>
    <row r="14" spans="1:14" x14ac:dyDescent="0.25">
      <c r="A14" s="909" t="s">
        <v>989</v>
      </c>
      <c r="B14" s="909">
        <f>+D11</f>
        <v>217949.88999999998</v>
      </c>
    </row>
    <row r="15" spans="1:14" x14ac:dyDescent="0.25">
      <c r="A15" s="909" t="s">
        <v>995</v>
      </c>
      <c r="B15" s="909">
        <f>+B14-B13</f>
        <v>55949.889999999985</v>
      </c>
      <c r="C15">
        <f>+B15+67855.32</f>
        <v>123805.20999999999</v>
      </c>
    </row>
    <row r="16" spans="1:14" x14ac:dyDescent="0.25">
      <c r="A16" s="909" t="s">
        <v>1009</v>
      </c>
      <c r="B16" s="909">
        <f>+D9</f>
        <v>121353.65</v>
      </c>
      <c r="D16" s="225"/>
      <c r="E16" s="225"/>
      <c r="F16" s="225"/>
      <c r="G16" s="225"/>
      <c r="H16" s="225"/>
      <c r="I16" s="225"/>
      <c r="J16" s="225"/>
      <c r="K16" s="225"/>
      <c r="L16" s="225"/>
      <c r="M16" s="1168"/>
      <c r="N16" s="225"/>
    </row>
    <row r="17" spans="1:15" x14ac:dyDescent="0.25">
      <c r="D17" s="225"/>
      <c r="E17" s="1167"/>
      <c r="F17" s="1167"/>
      <c r="G17" s="225"/>
      <c r="H17" s="225"/>
      <c r="I17" s="225"/>
      <c r="J17" s="225"/>
      <c r="K17" s="225"/>
      <c r="L17" s="225"/>
      <c r="M17" s="1168"/>
      <c r="N17" s="225"/>
      <c r="O17" s="107"/>
    </row>
    <row r="18" spans="1:15" x14ac:dyDescent="0.25">
      <c r="A18" s="1161"/>
      <c r="B18" s="1161"/>
      <c r="C18" s="1161"/>
      <c r="D18" s="958"/>
      <c r="E18" s="942"/>
      <c r="F18" s="238"/>
      <c r="G18" s="238"/>
      <c r="H18" s="238"/>
      <c r="I18" s="238"/>
      <c r="J18" s="238"/>
      <c r="K18" s="238"/>
      <c r="L18" s="238"/>
      <c r="M18" s="1168"/>
      <c r="N18" s="225"/>
      <c r="O18" s="107"/>
    </row>
    <row r="19" spans="1:15" x14ac:dyDescent="0.25">
      <c r="A19" s="1162"/>
      <c r="B19" s="1163"/>
      <c r="C19" s="1164"/>
      <c r="D19" s="960"/>
      <c r="E19" s="961"/>
      <c r="F19" s="962"/>
      <c r="G19" s="962"/>
      <c r="H19" s="963"/>
      <c r="I19" s="238"/>
      <c r="J19" s="893"/>
      <c r="K19" s="893"/>
      <c r="L19" s="238"/>
      <c r="M19" s="1168"/>
      <c r="N19" s="225"/>
      <c r="O19" s="107"/>
    </row>
    <row r="20" spans="1:15" x14ac:dyDescent="0.25">
      <c r="A20" s="1162"/>
      <c r="B20" s="1163"/>
      <c r="C20" s="1164"/>
      <c r="D20" s="960"/>
      <c r="E20" s="961"/>
      <c r="F20" s="962"/>
      <c r="G20" s="962"/>
      <c r="H20" s="963"/>
      <c r="I20" s="238"/>
      <c r="J20" s="893"/>
      <c r="K20" s="893"/>
      <c r="L20" s="238"/>
      <c r="M20" s="1168"/>
      <c r="N20" s="225"/>
      <c r="O20" s="107"/>
    </row>
    <row r="21" spans="1:15" x14ac:dyDescent="0.25">
      <c r="A21" s="1162"/>
      <c r="B21" s="1163"/>
      <c r="C21" s="1164"/>
      <c r="D21" s="960"/>
      <c r="E21" s="961"/>
      <c r="F21" s="962"/>
      <c r="G21" s="962"/>
      <c r="H21" s="963"/>
      <c r="I21" s="238"/>
      <c r="J21" s="893"/>
      <c r="K21" s="893"/>
      <c r="L21" s="238"/>
      <c r="M21" s="1168"/>
      <c r="N21" s="225"/>
      <c r="O21" s="107"/>
    </row>
    <row r="22" spans="1:15" x14ac:dyDescent="0.25">
      <c r="A22" s="1162"/>
      <c r="B22" s="1163"/>
      <c r="C22" s="1164"/>
      <c r="D22" s="960"/>
      <c r="E22" s="961"/>
      <c r="F22" s="962"/>
      <c r="G22" s="962"/>
      <c r="H22" s="963"/>
      <c r="I22" s="238"/>
      <c r="J22" s="893"/>
      <c r="K22" s="893"/>
      <c r="L22" s="238"/>
      <c r="M22" s="1168"/>
      <c r="N22" s="225"/>
      <c r="O22" s="107"/>
    </row>
    <row r="23" spans="1:15" x14ac:dyDescent="0.25">
      <c r="A23" s="1162"/>
      <c r="B23" s="1163"/>
      <c r="C23" s="1164"/>
      <c r="D23" s="960"/>
      <c r="E23" s="961"/>
      <c r="F23" s="962"/>
      <c r="G23" s="962"/>
      <c r="H23" s="963"/>
      <c r="I23" s="238"/>
      <c r="J23" s="893"/>
      <c r="K23" s="893"/>
      <c r="L23" s="238"/>
      <c r="M23" s="1168"/>
      <c r="N23" s="225"/>
      <c r="O23" s="107"/>
    </row>
    <row r="24" spans="1:15" x14ac:dyDescent="0.25">
      <c r="A24" s="1162"/>
      <c r="B24" s="1163"/>
      <c r="C24" s="1164"/>
      <c r="D24" s="960"/>
      <c r="E24" s="961"/>
      <c r="F24" s="962"/>
      <c r="G24" s="962"/>
      <c r="H24" s="963"/>
      <c r="I24" s="238"/>
      <c r="J24" s="893"/>
      <c r="K24" s="893"/>
      <c r="L24" s="238"/>
      <c r="M24" s="1168"/>
      <c r="N24" s="225"/>
      <c r="O24" s="107"/>
    </row>
    <row r="25" spans="1:15" x14ac:dyDescent="0.25">
      <c r="A25" s="1162"/>
      <c r="B25" s="1163"/>
      <c r="C25" s="1164"/>
      <c r="D25" s="960"/>
      <c r="E25" s="961"/>
      <c r="F25" s="962"/>
      <c r="G25" s="962"/>
      <c r="H25" s="963"/>
      <c r="I25" s="238"/>
      <c r="J25" s="893"/>
      <c r="K25" s="893"/>
      <c r="L25" s="238"/>
      <c r="M25" s="1168"/>
      <c r="N25" s="225"/>
      <c r="O25" s="107"/>
    </row>
    <row r="26" spans="1:15" x14ac:dyDescent="0.25">
      <c r="A26" s="1162"/>
      <c r="B26" s="1163"/>
      <c r="C26" s="1164"/>
      <c r="D26" s="960"/>
      <c r="E26" s="961"/>
      <c r="F26" s="962"/>
      <c r="G26" s="962"/>
      <c r="H26" s="963"/>
      <c r="I26" s="238"/>
      <c r="J26" s="893"/>
      <c r="K26" s="893"/>
      <c r="L26" s="238"/>
      <c r="M26" s="1168"/>
      <c r="N26" s="225"/>
      <c r="O26" s="107"/>
    </row>
    <row r="27" spans="1:15" x14ac:dyDescent="0.25">
      <c r="A27" s="1162"/>
      <c r="B27" s="1163"/>
      <c r="C27" s="1164"/>
      <c r="D27" s="960"/>
      <c r="E27" s="961"/>
      <c r="F27" s="962"/>
      <c r="G27" s="962"/>
      <c r="H27" s="963"/>
      <c r="I27" s="238"/>
      <c r="J27" s="893"/>
      <c r="K27" s="893"/>
      <c r="L27" s="238"/>
      <c r="M27" s="1168"/>
      <c r="N27" s="225"/>
      <c r="O27" s="107"/>
    </row>
    <row r="28" spans="1:15" x14ac:dyDescent="0.25">
      <c r="A28" s="1162"/>
      <c r="B28" s="1163"/>
      <c r="C28" s="1164"/>
      <c r="D28" s="960"/>
      <c r="E28" s="961"/>
      <c r="F28" s="962"/>
      <c r="G28" s="962"/>
      <c r="H28" s="963"/>
      <c r="I28" s="238"/>
      <c r="J28" s="893"/>
      <c r="K28" s="893"/>
      <c r="L28" s="238"/>
      <c r="M28" s="1168"/>
      <c r="N28" s="225"/>
      <c r="O28" s="107"/>
    </row>
    <row r="29" spans="1:15" x14ac:dyDescent="0.25">
      <c r="A29" s="1163"/>
      <c r="B29" s="1163"/>
      <c r="C29" s="1163"/>
      <c r="D29" s="238"/>
      <c r="E29" s="238"/>
      <c r="F29" s="238"/>
      <c r="G29" s="238"/>
      <c r="H29" s="238"/>
      <c r="I29" s="238"/>
      <c r="J29" s="893"/>
      <c r="K29" s="893"/>
      <c r="L29" s="238"/>
      <c r="M29" s="1168"/>
      <c r="N29" s="225"/>
      <c r="O29" s="107"/>
    </row>
    <row r="30" spans="1:15" x14ac:dyDescent="0.25">
      <c r="A30" s="33"/>
      <c r="B30" s="33"/>
      <c r="C30" s="33"/>
      <c r="D30" s="238"/>
      <c r="E30" s="238"/>
      <c r="F30" s="238"/>
      <c r="G30" s="238"/>
      <c r="H30" s="238"/>
      <c r="I30" s="238"/>
      <c r="J30" s="893"/>
      <c r="K30" s="893"/>
      <c r="L30" s="238"/>
      <c r="M30" s="1168"/>
      <c r="N30" s="225"/>
      <c r="O30" s="107"/>
    </row>
    <row r="31" spans="1:15" x14ac:dyDescent="0.25">
      <c r="A31" s="33"/>
      <c r="B31" s="33"/>
      <c r="C31" s="33"/>
      <c r="D31" s="960"/>
      <c r="E31" s="238"/>
      <c r="F31" s="238"/>
      <c r="G31" s="238"/>
      <c r="H31" s="238"/>
      <c r="I31" s="238"/>
      <c r="J31" s="893"/>
      <c r="K31" s="893"/>
      <c r="L31" s="238"/>
      <c r="M31" s="1168"/>
      <c r="N31" s="225"/>
      <c r="O31" s="107"/>
    </row>
    <row r="32" spans="1:15" x14ac:dyDescent="0.25">
      <c r="A32" s="33"/>
      <c r="B32" s="33"/>
      <c r="C32" s="33"/>
      <c r="D32" s="238"/>
      <c r="E32" s="238"/>
      <c r="F32" s="238"/>
      <c r="G32" s="238"/>
      <c r="H32" s="238"/>
      <c r="I32" s="238"/>
      <c r="J32" s="238"/>
      <c r="K32" s="238"/>
      <c r="L32" s="238"/>
      <c r="M32" s="1168"/>
      <c r="N32" s="225"/>
      <c r="O32" s="107"/>
    </row>
    <row r="33" spans="1:15" x14ac:dyDescent="0.25">
      <c r="A33" s="33"/>
      <c r="B33" s="33"/>
      <c r="C33" s="33"/>
      <c r="D33" s="238"/>
      <c r="E33" s="238"/>
      <c r="F33" s="238"/>
      <c r="G33" s="238"/>
      <c r="H33" s="238"/>
      <c r="I33" s="238"/>
      <c r="J33" s="238"/>
      <c r="K33" s="238"/>
      <c r="L33" s="238"/>
      <c r="M33" s="1168"/>
      <c r="N33" s="225"/>
      <c r="O33" s="107"/>
    </row>
    <row r="34" spans="1:15" x14ac:dyDescent="0.25">
      <c r="A34" s="33"/>
      <c r="B34" s="33"/>
      <c r="C34" s="33"/>
      <c r="D34" s="238"/>
      <c r="E34" s="238"/>
      <c r="F34" s="238"/>
      <c r="G34" s="238"/>
      <c r="H34" s="238"/>
      <c r="I34" s="238"/>
      <c r="J34" s="238"/>
      <c r="K34" s="238"/>
      <c r="L34" s="238"/>
      <c r="M34" s="1168"/>
      <c r="N34" s="225"/>
      <c r="O34" s="107"/>
    </row>
    <row r="35" spans="1:15" x14ac:dyDescent="0.25">
      <c r="D35" s="225"/>
      <c r="E35" s="225"/>
      <c r="F35" s="225"/>
      <c r="G35" s="225"/>
      <c r="H35" s="225"/>
      <c r="I35" s="225"/>
      <c r="J35" s="225"/>
      <c r="K35" s="225"/>
      <c r="L35" s="225"/>
      <c r="M35" s="1168"/>
      <c r="N35" s="225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22"/>
  <sheetViews>
    <sheetView zoomScaleNormal="100" workbookViewId="0">
      <pane ySplit="1" topLeftCell="A180" activePane="bottomLeft" state="frozen"/>
      <selection activeCell="B1" sqref="B1"/>
      <selection pane="bottomLeft" activeCell="C216" sqref="C216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04" customWidth="1"/>
    <col min="7" max="7" width="15.28515625" style="825" bestFit="1" customWidth="1"/>
    <col min="8" max="8" width="12.28515625" style="862" bestFit="1" customWidth="1"/>
    <col min="9" max="9" width="14.5703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8.28515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60" customFormat="1" x14ac:dyDescent="0.25">
      <c r="A1" s="663" t="s">
        <v>7</v>
      </c>
      <c r="B1" s="660" t="s">
        <v>762</v>
      </c>
      <c r="C1" s="706" t="s">
        <v>759</v>
      </c>
      <c r="D1" s="706" t="s">
        <v>157</v>
      </c>
      <c r="E1" s="707">
        <f>SUM(E2:E183)</f>
        <v>8351.2000000000007</v>
      </c>
      <c r="F1" s="708" t="s">
        <v>760</v>
      </c>
      <c r="G1" s="863" t="s">
        <v>184</v>
      </c>
      <c r="H1" s="857">
        <f>SUM(H2:H183)</f>
        <v>74.689999999987549</v>
      </c>
      <c r="I1" s="706" t="s">
        <v>794</v>
      </c>
      <c r="J1" s="706"/>
      <c r="K1" s="847">
        <f>+Dolares_Bolsa*Ctzv</f>
        <v>1494864.8</v>
      </c>
      <c r="L1" s="848">
        <f>Dolares_Bolsa</f>
        <v>8351.2000000000007</v>
      </c>
      <c r="M1" s="846">
        <f>+Pesos_Bolsa+Especies_Bolsa</f>
        <v>1494939.49</v>
      </c>
      <c r="N1" s="710"/>
      <c r="O1" s="710"/>
      <c r="P1" s="710"/>
      <c r="Q1" s="710"/>
    </row>
    <row r="2" spans="1:17" s="661" customFormat="1" x14ac:dyDescent="0.25">
      <c r="A2" s="664">
        <v>43712</v>
      </c>
      <c r="B2" s="661" t="s">
        <v>763</v>
      </c>
      <c r="C2" s="674" t="s">
        <v>807</v>
      </c>
      <c r="D2" s="674"/>
      <c r="E2" s="675"/>
      <c r="F2" s="688" t="s">
        <v>132</v>
      </c>
      <c r="G2" s="864"/>
      <c r="H2" s="858">
        <v>100</v>
      </c>
      <c r="I2" s="674"/>
      <c r="J2" s="674"/>
      <c r="K2" s="674"/>
    </row>
    <row r="3" spans="1:17" s="662" customFormat="1" x14ac:dyDescent="0.25">
      <c r="A3" s="665">
        <v>43712</v>
      </c>
      <c r="B3" s="662" t="s">
        <v>764</v>
      </c>
      <c r="C3" s="676" t="s">
        <v>807</v>
      </c>
      <c r="D3" s="676"/>
      <c r="E3" s="677"/>
      <c r="F3" s="689" t="s">
        <v>765</v>
      </c>
      <c r="G3" s="865"/>
      <c r="H3" s="859">
        <v>-99.75</v>
      </c>
      <c r="I3" s="676"/>
      <c r="J3" s="676"/>
      <c r="K3" s="676"/>
    </row>
    <row r="4" spans="1:17" s="661" customFormat="1" x14ac:dyDescent="0.25">
      <c r="A4" s="664">
        <v>43712</v>
      </c>
      <c r="B4" s="661" t="s">
        <v>766</v>
      </c>
      <c r="C4" s="674">
        <v>99.75</v>
      </c>
      <c r="D4" s="674">
        <v>57</v>
      </c>
      <c r="E4" s="675">
        <v>1.75</v>
      </c>
      <c r="F4" s="688"/>
      <c r="G4" s="864"/>
      <c r="H4" s="858"/>
      <c r="I4" s="674"/>
      <c r="J4" s="674"/>
      <c r="K4" s="674"/>
    </row>
    <row r="5" spans="1:17" s="661" customFormat="1" x14ac:dyDescent="0.25">
      <c r="A5" s="664">
        <v>43719</v>
      </c>
      <c r="B5" s="661" t="s">
        <v>766</v>
      </c>
      <c r="C5" s="674" t="s">
        <v>132</v>
      </c>
      <c r="D5" s="674"/>
      <c r="E5" s="675">
        <v>213</v>
      </c>
      <c r="F5" s="688" t="s">
        <v>807</v>
      </c>
      <c r="G5" s="864"/>
      <c r="H5" s="858"/>
      <c r="I5" s="674"/>
      <c r="J5" s="674"/>
      <c r="K5" s="674"/>
    </row>
    <row r="6" spans="1:17" s="662" customFormat="1" x14ac:dyDescent="0.25">
      <c r="A6" s="665">
        <v>43720</v>
      </c>
      <c r="B6" s="662" t="s">
        <v>782</v>
      </c>
      <c r="C6" s="678">
        <v>473</v>
      </c>
      <c r="D6" s="679">
        <v>0.45400000000000001</v>
      </c>
      <c r="E6" s="677">
        <v>-214.74</v>
      </c>
      <c r="F6" s="689" t="s">
        <v>807</v>
      </c>
      <c r="G6" s="865"/>
      <c r="H6" s="859"/>
      <c r="I6" s="676"/>
      <c r="J6" s="676"/>
      <c r="K6" s="676"/>
    </row>
    <row r="7" spans="1:17" s="662" customFormat="1" x14ac:dyDescent="0.25">
      <c r="A7" s="665">
        <v>43720</v>
      </c>
      <c r="B7" s="662" t="s">
        <v>767</v>
      </c>
      <c r="C7" s="676" t="s">
        <v>761</v>
      </c>
      <c r="D7" s="676"/>
      <c r="E7" s="677">
        <v>-5.44</v>
      </c>
      <c r="F7" s="689" t="s">
        <v>807</v>
      </c>
      <c r="G7" s="865"/>
      <c r="H7" s="859"/>
      <c r="I7" s="676"/>
      <c r="J7" s="676"/>
      <c r="K7" s="676"/>
    </row>
    <row r="8" spans="1:17" s="661" customFormat="1" x14ac:dyDescent="0.25">
      <c r="A8" s="664">
        <v>43720</v>
      </c>
      <c r="B8" s="661" t="s">
        <v>783</v>
      </c>
      <c r="C8" s="674" t="s">
        <v>807</v>
      </c>
      <c r="D8" s="674"/>
      <c r="E8" s="675"/>
      <c r="F8" s="690">
        <v>473</v>
      </c>
      <c r="G8" s="864">
        <v>27.7</v>
      </c>
      <c r="H8" s="858">
        <f>+F8*G8</f>
        <v>13102.1</v>
      </c>
      <c r="I8" s="674"/>
      <c r="J8" s="674"/>
      <c r="K8" s="674"/>
    </row>
    <row r="9" spans="1:17" s="662" customFormat="1" x14ac:dyDescent="0.25">
      <c r="A9" s="665">
        <v>43720</v>
      </c>
      <c r="B9" s="662" t="s">
        <v>764</v>
      </c>
      <c r="C9" s="676" t="s">
        <v>807</v>
      </c>
      <c r="D9" s="676"/>
      <c r="E9" s="677"/>
      <c r="F9" s="689" t="s">
        <v>761</v>
      </c>
      <c r="G9" s="865"/>
      <c r="H9" s="859">
        <v>-300.25</v>
      </c>
      <c r="I9" s="676"/>
      <c r="J9" s="676"/>
      <c r="K9" s="677"/>
    </row>
    <row r="10" spans="1:17" s="662" customFormat="1" x14ac:dyDescent="0.25">
      <c r="A10" s="665">
        <v>43721</v>
      </c>
      <c r="B10" s="662" t="s">
        <v>764</v>
      </c>
      <c r="C10" s="676" t="s">
        <v>807</v>
      </c>
      <c r="D10" s="676"/>
      <c r="E10" s="677"/>
      <c r="F10" s="689" t="s">
        <v>765</v>
      </c>
      <c r="G10" s="865"/>
      <c r="H10" s="859">
        <v>-12801.76</v>
      </c>
      <c r="I10" s="676"/>
      <c r="J10" s="676"/>
      <c r="K10" s="676"/>
    </row>
    <row r="11" spans="1:17" s="661" customFormat="1" x14ac:dyDescent="0.25">
      <c r="A11" s="664">
        <v>43721</v>
      </c>
      <c r="B11" s="661" t="s">
        <v>766</v>
      </c>
      <c r="C11" s="674">
        <v>12801.76</v>
      </c>
      <c r="D11" s="674">
        <v>58</v>
      </c>
      <c r="E11" s="675">
        <v>220.71</v>
      </c>
      <c r="F11" s="688" t="s">
        <v>807</v>
      </c>
      <c r="G11" s="864"/>
      <c r="H11" s="858"/>
      <c r="I11" s="674"/>
      <c r="J11" s="674"/>
      <c r="K11" s="674"/>
    </row>
    <row r="12" spans="1:17" s="661" customFormat="1" x14ac:dyDescent="0.25">
      <c r="A12" s="664">
        <v>43721</v>
      </c>
      <c r="B12" s="661" t="s">
        <v>763</v>
      </c>
      <c r="C12" s="674" t="s">
        <v>807</v>
      </c>
      <c r="D12" s="674"/>
      <c r="E12" s="675"/>
      <c r="F12" s="688" t="s">
        <v>132</v>
      </c>
      <c r="G12" s="864"/>
      <c r="H12" s="858">
        <v>12350</v>
      </c>
      <c r="I12" s="674"/>
      <c r="J12" s="674"/>
      <c r="K12" s="674"/>
    </row>
    <row r="13" spans="1:17" s="662" customFormat="1" x14ac:dyDescent="0.25">
      <c r="A13" s="665">
        <v>43721</v>
      </c>
      <c r="B13" s="662" t="s">
        <v>764</v>
      </c>
      <c r="C13" s="676" t="s">
        <v>807</v>
      </c>
      <c r="D13" s="676"/>
      <c r="E13" s="677"/>
      <c r="F13" s="689" t="s">
        <v>765</v>
      </c>
      <c r="G13" s="865"/>
      <c r="H13" s="859">
        <v>-12349.94</v>
      </c>
      <c r="I13" s="676"/>
      <c r="J13" s="676"/>
      <c r="K13" s="676"/>
    </row>
    <row r="14" spans="1:17" s="661" customFormat="1" x14ac:dyDescent="0.25">
      <c r="A14" s="664">
        <v>43721</v>
      </c>
      <c r="B14" s="661" t="s">
        <v>766</v>
      </c>
      <c r="C14" s="674">
        <v>12349.94</v>
      </c>
      <c r="D14" s="674">
        <v>58</v>
      </c>
      <c r="E14" s="675">
        <v>212.93</v>
      </c>
      <c r="F14" s="688" t="s">
        <v>807</v>
      </c>
      <c r="G14" s="864"/>
      <c r="H14" s="858"/>
      <c r="I14" s="674"/>
      <c r="J14" s="674"/>
      <c r="K14" s="674"/>
    </row>
    <row r="15" spans="1:17" s="662" customFormat="1" x14ac:dyDescent="0.25">
      <c r="A15" s="665">
        <v>43732</v>
      </c>
      <c r="B15" s="662" t="s">
        <v>782</v>
      </c>
      <c r="C15" s="678">
        <v>1096</v>
      </c>
      <c r="D15" s="704">
        <v>0.3906</v>
      </c>
      <c r="E15" s="677">
        <v>-428.1</v>
      </c>
      <c r="F15" s="689" t="s">
        <v>807</v>
      </c>
      <c r="G15" s="865"/>
      <c r="H15" s="859"/>
      <c r="I15" s="676"/>
      <c r="J15" s="676"/>
      <c r="K15" s="676"/>
    </row>
    <row r="16" spans="1:17" s="662" customFormat="1" x14ac:dyDescent="0.25">
      <c r="A16" s="665">
        <v>43732</v>
      </c>
      <c r="B16" s="662" t="s">
        <v>767</v>
      </c>
      <c r="C16" s="677" t="s">
        <v>807</v>
      </c>
      <c r="D16" s="676"/>
      <c r="E16" s="677">
        <v>-5.47</v>
      </c>
      <c r="F16" s="689" t="s">
        <v>761</v>
      </c>
      <c r="G16" s="865"/>
      <c r="H16" s="859">
        <v>-0.36</v>
      </c>
      <c r="I16" s="676"/>
      <c r="J16" s="676"/>
      <c r="K16" s="676"/>
    </row>
    <row r="17" spans="1:11" s="661" customFormat="1" x14ac:dyDescent="0.25">
      <c r="A17" s="664">
        <v>43746</v>
      </c>
      <c r="B17" s="661" t="s">
        <v>783</v>
      </c>
      <c r="C17" s="674" t="s">
        <v>807</v>
      </c>
      <c r="D17" s="674"/>
      <c r="E17" s="675"/>
      <c r="F17" s="690">
        <v>1096</v>
      </c>
      <c r="G17" s="864">
        <v>25.5</v>
      </c>
      <c r="H17" s="858">
        <f>+F17*G17</f>
        <v>27948</v>
      </c>
      <c r="I17" s="674"/>
      <c r="J17" s="674"/>
      <c r="K17" s="674"/>
    </row>
    <row r="18" spans="1:11" s="662" customFormat="1" x14ac:dyDescent="0.25">
      <c r="A18" s="665">
        <v>43746</v>
      </c>
      <c r="B18" s="662" t="s">
        <v>764</v>
      </c>
      <c r="C18" s="676" t="s">
        <v>807</v>
      </c>
      <c r="D18" s="676"/>
      <c r="E18" s="677"/>
      <c r="F18" s="689" t="s">
        <v>761</v>
      </c>
      <c r="G18" s="865"/>
      <c r="H18" s="859">
        <v>-300.42</v>
      </c>
      <c r="I18" s="676"/>
      <c r="J18" s="676"/>
      <c r="K18" s="676"/>
    </row>
    <row r="19" spans="1:11" s="662" customFormat="1" x14ac:dyDescent="0.25">
      <c r="A19" s="665">
        <v>43746</v>
      </c>
      <c r="B19" s="662" t="s">
        <v>764</v>
      </c>
      <c r="C19" s="676" t="s">
        <v>807</v>
      </c>
      <c r="D19" s="676"/>
      <c r="E19" s="677"/>
      <c r="F19" s="689" t="s">
        <v>765</v>
      </c>
      <c r="G19" s="865"/>
      <c r="H19" s="859">
        <v>-27647.1</v>
      </c>
      <c r="I19" s="676"/>
      <c r="J19" s="676"/>
      <c r="K19" s="676"/>
    </row>
    <row r="20" spans="1:11" s="661" customFormat="1" x14ac:dyDescent="0.25">
      <c r="A20" s="664">
        <v>43746</v>
      </c>
      <c r="B20" s="661" t="s">
        <v>766</v>
      </c>
      <c r="C20" s="674">
        <v>27647.1</v>
      </c>
      <c r="D20" s="674">
        <v>58.5</v>
      </c>
      <c r="E20" s="675">
        <v>472.6</v>
      </c>
      <c r="F20" s="688" t="s">
        <v>807</v>
      </c>
      <c r="G20" s="864"/>
      <c r="H20" s="858"/>
      <c r="I20" s="674"/>
      <c r="J20" s="674"/>
      <c r="K20" s="674"/>
    </row>
    <row r="21" spans="1:11" s="661" customFormat="1" x14ac:dyDescent="0.25">
      <c r="A21" s="664">
        <v>43749</v>
      </c>
      <c r="B21" s="661" t="s">
        <v>763</v>
      </c>
      <c r="C21" s="674" t="s">
        <v>807</v>
      </c>
      <c r="D21" s="674"/>
      <c r="E21" s="675"/>
      <c r="F21" s="688" t="s">
        <v>132</v>
      </c>
      <c r="G21" s="864"/>
      <c r="H21" s="858">
        <v>15900</v>
      </c>
      <c r="I21" s="674"/>
      <c r="J21" s="674"/>
      <c r="K21" s="674"/>
    </row>
    <row r="22" spans="1:11" s="662" customFormat="1" x14ac:dyDescent="0.25">
      <c r="A22" s="665">
        <v>43749</v>
      </c>
      <c r="B22" s="662" t="s">
        <v>764</v>
      </c>
      <c r="C22" s="676" t="s">
        <v>807</v>
      </c>
      <c r="D22" s="676"/>
      <c r="E22" s="677"/>
      <c r="F22" s="689" t="s">
        <v>765</v>
      </c>
      <c r="G22" s="865"/>
      <c r="H22" s="859">
        <v>-15900.1</v>
      </c>
      <c r="I22" s="676"/>
      <c r="J22" s="676"/>
      <c r="K22" s="676"/>
    </row>
    <row r="23" spans="1:11" s="661" customFormat="1" x14ac:dyDescent="0.25">
      <c r="A23" s="664">
        <v>43749</v>
      </c>
      <c r="B23" s="661" t="s">
        <v>766</v>
      </c>
      <c r="C23" s="674">
        <v>15900.1</v>
      </c>
      <c r="D23" s="674">
        <v>58.75</v>
      </c>
      <c r="E23" s="675">
        <v>270.64</v>
      </c>
      <c r="F23" s="688" t="s">
        <v>807</v>
      </c>
      <c r="G23" s="864"/>
      <c r="H23" s="858"/>
      <c r="I23" s="674"/>
      <c r="J23" s="674"/>
      <c r="K23" s="674"/>
    </row>
    <row r="24" spans="1:11" s="661" customFormat="1" x14ac:dyDescent="0.25">
      <c r="A24" s="664">
        <v>43753</v>
      </c>
      <c r="B24" s="661" t="s">
        <v>763</v>
      </c>
      <c r="C24" s="674" t="s">
        <v>807</v>
      </c>
      <c r="D24" s="674"/>
      <c r="E24" s="675"/>
      <c r="F24" s="688" t="s">
        <v>132</v>
      </c>
      <c r="G24" s="864"/>
      <c r="H24" s="858">
        <v>3000</v>
      </c>
      <c r="I24" s="674"/>
      <c r="J24" s="674"/>
      <c r="K24" s="674"/>
    </row>
    <row r="25" spans="1:11" s="662" customFormat="1" x14ac:dyDescent="0.25">
      <c r="A25" s="665">
        <v>43753</v>
      </c>
      <c r="B25" s="662" t="s">
        <v>764</v>
      </c>
      <c r="C25" s="676" t="s">
        <v>807</v>
      </c>
      <c r="D25" s="676"/>
      <c r="E25" s="677"/>
      <c r="F25" s="689" t="s">
        <v>765</v>
      </c>
      <c r="G25" s="865"/>
      <c r="H25" s="859">
        <v>-3000.15</v>
      </c>
      <c r="I25" s="676"/>
      <c r="J25" s="676"/>
      <c r="K25" s="676"/>
    </row>
    <row r="26" spans="1:11" s="661" customFormat="1" x14ac:dyDescent="0.25">
      <c r="A26" s="664">
        <v>43753</v>
      </c>
      <c r="B26" s="661" t="s">
        <v>766</v>
      </c>
      <c r="C26" s="674">
        <v>3000.15</v>
      </c>
      <c r="D26" s="674">
        <v>59</v>
      </c>
      <c r="E26" s="675">
        <v>50.85</v>
      </c>
      <c r="F26" s="688" t="s">
        <v>807</v>
      </c>
      <c r="G26" s="864"/>
      <c r="H26" s="858"/>
      <c r="I26" s="674"/>
      <c r="J26" s="674"/>
      <c r="K26" s="674"/>
    </row>
    <row r="27" spans="1:11" s="661" customFormat="1" x14ac:dyDescent="0.25">
      <c r="A27" s="664">
        <v>43753</v>
      </c>
      <c r="B27" s="661" t="s">
        <v>763</v>
      </c>
      <c r="C27" s="674" t="s">
        <v>807</v>
      </c>
      <c r="D27" s="674"/>
      <c r="E27" s="675"/>
      <c r="F27" s="688" t="s">
        <v>132</v>
      </c>
      <c r="G27" s="864"/>
      <c r="H27" s="858">
        <v>4000</v>
      </c>
      <c r="I27" s="674"/>
      <c r="J27" s="674"/>
      <c r="K27" s="674"/>
    </row>
    <row r="28" spans="1:11" s="662" customFormat="1" x14ac:dyDescent="0.25">
      <c r="A28" s="665">
        <v>43754</v>
      </c>
      <c r="B28" s="662" t="s">
        <v>764</v>
      </c>
      <c r="C28" s="676" t="s">
        <v>807</v>
      </c>
      <c r="D28" s="676"/>
      <c r="E28" s="677"/>
      <c r="F28" s="689" t="s">
        <v>765</v>
      </c>
      <c r="G28" s="865"/>
      <c r="H28" s="859">
        <v>-3999.89</v>
      </c>
      <c r="I28" s="676"/>
      <c r="J28" s="676"/>
      <c r="K28" s="676"/>
    </row>
    <row r="29" spans="1:11" s="661" customFormat="1" x14ac:dyDescent="0.25">
      <c r="A29" s="664">
        <v>43754</v>
      </c>
      <c r="B29" s="661" t="s">
        <v>766</v>
      </c>
      <c r="C29" s="674">
        <v>3999.89</v>
      </c>
      <c r="D29" s="674">
        <v>59.1</v>
      </c>
      <c r="E29" s="675">
        <v>67.680000000000007</v>
      </c>
      <c r="F29" s="688" t="s">
        <v>807</v>
      </c>
      <c r="G29" s="864"/>
      <c r="H29" s="858"/>
      <c r="I29" s="674"/>
      <c r="J29" s="674"/>
      <c r="K29" s="674"/>
    </row>
    <row r="30" spans="1:11" s="662" customFormat="1" x14ac:dyDescent="0.25">
      <c r="A30" s="665">
        <v>43760</v>
      </c>
      <c r="B30" s="662" t="s">
        <v>789</v>
      </c>
      <c r="C30" s="678">
        <v>628</v>
      </c>
      <c r="D30" s="704">
        <v>0.42899999999999999</v>
      </c>
      <c r="E30" s="677">
        <v>-269.41000000000003</v>
      </c>
      <c r="F30" s="689" t="s">
        <v>807</v>
      </c>
      <c r="G30" s="865"/>
      <c r="H30" s="859"/>
      <c r="I30" s="704"/>
      <c r="J30" s="704"/>
      <c r="K30" s="676"/>
    </row>
    <row r="31" spans="1:11" s="662" customFormat="1" x14ac:dyDescent="0.25">
      <c r="A31" s="665">
        <v>43760</v>
      </c>
      <c r="B31" s="662" t="s">
        <v>789</v>
      </c>
      <c r="C31" s="678">
        <v>1076</v>
      </c>
      <c r="D31" s="704">
        <v>0.43</v>
      </c>
      <c r="E31" s="677">
        <f>-D31*C31</f>
        <v>-462.68</v>
      </c>
      <c r="F31" s="689" t="s">
        <v>807</v>
      </c>
      <c r="G31" s="865"/>
      <c r="H31" s="859"/>
      <c r="I31" s="704"/>
      <c r="J31" s="704"/>
      <c r="K31" s="676"/>
    </row>
    <row r="32" spans="1:11" s="662" customFormat="1" x14ac:dyDescent="0.25">
      <c r="A32" s="665">
        <v>43760</v>
      </c>
      <c r="B32" s="662" t="s">
        <v>767</v>
      </c>
      <c r="C32" s="676" t="s">
        <v>761</v>
      </c>
      <c r="D32" s="676"/>
      <c r="E32" s="677">
        <v>-7.3</v>
      </c>
      <c r="F32" s="689" t="s">
        <v>807</v>
      </c>
      <c r="G32" s="865"/>
      <c r="H32" s="859"/>
      <c r="I32" s="676"/>
      <c r="J32" s="676"/>
      <c r="K32" s="676"/>
    </row>
    <row r="33" spans="1:13" s="661" customFormat="1" x14ac:dyDescent="0.25">
      <c r="A33" s="664">
        <v>43762</v>
      </c>
      <c r="B33" s="661" t="s">
        <v>763</v>
      </c>
      <c r="C33" s="674" t="s">
        <v>807</v>
      </c>
      <c r="D33" s="674"/>
      <c r="E33" s="675"/>
      <c r="F33" s="688" t="s">
        <v>132</v>
      </c>
      <c r="G33" s="864"/>
      <c r="H33" s="858">
        <v>65000</v>
      </c>
      <c r="I33" s="674"/>
      <c r="J33" s="674"/>
      <c r="K33" s="674"/>
    </row>
    <row r="34" spans="1:13" s="662" customFormat="1" x14ac:dyDescent="0.25">
      <c r="A34" s="665">
        <v>43762</v>
      </c>
      <c r="B34" s="662" t="s">
        <v>764</v>
      </c>
      <c r="C34" s="676" t="s">
        <v>807</v>
      </c>
      <c r="D34" s="676"/>
      <c r="E34" s="677"/>
      <c r="F34" s="689" t="s">
        <v>765</v>
      </c>
      <c r="G34" s="865"/>
      <c r="H34" s="859">
        <v>-64999.72</v>
      </c>
      <c r="L34" s="676"/>
      <c r="M34" s="676"/>
    </row>
    <row r="35" spans="1:13" s="661" customFormat="1" x14ac:dyDescent="0.25">
      <c r="A35" s="664">
        <v>43762</v>
      </c>
      <c r="B35" s="661" t="s">
        <v>766</v>
      </c>
      <c r="C35" s="674">
        <v>64999.72</v>
      </c>
      <c r="D35" s="674">
        <v>61.25</v>
      </c>
      <c r="E35" s="675">
        <v>1061.22</v>
      </c>
      <c r="F35" s="688" t="s">
        <v>807</v>
      </c>
      <c r="G35" s="864"/>
      <c r="H35" s="858"/>
      <c r="I35" s="674"/>
      <c r="J35" s="674"/>
      <c r="K35" s="674"/>
    </row>
    <row r="36" spans="1:13" s="662" customFormat="1" x14ac:dyDescent="0.25">
      <c r="A36" s="665">
        <v>43773</v>
      </c>
      <c r="B36" s="662" t="s">
        <v>782</v>
      </c>
      <c r="C36" s="678">
        <v>3300</v>
      </c>
      <c r="D36" s="704">
        <v>0.35299999999999998</v>
      </c>
      <c r="E36" s="677">
        <v>-1164.9000000000001</v>
      </c>
      <c r="F36" s="689" t="s">
        <v>807</v>
      </c>
      <c r="G36" s="865"/>
      <c r="H36" s="859"/>
      <c r="I36" s="704"/>
      <c r="J36" s="704"/>
      <c r="K36" s="676"/>
    </row>
    <row r="37" spans="1:13" s="662" customFormat="1" x14ac:dyDescent="0.25">
      <c r="A37" s="665">
        <v>43773</v>
      </c>
      <c r="B37" s="662" t="s">
        <v>767</v>
      </c>
      <c r="C37" s="676" t="s">
        <v>761</v>
      </c>
      <c r="D37" s="676"/>
      <c r="E37" s="677">
        <v>-11.65</v>
      </c>
      <c r="F37" s="689" t="s">
        <v>807</v>
      </c>
      <c r="G37" s="865"/>
      <c r="H37" s="859">
        <v>-1.04</v>
      </c>
      <c r="I37" s="676"/>
      <c r="J37" s="676"/>
      <c r="K37" s="676"/>
    </row>
    <row r="38" spans="1:13" s="661" customFormat="1" x14ac:dyDescent="0.25">
      <c r="A38" s="664">
        <v>43784</v>
      </c>
      <c r="B38" s="661" t="s">
        <v>792</v>
      </c>
      <c r="C38" s="674">
        <v>3300</v>
      </c>
      <c r="D38" s="712">
        <v>0.34870000000000001</v>
      </c>
      <c r="E38" s="675">
        <f>+C38*D38</f>
        <v>1150.71</v>
      </c>
      <c r="F38" s="688" t="s">
        <v>807</v>
      </c>
      <c r="G38" s="864"/>
      <c r="H38" s="858"/>
      <c r="I38" s="674"/>
      <c r="J38" s="674"/>
      <c r="K38" s="674"/>
    </row>
    <row r="39" spans="1:13" s="662" customFormat="1" x14ac:dyDescent="0.25">
      <c r="A39" s="665">
        <v>43784</v>
      </c>
      <c r="B39" s="662" t="s">
        <v>767</v>
      </c>
      <c r="C39" s="676" t="s">
        <v>793</v>
      </c>
      <c r="D39" s="676"/>
      <c r="E39" s="677">
        <f>-11.51+0.24</f>
        <v>-11.27</v>
      </c>
      <c r="F39" s="689" t="s">
        <v>807</v>
      </c>
      <c r="G39" s="865"/>
      <c r="H39" s="859">
        <v>-0.8</v>
      </c>
      <c r="I39" s="676"/>
      <c r="J39" s="676"/>
      <c r="K39" s="676"/>
    </row>
    <row r="40" spans="1:13" s="662" customFormat="1" x14ac:dyDescent="0.25">
      <c r="A40" s="665">
        <v>43789</v>
      </c>
      <c r="B40" s="662" t="s">
        <v>789</v>
      </c>
      <c r="C40" s="678">
        <v>2567</v>
      </c>
      <c r="D40" s="704">
        <v>0.44</v>
      </c>
      <c r="E40" s="677">
        <f>-D40*C40</f>
        <v>-1129.48</v>
      </c>
      <c r="F40" s="689" t="s">
        <v>807</v>
      </c>
      <c r="G40" s="865"/>
      <c r="H40" s="859"/>
      <c r="I40" s="704"/>
      <c r="J40" s="704"/>
      <c r="K40" s="676"/>
    </row>
    <row r="41" spans="1:13" s="662" customFormat="1" x14ac:dyDescent="0.25">
      <c r="A41" s="665">
        <v>43789</v>
      </c>
      <c r="B41" s="662" t="s">
        <v>767</v>
      </c>
      <c r="C41" s="678" t="s">
        <v>761</v>
      </c>
      <c r="D41" s="704"/>
      <c r="E41" s="677">
        <v>-11.29</v>
      </c>
      <c r="F41" s="689" t="s">
        <v>807</v>
      </c>
      <c r="G41" s="865"/>
      <c r="H41" s="859">
        <v>-1.02</v>
      </c>
      <c r="I41" s="704"/>
      <c r="J41" s="704"/>
      <c r="K41" s="676"/>
    </row>
    <row r="42" spans="1:13" s="661" customFormat="1" x14ac:dyDescent="0.25">
      <c r="A42" s="664">
        <v>43791</v>
      </c>
      <c r="B42" s="661" t="s">
        <v>798</v>
      </c>
      <c r="C42" s="674" t="s">
        <v>807</v>
      </c>
      <c r="D42" s="674"/>
      <c r="E42" s="675"/>
      <c r="F42" s="714">
        <v>328</v>
      </c>
      <c r="G42" s="864">
        <v>33.722900000000003</v>
      </c>
      <c r="H42" s="858">
        <f>+G42*F42</f>
        <v>11061.111200000001</v>
      </c>
      <c r="I42" s="674"/>
      <c r="J42" s="674"/>
      <c r="K42" s="674"/>
    </row>
    <row r="43" spans="1:13" s="662" customFormat="1" x14ac:dyDescent="0.25">
      <c r="A43" s="665">
        <v>43791</v>
      </c>
      <c r="B43" s="662" t="s">
        <v>764</v>
      </c>
      <c r="C43" s="676" t="s">
        <v>807</v>
      </c>
      <c r="D43" s="676"/>
      <c r="E43" s="677"/>
      <c r="F43" s="689" t="s">
        <v>761</v>
      </c>
      <c r="G43" s="865"/>
      <c r="H43" s="859">
        <v>-110.77119999999999</v>
      </c>
      <c r="I43" s="676"/>
      <c r="J43" s="676"/>
      <c r="K43" s="676"/>
    </row>
    <row r="44" spans="1:13" s="662" customFormat="1" x14ac:dyDescent="0.25">
      <c r="A44" s="665">
        <v>43791</v>
      </c>
      <c r="B44" s="662" t="s">
        <v>764</v>
      </c>
      <c r="C44" s="676" t="s">
        <v>807</v>
      </c>
      <c r="D44" s="676"/>
      <c r="E44" s="677"/>
      <c r="F44" s="689" t="s">
        <v>791</v>
      </c>
      <c r="G44" s="865"/>
      <c r="H44" s="859">
        <v>-10948</v>
      </c>
      <c r="I44" s="676"/>
      <c r="J44" s="676"/>
      <c r="K44" s="676"/>
    </row>
    <row r="45" spans="1:13" s="661" customFormat="1" x14ac:dyDescent="0.25">
      <c r="A45" s="664">
        <v>43901</v>
      </c>
      <c r="B45" s="661" t="s">
        <v>818</v>
      </c>
      <c r="C45" s="674">
        <v>3943</v>
      </c>
      <c r="D45" s="674">
        <v>0.375</v>
      </c>
      <c r="E45" s="675">
        <f>+C45*D45</f>
        <v>1478.625</v>
      </c>
      <c r="F45" s="688" t="s">
        <v>807</v>
      </c>
      <c r="G45" s="864"/>
      <c r="H45" s="858"/>
      <c r="I45" s="674"/>
      <c r="J45" s="674"/>
      <c r="K45" s="674"/>
    </row>
    <row r="46" spans="1:13" s="662" customFormat="1" x14ac:dyDescent="0.25">
      <c r="A46" s="665">
        <v>43901</v>
      </c>
      <c r="B46" s="662" t="s">
        <v>767</v>
      </c>
      <c r="C46" s="676" t="s">
        <v>761</v>
      </c>
      <c r="D46" s="676"/>
      <c r="E46" s="677">
        <v>-1.145</v>
      </c>
      <c r="F46" s="689" t="s">
        <v>761</v>
      </c>
      <c r="G46" s="865"/>
      <c r="H46" s="859">
        <v>-1.48</v>
      </c>
      <c r="I46" s="676"/>
      <c r="J46" s="676"/>
      <c r="K46" s="676"/>
    </row>
    <row r="47" spans="1:13" s="661" customFormat="1" x14ac:dyDescent="0.25">
      <c r="A47" s="664">
        <v>43917</v>
      </c>
      <c r="B47" s="661" t="s">
        <v>766</v>
      </c>
      <c r="C47" s="674" t="s">
        <v>132</v>
      </c>
      <c r="D47" s="674"/>
      <c r="E47" s="712">
        <v>0.12</v>
      </c>
      <c r="F47" s="688" t="s">
        <v>807</v>
      </c>
      <c r="G47" s="864"/>
      <c r="H47" s="858"/>
      <c r="I47" s="674"/>
      <c r="J47" s="674"/>
      <c r="K47" s="674"/>
    </row>
    <row r="48" spans="1:13" s="661" customFormat="1" x14ac:dyDescent="0.25">
      <c r="A48" s="664">
        <v>43888</v>
      </c>
      <c r="B48" s="661" t="s">
        <v>763</v>
      </c>
      <c r="C48" s="674" t="s">
        <v>807</v>
      </c>
      <c r="D48" s="674"/>
      <c r="E48" s="675"/>
      <c r="F48" s="688" t="s">
        <v>132</v>
      </c>
      <c r="G48" s="864"/>
      <c r="H48" s="858">
        <v>2</v>
      </c>
      <c r="I48" s="674"/>
      <c r="J48" s="674"/>
      <c r="K48" s="674"/>
    </row>
    <row r="49" spans="1:11" s="662" customFormat="1" x14ac:dyDescent="0.25">
      <c r="A49" s="665">
        <v>43922</v>
      </c>
      <c r="B49" s="662" t="s">
        <v>789</v>
      </c>
      <c r="C49" s="676">
        <v>4909</v>
      </c>
      <c r="D49" s="676">
        <v>0.3</v>
      </c>
      <c r="E49" s="704">
        <f>-D49*C49</f>
        <v>-1472.7</v>
      </c>
      <c r="F49" s="689" t="s">
        <v>807</v>
      </c>
      <c r="G49" s="865"/>
      <c r="H49" s="859"/>
      <c r="I49" s="676"/>
      <c r="J49" s="676"/>
      <c r="K49" s="676"/>
    </row>
    <row r="50" spans="1:11" s="662" customFormat="1" x14ac:dyDescent="0.25">
      <c r="A50" s="665">
        <v>43922</v>
      </c>
      <c r="B50" s="662" t="s">
        <v>767</v>
      </c>
      <c r="C50" s="676" t="s">
        <v>761</v>
      </c>
      <c r="D50" s="676"/>
      <c r="E50" s="704">
        <v>-4.93</v>
      </c>
      <c r="F50" s="689" t="s">
        <v>761</v>
      </c>
      <c r="G50" s="865"/>
      <c r="H50" s="859">
        <f>-0.66-0.85</f>
        <v>-1.51</v>
      </c>
      <c r="I50" s="676"/>
      <c r="J50" s="676"/>
      <c r="K50" s="676"/>
    </row>
    <row r="51" spans="1:11" s="661" customFormat="1" x14ac:dyDescent="0.25">
      <c r="A51" s="664">
        <v>43935</v>
      </c>
      <c r="B51" s="661" t="s">
        <v>849</v>
      </c>
      <c r="C51" s="674" t="s">
        <v>807</v>
      </c>
      <c r="D51" s="674"/>
      <c r="E51" s="712"/>
      <c r="F51" s="688">
        <v>4909</v>
      </c>
      <c r="G51" s="864">
        <v>31.1</v>
      </c>
      <c r="H51" s="858">
        <f>+F51*G51</f>
        <v>152669.9</v>
      </c>
      <c r="I51" s="674"/>
      <c r="J51" s="674"/>
      <c r="K51" s="674"/>
    </row>
    <row r="52" spans="1:11" s="662" customFormat="1" x14ac:dyDescent="0.25">
      <c r="A52" s="665">
        <v>43935</v>
      </c>
      <c r="B52" s="662" t="s">
        <v>764</v>
      </c>
      <c r="C52" s="676" t="s">
        <v>807</v>
      </c>
      <c r="D52" s="676"/>
      <c r="E52" s="704"/>
      <c r="F52" s="689" t="s">
        <v>761</v>
      </c>
      <c r="G52" s="865"/>
      <c r="H52" s="859">
        <v>-800.1</v>
      </c>
      <c r="I52" s="676"/>
      <c r="J52" s="676"/>
      <c r="K52" s="676"/>
    </row>
    <row r="53" spans="1:11" s="662" customFormat="1" x14ac:dyDescent="0.25">
      <c r="A53" s="665">
        <v>43937</v>
      </c>
      <c r="B53" s="662" t="s">
        <v>764</v>
      </c>
      <c r="C53" s="758">
        <f>+A53+90</f>
        <v>44027</v>
      </c>
      <c r="D53" s="676"/>
      <c r="E53" s="704"/>
      <c r="F53" s="689" t="s">
        <v>807</v>
      </c>
      <c r="G53" s="865"/>
      <c r="H53" s="859">
        <v>-151868.95000000001</v>
      </c>
      <c r="I53" s="676"/>
      <c r="J53" s="676"/>
      <c r="K53" s="676"/>
    </row>
    <row r="54" spans="1:11" s="661" customFormat="1" x14ac:dyDescent="0.25">
      <c r="A54" s="664">
        <v>43964</v>
      </c>
      <c r="B54" s="661" t="s">
        <v>766</v>
      </c>
      <c r="C54" s="674" t="s">
        <v>132</v>
      </c>
      <c r="D54" s="674"/>
      <c r="E54" s="712">
        <v>200</v>
      </c>
      <c r="F54" s="688" t="s">
        <v>807</v>
      </c>
      <c r="G54" s="864"/>
      <c r="H54" s="858"/>
      <c r="I54" s="674"/>
      <c r="J54" s="674"/>
      <c r="K54" s="674"/>
    </row>
    <row r="55" spans="1:11" s="662" customFormat="1" x14ac:dyDescent="0.25">
      <c r="A55" s="665">
        <v>43977</v>
      </c>
      <c r="B55" s="662" t="s">
        <v>767</v>
      </c>
      <c r="C55" s="676" t="s">
        <v>791</v>
      </c>
      <c r="D55" s="676"/>
      <c r="E55" s="704">
        <v>-200.33</v>
      </c>
      <c r="F55" s="689" t="s">
        <v>807</v>
      </c>
      <c r="G55" s="865"/>
      <c r="H55" s="859"/>
      <c r="I55" s="676"/>
      <c r="J55" s="676"/>
      <c r="K55" s="676"/>
    </row>
    <row r="56" spans="1:11" s="661" customFormat="1" x14ac:dyDescent="0.25">
      <c r="A56" s="664">
        <v>44039</v>
      </c>
      <c r="B56" s="661" t="s">
        <v>763</v>
      </c>
      <c r="C56" s="674" t="s">
        <v>886</v>
      </c>
      <c r="D56" s="674"/>
      <c r="E56" s="712"/>
      <c r="F56" s="688" t="s">
        <v>132</v>
      </c>
      <c r="G56" s="864"/>
      <c r="H56" s="858">
        <v>35000</v>
      </c>
      <c r="I56" s="674"/>
      <c r="J56" s="674"/>
      <c r="K56" s="674"/>
    </row>
    <row r="57" spans="1:11" s="662" customFormat="1" x14ac:dyDescent="0.25">
      <c r="A57" s="665">
        <v>44039</v>
      </c>
      <c r="B57" s="662" t="s">
        <v>764</v>
      </c>
      <c r="C57" s="676" t="s">
        <v>886</v>
      </c>
      <c r="D57" s="676"/>
      <c r="E57" s="704"/>
      <c r="F57" s="689" t="s">
        <v>791</v>
      </c>
      <c r="G57" s="865"/>
      <c r="H57" s="859">
        <v>-3000</v>
      </c>
      <c r="I57" s="676"/>
      <c r="J57" s="676"/>
      <c r="K57" s="676"/>
    </row>
    <row r="58" spans="1:11" s="662" customFormat="1" x14ac:dyDescent="0.25">
      <c r="A58" s="665">
        <v>44039</v>
      </c>
      <c r="B58" s="662" t="s">
        <v>764</v>
      </c>
      <c r="C58" s="676" t="s">
        <v>901</v>
      </c>
      <c r="D58" s="676"/>
      <c r="E58" s="704"/>
      <c r="F58" s="689">
        <v>9</v>
      </c>
      <c r="G58" s="865">
        <v>3512</v>
      </c>
      <c r="H58" s="859">
        <f>-F58*G58</f>
        <v>-31608</v>
      </c>
      <c r="I58" s="676"/>
      <c r="J58" s="676"/>
      <c r="K58" s="676"/>
    </row>
    <row r="59" spans="1:11" s="662" customFormat="1" x14ac:dyDescent="0.25">
      <c r="A59" s="665">
        <v>44039</v>
      </c>
      <c r="B59" s="662" t="s">
        <v>764</v>
      </c>
      <c r="C59" s="676" t="s">
        <v>886</v>
      </c>
      <c r="D59" s="676"/>
      <c r="E59" s="704"/>
      <c r="F59" s="689" t="s">
        <v>761</v>
      </c>
      <c r="G59" s="865">
        <f>+(H58*0.0058)+(H58*0.0058)*0.21</f>
        <v>-221.82494399999996</v>
      </c>
      <c r="H59" s="859">
        <v>-221.83</v>
      </c>
      <c r="I59" s="676"/>
      <c r="J59" s="676"/>
      <c r="K59" s="676"/>
    </row>
    <row r="60" spans="1:11" s="661" customFormat="1" x14ac:dyDescent="0.25">
      <c r="A60" s="664">
        <v>44041</v>
      </c>
      <c r="B60" s="661" t="s">
        <v>763</v>
      </c>
      <c r="C60" s="674" t="s">
        <v>886</v>
      </c>
      <c r="D60" s="674"/>
      <c r="E60" s="712"/>
      <c r="F60" s="688" t="s">
        <v>132</v>
      </c>
      <c r="G60" s="864"/>
      <c r="H60" s="858">
        <v>3300</v>
      </c>
      <c r="I60" s="674"/>
      <c r="J60" s="674"/>
      <c r="K60" s="674"/>
    </row>
    <row r="61" spans="1:11" s="662" customFormat="1" x14ac:dyDescent="0.25">
      <c r="A61" s="665">
        <v>44041</v>
      </c>
      <c r="B61" s="662" t="s">
        <v>764</v>
      </c>
      <c r="C61" s="676" t="s">
        <v>901</v>
      </c>
      <c r="D61" s="676"/>
      <c r="E61" s="704"/>
      <c r="F61" s="689">
        <v>1</v>
      </c>
      <c r="G61" s="865">
        <v>3400</v>
      </c>
      <c r="H61" s="859">
        <f>-F61*G61</f>
        <v>-3400</v>
      </c>
      <c r="I61" s="676"/>
      <c r="J61" s="676"/>
      <c r="K61" s="676"/>
    </row>
    <row r="62" spans="1:11" s="662" customFormat="1" x14ac:dyDescent="0.25">
      <c r="A62" s="665">
        <v>44041</v>
      </c>
      <c r="B62" s="662" t="s">
        <v>764</v>
      </c>
      <c r="C62" s="676" t="s">
        <v>886</v>
      </c>
      <c r="D62" s="676"/>
      <c r="E62" s="704"/>
      <c r="F62" s="689" t="s">
        <v>761</v>
      </c>
      <c r="G62" s="865">
        <f>+(H61*0.0058)+(H61*0.0058)*0.21</f>
        <v>-23.861199999999997</v>
      </c>
      <c r="H62" s="859">
        <v>-23.86</v>
      </c>
      <c r="I62" s="676"/>
      <c r="J62" s="676"/>
      <c r="K62" s="676"/>
    </row>
    <row r="63" spans="1:11" s="661" customFormat="1" x14ac:dyDescent="0.25">
      <c r="A63" s="664">
        <v>44048</v>
      </c>
      <c r="B63" s="661" t="s">
        <v>763</v>
      </c>
      <c r="C63" s="674" t="s">
        <v>886</v>
      </c>
      <c r="D63" s="674"/>
      <c r="E63" s="712"/>
      <c r="F63" s="688" t="s">
        <v>132</v>
      </c>
      <c r="G63" s="864"/>
      <c r="H63" s="858">
        <v>13300</v>
      </c>
      <c r="I63" s="674"/>
      <c r="J63" s="674"/>
      <c r="K63" s="674"/>
    </row>
    <row r="64" spans="1:11" s="662" customFormat="1" x14ac:dyDescent="0.25">
      <c r="A64" s="665">
        <v>44048</v>
      </c>
      <c r="B64" s="662" t="s">
        <v>764</v>
      </c>
      <c r="C64" s="676" t="s">
        <v>886</v>
      </c>
      <c r="D64" s="676"/>
      <c r="E64" s="704"/>
      <c r="F64" s="689" t="s">
        <v>791</v>
      </c>
      <c r="G64" s="865"/>
      <c r="H64" s="859">
        <v>-13346.41</v>
      </c>
      <c r="I64" s="676"/>
      <c r="J64" s="676"/>
      <c r="K64" s="676"/>
    </row>
    <row r="65" spans="1:11" s="661" customFormat="1" x14ac:dyDescent="0.25">
      <c r="A65" s="664">
        <v>44053</v>
      </c>
      <c r="B65" s="661" t="s">
        <v>763</v>
      </c>
      <c r="C65" s="674" t="s">
        <v>886</v>
      </c>
      <c r="D65" s="674"/>
      <c r="E65" s="712"/>
      <c r="F65" s="688" t="s">
        <v>132</v>
      </c>
      <c r="G65" s="864"/>
      <c r="H65" s="858">
        <v>11000</v>
      </c>
      <c r="I65" s="674"/>
      <c r="J65" s="674"/>
      <c r="K65" s="674"/>
    </row>
    <row r="66" spans="1:11" s="662" customFormat="1" x14ac:dyDescent="0.25">
      <c r="A66" s="665">
        <v>44053</v>
      </c>
      <c r="B66" s="662" t="s">
        <v>764</v>
      </c>
      <c r="C66" s="676" t="s">
        <v>922</v>
      </c>
      <c r="D66" s="676"/>
      <c r="E66" s="704"/>
      <c r="F66" s="689">
        <v>9</v>
      </c>
      <c r="G66" s="865">
        <v>1137</v>
      </c>
      <c r="H66" s="859">
        <f>-F66*G66</f>
        <v>-10233</v>
      </c>
      <c r="I66" s="676"/>
      <c r="J66" s="676"/>
      <c r="K66" s="676"/>
    </row>
    <row r="67" spans="1:11" s="661" customFormat="1" x14ac:dyDescent="0.25">
      <c r="A67" s="664">
        <v>44053</v>
      </c>
      <c r="B67" s="661" t="s">
        <v>763</v>
      </c>
      <c r="C67" s="674" t="s">
        <v>886</v>
      </c>
      <c r="D67" s="674"/>
      <c r="E67" s="712"/>
      <c r="F67" s="688" t="s">
        <v>132</v>
      </c>
      <c r="G67" s="864"/>
      <c r="H67" s="858">
        <v>1000</v>
      </c>
      <c r="I67" s="674"/>
      <c r="J67" s="674"/>
      <c r="K67" s="674"/>
    </row>
    <row r="68" spans="1:11" s="662" customFormat="1" x14ac:dyDescent="0.25">
      <c r="A68" s="665">
        <v>44053</v>
      </c>
      <c r="B68" s="662" t="s">
        <v>764</v>
      </c>
      <c r="C68" s="676" t="s">
        <v>922</v>
      </c>
      <c r="D68" s="676"/>
      <c r="E68" s="704"/>
      <c r="F68" s="689">
        <v>1</v>
      </c>
      <c r="G68" s="865">
        <v>1136</v>
      </c>
      <c r="H68" s="859">
        <f>-F68*G68</f>
        <v>-1136</v>
      </c>
      <c r="I68" s="676"/>
      <c r="J68" s="676"/>
      <c r="K68" s="676"/>
    </row>
    <row r="69" spans="1:11" s="662" customFormat="1" x14ac:dyDescent="0.25">
      <c r="A69" s="665">
        <v>44053</v>
      </c>
      <c r="B69" s="662" t="s">
        <v>764</v>
      </c>
      <c r="C69" s="676" t="s">
        <v>886</v>
      </c>
      <c r="D69" s="676"/>
      <c r="E69" s="704"/>
      <c r="F69" s="689" t="s">
        <v>761</v>
      </c>
      <c r="G69" s="865"/>
      <c r="H69" s="859">
        <f>-56.85-9.1-13.85</f>
        <v>-79.8</v>
      </c>
      <c r="I69" s="676"/>
      <c r="J69" s="676"/>
      <c r="K69" s="676"/>
    </row>
    <row r="70" spans="1:11" s="661" customFormat="1" x14ac:dyDescent="0.25">
      <c r="A70" s="664">
        <v>44061</v>
      </c>
      <c r="B70" s="661" t="s">
        <v>763</v>
      </c>
      <c r="C70" s="674" t="s">
        <v>886</v>
      </c>
      <c r="D70" s="674"/>
      <c r="E70" s="712"/>
      <c r="F70" s="688" t="s">
        <v>132</v>
      </c>
      <c r="G70" s="864"/>
      <c r="H70" s="858">
        <v>11500</v>
      </c>
      <c r="I70" s="674"/>
      <c r="J70" s="674"/>
      <c r="K70" s="674"/>
    </row>
    <row r="71" spans="1:11" s="662" customFormat="1" x14ac:dyDescent="0.25">
      <c r="A71" s="665">
        <v>44061</v>
      </c>
      <c r="B71" s="662" t="s">
        <v>764</v>
      </c>
      <c r="C71" s="676" t="s">
        <v>901</v>
      </c>
      <c r="D71" s="676"/>
      <c r="E71" s="704"/>
      <c r="F71" s="689">
        <v>3</v>
      </c>
      <c r="G71" s="865">
        <v>3780</v>
      </c>
      <c r="H71" s="859">
        <f>-F71*G71</f>
        <v>-11340</v>
      </c>
      <c r="I71" s="676"/>
      <c r="J71" s="676"/>
      <c r="K71" s="676"/>
    </row>
    <row r="72" spans="1:11" s="662" customFormat="1" x14ac:dyDescent="0.25">
      <c r="A72" s="665">
        <v>44061</v>
      </c>
      <c r="B72" s="662" t="s">
        <v>764</v>
      </c>
      <c r="C72" s="676" t="s">
        <v>886</v>
      </c>
      <c r="D72" s="676"/>
      <c r="E72" s="704"/>
      <c r="F72" s="689" t="s">
        <v>761</v>
      </c>
      <c r="G72" s="865"/>
      <c r="H72" s="859">
        <v>-79.58</v>
      </c>
      <c r="I72" s="676"/>
      <c r="J72" s="676"/>
      <c r="K72" s="676"/>
    </row>
    <row r="73" spans="1:11" s="661" customFormat="1" x14ac:dyDescent="0.25">
      <c r="A73" s="664">
        <v>44074</v>
      </c>
      <c r="B73" s="661" t="s">
        <v>763</v>
      </c>
      <c r="C73" s="674" t="s">
        <v>886</v>
      </c>
      <c r="D73" s="674"/>
      <c r="E73" s="712"/>
      <c r="F73" s="688" t="s">
        <v>132</v>
      </c>
      <c r="G73" s="864"/>
      <c r="H73" s="858">
        <v>20000</v>
      </c>
      <c r="I73" s="674"/>
      <c r="J73" s="674"/>
      <c r="K73" s="674"/>
    </row>
    <row r="74" spans="1:11" s="662" customFormat="1" x14ac:dyDescent="0.25">
      <c r="A74" s="665">
        <v>44074</v>
      </c>
      <c r="B74" s="662" t="s">
        <v>764</v>
      </c>
      <c r="C74" s="676" t="s">
        <v>927</v>
      </c>
      <c r="D74" s="676"/>
      <c r="E74" s="704"/>
      <c r="F74" s="689">
        <v>6</v>
      </c>
      <c r="G74" s="865">
        <v>3230.5</v>
      </c>
      <c r="H74" s="859">
        <f>-F74*G74</f>
        <v>-19383</v>
      </c>
      <c r="I74" s="676"/>
      <c r="J74" s="676"/>
      <c r="K74" s="676"/>
    </row>
    <row r="75" spans="1:11" s="662" customFormat="1" x14ac:dyDescent="0.25">
      <c r="A75" s="665">
        <v>44074</v>
      </c>
      <c r="B75" s="662" t="s">
        <v>764</v>
      </c>
      <c r="C75" s="676" t="s">
        <v>886</v>
      </c>
      <c r="D75" s="676"/>
      <c r="E75" s="704"/>
      <c r="F75" s="689" t="s">
        <v>761</v>
      </c>
      <c r="G75" s="865"/>
      <c r="H75" s="859">
        <v>-136.04</v>
      </c>
      <c r="I75" s="676"/>
      <c r="J75" s="676"/>
      <c r="K75" s="676"/>
    </row>
    <row r="76" spans="1:11" s="661" customFormat="1" x14ac:dyDescent="0.25">
      <c r="A76" s="664">
        <v>44074</v>
      </c>
      <c r="B76" s="661" t="s">
        <v>763</v>
      </c>
      <c r="C76" s="674" t="s">
        <v>886</v>
      </c>
      <c r="D76" s="674"/>
      <c r="E76" s="712"/>
      <c r="F76" s="688" t="s">
        <v>132</v>
      </c>
      <c r="G76" s="864"/>
      <c r="H76" s="858">
        <v>4950</v>
      </c>
      <c r="I76" s="674"/>
      <c r="J76" s="674"/>
      <c r="K76" s="674"/>
    </row>
    <row r="77" spans="1:11" s="662" customFormat="1" x14ac:dyDescent="0.25">
      <c r="A77" s="665">
        <v>44074</v>
      </c>
      <c r="B77" s="662" t="s">
        <v>764</v>
      </c>
      <c r="C77" s="676" t="s">
        <v>927</v>
      </c>
      <c r="D77" s="676"/>
      <c r="E77" s="704"/>
      <c r="F77" s="689">
        <v>2</v>
      </c>
      <c r="G77" s="865">
        <v>2970</v>
      </c>
      <c r="H77" s="859">
        <f>-F77*G77</f>
        <v>-5940</v>
      </c>
      <c r="I77" s="676"/>
      <c r="J77" s="676"/>
      <c r="K77" s="676"/>
    </row>
    <row r="78" spans="1:11" s="662" customFormat="1" x14ac:dyDescent="0.25">
      <c r="A78" s="665">
        <v>44074</v>
      </c>
      <c r="B78" s="662" t="s">
        <v>764</v>
      </c>
      <c r="C78" s="676" t="s">
        <v>886</v>
      </c>
      <c r="D78" s="676"/>
      <c r="E78" s="704"/>
      <c r="F78" s="689" t="s">
        <v>761</v>
      </c>
      <c r="G78" s="865"/>
      <c r="H78" s="859">
        <v>-41.68</v>
      </c>
      <c r="I78" s="676"/>
      <c r="J78" s="676"/>
      <c r="K78" s="676"/>
    </row>
    <row r="79" spans="1:11" s="661" customFormat="1" x14ac:dyDescent="0.25">
      <c r="A79" s="664">
        <v>44095</v>
      </c>
      <c r="B79" s="661" t="s">
        <v>766</v>
      </c>
      <c r="C79" s="674" t="s">
        <v>901</v>
      </c>
      <c r="D79" s="674" t="s">
        <v>931</v>
      </c>
      <c r="E79" s="712">
        <v>0.7</v>
      </c>
      <c r="F79" s="688"/>
      <c r="G79" s="864"/>
      <c r="H79" s="858">
        <v>-0.72</v>
      </c>
      <c r="I79" s="674"/>
      <c r="J79" s="674"/>
      <c r="K79" s="674"/>
    </row>
    <row r="80" spans="1:11" s="661" customFormat="1" x14ac:dyDescent="0.25">
      <c r="A80" s="664">
        <v>44124</v>
      </c>
      <c r="B80" s="661" t="s">
        <v>763</v>
      </c>
      <c r="C80" s="674" t="s">
        <v>886</v>
      </c>
      <c r="D80" s="674"/>
      <c r="E80" s="712"/>
      <c r="F80" s="688" t="s">
        <v>132</v>
      </c>
      <c r="G80" s="864"/>
      <c r="H80" s="858">
        <v>45700</v>
      </c>
      <c r="I80" s="674"/>
      <c r="J80" s="674"/>
      <c r="K80" s="674"/>
    </row>
    <row r="81" spans="1:11" s="662" customFormat="1" x14ac:dyDescent="0.25">
      <c r="A81" s="665">
        <v>44124</v>
      </c>
      <c r="B81" s="662" t="s">
        <v>764</v>
      </c>
      <c r="C81" s="676" t="s">
        <v>935</v>
      </c>
      <c r="D81" s="676"/>
      <c r="E81" s="704"/>
      <c r="F81" s="689">
        <v>5</v>
      </c>
      <c r="G81" s="865">
        <v>4580</v>
      </c>
      <c r="H81" s="859">
        <f>-F81*G81</f>
        <v>-22900</v>
      </c>
      <c r="I81" s="676"/>
      <c r="J81" s="676"/>
      <c r="K81" s="676"/>
    </row>
    <row r="82" spans="1:11" s="662" customFormat="1" x14ac:dyDescent="0.25">
      <c r="A82" s="665">
        <v>44124</v>
      </c>
      <c r="B82" s="662" t="s">
        <v>764</v>
      </c>
      <c r="C82" s="676" t="s">
        <v>935</v>
      </c>
      <c r="D82" s="676"/>
      <c r="E82" s="704"/>
      <c r="F82" s="689">
        <v>1</v>
      </c>
      <c r="G82" s="865">
        <v>4614</v>
      </c>
      <c r="H82" s="859">
        <f>-F82*G82</f>
        <v>-4614</v>
      </c>
      <c r="I82" s="676"/>
      <c r="J82" s="676"/>
      <c r="K82" s="676"/>
    </row>
    <row r="83" spans="1:11" s="662" customFormat="1" x14ac:dyDescent="0.25">
      <c r="A83" s="665">
        <v>44124</v>
      </c>
      <c r="B83" s="662" t="s">
        <v>764</v>
      </c>
      <c r="C83" s="676" t="s">
        <v>886</v>
      </c>
      <c r="D83" s="676"/>
      <c r="E83" s="704"/>
      <c r="F83" s="689" t="s">
        <v>761</v>
      </c>
      <c r="G83" s="865"/>
      <c r="H83" s="859">
        <f>-137.57-22.01-33.51</f>
        <v>-193.08999999999997</v>
      </c>
      <c r="I83" s="676"/>
      <c r="J83" s="676"/>
      <c r="K83" s="676"/>
    </row>
    <row r="84" spans="1:11" s="662" customFormat="1" x14ac:dyDescent="0.25">
      <c r="A84" s="665">
        <v>44124</v>
      </c>
      <c r="B84" s="662" t="s">
        <v>764</v>
      </c>
      <c r="C84" s="676" t="s">
        <v>927</v>
      </c>
      <c r="D84" s="676"/>
      <c r="E84" s="704"/>
      <c r="F84" s="689">
        <v>2</v>
      </c>
      <c r="G84" s="865">
        <v>3913</v>
      </c>
      <c r="H84" s="859">
        <f>-F84*G84</f>
        <v>-7826</v>
      </c>
      <c r="I84" s="676"/>
      <c r="J84" s="676"/>
      <c r="K84" s="676"/>
    </row>
    <row r="85" spans="1:11" s="662" customFormat="1" x14ac:dyDescent="0.25">
      <c r="A85" s="665">
        <v>44124</v>
      </c>
      <c r="B85" s="662" t="s">
        <v>764</v>
      </c>
      <c r="C85" s="676" t="s">
        <v>886</v>
      </c>
      <c r="D85" s="676"/>
      <c r="E85" s="704"/>
      <c r="F85" s="689" t="s">
        <v>761</v>
      </c>
      <c r="G85" s="865"/>
      <c r="H85" s="859">
        <f>-39.13-6.26-9.53</f>
        <v>-54.92</v>
      </c>
      <c r="I85" s="676"/>
      <c r="J85" s="676"/>
      <c r="K85" s="676"/>
    </row>
    <row r="86" spans="1:11" s="662" customFormat="1" x14ac:dyDescent="0.25">
      <c r="A86" s="665">
        <v>44124</v>
      </c>
      <c r="B86" s="662" t="s">
        <v>764</v>
      </c>
      <c r="C86" s="676" t="s">
        <v>936</v>
      </c>
      <c r="D86" s="676"/>
      <c r="E86" s="704"/>
      <c r="F86" s="689">
        <v>5</v>
      </c>
      <c r="G86" s="865">
        <v>1921</v>
      </c>
      <c r="H86" s="859">
        <f>-F86*G86</f>
        <v>-9605</v>
      </c>
      <c r="I86" s="676"/>
      <c r="J86" s="676"/>
      <c r="K86" s="676"/>
    </row>
    <row r="87" spans="1:11" s="662" customFormat="1" x14ac:dyDescent="0.25">
      <c r="A87" s="665">
        <v>44124</v>
      </c>
      <c r="B87" s="662" t="s">
        <v>764</v>
      </c>
      <c r="C87" s="676" t="s">
        <v>886</v>
      </c>
      <c r="D87" s="676"/>
      <c r="E87" s="704"/>
      <c r="F87" s="689" t="s">
        <v>761</v>
      </c>
      <c r="G87" s="865"/>
      <c r="H87" s="859">
        <f>-48.03-7.68-11.7</f>
        <v>-67.41</v>
      </c>
      <c r="I87" s="676"/>
      <c r="J87" s="676"/>
      <c r="K87" s="676"/>
    </row>
    <row r="88" spans="1:11" s="661" customFormat="1" x14ac:dyDescent="0.25">
      <c r="A88" s="664">
        <v>44127</v>
      </c>
      <c r="B88" s="661" t="s">
        <v>763</v>
      </c>
      <c r="C88" s="674" t="s">
        <v>886</v>
      </c>
      <c r="D88" s="674"/>
      <c r="E88" s="712"/>
      <c r="F88" s="688" t="s">
        <v>132</v>
      </c>
      <c r="G88" s="864"/>
      <c r="H88" s="858">
        <v>9000</v>
      </c>
      <c r="I88" s="674"/>
      <c r="J88" s="674"/>
      <c r="K88" s="674"/>
    </row>
    <row r="89" spans="1:11" s="662" customFormat="1" x14ac:dyDescent="0.25">
      <c r="A89" s="665">
        <v>44127</v>
      </c>
      <c r="B89" s="662" t="s">
        <v>764</v>
      </c>
      <c r="C89" s="676" t="s">
        <v>936</v>
      </c>
      <c r="D89" s="676"/>
      <c r="E89" s="704"/>
      <c r="F89" s="689">
        <v>2</v>
      </c>
      <c r="G89" s="865">
        <v>2040</v>
      </c>
      <c r="H89" s="859">
        <f>-F89*G89</f>
        <v>-4080</v>
      </c>
      <c r="I89" s="676"/>
      <c r="J89" s="676"/>
      <c r="K89" s="676"/>
    </row>
    <row r="90" spans="1:11" s="662" customFormat="1" x14ac:dyDescent="0.25">
      <c r="A90" s="665">
        <v>44127</v>
      </c>
      <c r="B90" s="662" t="s">
        <v>764</v>
      </c>
      <c r="C90" s="676" t="s">
        <v>886</v>
      </c>
      <c r="D90" s="676"/>
      <c r="E90" s="704"/>
      <c r="F90" s="689" t="s">
        <v>761</v>
      </c>
      <c r="G90" s="865"/>
      <c r="H90" s="859">
        <f>-20.4-3.26-4.97</f>
        <v>-28.629999999999995</v>
      </c>
      <c r="I90" s="676"/>
      <c r="J90" s="676"/>
      <c r="K90" s="676"/>
    </row>
    <row r="91" spans="1:11" s="661" customFormat="1" x14ac:dyDescent="0.25">
      <c r="A91" s="664">
        <v>44131</v>
      </c>
      <c r="B91" s="661" t="s">
        <v>763</v>
      </c>
      <c r="C91" s="674" t="s">
        <v>886</v>
      </c>
      <c r="D91" s="674"/>
      <c r="E91" s="712"/>
      <c r="F91" s="688" t="s">
        <v>132</v>
      </c>
      <c r="G91" s="864"/>
      <c r="H91" s="858">
        <v>100013</v>
      </c>
      <c r="I91" s="674"/>
      <c r="J91" s="674"/>
      <c r="K91" s="674"/>
    </row>
    <row r="92" spans="1:11" s="662" customFormat="1" x14ac:dyDescent="0.25">
      <c r="A92" s="665">
        <v>44127</v>
      </c>
      <c r="B92" s="662" t="s">
        <v>764</v>
      </c>
      <c r="C92" s="676" t="s">
        <v>936</v>
      </c>
      <c r="D92" s="676"/>
      <c r="E92" s="704"/>
      <c r="F92" s="689">
        <v>3</v>
      </c>
      <c r="G92" s="865">
        <v>1929</v>
      </c>
      <c r="H92" s="859">
        <f>-F92*G92</f>
        <v>-5787</v>
      </c>
      <c r="I92" s="676"/>
      <c r="J92" s="676"/>
      <c r="K92" s="676"/>
    </row>
    <row r="93" spans="1:11" s="662" customFormat="1" x14ac:dyDescent="0.25">
      <c r="A93" s="665">
        <v>44127</v>
      </c>
      <c r="B93" s="662" t="s">
        <v>764</v>
      </c>
      <c r="C93" s="676" t="s">
        <v>886</v>
      </c>
      <c r="D93" s="676"/>
      <c r="E93" s="704"/>
      <c r="F93" s="689" t="s">
        <v>761</v>
      </c>
      <c r="G93" s="865"/>
      <c r="H93" s="859">
        <v>-40.619999999999997</v>
      </c>
      <c r="I93" s="676"/>
      <c r="J93" s="676"/>
      <c r="K93" s="676"/>
    </row>
    <row r="94" spans="1:11" s="662" customFormat="1" x14ac:dyDescent="0.25">
      <c r="A94" s="665">
        <v>44127</v>
      </c>
      <c r="B94" s="662" t="s">
        <v>764</v>
      </c>
      <c r="C94" s="676" t="s">
        <v>935</v>
      </c>
      <c r="D94" s="676"/>
      <c r="E94" s="704"/>
      <c r="F94" s="689">
        <v>4</v>
      </c>
      <c r="G94" s="865">
        <v>4805</v>
      </c>
      <c r="H94" s="859">
        <f>-F94*G94</f>
        <v>-19220</v>
      </c>
      <c r="I94" s="676"/>
      <c r="J94" s="676"/>
      <c r="K94" s="676"/>
    </row>
    <row r="95" spans="1:11" s="662" customFormat="1" x14ac:dyDescent="0.25">
      <c r="A95" s="665">
        <v>44127</v>
      </c>
      <c r="B95" s="662" t="s">
        <v>764</v>
      </c>
      <c r="C95" s="676" t="s">
        <v>886</v>
      </c>
      <c r="D95" s="676"/>
      <c r="E95" s="704"/>
      <c r="F95" s="689" t="s">
        <v>761</v>
      </c>
      <c r="G95" s="865"/>
      <c r="H95" s="859">
        <v>-134.88999999999999</v>
      </c>
      <c r="I95" s="676"/>
      <c r="J95" s="676"/>
      <c r="K95" s="676"/>
    </row>
    <row r="96" spans="1:11" s="662" customFormat="1" x14ac:dyDescent="0.25">
      <c r="A96" s="665">
        <v>44127</v>
      </c>
      <c r="B96" s="662" t="s">
        <v>764</v>
      </c>
      <c r="C96" s="676" t="s">
        <v>938</v>
      </c>
      <c r="D96" s="676"/>
      <c r="E96" s="704"/>
      <c r="F96" s="689">
        <v>20</v>
      </c>
      <c r="G96" s="865">
        <v>3625</v>
      </c>
      <c r="H96" s="859">
        <f>-F96*G96</f>
        <v>-72500</v>
      </c>
      <c r="I96" s="676"/>
      <c r="J96" s="676"/>
      <c r="K96" s="676"/>
    </row>
    <row r="97" spans="1:11" s="662" customFormat="1" x14ac:dyDescent="0.25">
      <c r="A97" s="665">
        <v>44127</v>
      </c>
      <c r="B97" s="662" t="s">
        <v>764</v>
      </c>
      <c r="C97" s="676" t="s">
        <v>886</v>
      </c>
      <c r="D97" s="676"/>
      <c r="E97" s="704"/>
      <c r="F97" s="689" t="s">
        <v>761</v>
      </c>
      <c r="G97" s="865"/>
      <c r="H97" s="859">
        <v>-492.11</v>
      </c>
      <c r="I97" s="676"/>
      <c r="J97" s="676"/>
      <c r="K97" s="676"/>
    </row>
    <row r="98" spans="1:11" s="662" customFormat="1" x14ac:dyDescent="0.25">
      <c r="A98" s="665">
        <v>44048</v>
      </c>
      <c r="B98" s="662" t="s">
        <v>764</v>
      </c>
      <c r="C98" s="676" t="s">
        <v>886</v>
      </c>
      <c r="D98" s="676"/>
      <c r="E98" s="704"/>
      <c r="F98" s="689" t="s">
        <v>791</v>
      </c>
      <c r="G98" s="865"/>
      <c r="H98" s="859">
        <v>-7200</v>
      </c>
      <c r="I98" s="676"/>
      <c r="J98" s="676"/>
      <c r="K98" s="676"/>
    </row>
    <row r="99" spans="1:11" s="661" customFormat="1" x14ac:dyDescent="0.25">
      <c r="A99" s="664">
        <v>44061</v>
      </c>
      <c r="B99" s="661" t="s">
        <v>763</v>
      </c>
      <c r="C99" s="674" t="s">
        <v>922</v>
      </c>
      <c r="D99" s="674"/>
      <c r="E99" s="712"/>
      <c r="F99" s="829" t="s">
        <v>943</v>
      </c>
      <c r="G99" s="866">
        <v>1439</v>
      </c>
      <c r="H99" s="860">
        <v>0</v>
      </c>
      <c r="I99" s="674"/>
      <c r="J99" s="674"/>
      <c r="K99" s="674"/>
    </row>
    <row r="100" spans="1:11" s="661" customFormat="1" x14ac:dyDescent="0.25">
      <c r="A100" s="664">
        <v>44061</v>
      </c>
      <c r="B100" s="661" t="s">
        <v>763</v>
      </c>
      <c r="C100" s="674" t="s">
        <v>927</v>
      </c>
      <c r="D100" s="674"/>
      <c r="E100" s="712"/>
      <c r="F100" s="829" t="s">
        <v>943</v>
      </c>
      <c r="G100" s="866">
        <v>3550</v>
      </c>
      <c r="H100" s="860">
        <v>0</v>
      </c>
      <c r="I100" s="674"/>
      <c r="J100" s="674"/>
      <c r="K100" s="674"/>
    </row>
    <row r="101" spans="1:11" s="661" customFormat="1" x14ac:dyDescent="0.25">
      <c r="A101" s="664">
        <v>44146</v>
      </c>
      <c r="B101" s="661" t="s">
        <v>763</v>
      </c>
      <c r="C101" s="674" t="s">
        <v>927</v>
      </c>
      <c r="D101" s="674"/>
      <c r="E101" s="712"/>
      <c r="F101" s="856">
        <v>10</v>
      </c>
      <c r="G101" s="867">
        <v>3550</v>
      </c>
      <c r="H101" s="861">
        <f>+F101*G101</f>
        <v>35500</v>
      </c>
      <c r="I101" s="674"/>
      <c r="J101" s="674"/>
      <c r="K101" s="674"/>
    </row>
    <row r="102" spans="1:11" s="661" customFormat="1" x14ac:dyDescent="0.25">
      <c r="A102" s="664">
        <v>44146</v>
      </c>
      <c r="B102" s="661" t="s">
        <v>763</v>
      </c>
      <c r="C102" s="674" t="s">
        <v>922</v>
      </c>
      <c r="D102" s="674"/>
      <c r="E102" s="712"/>
      <c r="F102" s="856">
        <v>10</v>
      </c>
      <c r="G102" s="867">
        <v>1439</v>
      </c>
      <c r="H102" s="861">
        <f>+F102*G102</f>
        <v>14390</v>
      </c>
      <c r="I102" s="674"/>
      <c r="J102" s="674"/>
      <c r="K102" s="674"/>
    </row>
    <row r="103" spans="1:11" s="662" customFormat="1" x14ac:dyDescent="0.25">
      <c r="A103" s="665">
        <v>44146</v>
      </c>
      <c r="B103" s="662" t="s">
        <v>764</v>
      </c>
      <c r="C103" s="676" t="s">
        <v>886</v>
      </c>
      <c r="D103" s="676"/>
      <c r="E103" s="704"/>
      <c r="F103" s="689" t="s">
        <v>942</v>
      </c>
      <c r="G103" s="865"/>
      <c r="H103" s="859">
        <f>-71.95-11.51-17.53</f>
        <v>-100.99000000000001</v>
      </c>
      <c r="I103" s="676"/>
      <c r="J103" s="676"/>
      <c r="K103" s="676"/>
    </row>
    <row r="104" spans="1:11" s="662" customFormat="1" x14ac:dyDescent="0.25">
      <c r="A104" s="665">
        <v>44146</v>
      </c>
      <c r="B104" s="662" t="s">
        <v>764</v>
      </c>
      <c r="C104" s="676" t="s">
        <v>886</v>
      </c>
      <c r="D104" s="676"/>
      <c r="E104" s="704"/>
      <c r="F104" s="689" t="s">
        <v>941</v>
      </c>
      <c r="G104" s="865"/>
      <c r="H104" s="859">
        <f>-177.5-28.4-43.24</f>
        <v>-249.14000000000001</v>
      </c>
      <c r="I104" s="676"/>
      <c r="J104" s="676"/>
      <c r="K104" s="676"/>
    </row>
    <row r="105" spans="1:11" s="662" customFormat="1" x14ac:dyDescent="0.25">
      <c r="A105" s="665">
        <v>44146</v>
      </c>
      <c r="B105" s="662" t="s">
        <v>764</v>
      </c>
      <c r="C105" s="676" t="s">
        <v>938</v>
      </c>
      <c r="D105" s="676"/>
      <c r="E105" s="704"/>
      <c r="F105" s="689">
        <v>3</v>
      </c>
      <c r="G105" s="865">
        <v>3249</v>
      </c>
      <c r="H105" s="859">
        <f>-F105*G105</f>
        <v>-9747</v>
      </c>
      <c r="I105" s="676"/>
      <c r="J105" s="676"/>
      <c r="K105" s="676"/>
    </row>
    <row r="106" spans="1:11" s="662" customFormat="1" x14ac:dyDescent="0.25">
      <c r="A106" s="665">
        <v>44146</v>
      </c>
      <c r="B106" s="662" t="s">
        <v>764</v>
      </c>
      <c r="C106" s="676" t="s">
        <v>938</v>
      </c>
      <c r="D106" s="676"/>
      <c r="E106" s="704"/>
      <c r="F106" s="689">
        <v>4</v>
      </c>
      <c r="G106" s="865">
        <v>3295</v>
      </c>
      <c r="H106" s="859">
        <f>-F106*G106</f>
        <v>-13180</v>
      </c>
      <c r="I106" s="676"/>
      <c r="J106" s="676"/>
      <c r="K106" s="676"/>
    </row>
    <row r="107" spans="1:11" s="662" customFormat="1" x14ac:dyDescent="0.25">
      <c r="A107" s="665">
        <v>44146</v>
      </c>
      <c r="B107" s="662" t="s">
        <v>764</v>
      </c>
      <c r="C107" s="676" t="s">
        <v>886</v>
      </c>
      <c r="D107" s="676"/>
      <c r="E107" s="704"/>
      <c r="F107" s="689" t="s">
        <v>761</v>
      </c>
      <c r="G107" s="865"/>
      <c r="H107" s="859">
        <f>-114.64-18.34-27.93</f>
        <v>-160.91</v>
      </c>
      <c r="I107" s="676"/>
      <c r="J107" s="676"/>
      <c r="K107" s="676"/>
    </row>
    <row r="108" spans="1:11" s="661" customFormat="1" x14ac:dyDescent="0.25">
      <c r="A108" s="664">
        <v>44146</v>
      </c>
      <c r="B108" s="661" t="s">
        <v>763</v>
      </c>
      <c r="C108" s="674" t="s">
        <v>886</v>
      </c>
      <c r="D108" s="674"/>
      <c r="E108" s="712"/>
      <c r="F108" s="688" t="s">
        <v>132</v>
      </c>
      <c r="G108" s="864"/>
      <c r="H108" s="858">
        <v>6000</v>
      </c>
      <c r="I108" s="674"/>
      <c r="J108" s="674"/>
      <c r="K108" s="674"/>
    </row>
    <row r="109" spans="1:11" s="662" customFormat="1" x14ac:dyDescent="0.25">
      <c r="A109" s="665">
        <v>44146</v>
      </c>
      <c r="B109" s="662" t="s">
        <v>764</v>
      </c>
      <c r="C109" s="676" t="s">
        <v>938</v>
      </c>
      <c r="D109" s="676"/>
      <c r="E109" s="704"/>
      <c r="F109" s="689">
        <v>2</v>
      </c>
      <c r="G109" s="865">
        <v>3000</v>
      </c>
      <c r="H109" s="859">
        <f>-F109*G109</f>
        <v>-6000</v>
      </c>
      <c r="I109" s="676"/>
      <c r="J109" s="676"/>
      <c r="K109" s="676"/>
    </row>
    <row r="110" spans="1:11" s="662" customFormat="1" x14ac:dyDescent="0.25">
      <c r="A110" s="665">
        <v>44147</v>
      </c>
      <c r="B110" s="662" t="s">
        <v>764</v>
      </c>
      <c r="C110" s="676" t="s">
        <v>938</v>
      </c>
      <c r="D110" s="676"/>
      <c r="E110" s="704"/>
      <c r="F110" s="689">
        <v>6</v>
      </c>
      <c r="G110" s="865">
        <v>3333</v>
      </c>
      <c r="H110" s="859">
        <f>-F110*G110</f>
        <v>-19998</v>
      </c>
      <c r="I110" s="676"/>
      <c r="J110" s="676"/>
      <c r="K110" s="676"/>
    </row>
    <row r="111" spans="1:11" s="662" customFormat="1" x14ac:dyDescent="0.25">
      <c r="A111" s="665">
        <v>44147</v>
      </c>
      <c r="B111" s="662" t="s">
        <v>764</v>
      </c>
      <c r="C111" s="676" t="s">
        <v>886</v>
      </c>
      <c r="D111" s="676"/>
      <c r="E111" s="704"/>
      <c r="F111" s="689" t="s">
        <v>761</v>
      </c>
      <c r="G111" s="865"/>
      <c r="H111" s="859">
        <v>-140.35</v>
      </c>
      <c r="I111" s="676"/>
      <c r="J111" s="872"/>
      <c r="K111" s="676"/>
    </row>
    <row r="112" spans="1:11" s="662" customFormat="1" x14ac:dyDescent="0.25">
      <c r="A112" s="665">
        <v>44148</v>
      </c>
      <c r="B112" s="662" t="s">
        <v>764</v>
      </c>
      <c r="C112" s="676" t="s">
        <v>886</v>
      </c>
      <c r="D112" s="676"/>
      <c r="E112" s="704"/>
      <c r="F112" s="689" t="s">
        <v>791</v>
      </c>
      <c r="G112" s="865"/>
      <c r="H112" s="859">
        <v>-6350</v>
      </c>
      <c r="I112" s="676"/>
      <c r="J112" s="676"/>
      <c r="K112" s="676"/>
    </row>
    <row r="113" spans="1:11" s="661" customFormat="1" x14ac:dyDescent="0.25">
      <c r="A113" s="664">
        <v>44124</v>
      </c>
      <c r="B113" s="661" t="s">
        <v>763</v>
      </c>
      <c r="C113" s="674" t="s">
        <v>936</v>
      </c>
      <c r="D113" s="674"/>
      <c r="E113" s="712"/>
      <c r="F113" s="829" t="s">
        <v>943</v>
      </c>
      <c r="G113" s="866">
        <f>+J187</f>
        <v>0</v>
      </c>
      <c r="H113" s="860">
        <v>0</v>
      </c>
      <c r="I113" s="674"/>
      <c r="J113" s="674"/>
      <c r="K113" s="674"/>
    </row>
    <row r="114" spans="1:11" s="661" customFormat="1" x14ac:dyDescent="0.25">
      <c r="A114" s="664">
        <v>44124</v>
      </c>
      <c r="B114" s="661" t="s">
        <v>763</v>
      </c>
      <c r="C114" s="674" t="s">
        <v>935</v>
      </c>
      <c r="D114" s="674"/>
      <c r="E114" s="712"/>
      <c r="F114" s="829" t="s">
        <v>943</v>
      </c>
      <c r="G114" s="866" t="str">
        <f>+J189</f>
        <v>estimado</v>
      </c>
      <c r="H114" s="860">
        <v>0</v>
      </c>
      <c r="I114" s="674"/>
      <c r="J114" s="674"/>
      <c r="K114" s="674"/>
    </row>
    <row r="115" spans="1:11" s="661" customFormat="1" x14ac:dyDescent="0.25">
      <c r="A115" s="664">
        <v>44041</v>
      </c>
      <c r="B115" s="661" t="s">
        <v>763</v>
      </c>
      <c r="C115" s="674" t="s">
        <v>901</v>
      </c>
      <c r="D115" s="674"/>
      <c r="E115" s="712"/>
      <c r="F115" s="829" t="s">
        <v>943</v>
      </c>
      <c r="G115" s="866" t="str">
        <f>+J188</f>
        <v>FALTA</v>
      </c>
      <c r="H115" s="860">
        <v>0</v>
      </c>
      <c r="I115" s="674"/>
      <c r="J115" s="674"/>
      <c r="K115" s="674"/>
    </row>
    <row r="116" spans="1:11" s="661" customFormat="1" x14ac:dyDescent="0.25">
      <c r="A116" s="664">
        <v>44152</v>
      </c>
      <c r="B116" s="661" t="s">
        <v>766</v>
      </c>
      <c r="C116" s="674" t="s">
        <v>936</v>
      </c>
      <c r="D116" s="674"/>
      <c r="E116" s="712">
        <v>0.13</v>
      </c>
      <c r="F116" s="688" t="s">
        <v>946</v>
      </c>
      <c r="G116" s="864"/>
      <c r="H116" s="858">
        <v>-0.18</v>
      </c>
      <c r="I116" s="674"/>
      <c r="J116" s="674"/>
      <c r="K116" s="674"/>
    </row>
    <row r="117" spans="1:11" s="661" customFormat="1" x14ac:dyDescent="0.25">
      <c r="A117" s="664">
        <v>44152</v>
      </c>
      <c r="B117" s="661" t="s">
        <v>766</v>
      </c>
      <c r="C117" s="674" t="s">
        <v>935</v>
      </c>
      <c r="D117" s="674">
        <v>10</v>
      </c>
      <c r="E117" s="712">
        <f>+D117*31.35</f>
        <v>313.5</v>
      </c>
      <c r="F117" s="688"/>
      <c r="G117" s="864"/>
      <c r="H117" s="858">
        <v>315</v>
      </c>
      <c r="I117" s="674"/>
      <c r="J117" s="674"/>
      <c r="K117" s="674"/>
    </row>
    <row r="118" spans="1:11" s="662" customFormat="1" x14ac:dyDescent="0.25">
      <c r="A118" s="665">
        <v>44152</v>
      </c>
      <c r="B118" s="662" t="s">
        <v>764</v>
      </c>
      <c r="C118" s="676" t="s">
        <v>886</v>
      </c>
      <c r="D118" s="676"/>
      <c r="E118" s="704"/>
      <c r="F118" s="689" t="s">
        <v>761</v>
      </c>
      <c r="G118" s="865"/>
      <c r="H118" s="859">
        <v>-172</v>
      </c>
      <c r="I118" s="676"/>
      <c r="J118" s="676"/>
      <c r="K118" s="676"/>
    </row>
    <row r="119" spans="1:11" s="661" customFormat="1" x14ac:dyDescent="0.25">
      <c r="A119" s="664">
        <v>44152</v>
      </c>
      <c r="B119" s="661" t="s">
        <v>766</v>
      </c>
      <c r="C119" s="674" t="s">
        <v>901</v>
      </c>
      <c r="D119" s="674">
        <v>13</v>
      </c>
      <c r="E119" s="712">
        <f>+D119*25.35</f>
        <v>329.55</v>
      </c>
      <c r="F119" s="688"/>
      <c r="G119" s="864"/>
      <c r="H119" s="858">
        <v>100</v>
      </c>
      <c r="I119" s="674"/>
      <c r="J119" s="674"/>
      <c r="K119" s="674"/>
    </row>
    <row r="120" spans="1:11" s="662" customFormat="1" x14ac:dyDescent="0.25">
      <c r="A120" s="665">
        <v>44152</v>
      </c>
      <c r="B120" s="662" t="s">
        <v>764</v>
      </c>
      <c r="C120" s="676" t="s">
        <v>886</v>
      </c>
      <c r="D120" s="676"/>
      <c r="E120" s="704"/>
      <c r="F120" s="689" t="s">
        <v>761</v>
      </c>
      <c r="G120" s="865"/>
      <c r="H120" s="859">
        <v>-181.48</v>
      </c>
      <c r="I120" s="676"/>
      <c r="J120" s="676"/>
      <c r="K120" s="676"/>
    </row>
    <row r="121" spans="1:11" s="661" customFormat="1" x14ac:dyDescent="0.25">
      <c r="A121" s="664">
        <v>44154</v>
      </c>
      <c r="B121" s="661" t="s">
        <v>763</v>
      </c>
      <c r="C121" s="674" t="s">
        <v>886</v>
      </c>
      <c r="D121" s="674"/>
      <c r="E121" s="712"/>
      <c r="F121" s="688" t="s">
        <v>132</v>
      </c>
      <c r="G121" s="864"/>
      <c r="H121" s="858">
        <v>3000</v>
      </c>
      <c r="I121" s="674"/>
      <c r="J121" s="674"/>
      <c r="K121" s="674"/>
    </row>
    <row r="122" spans="1:11" s="662" customFormat="1" x14ac:dyDescent="0.25">
      <c r="A122" s="665">
        <v>44154</v>
      </c>
      <c r="B122" s="662" t="s">
        <v>764</v>
      </c>
      <c r="C122" s="676" t="s">
        <v>938</v>
      </c>
      <c r="D122" s="676"/>
      <c r="E122" s="704"/>
      <c r="F122" s="689">
        <v>1</v>
      </c>
      <c r="G122" s="865">
        <v>3000</v>
      </c>
      <c r="H122" s="859">
        <f>-F122*G122</f>
        <v>-3000</v>
      </c>
      <c r="I122" s="676"/>
      <c r="J122" s="676"/>
      <c r="K122" s="676"/>
    </row>
    <row r="123" spans="1:11" s="661" customFormat="1" x14ac:dyDescent="0.25">
      <c r="A123" s="664">
        <v>44154</v>
      </c>
      <c r="B123" s="661" t="s">
        <v>763</v>
      </c>
      <c r="C123" s="674" t="s">
        <v>886</v>
      </c>
      <c r="D123" s="674"/>
      <c r="E123" s="712"/>
      <c r="F123" s="688" t="s">
        <v>132</v>
      </c>
      <c r="G123" s="864"/>
      <c r="H123" s="858">
        <v>17000</v>
      </c>
      <c r="I123" s="674"/>
      <c r="J123" s="674"/>
      <c r="K123" s="674"/>
    </row>
    <row r="124" spans="1:11" s="662" customFormat="1" x14ac:dyDescent="0.25">
      <c r="A124" s="665">
        <v>44155</v>
      </c>
      <c r="B124" s="662" t="s">
        <v>764</v>
      </c>
      <c r="C124" s="676" t="s">
        <v>936</v>
      </c>
      <c r="D124" s="676"/>
      <c r="E124" s="704"/>
      <c r="F124" s="689">
        <v>9</v>
      </c>
      <c r="G124" s="865">
        <v>1807</v>
      </c>
      <c r="H124" s="859">
        <f>-F124*G124</f>
        <v>-16263</v>
      </c>
      <c r="I124" s="676"/>
      <c r="J124" s="676"/>
      <c r="K124" s="676"/>
    </row>
    <row r="125" spans="1:11" s="662" customFormat="1" x14ac:dyDescent="0.25">
      <c r="A125" s="665">
        <v>44155</v>
      </c>
      <c r="B125" s="662" t="s">
        <v>764</v>
      </c>
      <c r="C125" s="676" t="s">
        <v>886</v>
      </c>
      <c r="D125" s="676"/>
      <c r="E125" s="704"/>
      <c r="F125" s="689" t="s">
        <v>761</v>
      </c>
      <c r="G125" s="865"/>
      <c r="H125" s="859">
        <v>-114.14</v>
      </c>
      <c r="I125" s="676"/>
      <c r="J125" s="872"/>
      <c r="K125" s="676"/>
    </row>
    <row r="126" spans="1:11" s="661" customFormat="1" x14ac:dyDescent="0.25">
      <c r="A126" s="664">
        <v>44155</v>
      </c>
      <c r="B126" s="661" t="s">
        <v>766</v>
      </c>
      <c r="C126" s="674" t="s">
        <v>936</v>
      </c>
      <c r="D126" s="674">
        <v>12.3</v>
      </c>
      <c r="E126" s="712">
        <f>10*D126</f>
        <v>123</v>
      </c>
      <c r="F126" s="688"/>
      <c r="G126" s="864"/>
      <c r="H126" s="858"/>
      <c r="I126" s="674"/>
      <c r="J126" s="674"/>
      <c r="K126" s="674"/>
    </row>
    <row r="127" spans="1:11" s="662" customFormat="1" x14ac:dyDescent="0.25">
      <c r="A127" s="665">
        <v>44155</v>
      </c>
      <c r="B127" s="662" t="s">
        <v>764</v>
      </c>
      <c r="C127" s="676" t="s">
        <v>886</v>
      </c>
      <c r="D127" s="676"/>
      <c r="E127" s="704"/>
      <c r="F127" s="689" t="s">
        <v>761</v>
      </c>
      <c r="G127" s="865"/>
      <c r="H127" s="859">
        <v>-67.930000000000007</v>
      </c>
      <c r="I127" s="676"/>
      <c r="J127" s="676"/>
      <c r="K127" s="676"/>
    </row>
    <row r="128" spans="1:11" s="661" customFormat="1" x14ac:dyDescent="0.25">
      <c r="A128" s="664">
        <v>44160</v>
      </c>
      <c r="B128" s="661" t="s">
        <v>766</v>
      </c>
      <c r="C128" s="674" t="s">
        <v>936</v>
      </c>
      <c r="D128" s="674">
        <v>12.1</v>
      </c>
      <c r="E128" s="712">
        <f>9*D128</f>
        <v>108.89999999999999</v>
      </c>
      <c r="F128" s="688"/>
      <c r="G128" s="864"/>
      <c r="H128" s="858"/>
      <c r="I128" s="674"/>
      <c r="J128" s="674"/>
      <c r="K128" s="674"/>
    </row>
    <row r="129" spans="1:11" s="662" customFormat="1" x14ac:dyDescent="0.25">
      <c r="A129" s="665">
        <v>44160</v>
      </c>
      <c r="B129" s="662" t="s">
        <v>764</v>
      </c>
      <c r="C129" s="676" t="s">
        <v>886</v>
      </c>
      <c r="D129" s="676"/>
      <c r="E129" s="704"/>
      <c r="F129" s="689" t="s">
        <v>761</v>
      </c>
      <c r="G129" s="865"/>
      <c r="H129" s="859">
        <v>-60.61</v>
      </c>
      <c r="I129" s="676"/>
      <c r="J129" s="676"/>
      <c r="K129" s="676"/>
    </row>
    <row r="130" spans="1:11" s="661" customFormat="1" x14ac:dyDescent="0.25">
      <c r="A130" s="874">
        <v>44124</v>
      </c>
      <c r="B130" s="875" t="s">
        <v>1087</v>
      </c>
      <c r="C130" s="876" t="s">
        <v>1083</v>
      </c>
      <c r="D130" s="876">
        <f>+N186</f>
        <v>32.119999999999997</v>
      </c>
      <c r="E130" s="877">
        <f>+D130*F130</f>
        <v>8351.1999999999989</v>
      </c>
      <c r="F130" s="878">
        <f>+K186</f>
        <v>260</v>
      </c>
      <c r="G130" s="879">
        <f>+J186</f>
        <v>5450</v>
      </c>
      <c r="H130" s="880">
        <v>0</v>
      </c>
      <c r="I130" s="674"/>
      <c r="J130" s="674"/>
      <c r="K130" s="674"/>
    </row>
    <row r="131" spans="1:11" s="662" customFormat="1" x14ac:dyDescent="0.25">
      <c r="A131" s="665">
        <v>44159</v>
      </c>
      <c r="B131" s="662" t="s">
        <v>764</v>
      </c>
      <c r="C131" s="676"/>
      <c r="D131" s="676"/>
      <c r="E131" s="704"/>
      <c r="F131" s="689"/>
      <c r="G131" s="865"/>
      <c r="H131" s="859">
        <v>-568.67999999999995</v>
      </c>
      <c r="I131" s="676"/>
      <c r="J131" s="676"/>
      <c r="K131" s="676"/>
    </row>
    <row r="132" spans="1:11" s="662" customFormat="1" x14ac:dyDescent="0.25">
      <c r="A132" s="665">
        <v>44160</v>
      </c>
      <c r="B132" s="662" t="s">
        <v>767</v>
      </c>
      <c r="C132" s="676"/>
      <c r="D132" s="676"/>
      <c r="E132" s="704">
        <v>-766.88</v>
      </c>
      <c r="F132" s="689"/>
      <c r="G132" s="865"/>
      <c r="H132" s="859"/>
      <c r="I132" s="676"/>
      <c r="J132" s="676"/>
      <c r="K132" s="676"/>
    </row>
    <row r="133" spans="1:11" s="662" customFormat="1" x14ac:dyDescent="0.25">
      <c r="A133" s="665">
        <v>44166</v>
      </c>
      <c r="B133" s="662" t="s">
        <v>767</v>
      </c>
      <c r="C133" s="676"/>
      <c r="D133" s="676"/>
      <c r="E133" s="704">
        <v>-108.9</v>
      </c>
      <c r="F133" s="689"/>
      <c r="G133" s="865"/>
      <c r="H133" s="859"/>
      <c r="I133" s="676"/>
      <c r="J133" s="676"/>
      <c r="K133" s="676"/>
    </row>
    <row r="134" spans="1:11" s="661" customFormat="1" x14ac:dyDescent="0.25">
      <c r="A134" s="664">
        <v>44180</v>
      </c>
      <c r="B134" s="661" t="s">
        <v>763</v>
      </c>
      <c r="C134" s="674" t="s">
        <v>886</v>
      </c>
      <c r="D134" s="674"/>
      <c r="E134" s="712">
        <v>2.0099999999999998</v>
      </c>
      <c r="F134" s="688" t="s">
        <v>132</v>
      </c>
      <c r="G134" s="864"/>
      <c r="H134" s="858">
        <f>374400-1.4</f>
        <v>374398.6</v>
      </c>
      <c r="I134" s="674"/>
      <c r="J134" s="674"/>
      <c r="K134" s="674"/>
    </row>
    <row r="135" spans="1:11" s="662" customFormat="1" x14ac:dyDescent="0.25">
      <c r="A135" s="665">
        <v>44180</v>
      </c>
      <c r="B135" s="662" t="s">
        <v>764</v>
      </c>
      <c r="C135" s="676" t="s">
        <v>938</v>
      </c>
      <c r="D135" s="676"/>
      <c r="E135" s="704"/>
      <c r="F135" s="689">
        <v>94</v>
      </c>
      <c r="G135" s="865">
        <v>3974</v>
      </c>
      <c r="H135" s="859">
        <f>-F135*G135</f>
        <v>-373556</v>
      </c>
      <c r="I135" s="676"/>
      <c r="J135" s="676"/>
      <c r="K135" s="676"/>
    </row>
    <row r="136" spans="1:11" s="662" customFormat="1" x14ac:dyDescent="0.25">
      <c r="A136" s="665">
        <v>44180</v>
      </c>
      <c r="B136" s="662" t="s">
        <v>764</v>
      </c>
      <c r="C136" s="676" t="s">
        <v>886</v>
      </c>
      <c r="D136" s="676"/>
      <c r="E136" s="704"/>
      <c r="F136" s="689" t="s">
        <v>761</v>
      </c>
      <c r="G136" s="865"/>
      <c r="H136" s="859">
        <v>-2621.61</v>
      </c>
      <c r="I136" s="676"/>
      <c r="J136" s="872"/>
      <c r="K136" s="676"/>
    </row>
    <row r="137" spans="1:11" s="661" customFormat="1" x14ac:dyDescent="0.25">
      <c r="A137" s="664">
        <v>44181</v>
      </c>
      <c r="B137" s="661" t="s">
        <v>763</v>
      </c>
      <c r="C137" s="674" t="s">
        <v>886</v>
      </c>
      <c r="D137" s="674"/>
      <c r="E137" s="712"/>
      <c r="F137" s="688" t="s">
        <v>132</v>
      </c>
      <c r="G137" s="864"/>
      <c r="H137" s="858">
        <v>290000</v>
      </c>
      <c r="I137" s="674"/>
      <c r="J137" s="674"/>
      <c r="K137" s="674"/>
    </row>
    <row r="138" spans="1:11" s="662" customFormat="1" x14ac:dyDescent="0.25">
      <c r="A138" s="665">
        <v>44181</v>
      </c>
      <c r="B138" s="662" t="s">
        <v>764</v>
      </c>
      <c r="C138" s="676" t="s">
        <v>938</v>
      </c>
      <c r="D138" s="676"/>
      <c r="E138" s="704"/>
      <c r="F138" s="689">
        <v>72</v>
      </c>
      <c r="G138" s="865">
        <v>3975</v>
      </c>
      <c r="H138" s="859">
        <f>-F138*G138</f>
        <v>-286200</v>
      </c>
      <c r="I138" s="676"/>
      <c r="J138" s="676"/>
      <c r="K138" s="676"/>
    </row>
    <row r="139" spans="1:11" s="662" customFormat="1" x14ac:dyDescent="0.25">
      <c r="A139" s="665">
        <v>44181</v>
      </c>
      <c r="B139" s="662" t="s">
        <v>764</v>
      </c>
      <c r="C139" s="676" t="s">
        <v>886</v>
      </c>
      <c r="D139" s="676"/>
      <c r="E139" s="704"/>
      <c r="F139" s="689" t="s">
        <v>761</v>
      </c>
      <c r="G139" s="865"/>
      <c r="H139" s="859">
        <v>-2008.55</v>
      </c>
      <c r="I139" s="676"/>
      <c r="J139" s="872"/>
      <c r="K139" s="676"/>
    </row>
    <row r="140" spans="1:11" s="662" customFormat="1" x14ac:dyDescent="0.25">
      <c r="A140" s="665">
        <v>44183</v>
      </c>
      <c r="B140" s="662" t="s">
        <v>764</v>
      </c>
      <c r="C140" s="676" t="s">
        <v>886</v>
      </c>
      <c r="D140" s="676"/>
      <c r="E140" s="704"/>
      <c r="F140" s="689"/>
      <c r="G140" s="865"/>
      <c r="H140" s="859">
        <v>-12.44</v>
      </c>
      <c r="I140" s="676">
        <f>+F138+F135</f>
        <v>166</v>
      </c>
      <c r="J140" s="872"/>
      <c r="K140" s="676"/>
    </row>
    <row r="141" spans="1:11" s="662" customFormat="1" x14ac:dyDescent="0.25">
      <c r="A141" s="665">
        <v>44203</v>
      </c>
      <c r="B141" s="662" t="s">
        <v>767</v>
      </c>
      <c r="C141" s="676" t="s">
        <v>886</v>
      </c>
      <c r="D141" s="676"/>
      <c r="E141" s="704">
        <v>-2.0099999999999998</v>
      </c>
      <c r="F141" s="689"/>
      <c r="G141" s="865"/>
      <c r="H141" s="859"/>
      <c r="I141" s="676"/>
      <c r="J141" s="872"/>
      <c r="K141" s="676"/>
    </row>
    <row r="142" spans="1:11" s="661" customFormat="1" x14ac:dyDescent="0.25">
      <c r="A142" s="664">
        <v>44250</v>
      </c>
      <c r="B142" s="661" t="s">
        <v>763</v>
      </c>
      <c r="C142" s="674" t="s">
        <v>886</v>
      </c>
      <c r="D142" s="674"/>
      <c r="E142" s="712"/>
      <c r="F142" s="688" t="s">
        <v>132</v>
      </c>
      <c r="G142" s="864"/>
      <c r="H142" s="858">
        <v>41000</v>
      </c>
      <c r="I142" s="674"/>
      <c r="J142" s="674"/>
      <c r="K142" s="674"/>
    </row>
    <row r="143" spans="1:11" s="662" customFormat="1" x14ac:dyDescent="0.25">
      <c r="A143" s="665">
        <v>44250</v>
      </c>
      <c r="B143" s="662" t="s">
        <v>764</v>
      </c>
      <c r="C143" s="676" t="s">
        <v>938</v>
      </c>
      <c r="D143" s="676"/>
      <c r="E143" s="704"/>
      <c r="F143" s="689">
        <v>9</v>
      </c>
      <c r="G143" s="865">
        <v>4089</v>
      </c>
      <c r="H143" s="859">
        <f>-F143*G143</f>
        <v>-36801</v>
      </c>
      <c r="I143" s="676"/>
      <c r="J143" s="676"/>
      <c r="K143" s="676"/>
    </row>
    <row r="144" spans="1:11" s="662" customFormat="1" x14ac:dyDescent="0.25">
      <c r="A144" s="665">
        <v>44250</v>
      </c>
      <c r="B144" s="662" t="s">
        <v>764</v>
      </c>
      <c r="C144" s="676" t="s">
        <v>886</v>
      </c>
      <c r="D144" s="676"/>
      <c r="E144" s="704"/>
      <c r="F144" s="689" t="s">
        <v>761</v>
      </c>
      <c r="G144" s="865"/>
      <c r="H144" s="859">
        <v>-258.27</v>
      </c>
      <c r="I144" s="676"/>
      <c r="J144" s="872"/>
      <c r="K144" s="676"/>
    </row>
    <row r="145" spans="1:11" s="662" customFormat="1" x14ac:dyDescent="0.25">
      <c r="A145" s="665">
        <v>44250</v>
      </c>
      <c r="B145" s="662" t="s">
        <v>764</v>
      </c>
      <c r="C145" s="676" t="s">
        <v>886</v>
      </c>
      <c r="D145" s="676"/>
      <c r="E145" s="704"/>
      <c r="F145" s="689" t="s">
        <v>791</v>
      </c>
      <c r="G145" s="865"/>
      <c r="H145" s="859">
        <v>-3940.73</v>
      </c>
      <c r="I145" s="676"/>
      <c r="J145" s="872"/>
      <c r="K145" s="676"/>
    </row>
    <row r="146" spans="1:11" s="661" customFormat="1" x14ac:dyDescent="0.25">
      <c r="A146" s="664">
        <v>44259</v>
      </c>
      <c r="B146" s="661" t="s">
        <v>763</v>
      </c>
      <c r="C146" s="674" t="s">
        <v>886</v>
      </c>
      <c r="D146" s="674"/>
      <c r="E146" s="712"/>
      <c r="F146" s="688" t="s">
        <v>132</v>
      </c>
      <c r="G146" s="864"/>
      <c r="H146" s="858">
        <v>38000</v>
      </c>
      <c r="I146" s="674"/>
      <c r="J146" s="674"/>
      <c r="K146" s="674"/>
    </row>
    <row r="147" spans="1:11" s="662" customFormat="1" x14ac:dyDescent="0.25">
      <c r="A147" s="665">
        <v>44259</v>
      </c>
      <c r="B147" s="662" t="s">
        <v>764</v>
      </c>
      <c r="C147" s="676" t="s">
        <v>938</v>
      </c>
      <c r="D147" s="676"/>
      <c r="E147" s="704"/>
      <c r="F147" s="689">
        <v>10</v>
      </c>
      <c r="G147" s="865">
        <v>3700</v>
      </c>
      <c r="H147" s="859">
        <f>-F147*G147</f>
        <v>-37000</v>
      </c>
      <c r="I147" s="676"/>
      <c r="J147" s="676"/>
      <c r="K147" s="676"/>
    </row>
    <row r="148" spans="1:11" s="662" customFormat="1" x14ac:dyDescent="0.25">
      <c r="A148" s="665">
        <v>44259</v>
      </c>
      <c r="B148" s="662" t="s">
        <v>764</v>
      </c>
      <c r="C148" s="676" t="s">
        <v>886</v>
      </c>
      <c r="D148" s="676"/>
      <c r="E148" s="704"/>
      <c r="F148" s="689" t="s">
        <v>761</v>
      </c>
      <c r="G148" s="865"/>
      <c r="H148" s="859">
        <v>-244.57</v>
      </c>
      <c r="I148" s="676"/>
      <c r="J148" s="872"/>
      <c r="K148" s="676"/>
    </row>
    <row r="149" spans="1:11" s="662" customFormat="1" x14ac:dyDescent="0.25">
      <c r="A149" s="665">
        <v>44259</v>
      </c>
      <c r="B149" s="662" t="s">
        <v>764</v>
      </c>
      <c r="C149" s="676" t="s">
        <v>886</v>
      </c>
      <c r="D149" s="676"/>
      <c r="E149" s="704"/>
      <c r="F149" s="689" t="s">
        <v>791</v>
      </c>
      <c r="G149" s="865"/>
      <c r="H149" s="859">
        <v>-755.43</v>
      </c>
      <c r="I149" s="676"/>
      <c r="J149" s="872"/>
      <c r="K149" s="676"/>
    </row>
    <row r="150" spans="1:11" s="661" customFormat="1" x14ac:dyDescent="0.25">
      <c r="A150" s="664">
        <v>44280</v>
      </c>
      <c r="B150" s="661" t="s">
        <v>763</v>
      </c>
      <c r="C150" s="674" t="s">
        <v>886</v>
      </c>
      <c r="D150" s="674"/>
      <c r="E150" s="712"/>
      <c r="F150" s="688" t="s">
        <v>132</v>
      </c>
      <c r="G150" s="864"/>
      <c r="H150" s="858">
        <v>10499.89</v>
      </c>
      <c r="I150" s="674"/>
      <c r="J150" s="674"/>
      <c r="K150" s="674"/>
    </row>
    <row r="151" spans="1:11" s="662" customFormat="1" x14ac:dyDescent="0.25">
      <c r="A151" s="665">
        <v>44280</v>
      </c>
      <c r="B151" s="662" t="s">
        <v>764</v>
      </c>
      <c r="C151" s="676" t="s">
        <v>938</v>
      </c>
      <c r="D151" s="676"/>
      <c r="E151" s="704"/>
      <c r="F151" s="689">
        <v>3</v>
      </c>
      <c r="G151" s="865">
        <v>3360</v>
      </c>
      <c r="H151" s="859">
        <f>-F151*G151</f>
        <v>-10080</v>
      </c>
      <c r="I151" s="676"/>
      <c r="J151" s="676"/>
      <c r="K151" s="676"/>
    </row>
    <row r="152" spans="1:11" s="662" customFormat="1" x14ac:dyDescent="0.25">
      <c r="A152" s="665">
        <v>44280</v>
      </c>
      <c r="B152" s="662" t="s">
        <v>764</v>
      </c>
      <c r="C152" s="676" t="s">
        <v>886</v>
      </c>
      <c r="D152" s="676"/>
      <c r="E152" s="704"/>
      <c r="F152" s="689" t="s">
        <v>761</v>
      </c>
      <c r="G152" s="865"/>
      <c r="H152" s="859">
        <v>-70.739999999999995</v>
      </c>
      <c r="I152" s="676"/>
      <c r="J152" s="872"/>
      <c r="K152" s="676"/>
    </row>
    <row r="153" spans="1:11" s="662" customFormat="1" x14ac:dyDescent="0.25">
      <c r="A153" s="665">
        <v>44280</v>
      </c>
      <c r="B153" s="662" t="s">
        <v>764</v>
      </c>
      <c r="C153" s="676" t="s">
        <v>886</v>
      </c>
      <c r="D153" s="676"/>
      <c r="E153" s="704"/>
      <c r="F153" s="689" t="s">
        <v>791</v>
      </c>
      <c r="G153" s="865"/>
      <c r="H153" s="859">
        <v>-349.15</v>
      </c>
      <c r="I153" s="676"/>
      <c r="J153" s="872"/>
      <c r="K153" s="676"/>
    </row>
    <row r="154" spans="1:11" s="661" customFormat="1" x14ac:dyDescent="0.25">
      <c r="A154" s="664">
        <v>44371</v>
      </c>
      <c r="B154" s="661" t="s">
        <v>763</v>
      </c>
      <c r="C154" s="674" t="s">
        <v>1034</v>
      </c>
      <c r="D154" s="674"/>
      <c r="E154" s="712"/>
      <c r="F154" s="688" t="s">
        <v>132</v>
      </c>
      <c r="G154" s="864"/>
      <c r="H154" s="858">
        <v>4500</v>
      </c>
      <c r="I154" s="674"/>
      <c r="J154" s="674"/>
      <c r="K154" s="674"/>
    </row>
    <row r="155" spans="1:11" s="662" customFormat="1" x14ac:dyDescent="0.25">
      <c r="A155" s="665">
        <v>44371</v>
      </c>
      <c r="B155" s="662" t="s">
        <v>764</v>
      </c>
      <c r="C155" s="676" t="s">
        <v>938</v>
      </c>
      <c r="D155" s="676"/>
      <c r="E155" s="704"/>
      <c r="F155" s="689">
        <v>1</v>
      </c>
      <c r="G155" s="865">
        <v>4363</v>
      </c>
      <c r="H155" s="859">
        <f>-F155*G155</f>
        <v>-4363</v>
      </c>
      <c r="I155" s="676"/>
      <c r="J155" s="676"/>
      <c r="K155" s="676"/>
    </row>
    <row r="156" spans="1:11" s="662" customFormat="1" x14ac:dyDescent="0.25">
      <c r="A156" s="665">
        <v>44371</v>
      </c>
      <c r="B156" s="662" t="s">
        <v>764</v>
      </c>
      <c r="C156" s="676" t="s">
        <v>1034</v>
      </c>
      <c r="D156" s="676"/>
      <c r="E156" s="704"/>
      <c r="F156" s="689" t="s">
        <v>761</v>
      </c>
      <c r="G156" s="865"/>
      <c r="H156" s="859">
        <v>-51.73</v>
      </c>
      <c r="I156" s="676"/>
      <c r="J156" s="872"/>
      <c r="K156" s="676"/>
    </row>
    <row r="157" spans="1:11" s="661" customFormat="1" x14ac:dyDescent="0.25">
      <c r="A157" s="874">
        <v>44124</v>
      </c>
      <c r="B157" s="875" t="s">
        <v>1087</v>
      </c>
      <c r="C157" s="876" t="s">
        <v>1084</v>
      </c>
      <c r="D157" s="876">
        <v>27.1</v>
      </c>
      <c r="E157" s="877">
        <f>+D157*F157</f>
        <v>0</v>
      </c>
      <c r="F157" s="878">
        <v>0</v>
      </c>
      <c r="G157" s="879">
        <v>4392</v>
      </c>
      <c r="H157" s="880">
        <v>0</v>
      </c>
      <c r="I157" s="674"/>
      <c r="J157" s="674"/>
      <c r="K157" s="674"/>
    </row>
    <row r="158" spans="1:11" s="662" customFormat="1" x14ac:dyDescent="0.25">
      <c r="A158" s="665">
        <v>44373</v>
      </c>
      <c r="B158" s="662" t="s">
        <v>764</v>
      </c>
      <c r="C158" s="676" t="s">
        <v>1034</v>
      </c>
      <c r="D158" s="676"/>
      <c r="E158" s="704"/>
      <c r="F158" s="689" t="s">
        <v>791</v>
      </c>
      <c r="G158" s="865"/>
      <c r="H158" s="859">
        <v>-85.26</v>
      </c>
      <c r="I158" s="676"/>
      <c r="J158" s="872"/>
      <c r="K158" s="676"/>
    </row>
    <row r="159" spans="1:11" s="661" customFormat="1" x14ac:dyDescent="0.25">
      <c r="A159" s="664">
        <v>44390</v>
      </c>
      <c r="B159" s="661" t="s">
        <v>763</v>
      </c>
      <c r="C159" s="674" t="s">
        <v>938</v>
      </c>
      <c r="D159" s="674"/>
      <c r="E159" s="712"/>
      <c r="F159" s="829" t="s">
        <v>1104</v>
      </c>
      <c r="G159" s="866">
        <v>4441.6899999999996</v>
      </c>
      <c r="H159" s="860"/>
      <c r="I159" s="674"/>
      <c r="J159" s="674"/>
      <c r="K159" s="674"/>
    </row>
    <row r="160" spans="1:11" s="661" customFormat="1" x14ac:dyDescent="0.25">
      <c r="A160" s="664">
        <v>44390</v>
      </c>
      <c r="B160" s="661" t="s">
        <v>763</v>
      </c>
      <c r="C160" s="674" t="s">
        <v>886</v>
      </c>
      <c r="D160" s="674"/>
      <c r="E160" s="712"/>
      <c r="F160" s="688" t="s">
        <v>132</v>
      </c>
      <c r="G160" s="864"/>
      <c r="H160" s="858">
        <v>22600</v>
      </c>
      <c r="I160" s="674"/>
      <c r="J160" s="674"/>
      <c r="K160" s="674"/>
    </row>
    <row r="161" spans="1:11" s="662" customFormat="1" x14ac:dyDescent="0.25">
      <c r="A161" s="665">
        <v>44390</v>
      </c>
      <c r="B161" s="662" t="s">
        <v>764</v>
      </c>
      <c r="C161" s="676" t="s">
        <v>938</v>
      </c>
      <c r="D161" s="676"/>
      <c r="E161" s="704"/>
      <c r="F161" s="689">
        <v>5</v>
      </c>
      <c r="G161" s="865">
        <v>4440</v>
      </c>
      <c r="H161" s="859">
        <f>-F161*G161</f>
        <v>-22200</v>
      </c>
      <c r="I161" s="676"/>
      <c r="J161" s="676"/>
      <c r="K161" s="676"/>
    </row>
    <row r="162" spans="1:11" s="662" customFormat="1" x14ac:dyDescent="0.25">
      <c r="A162" s="665">
        <v>44390</v>
      </c>
      <c r="B162" s="662" t="s">
        <v>764</v>
      </c>
      <c r="C162" s="676" t="s">
        <v>886</v>
      </c>
      <c r="D162" s="676"/>
      <c r="E162" s="704"/>
      <c r="F162" s="689" t="s">
        <v>761</v>
      </c>
      <c r="G162" s="865"/>
      <c r="H162" s="859">
        <v>-155.80000000000001</v>
      </c>
      <c r="I162" s="676"/>
      <c r="J162" s="872"/>
      <c r="K162" s="676"/>
    </row>
    <row r="163" spans="1:11" s="661" customFormat="1" x14ac:dyDescent="0.25">
      <c r="A163" s="664">
        <v>44392</v>
      </c>
      <c r="B163" s="661" t="s">
        <v>763</v>
      </c>
      <c r="C163" s="674" t="s">
        <v>886</v>
      </c>
      <c r="D163" s="674"/>
      <c r="E163" s="712"/>
      <c r="F163" s="688" t="s">
        <v>132</v>
      </c>
      <c r="G163" s="864"/>
      <c r="H163" s="858">
        <v>12850</v>
      </c>
      <c r="I163" s="674"/>
      <c r="J163" s="674"/>
      <c r="K163" s="674"/>
    </row>
    <row r="164" spans="1:11" s="662" customFormat="1" x14ac:dyDescent="0.25">
      <c r="A164" s="665">
        <v>44392</v>
      </c>
      <c r="B164" s="662" t="s">
        <v>764</v>
      </c>
      <c r="C164" s="676" t="s">
        <v>938</v>
      </c>
      <c r="D164" s="676"/>
      <c r="E164" s="704"/>
      <c r="F164" s="689">
        <v>3</v>
      </c>
      <c r="G164" s="865">
        <v>4330</v>
      </c>
      <c r="H164" s="859">
        <f>-F164*G164</f>
        <v>-12990</v>
      </c>
      <c r="I164" s="676"/>
      <c r="J164" s="676"/>
      <c r="K164" s="676"/>
    </row>
    <row r="165" spans="1:11" s="662" customFormat="1" x14ac:dyDescent="0.25">
      <c r="A165" s="665">
        <v>44392</v>
      </c>
      <c r="B165" s="662" t="s">
        <v>764</v>
      </c>
      <c r="C165" s="676" t="s">
        <v>886</v>
      </c>
      <c r="D165" s="676"/>
      <c r="E165" s="704"/>
      <c r="F165" s="689" t="s">
        <v>761</v>
      </c>
      <c r="G165" s="865"/>
      <c r="H165" s="859">
        <v>-91.16</v>
      </c>
      <c r="I165" s="676"/>
      <c r="J165" s="872"/>
      <c r="K165" s="676"/>
    </row>
    <row r="166" spans="1:11" s="661" customFormat="1" x14ac:dyDescent="0.25">
      <c r="A166" s="664">
        <v>44396</v>
      </c>
      <c r="B166" s="661" t="s">
        <v>763</v>
      </c>
      <c r="C166" s="674" t="s">
        <v>886</v>
      </c>
      <c r="D166" s="674"/>
      <c r="E166" s="712"/>
      <c r="F166" s="688" t="s">
        <v>132</v>
      </c>
      <c r="G166" s="864"/>
      <c r="H166" s="858">
        <v>9700</v>
      </c>
      <c r="I166" s="674"/>
      <c r="J166" s="674"/>
      <c r="K166" s="674"/>
    </row>
    <row r="167" spans="1:11" s="662" customFormat="1" x14ac:dyDescent="0.25">
      <c r="A167" s="665">
        <v>44396</v>
      </c>
      <c r="B167" s="662" t="s">
        <v>764</v>
      </c>
      <c r="C167" s="676" t="s">
        <v>938</v>
      </c>
      <c r="D167" s="676"/>
      <c r="E167" s="704"/>
      <c r="F167" s="689">
        <v>2</v>
      </c>
      <c r="G167" s="865">
        <v>4398.5</v>
      </c>
      <c r="H167" s="859">
        <f>-F167*G167</f>
        <v>-8797</v>
      </c>
      <c r="I167" s="676"/>
      <c r="J167" s="676"/>
      <c r="K167" s="676"/>
    </row>
    <row r="168" spans="1:11" s="662" customFormat="1" x14ac:dyDescent="0.25">
      <c r="A168" s="665">
        <v>44396</v>
      </c>
      <c r="B168" s="662" t="s">
        <v>764</v>
      </c>
      <c r="C168" s="676" t="s">
        <v>886</v>
      </c>
      <c r="D168" s="676"/>
      <c r="E168" s="704"/>
      <c r="F168" s="689" t="s">
        <v>761</v>
      </c>
      <c r="G168" s="865"/>
      <c r="H168" s="859">
        <v>-61.75</v>
      </c>
      <c r="I168" s="676"/>
      <c r="J168" s="872"/>
      <c r="K168" s="676"/>
    </row>
    <row r="169" spans="1:11" s="662" customFormat="1" x14ac:dyDescent="0.25">
      <c r="A169" s="665">
        <v>44396</v>
      </c>
      <c r="B169" s="662" t="s">
        <v>764</v>
      </c>
      <c r="C169" s="676" t="s">
        <v>886</v>
      </c>
      <c r="D169" s="676"/>
      <c r="E169" s="704"/>
      <c r="F169" s="689" t="s">
        <v>791</v>
      </c>
      <c r="G169" s="865"/>
      <c r="H169" s="859">
        <v>-100</v>
      </c>
      <c r="I169" s="676"/>
      <c r="J169" s="872"/>
      <c r="K169" s="676"/>
    </row>
    <row r="170" spans="1:11" s="661" customFormat="1" x14ac:dyDescent="0.25">
      <c r="A170" s="664">
        <v>44412</v>
      </c>
      <c r="B170" s="661" t="s">
        <v>763</v>
      </c>
      <c r="C170" s="674" t="s">
        <v>886</v>
      </c>
      <c r="D170" s="674"/>
      <c r="E170" s="712"/>
      <c r="F170" s="688" t="s">
        <v>132</v>
      </c>
      <c r="G170" s="864"/>
      <c r="H170" s="858">
        <v>4000</v>
      </c>
      <c r="I170" s="674"/>
      <c r="J170" s="674"/>
      <c r="K170" s="674"/>
    </row>
    <row r="171" spans="1:11" s="662" customFormat="1" x14ac:dyDescent="0.25">
      <c r="A171" s="665">
        <v>44412</v>
      </c>
      <c r="B171" s="662" t="s">
        <v>764</v>
      </c>
      <c r="C171" s="676" t="s">
        <v>938</v>
      </c>
      <c r="D171" s="676"/>
      <c r="E171" s="704"/>
      <c r="F171" s="689">
        <v>1</v>
      </c>
      <c r="G171" s="865">
        <v>4685</v>
      </c>
      <c r="H171" s="859">
        <f>-F171*G171</f>
        <v>-4685</v>
      </c>
      <c r="I171" s="676"/>
      <c r="J171" s="676"/>
      <c r="K171" s="676"/>
    </row>
    <row r="172" spans="1:11" s="662" customFormat="1" x14ac:dyDescent="0.25">
      <c r="A172" s="665">
        <v>44412</v>
      </c>
      <c r="B172" s="662" t="s">
        <v>764</v>
      </c>
      <c r="C172" s="676" t="s">
        <v>886</v>
      </c>
      <c r="D172" s="676"/>
      <c r="E172" s="704"/>
      <c r="F172" s="689" t="s">
        <v>761</v>
      </c>
      <c r="G172" s="865"/>
      <c r="H172" s="859">
        <v>-32.89</v>
      </c>
      <c r="I172" s="676"/>
      <c r="J172" s="872"/>
      <c r="K172" s="676"/>
    </row>
    <row r="173" spans="1:11" s="661" customFormat="1" x14ac:dyDescent="0.25">
      <c r="A173" s="664">
        <v>44418</v>
      </c>
      <c r="B173" s="661" t="s">
        <v>763</v>
      </c>
      <c r="C173" s="674" t="s">
        <v>886</v>
      </c>
      <c r="D173" s="674"/>
      <c r="E173" s="712"/>
      <c r="F173" s="688" t="s">
        <v>132</v>
      </c>
      <c r="G173" s="864"/>
      <c r="H173" s="858">
        <v>21900</v>
      </c>
      <c r="I173" s="674"/>
      <c r="J173" s="674"/>
      <c r="K173" s="674"/>
    </row>
    <row r="174" spans="1:11" s="661" customFormat="1" x14ac:dyDescent="0.25">
      <c r="A174" s="664">
        <v>44419</v>
      </c>
      <c r="B174" s="661" t="s">
        <v>763</v>
      </c>
      <c r="C174" s="674" t="s">
        <v>886</v>
      </c>
      <c r="D174" s="674"/>
      <c r="E174" s="712"/>
      <c r="F174" s="688" t="s">
        <v>132</v>
      </c>
      <c r="G174" s="864"/>
      <c r="H174" s="858">
        <v>56000</v>
      </c>
      <c r="I174" s="674"/>
      <c r="J174" s="674"/>
      <c r="K174" s="674"/>
    </row>
    <row r="175" spans="1:11" s="662" customFormat="1" x14ac:dyDescent="0.25">
      <c r="A175" s="665">
        <v>44419</v>
      </c>
      <c r="B175" s="662" t="s">
        <v>764</v>
      </c>
      <c r="C175" s="676" t="s">
        <v>938</v>
      </c>
      <c r="D175" s="676"/>
      <c r="E175" s="704"/>
      <c r="F175" s="689">
        <v>13</v>
      </c>
      <c r="G175" s="865">
        <v>5469.5</v>
      </c>
      <c r="H175" s="859">
        <f>-F175*G175</f>
        <v>-71103.5</v>
      </c>
      <c r="I175" s="676"/>
      <c r="J175" s="1174"/>
      <c r="K175" s="676"/>
    </row>
    <row r="176" spans="1:11" s="662" customFormat="1" x14ac:dyDescent="0.25">
      <c r="A176" s="665">
        <v>44419</v>
      </c>
      <c r="B176" s="662" t="s">
        <v>764</v>
      </c>
      <c r="C176" s="676" t="s">
        <v>938</v>
      </c>
      <c r="D176" s="676"/>
      <c r="E176" s="704"/>
      <c r="F176" s="689">
        <v>1</v>
      </c>
      <c r="G176" s="865">
        <v>5470</v>
      </c>
      <c r="H176" s="859">
        <f>-F176*G176</f>
        <v>-5470</v>
      </c>
      <c r="I176" s="676"/>
      <c r="J176" s="1174"/>
      <c r="K176" s="676"/>
    </row>
    <row r="177" spans="1:18" s="662" customFormat="1" x14ac:dyDescent="0.25">
      <c r="A177" s="665">
        <v>44419</v>
      </c>
      <c r="B177" s="662" t="s">
        <v>764</v>
      </c>
      <c r="C177" s="676" t="s">
        <v>886</v>
      </c>
      <c r="D177" s="676"/>
      <c r="E177" s="704"/>
      <c r="F177" s="689" t="s">
        <v>761</v>
      </c>
      <c r="G177" s="865"/>
      <c r="H177" s="859">
        <v>-537.4</v>
      </c>
      <c r="I177" s="676"/>
      <c r="J177" s="872"/>
      <c r="K177" s="676"/>
    </row>
    <row r="178" spans="1:18" s="661" customFormat="1" x14ac:dyDescent="0.25">
      <c r="A178" s="664">
        <v>44425</v>
      </c>
      <c r="B178" s="661" t="s">
        <v>763</v>
      </c>
      <c r="C178" s="674" t="s">
        <v>886</v>
      </c>
      <c r="D178" s="674"/>
      <c r="E178" s="712"/>
      <c r="F178" s="688" t="s">
        <v>132</v>
      </c>
      <c r="G178" s="864"/>
      <c r="H178" s="858">
        <v>54000</v>
      </c>
      <c r="I178" s="674"/>
      <c r="J178" s="674"/>
      <c r="K178" s="674"/>
    </row>
    <row r="179" spans="1:18" s="662" customFormat="1" x14ac:dyDescent="0.25">
      <c r="A179" s="665">
        <v>44425</v>
      </c>
      <c r="B179" s="662" t="s">
        <v>764</v>
      </c>
      <c r="C179" s="676" t="s">
        <v>938</v>
      </c>
      <c r="D179" s="676"/>
      <c r="E179" s="704"/>
      <c r="F179" s="689">
        <v>10</v>
      </c>
      <c r="G179" s="865">
        <v>5248.25</v>
      </c>
      <c r="H179" s="859">
        <f>-F179*G179</f>
        <v>-52482.5</v>
      </c>
      <c r="I179" s="676"/>
      <c r="J179" s="676"/>
      <c r="K179" s="676"/>
    </row>
    <row r="180" spans="1:18" s="662" customFormat="1" x14ac:dyDescent="0.25">
      <c r="A180" s="665">
        <v>44425</v>
      </c>
      <c r="B180" s="662" t="s">
        <v>764</v>
      </c>
      <c r="C180" s="676" t="s">
        <v>886</v>
      </c>
      <c r="D180" s="676"/>
      <c r="E180" s="704"/>
      <c r="F180" s="689" t="s">
        <v>761</v>
      </c>
      <c r="G180" s="865"/>
      <c r="H180" s="859">
        <v>-368.32</v>
      </c>
      <c r="I180" s="676"/>
      <c r="J180" s="872"/>
      <c r="K180" s="676"/>
    </row>
    <row r="181" spans="1:18" s="662" customFormat="1" x14ac:dyDescent="0.25">
      <c r="A181" s="665">
        <v>44425</v>
      </c>
      <c r="B181" s="662" t="s">
        <v>764</v>
      </c>
      <c r="C181" s="676" t="s">
        <v>886</v>
      </c>
      <c r="D181" s="676"/>
      <c r="E181" s="704"/>
      <c r="F181" s="689" t="s">
        <v>791</v>
      </c>
      <c r="G181" s="865"/>
      <c r="H181" s="859">
        <v>-1000</v>
      </c>
      <c r="I181" s="676"/>
      <c r="J181" s="872"/>
      <c r="K181" s="676"/>
    </row>
    <row r="182" spans="1:18" s="662" customFormat="1" x14ac:dyDescent="0.25">
      <c r="A182" s="665">
        <v>44431</v>
      </c>
      <c r="B182" s="662" t="s">
        <v>764</v>
      </c>
      <c r="C182" s="676" t="s">
        <v>886</v>
      </c>
      <c r="D182" s="676"/>
      <c r="E182" s="704"/>
      <c r="F182" s="689" t="s">
        <v>791</v>
      </c>
      <c r="G182" s="865"/>
      <c r="H182" s="859">
        <v>-900</v>
      </c>
      <c r="I182" s="676"/>
      <c r="J182" s="872"/>
      <c r="K182" s="676"/>
    </row>
    <row r="183" spans="1:18" x14ac:dyDescent="0.25">
      <c r="M183" s="851"/>
    </row>
    <row r="184" spans="1:18" x14ac:dyDescent="0.25">
      <c r="B184" s="669" t="s">
        <v>777</v>
      </c>
      <c r="C184" s="680">
        <f>Ctzv</f>
        <v>179</v>
      </c>
      <c r="D184" s="681"/>
      <c r="E184" s="681"/>
      <c r="J184" s="849"/>
      <c r="K184" s="850"/>
      <c r="L184" s="799"/>
      <c r="M184" s="868">
        <f>+J186/N186</f>
        <v>169.67621419676215</v>
      </c>
      <c r="P184" s="888">
        <f>+P186+P188</f>
        <v>3449688</v>
      </c>
      <c r="Q184" s="799"/>
    </row>
    <row r="185" spans="1:18" x14ac:dyDescent="0.25">
      <c r="B185" s="670" t="s">
        <v>778</v>
      </c>
      <c r="C185" s="682">
        <f>Ctz</f>
        <v>160.04999999999998</v>
      </c>
      <c r="D185" s="49"/>
      <c r="E185" s="49"/>
      <c r="J185" s="849"/>
      <c r="K185" s="850"/>
      <c r="L185" s="799"/>
      <c r="M185" s="873"/>
      <c r="O185" s="799"/>
      <c r="Q185" s="28">
        <f>+K186*23.8</f>
        <v>6188</v>
      </c>
      <c r="R185">
        <f>+M186-Q185</f>
        <v>2163.1999999999989</v>
      </c>
    </row>
    <row r="186" spans="1:18" x14ac:dyDescent="0.25">
      <c r="B186" s="670" t="s">
        <v>776</v>
      </c>
      <c r="C186" s="684">
        <v>200</v>
      </c>
      <c r="D186" s="683">
        <f>+C186*C185</f>
        <v>32009.999999999996</v>
      </c>
      <c r="E186" s="683"/>
      <c r="I186" s="10" t="s">
        <v>937</v>
      </c>
      <c r="J186" s="849">
        <v>5450</v>
      </c>
      <c r="K186" s="850">
        <v>260</v>
      </c>
      <c r="L186" s="799">
        <f>+K186*$J$186</f>
        <v>1417000</v>
      </c>
      <c r="M186" s="868">
        <f>+K186*$N$186</f>
        <v>8351.1999999999989</v>
      </c>
      <c r="N186" s="966">
        <v>32.119999999999997</v>
      </c>
      <c r="O186" s="799" t="s">
        <v>956</v>
      </c>
      <c r="P186" s="799">
        <f>+M186*Ctzv</f>
        <v>1494864.7999999998</v>
      </c>
      <c r="Q186" s="28">
        <f>+K186*4078</f>
        <v>1060280</v>
      </c>
      <c r="R186">
        <f>+P186-Q186</f>
        <v>434584.79999999981</v>
      </c>
    </row>
    <row r="187" spans="1:18" x14ac:dyDescent="0.25">
      <c r="A187"/>
      <c r="B187" s="670" t="s">
        <v>768</v>
      </c>
      <c r="C187" s="684">
        <v>38.9</v>
      </c>
      <c r="D187" s="711">
        <f>(200/C188)</f>
        <v>40</v>
      </c>
      <c r="E187" s="49">
        <f>+D187*C188</f>
        <v>200</v>
      </c>
      <c r="J187" s="881"/>
      <c r="K187" s="892"/>
      <c r="L187" s="799"/>
      <c r="M187" s="868"/>
      <c r="N187" s="893"/>
      <c r="O187" s="893"/>
      <c r="P187" s="799"/>
      <c r="Q187" s="578"/>
      <c r="R187" s="238"/>
    </row>
    <row r="188" spans="1:18" x14ac:dyDescent="0.25">
      <c r="A188"/>
      <c r="B188" s="670" t="s">
        <v>769</v>
      </c>
      <c r="C188" s="886">
        <f>INT(+C186/C187)</f>
        <v>5</v>
      </c>
      <c r="D188" s="49">
        <f>+D187*C184</f>
        <v>7160</v>
      </c>
      <c r="E188" s="49">
        <f>+D188*C188</f>
        <v>35800</v>
      </c>
      <c r="G188" s="881"/>
      <c r="H188" s="882"/>
      <c r="I188" s="883"/>
      <c r="J188" s="881" t="s">
        <v>1099</v>
      </c>
      <c r="K188" s="881">
        <f>+K189-K186</f>
        <v>340</v>
      </c>
      <c r="L188" s="799">
        <f>+K188*$J$186</f>
        <v>1853000</v>
      </c>
      <c r="M188" s="868">
        <f>+K188*$N$186</f>
        <v>10920.8</v>
      </c>
      <c r="N188" s="893"/>
      <c r="O188" s="893"/>
      <c r="P188" s="799">
        <f>+M188*Ctzv</f>
        <v>1954823.2</v>
      </c>
      <c r="Q188" s="578"/>
      <c r="R188" s="238"/>
    </row>
    <row r="189" spans="1:18" x14ac:dyDescent="0.25">
      <c r="A189"/>
      <c r="B189" s="670" t="s">
        <v>771</v>
      </c>
      <c r="C189" s="711">
        <f>+C188*C187</f>
        <v>194.5</v>
      </c>
      <c r="D189" s="49"/>
      <c r="E189" s="49"/>
      <c r="G189" s="881"/>
      <c r="H189" s="882"/>
      <c r="I189" s="883"/>
      <c r="J189" s="881" t="s">
        <v>1098</v>
      </c>
      <c r="K189" s="892">
        <f>+K191*K190</f>
        <v>600</v>
      </c>
      <c r="L189" s="893"/>
      <c r="M189" s="897"/>
      <c r="N189" s="893"/>
      <c r="O189" s="893"/>
      <c r="P189" s="799"/>
      <c r="Q189" s="578"/>
      <c r="R189" s="238"/>
    </row>
    <row r="190" spans="1:18" x14ac:dyDescent="0.25">
      <c r="A190"/>
      <c r="B190" s="670" t="s">
        <v>772</v>
      </c>
      <c r="C190" s="711">
        <f>ROUND(+C189*E190,2)</f>
        <v>1.36</v>
      </c>
      <c r="D190" s="711">
        <v>0.7</v>
      </c>
      <c r="E190" s="711">
        <f>+D190/100</f>
        <v>6.9999999999999993E-3</v>
      </c>
      <c r="G190" s="881"/>
      <c r="H190" s="882"/>
      <c r="I190" s="883"/>
      <c r="J190" s="881" t="s">
        <v>1100</v>
      </c>
      <c r="K190" s="892">
        <v>60</v>
      </c>
      <c r="L190" s="893">
        <f>+K190*J186</f>
        <v>327000</v>
      </c>
      <c r="M190" s="894"/>
      <c r="N190" s="893"/>
      <c r="O190" s="1034"/>
      <c r="P190" s="238"/>
      <c r="Q190" s="898"/>
      <c r="R190" s="238"/>
    </row>
    <row r="191" spans="1:18" x14ac:dyDescent="0.25">
      <c r="A191"/>
      <c r="B191" s="670" t="s">
        <v>770</v>
      </c>
      <c r="C191" s="705">
        <v>5677</v>
      </c>
      <c r="D191" s="683">
        <v>39</v>
      </c>
      <c r="E191" s="711"/>
      <c r="G191" s="881"/>
      <c r="H191" s="882"/>
      <c r="I191" s="883"/>
      <c r="J191" s="881" t="s">
        <v>1101</v>
      </c>
      <c r="K191" s="892">
        <v>10</v>
      </c>
      <c r="L191" s="893"/>
      <c r="M191" s="894"/>
      <c r="N191" s="893"/>
      <c r="O191" s="1034"/>
      <c r="P191" s="238"/>
      <c r="Q191" s="898"/>
      <c r="R191" s="238"/>
    </row>
    <row r="192" spans="1:18" x14ac:dyDescent="0.25">
      <c r="A192"/>
      <c r="B192" s="670" t="s">
        <v>773</v>
      </c>
      <c r="C192" s="683">
        <f>+C191*C188</f>
        <v>28385</v>
      </c>
      <c r="D192" s="49"/>
      <c r="E192" s="711"/>
      <c r="G192" s="881"/>
      <c r="H192" s="882"/>
      <c r="I192" s="883"/>
      <c r="J192" s="881" t="s">
        <v>1105</v>
      </c>
      <c r="K192" s="1166">
        <f>+K186/K190</f>
        <v>4.333333333333333</v>
      </c>
      <c r="L192" s="893"/>
      <c r="M192" s="894"/>
      <c r="N192" s="893"/>
      <c r="O192" s="1034"/>
      <c r="P192" s="238"/>
      <c r="Q192" s="578"/>
      <c r="R192" s="238"/>
    </row>
    <row r="193" spans="1:21" x14ac:dyDescent="0.25">
      <c r="A193"/>
      <c r="B193" s="670" t="s">
        <v>774</v>
      </c>
      <c r="C193" s="683">
        <f>ROUND(+C192*E193,2)</f>
        <v>198.7</v>
      </c>
      <c r="D193" s="711">
        <v>0.7</v>
      </c>
      <c r="E193" s="711">
        <f>+D193/100</f>
        <v>6.9999999999999993E-3</v>
      </c>
      <c r="G193" s="881"/>
      <c r="H193" s="882"/>
      <c r="I193" s="883"/>
      <c r="J193" s="742"/>
      <c r="K193" s="941"/>
      <c r="L193" s="893"/>
      <c r="M193" s="898"/>
      <c r="N193" s="893"/>
      <c r="O193" s="1034"/>
      <c r="P193" s="238"/>
      <c r="Q193" s="898"/>
      <c r="R193" s="893"/>
      <c r="S193" s="799"/>
      <c r="T193" s="868"/>
    </row>
    <row r="194" spans="1:21" x14ac:dyDescent="0.25">
      <c r="A194"/>
      <c r="B194" s="670" t="s">
        <v>779</v>
      </c>
      <c r="C194" s="683">
        <f>+C192/C189</f>
        <v>145.93830334190233</v>
      </c>
      <c r="D194" s="49"/>
      <c r="E194" s="49"/>
      <c r="G194" s="881"/>
      <c r="H194" s="882"/>
      <c r="I194" s="883"/>
      <c r="J194" s="895"/>
      <c r="K194" s="942"/>
      <c r="L194" s="893"/>
      <c r="M194" s="898"/>
      <c r="N194" s="893"/>
      <c r="O194" s="1034"/>
      <c r="P194" s="238"/>
      <c r="Q194" s="578"/>
      <c r="R194" s="893"/>
      <c r="S194" s="799"/>
      <c r="T194" s="868"/>
    </row>
    <row r="195" spans="1:21" x14ac:dyDescent="0.25">
      <c r="A195"/>
      <c r="B195" s="670" t="s">
        <v>775</v>
      </c>
      <c r="C195" s="683">
        <f>+C192-C193</f>
        <v>28186.3</v>
      </c>
      <c r="D195" s="683"/>
      <c r="E195" s="49"/>
      <c r="G195" s="881"/>
      <c r="H195" s="882"/>
      <c r="I195" s="883"/>
      <c r="J195" s="896"/>
      <c r="K195" s="742"/>
      <c r="L195" s="893"/>
      <c r="M195" s="898"/>
      <c r="N195" s="893"/>
      <c r="O195" s="1034"/>
      <c r="P195" s="238"/>
      <c r="Q195" s="898"/>
      <c r="R195" s="893"/>
      <c r="S195" s="799"/>
      <c r="T195" s="868"/>
      <c r="U195" s="799"/>
    </row>
    <row r="196" spans="1:21" x14ac:dyDescent="0.25">
      <c r="A196"/>
      <c r="B196" s="670" t="s">
        <v>776</v>
      </c>
      <c r="C196" s="711">
        <f>+C195/C185</f>
        <v>176.10934083099033</v>
      </c>
      <c r="D196" s="49"/>
      <c r="E196" s="49"/>
      <c r="G196" s="881"/>
      <c r="H196" s="882"/>
      <c r="I196" s="883"/>
      <c r="J196" s="899"/>
      <c r="K196" s="238"/>
      <c r="L196" s="893"/>
      <c r="M196" s="898"/>
      <c r="N196" s="893"/>
      <c r="O196" s="1034"/>
      <c r="P196" s="238"/>
      <c r="Q196" s="578"/>
      <c r="R196" s="893"/>
      <c r="S196" s="799"/>
      <c r="T196" s="868"/>
      <c r="U196" s="799"/>
    </row>
    <row r="197" spans="1:21" x14ac:dyDescent="0.25">
      <c r="A197"/>
      <c r="B197" s="670" t="s">
        <v>781</v>
      </c>
      <c r="C197" s="711">
        <f>+C196</f>
        <v>176.10934083099033</v>
      </c>
      <c r="D197" s="711">
        <f>+C197*C184</f>
        <v>31523.572008747269</v>
      </c>
      <c r="E197" s="49"/>
      <c r="G197" s="881"/>
      <c r="H197" s="882"/>
      <c r="I197" s="883"/>
      <c r="J197" s="1169"/>
      <c r="K197" s="742"/>
      <c r="L197" s="893"/>
      <c r="M197" s="898"/>
      <c r="N197" s="893"/>
      <c r="O197" s="1034"/>
      <c r="P197" s="238"/>
      <c r="Q197" s="898"/>
      <c r="R197" s="893"/>
      <c r="S197" s="799"/>
      <c r="T197" s="868"/>
      <c r="U197" s="799"/>
    </row>
    <row r="198" spans="1:21" x14ac:dyDescent="0.25">
      <c r="A198"/>
      <c r="B198" s="671" t="s">
        <v>780</v>
      </c>
      <c r="C198" s="702">
        <f>+C197-C186</f>
        <v>-23.890659169009666</v>
      </c>
      <c r="D198" s="687">
        <f>+C198*C184</f>
        <v>-4276.42799125273</v>
      </c>
      <c r="E198" s="703"/>
      <c r="G198" s="881"/>
      <c r="H198" s="882"/>
      <c r="I198" s="883"/>
      <c r="J198" s="881"/>
      <c r="K198" s="1170"/>
      <c r="L198" s="893"/>
      <c r="M198" s="894"/>
      <c r="N198" s="893"/>
      <c r="O198" s="1034"/>
      <c r="P198" s="238"/>
      <c r="Q198" s="578"/>
      <c r="R198" s="238"/>
    </row>
    <row r="199" spans="1:21" x14ac:dyDescent="0.25">
      <c r="A199"/>
      <c r="G199" s="881"/>
      <c r="H199" s="882"/>
      <c r="I199" s="883"/>
      <c r="J199" s="881"/>
      <c r="K199" s="892"/>
      <c r="L199" s="893"/>
      <c r="M199" s="894"/>
      <c r="N199" s="893"/>
      <c r="O199" s="1034"/>
      <c r="P199" s="238"/>
      <c r="Q199" s="898"/>
      <c r="R199" s="238"/>
    </row>
    <row r="200" spans="1:21" x14ac:dyDescent="0.25">
      <c r="A200"/>
      <c r="B200" s="666" t="s">
        <v>888</v>
      </c>
      <c r="G200" s="881"/>
      <c r="H200" s="882"/>
      <c r="I200" s="883"/>
      <c r="J200" s="884"/>
      <c r="K200" s="851"/>
      <c r="L200" s="851"/>
      <c r="M200" s="1030"/>
      <c r="N200" s="893"/>
      <c r="O200" s="1034"/>
      <c r="P200" s="238"/>
      <c r="Q200" s="578"/>
    </row>
    <row r="201" spans="1:21" x14ac:dyDescent="0.25">
      <c r="A201"/>
      <c r="B201" s="232" t="s">
        <v>889</v>
      </c>
      <c r="G201" s="881"/>
      <c r="H201" s="882"/>
      <c r="I201" s="883"/>
      <c r="J201" s="884"/>
      <c r="K201" s="851"/>
      <c r="L201" s="851"/>
      <c r="M201" s="1030"/>
      <c r="N201" s="893"/>
      <c r="O201" s="1034"/>
      <c r="P201" s="238"/>
      <c r="Q201" s="898"/>
    </row>
    <row r="202" spans="1:21" x14ac:dyDescent="0.25">
      <c r="A202"/>
      <c r="E202" s="702"/>
      <c r="G202" s="881"/>
      <c r="H202" s="882"/>
      <c r="I202" s="883"/>
      <c r="J202" s="884"/>
      <c r="K202" s="851"/>
      <c r="L202" s="851"/>
      <c r="M202" s="1030"/>
      <c r="N202" s="893"/>
      <c r="O202" s="1034"/>
      <c r="P202" s="238"/>
      <c r="Q202" s="578"/>
    </row>
    <row r="203" spans="1:21" x14ac:dyDescent="0.25">
      <c r="A203"/>
      <c r="B203" s="669" t="s">
        <v>906</v>
      </c>
      <c r="C203" s="680">
        <f>+J186</f>
        <v>5450</v>
      </c>
      <c r="D203" s="681"/>
      <c r="E203" s="823">
        <v>1150</v>
      </c>
      <c r="F203" s="854"/>
      <c r="K203" s="851"/>
      <c r="L203" s="851"/>
      <c r="M203" s="1031"/>
      <c r="N203" s="893"/>
      <c r="O203" s="953"/>
      <c r="P203" s="238"/>
      <c r="Q203" s="898"/>
    </row>
    <row r="204" spans="1:21" x14ac:dyDescent="0.25">
      <c r="A204"/>
      <c r="B204" s="670" t="s">
        <v>907</v>
      </c>
      <c r="C204" s="682">
        <v>3</v>
      </c>
      <c r="D204" s="49"/>
      <c r="E204" s="824">
        <v>1</v>
      </c>
      <c r="F204" s="854"/>
      <c r="J204" s="887"/>
      <c r="K204" s="746"/>
      <c r="L204" s="851"/>
      <c r="M204" s="1031"/>
      <c r="N204" s="893"/>
      <c r="O204" s="1034"/>
      <c r="P204" s="238"/>
      <c r="Q204" s="578"/>
    </row>
    <row r="205" spans="1:21" x14ac:dyDescent="0.25">
      <c r="A205"/>
      <c r="B205" s="670" t="s">
        <v>913</v>
      </c>
      <c r="C205" s="682">
        <f>+C203*C204</f>
        <v>16350</v>
      </c>
      <c r="D205" s="683"/>
      <c r="E205" s="824">
        <f>+E204*E203</f>
        <v>1150</v>
      </c>
      <c r="F205" s="854"/>
      <c r="J205" s="885"/>
      <c r="K205" s="851"/>
      <c r="L205" s="851" t="s">
        <v>947</v>
      </c>
      <c r="M205" s="1032"/>
      <c r="N205" s="893"/>
      <c r="O205" s="1034"/>
      <c r="P205" s="238"/>
      <c r="Q205" s="898"/>
    </row>
    <row r="206" spans="1:21" x14ac:dyDescent="0.25">
      <c r="A206"/>
      <c r="B206" s="670" t="s">
        <v>908</v>
      </c>
      <c r="C206" s="766">
        <f>ROUND(+C205*D206,2)</f>
        <v>81.75</v>
      </c>
      <c r="D206" s="765">
        <v>5.0000000000000001E-3</v>
      </c>
      <c r="E206" s="821">
        <f>ROUND(E205*D206,2)</f>
        <v>5.75</v>
      </c>
      <c r="F206" s="854"/>
      <c r="K206" s="93"/>
      <c r="L206" s="810" t="s">
        <v>948</v>
      </c>
      <c r="M206" s="1032"/>
      <c r="N206" s="893"/>
      <c r="O206" s="1034"/>
      <c r="P206" s="238"/>
      <c r="Q206" s="578"/>
    </row>
    <row r="207" spans="1:21" x14ac:dyDescent="0.25">
      <c r="A207"/>
      <c r="B207" s="670" t="s">
        <v>909</v>
      </c>
      <c r="C207" s="683">
        <f>ROUND(+C205*D207,2)</f>
        <v>13.08</v>
      </c>
      <c r="D207" s="765">
        <v>8.0000000000000004E-4</v>
      </c>
      <c r="E207" s="821">
        <f>ROUND(E205*D207,2)</f>
        <v>0.92</v>
      </c>
      <c r="F207" s="854"/>
      <c r="K207" s="93"/>
      <c r="L207" s="41" t="s">
        <v>949</v>
      </c>
      <c r="M207" s="1032"/>
      <c r="N207" s="893"/>
      <c r="O207" s="1034"/>
      <c r="P207" s="238"/>
      <c r="Q207" s="898"/>
    </row>
    <row r="208" spans="1:21" x14ac:dyDescent="0.25">
      <c r="A208"/>
      <c r="B208" s="670" t="s">
        <v>912</v>
      </c>
      <c r="C208" s="683">
        <f>+C206+C207</f>
        <v>94.83</v>
      </c>
      <c r="D208" s="49"/>
      <c r="E208" s="821">
        <f>+E206+E207</f>
        <v>6.67</v>
      </c>
      <c r="F208" s="854"/>
      <c r="J208" s="761"/>
      <c r="K208" s="761"/>
      <c r="L208" s="799" t="s">
        <v>950</v>
      </c>
      <c r="M208" s="851"/>
      <c r="N208" s="893"/>
      <c r="O208" s="951"/>
      <c r="P208" s="238"/>
      <c r="Q208" s="578"/>
      <c r="R208" s="799"/>
      <c r="S208" s="799"/>
      <c r="T208" s="868"/>
    </row>
    <row r="209" spans="1:21" x14ac:dyDescent="0.25">
      <c r="A209"/>
      <c r="B209" s="670" t="s">
        <v>911</v>
      </c>
      <c r="C209" s="683">
        <f>ROUND(+C208*D209,2)</f>
        <v>19.91</v>
      </c>
      <c r="D209" s="764">
        <v>0.21</v>
      </c>
      <c r="E209" s="821">
        <f>ROUND(E208*D209,2)</f>
        <v>1.4</v>
      </c>
      <c r="F209" s="854"/>
      <c r="J209" s="667"/>
      <c r="K209" s="761"/>
      <c r="L209" s="799" t="s">
        <v>951</v>
      </c>
      <c r="M209" s="851"/>
      <c r="N209" s="893"/>
      <c r="O209" s="951"/>
      <c r="P209" s="238"/>
      <c r="Q209" s="898"/>
      <c r="R209" s="799"/>
      <c r="S209" s="799"/>
      <c r="T209" s="868"/>
    </row>
    <row r="210" spans="1:21" x14ac:dyDescent="0.25">
      <c r="A210"/>
      <c r="B210" s="670" t="s">
        <v>910</v>
      </c>
      <c r="C210" s="682">
        <f>+C208+C209</f>
        <v>114.74</v>
      </c>
      <c r="D210" s="683"/>
      <c r="E210" s="824">
        <f>+E208+E209</f>
        <v>8.07</v>
      </c>
      <c r="F210" s="854"/>
      <c r="J210" s="869"/>
      <c r="K210" s="761"/>
      <c r="L210" s="799" t="s">
        <v>952</v>
      </c>
      <c r="M210" s="851"/>
      <c r="N210" s="893"/>
      <c r="O210" s="951"/>
      <c r="P210" s="238"/>
      <c r="Q210" s="578"/>
      <c r="R210" s="799"/>
      <c r="S210" s="799"/>
      <c r="T210" s="868"/>
      <c r="U210" s="799"/>
    </row>
    <row r="211" spans="1:21" x14ac:dyDescent="0.25">
      <c r="A211"/>
      <c r="B211" s="670" t="s">
        <v>914</v>
      </c>
      <c r="C211" s="683">
        <f>+C210+C205</f>
        <v>16464.740000000002</v>
      </c>
      <c r="D211" s="825">
        <f>+E211-C211</f>
        <v>-15322.810000000001</v>
      </c>
      <c r="E211" s="821">
        <f>+E205-E210</f>
        <v>1141.93</v>
      </c>
      <c r="F211" s="854">
        <f>84640-C211</f>
        <v>68175.259999999995</v>
      </c>
      <c r="J211" s="870"/>
      <c r="K211"/>
      <c r="L211" s="799" t="s">
        <v>953</v>
      </c>
      <c r="M211" s="851"/>
      <c r="N211" s="893"/>
      <c r="O211" s="951"/>
      <c r="P211" s="238"/>
      <c r="Q211" s="898"/>
      <c r="R211" s="799"/>
      <c r="S211" s="799"/>
      <c r="T211" s="868"/>
      <c r="U211" s="799"/>
    </row>
    <row r="212" spans="1:21" x14ac:dyDescent="0.25">
      <c r="A212"/>
      <c r="B212" s="670"/>
      <c r="C212" s="683"/>
      <c r="D212" s="686"/>
      <c r="E212" s="821"/>
      <c r="J212" s="350"/>
      <c r="K212" s="761"/>
      <c r="L212" s="799" t="s">
        <v>954</v>
      </c>
      <c r="M212" s="851"/>
      <c r="N212" s="893"/>
      <c r="O212" s="951"/>
      <c r="P212" s="238"/>
      <c r="Q212" s="578"/>
      <c r="R212" s="799"/>
      <c r="S212" s="799"/>
      <c r="T212" s="868"/>
      <c r="U212" s="799"/>
    </row>
    <row r="213" spans="1:21" x14ac:dyDescent="0.25">
      <c r="A213"/>
      <c r="B213" s="670" t="s">
        <v>795</v>
      </c>
      <c r="C213" s="683">
        <v>74.69</v>
      </c>
      <c r="D213" s="49"/>
      <c r="E213" s="821"/>
      <c r="K213" s="93"/>
      <c r="L213" s="41"/>
      <c r="M213" s="1032"/>
      <c r="N213" s="638"/>
      <c r="O213" s="953"/>
      <c r="P213" s="238"/>
      <c r="Q213" s="578"/>
    </row>
    <row r="214" spans="1:21" x14ac:dyDescent="0.25">
      <c r="A214"/>
      <c r="B214" s="670" t="s">
        <v>915</v>
      </c>
      <c r="C214" s="683">
        <f>+C211-C213</f>
        <v>16390.050000000003</v>
      </c>
      <c r="D214" s="683"/>
      <c r="E214" s="821"/>
      <c r="K214" s="93"/>
      <c r="L214" s="720"/>
      <c r="M214" s="1031"/>
      <c r="N214" s="893"/>
      <c r="O214" s="953"/>
      <c r="Q214" s="578"/>
    </row>
    <row r="215" spans="1:21" x14ac:dyDescent="0.25">
      <c r="A215"/>
      <c r="B215" s="670" t="s">
        <v>132</v>
      </c>
      <c r="C215" s="683">
        <v>17000</v>
      </c>
      <c r="D215" s="49"/>
      <c r="E215" s="821"/>
      <c r="K215" s="93"/>
      <c r="L215" s="720"/>
      <c r="M215" s="1031"/>
      <c r="N215" s="41"/>
      <c r="O215" s="41"/>
    </row>
    <row r="216" spans="1:21" x14ac:dyDescent="0.25">
      <c r="A216"/>
      <c r="B216" s="670" t="s">
        <v>916</v>
      </c>
      <c r="C216" s="683">
        <f>+C215-C214</f>
        <v>609.94999999999709</v>
      </c>
      <c r="D216" s="685"/>
      <c r="E216" s="821"/>
      <c r="K216" s="93"/>
      <c r="L216" s="41"/>
      <c r="M216" s="1032"/>
      <c r="N216" s="41"/>
      <c r="O216" s="41"/>
    </row>
    <row r="217" spans="1:21" x14ac:dyDescent="0.25">
      <c r="A217"/>
      <c r="B217" s="671"/>
      <c r="C217" s="687"/>
      <c r="D217" s="687"/>
      <c r="E217" s="822"/>
      <c r="K217" s="93"/>
      <c r="L217" s="41"/>
      <c r="M217" s="1032"/>
      <c r="N217" s="41"/>
      <c r="O217" s="41"/>
    </row>
    <row r="218" spans="1:21" x14ac:dyDescent="0.25">
      <c r="A218"/>
      <c r="K218" s="93"/>
      <c r="L218" s="41"/>
      <c r="M218" s="1032"/>
      <c r="N218" s="41"/>
      <c r="O218" s="41"/>
    </row>
    <row r="219" spans="1:21" x14ac:dyDescent="0.25">
      <c r="A219"/>
      <c r="C219"/>
      <c r="D219"/>
      <c r="E219"/>
      <c r="F219"/>
      <c r="G219" s="799"/>
      <c r="H219" s="799"/>
      <c r="I219"/>
      <c r="J219"/>
      <c r="K219" s="93"/>
      <c r="L219" s="721"/>
      <c r="M219" s="1033"/>
      <c r="N219" s="41"/>
      <c r="O219" s="41"/>
    </row>
    <row r="220" spans="1:21" x14ac:dyDescent="0.25">
      <c r="A220"/>
      <c r="C220"/>
      <c r="D220"/>
      <c r="E220"/>
      <c r="F220"/>
      <c r="G220" s="799"/>
      <c r="H220" s="799"/>
      <c r="I220"/>
      <c r="J220"/>
      <c r="K220" s="93"/>
      <c r="L220" s="41"/>
      <c r="M220" s="1032"/>
      <c r="N220" s="41"/>
      <c r="O220" s="41"/>
    </row>
    <row r="221" spans="1:21" x14ac:dyDescent="0.25">
      <c r="A221"/>
      <c r="C221"/>
      <c r="D221"/>
      <c r="E221"/>
      <c r="F221"/>
      <c r="G221" s="799"/>
      <c r="H221" s="799"/>
      <c r="I221"/>
      <c r="J221"/>
      <c r="K221" s="93"/>
      <c r="L221" s="41"/>
      <c r="M221" s="1032"/>
      <c r="N221" s="41"/>
      <c r="O221" s="41"/>
    </row>
    <row r="222" spans="1:21" x14ac:dyDescent="0.25">
      <c r="A222"/>
      <c r="C222"/>
      <c r="D222"/>
      <c r="E222"/>
      <c r="F222"/>
      <c r="G222" s="799"/>
      <c r="H222" s="799"/>
      <c r="I222"/>
      <c r="J222"/>
      <c r="M222" s="70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U131"/>
  <sheetViews>
    <sheetView zoomScaleNormal="100" workbookViewId="0">
      <selection activeCell="K15" sqref="K15"/>
    </sheetView>
  </sheetViews>
  <sheetFormatPr baseColWidth="10" defaultColWidth="9" defaultRowHeight="15" x14ac:dyDescent="0.25"/>
  <cols>
    <col min="1" max="1" width="3.140625" style="639" customWidth="1"/>
    <col min="2" max="2" width="17.5703125" style="212" customWidth="1"/>
    <col min="3" max="3" width="18.7109375" style="212" customWidth="1"/>
    <col min="4" max="4" width="29.28515625" style="215" bestFit="1" customWidth="1"/>
    <col min="5" max="5" width="33.5703125" style="217" bestFit="1" customWidth="1"/>
    <col min="6" max="6" width="23.85546875" style="215" bestFit="1" customWidth="1"/>
    <col min="7" max="7" width="21.42578125" style="217" customWidth="1"/>
    <col min="8" max="8" width="26.140625" style="637" bestFit="1" customWidth="1"/>
    <col min="9" max="9" width="24.28515625" style="637" bestFit="1" customWidth="1"/>
    <col min="10" max="10" width="12.5703125" style="767" bestFit="1" customWidth="1"/>
    <col min="11" max="11" width="17.5703125" style="767" bestFit="1" customWidth="1"/>
    <col min="12" max="12" width="17" style="637" bestFit="1" customWidth="1"/>
    <col min="13" max="13" width="29.28515625" style="212" customWidth="1"/>
    <col min="14" max="14" width="26.28515625" style="212" customWidth="1"/>
    <col min="15" max="15" width="21.85546875" style="209" customWidth="1"/>
    <col min="16" max="17" width="35.5703125" style="215" bestFit="1" customWidth="1"/>
    <col min="18" max="18" width="17.42578125" style="215" bestFit="1" customWidth="1"/>
    <col min="19" max="19" width="15.7109375" style="212" customWidth="1"/>
    <col min="20" max="20" width="14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1" x14ac:dyDescent="0.25">
      <c r="A1" s="212"/>
      <c r="B1" s="929">
        <v>44455</v>
      </c>
      <c r="C1" s="930" t="str">
        <f ca="1">DAYS360(TODAY(),B1,FALSE) &amp; " Dias"</f>
        <v>15 Dias</v>
      </c>
      <c r="D1" s="931" t="str">
        <f>"G-Visa 4822/D26 : "</f>
        <v xml:space="preserve">G-Visa 4822/D26 : </v>
      </c>
      <c r="E1" s="944">
        <f>+B1+11</f>
        <v>44466</v>
      </c>
      <c r="F1" s="890"/>
      <c r="G1" s="742"/>
      <c r="H1" s="742"/>
      <c r="I1" s="219"/>
      <c r="J1" s="219"/>
      <c r="K1" s="768"/>
      <c r="L1" s="219"/>
      <c r="N1" s="744"/>
      <c r="U1" s="212"/>
    </row>
    <row r="2" spans="1:21" s="761" customFormat="1" x14ac:dyDescent="0.25">
      <c r="B2" s="932">
        <v>44448</v>
      </c>
      <c r="C2" s="933" t="str">
        <f ca="1">DAYS360(TODAY(),B2,FALSE) &amp; " Dias"</f>
        <v>8 Dias</v>
      </c>
      <c r="D2" s="934" t="str">
        <f>"S-Visa 8863/O25 : "</f>
        <v xml:space="preserve">S-Visa 8863/O25 : </v>
      </c>
      <c r="E2" s="944">
        <f>+B2+11</f>
        <v>44459</v>
      </c>
      <c r="F2" s="219"/>
      <c r="G2" s="1175">
        <v>44459</v>
      </c>
      <c r="H2" s="742"/>
      <c r="I2" t="s">
        <v>1108</v>
      </c>
      <c r="J2" s="219"/>
      <c r="K2" s="768"/>
      <c r="L2" s="219"/>
      <c r="N2" s="744"/>
      <c r="O2" s="209"/>
    </row>
    <row r="3" spans="1:21" ht="17.25" customHeight="1" x14ac:dyDescent="0.25">
      <c r="A3" s="212"/>
      <c r="B3" s="935">
        <v>44469</v>
      </c>
      <c r="C3" s="936" t="str">
        <f ca="1">DAYS360(TODAY(),B3,FALSE)&amp;" Dias"</f>
        <v>29 Dias</v>
      </c>
      <c r="D3" s="936" t="str">
        <f>"S-Amex 9723/E25 :  "</f>
        <v xml:space="preserve">S-Amex 9723/E25 :  </v>
      </c>
      <c r="E3" s="944">
        <f>+B3+12</f>
        <v>44481</v>
      </c>
      <c r="F3" s="1147">
        <v>132933.53</v>
      </c>
      <c r="G3" s="1175">
        <v>44446</v>
      </c>
      <c r="H3" s="852"/>
      <c r="I3" s="852"/>
      <c r="J3" s="768"/>
      <c r="K3" s="853"/>
      <c r="L3" s="214"/>
      <c r="N3" s="744"/>
      <c r="R3" s="212"/>
      <c r="U3" s="212"/>
    </row>
    <row r="4" spans="1:21" ht="15" customHeight="1" x14ac:dyDescent="0.25">
      <c r="B4" s="937" t="str">
        <f ca="1">UPPER(TEXT( +TODAY()+(1*35),"MMMM"))&amp; " " &amp; UPPER(TEXT( +TODAY()+(1*35),"YYYY"))</f>
        <v>OCTUBRE 2021</v>
      </c>
      <c r="F4" s="840"/>
      <c r="G4" s="841"/>
      <c r="H4" s="673" t="s">
        <v>1116</v>
      </c>
      <c r="I4" s="673" t="s">
        <v>1020</v>
      </c>
      <c r="J4" s="831"/>
      <c r="K4" s="842"/>
      <c r="L4" s="890"/>
      <c r="N4" s="744"/>
      <c r="R4" s="212"/>
      <c r="U4" s="212"/>
    </row>
    <row r="5" spans="1:21" x14ac:dyDescent="0.25">
      <c r="A5" s="1132">
        <f ca="1">12-MONTH(TODAY()+5)</f>
        <v>3</v>
      </c>
      <c r="B5" s="989">
        <f>10000+500</f>
        <v>10500</v>
      </c>
      <c r="C5" s="968">
        <f>+B5</f>
        <v>10500</v>
      </c>
      <c r="D5" s="1135" t="s">
        <v>1068</v>
      </c>
      <c r="E5" s="1148">
        <f ca="1">+A$5*B5</f>
        <v>31500</v>
      </c>
      <c r="F5" s="1137"/>
      <c r="G5" s="749"/>
      <c r="H5" s="749">
        <f>SUM(H6:H11)</f>
        <v>45600.01</v>
      </c>
      <c r="I5" s="749">
        <f>SUM(I6:I12)</f>
        <v>7739.2700000000186</v>
      </c>
      <c r="J5" s="830"/>
      <c r="K5" s="830"/>
      <c r="M5" s="28" t="s">
        <v>972</v>
      </c>
      <c r="N5" s="744"/>
      <c r="R5" s="212"/>
      <c r="U5" s="212"/>
    </row>
    <row r="6" spans="1:21" x14ac:dyDescent="0.25">
      <c r="A6" s="1132"/>
      <c r="B6" s="990">
        <v>2000</v>
      </c>
      <c r="C6" s="969">
        <f>+B6</f>
        <v>2000</v>
      </c>
      <c r="D6" s="1136" t="s">
        <v>1126</v>
      </c>
      <c r="E6" s="1149">
        <f ca="1">+A$5*B6</f>
        <v>6000</v>
      </c>
      <c r="F6" s="1138"/>
      <c r="G6" s="748" t="s">
        <v>1078</v>
      </c>
      <c r="H6" s="748">
        <v>0</v>
      </c>
      <c r="I6" s="748">
        <f>-2143.7+82845+28404+29583+100.7-20400-4800+1237.37+2783.1-21530-3010-4800-5470-11912-4800+3051.8-16000-4800-28000</f>
        <v>20339.270000000004</v>
      </c>
      <c r="J6" s="820"/>
      <c r="K6" s="1037"/>
      <c r="M6" s="28" t="s">
        <v>976</v>
      </c>
      <c r="P6" s="903"/>
      <c r="R6" s="761"/>
      <c r="U6" s="212"/>
    </row>
    <row r="7" spans="1:21" s="761" customFormat="1" x14ac:dyDescent="0.25">
      <c r="A7" s="1132"/>
      <c r="B7" s="991">
        <f>(1968+480)*1.012</f>
        <v>2477.3760000000002</v>
      </c>
      <c r="C7" s="970">
        <f>+B7</f>
        <v>2477.3760000000002</v>
      </c>
      <c r="D7" s="1136" t="s">
        <v>1017</v>
      </c>
      <c r="E7" s="1149">
        <f ca="1">+B7*A$5</f>
        <v>7432.1280000000006</v>
      </c>
      <c r="F7" s="1138">
        <f>(1971.27+480+3500+1305.05)*1.012</f>
        <v>7343.395840000001</v>
      </c>
      <c r="G7" s="668" t="s">
        <v>1058</v>
      </c>
      <c r="H7" s="891">
        <f>108000*0.83</f>
        <v>89640</v>
      </c>
      <c r="I7" s="668">
        <v>0</v>
      </c>
      <c r="J7" s="820"/>
      <c r="K7" s="820">
        <v>140</v>
      </c>
      <c r="M7" t="s">
        <v>969</v>
      </c>
      <c r="O7" s="209"/>
      <c r="P7" s="903"/>
    </row>
    <row r="8" spans="1:21" s="761" customFormat="1" x14ac:dyDescent="0.25">
      <c r="A8" s="1132"/>
      <c r="B8" s="990">
        <v>457.56</v>
      </c>
      <c r="C8" s="969">
        <f>+B8</f>
        <v>457.56</v>
      </c>
      <c r="D8" s="1136" t="s">
        <v>1052</v>
      </c>
      <c r="E8" s="1149">
        <f ca="1">+B8*A$5</f>
        <v>1372.68</v>
      </c>
      <c r="F8" s="1138">
        <f>1968+480+3500+1305.05</f>
        <v>7253.05</v>
      </c>
      <c r="G8" s="761" t="s">
        <v>1057</v>
      </c>
      <c r="H8" s="761">
        <v>0</v>
      </c>
      <c r="I8" s="668">
        <v>5900</v>
      </c>
      <c r="J8" s="820"/>
      <c r="K8" s="820">
        <f>+K7*11</f>
        <v>1540</v>
      </c>
      <c r="M8" t="s">
        <v>970</v>
      </c>
      <c r="O8" s="209"/>
      <c r="P8" s="903"/>
    </row>
    <row r="9" spans="1:21" s="761" customFormat="1" x14ac:dyDescent="0.25">
      <c r="A9" s="1132"/>
      <c r="B9" s="1139">
        <f>1660.16+348.63+24.25</f>
        <v>2033.04</v>
      </c>
      <c r="C9" s="1140">
        <v>0</v>
      </c>
      <c r="D9" s="1141" t="s">
        <v>1021</v>
      </c>
      <c r="E9" s="1150">
        <f>+B9+C9</f>
        <v>2033.04</v>
      </c>
      <c r="F9" s="1138">
        <f>+F7-F8</f>
        <v>90.345840000000862</v>
      </c>
      <c r="G9" s="668" t="s">
        <v>1074</v>
      </c>
      <c r="H9" s="891">
        <v>0</v>
      </c>
      <c r="I9" s="668">
        <f>1200*CtzvN</f>
        <v>214800</v>
      </c>
      <c r="J9" s="820"/>
      <c r="K9" s="820">
        <f>+K8-L9</f>
        <v>1524.6</v>
      </c>
      <c r="L9" s="761">
        <f>+K8*0.01</f>
        <v>15.4</v>
      </c>
      <c r="M9" s="744" t="s">
        <v>971</v>
      </c>
      <c r="O9" s="212" t="s">
        <v>1118</v>
      </c>
      <c r="P9" s="217"/>
    </row>
    <row r="10" spans="1:21" s="639" customFormat="1" ht="15.75" customHeight="1" x14ac:dyDescent="0.25">
      <c r="B10" s="982" t="s">
        <v>996</v>
      </c>
      <c r="C10" s="971">
        <f>IF(SUM(C5:C9)&gt;0,SUM(C5:C9),0)</f>
        <v>15434.936</v>
      </c>
      <c r="D10" s="967">
        <v>255332.83</v>
      </c>
      <c r="E10" s="915">
        <f ca="1">SUM(E5:E9)</f>
        <v>48337.847999999998</v>
      </c>
      <c r="F10" s="1138">
        <f>+F9-0.12</f>
        <v>90.225840000000858</v>
      </c>
      <c r="G10" s="742" t="s">
        <v>1079</v>
      </c>
      <c r="H10" s="747">
        <f>-10500</f>
        <v>-10500</v>
      </c>
      <c r="I10" s="761">
        <f>-233300</f>
        <v>-233300</v>
      </c>
      <c r="J10" s="767"/>
      <c r="K10" s="820">
        <f>+K9-L10</f>
        <v>1433.124</v>
      </c>
      <c r="L10" s="637">
        <f>+K9*0.06</f>
        <v>91.475999999999985</v>
      </c>
      <c r="M10" s="215"/>
      <c r="O10" s="212" t="s">
        <v>854</v>
      </c>
      <c r="P10" s="217"/>
      <c r="Q10" s="668" t="s">
        <v>1056</v>
      </c>
      <c r="R10" s="742" t="s">
        <v>1120</v>
      </c>
    </row>
    <row r="11" spans="1:21" ht="15" customHeight="1" x14ac:dyDescent="0.25">
      <c r="A11" s="221"/>
      <c r="B11" s="1116"/>
      <c r="C11" s="972">
        <f>223103.36-22933.53</f>
        <v>200169.83</v>
      </c>
      <c r="D11" s="1151" t="s">
        <v>1122</v>
      </c>
      <c r="E11" s="1152"/>
      <c r="F11" s="1138"/>
      <c r="G11" s="232" t="s">
        <v>1080</v>
      </c>
      <c r="H11" s="666">
        <f>-457.56-2500-1970-480-3988-13000-3714.81-3714.81-3714.81</f>
        <v>-33539.99</v>
      </c>
      <c r="I11" s="691">
        <v>0</v>
      </c>
      <c r="K11" s="767">
        <f>+K10-1400</f>
        <v>33.124000000000024</v>
      </c>
      <c r="M11" s="215"/>
      <c r="O11" s="218"/>
      <c r="Q11" s="668" t="s">
        <v>1005</v>
      </c>
      <c r="R11" s="742"/>
      <c r="U11" s="212"/>
    </row>
    <row r="12" spans="1:21" x14ac:dyDescent="0.25">
      <c r="A12" s="761"/>
      <c r="B12" s="1117"/>
      <c r="C12" s="973">
        <v>0</v>
      </c>
      <c r="D12" s="1153" t="s">
        <v>121</v>
      </c>
      <c r="E12" s="1154"/>
      <c r="F12" s="1134"/>
      <c r="H12" s="637">
        <f>52933.53-22933.53-13000-10500-6500</f>
        <v>0</v>
      </c>
      <c r="I12" s="691"/>
      <c r="K12" s="820">
        <f>+K11*CtzvN</f>
        <v>5929.1960000000045</v>
      </c>
      <c r="L12" s="603"/>
      <c r="M12" s="761"/>
      <c r="N12" s="761"/>
      <c r="O12" s="761" t="s">
        <v>1117</v>
      </c>
      <c r="P12" s="215" t="s">
        <v>1119</v>
      </c>
      <c r="Q12" s="217"/>
      <c r="R12" s="666"/>
      <c r="U12" s="212"/>
    </row>
    <row r="13" spans="1:21" x14ac:dyDescent="0.25">
      <c r="A13" s="761"/>
      <c r="B13" s="1117">
        <f>+C11+C12+C13</f>
        <v>200169.83</v>
      </c>
      <c r="C13" s="973">
        <v>0</v>
      </c>
      <c r="D13" s="1153" t="s">
        <v>1076</v>
      </c>
      <c r="E13" s="1154"/>
      <c r="F13" s="1134"/>
      <c r="G13" s="742" t="s">
        <v>202</v>
      </c>
      <c r="H13" s="742" t="s">
        <v>201</v>
      </c>
      <c r="I13" s="668" t="s">
        <v>439</v>
      </c>
      <c r="K13" s="767" t="s">
        <v>747</v>
      </c>
      <c r="M13" s="761"/>
      <c r="N13" s="761"/>
      <c r="O13" s="761" t="s">
        <v>1121</v>
      </c>
      <c r="P13" s="215" t="s">
        <v>1115</v>
      </c>
      <c r="Q13" s="761" t="s">
        <v>1008</v>
      </c>
      <c r="R13" s="742" t="s">
        <v>1120</v>
      </c>
      <c r="U13" s="212"/>
    </row>
    <row r="14" spans="1:21" s="761" customFormat="1" x14ac:dyDescent="0.25">
      <c r="A14" s="639"/>
      <c r="B14" s="1117"/>
      <c r="C14" s="1144">
        <f>+I6+I7+I8</f>
        <v>26239.270000000004</v>
      </c>
      <c r="D14" s="1155" t="s">
        <v>1123</v>
      </c>
      <c r="E14" s="1156"/>
      <c r="F14" s="1134"/>
      <c r="G14" s="761">
        <v>110000</v>
      </c>
      <c r="H14" s="742">
        <f>+I9-G14</f>
        <v>104800</v>
      </c>
      <c r="I14" s="668">
        <f>700*CtzvN</f>
        <v>125300</v>
      </c>
      <c r="M14" s="215"/>
      <c r="N14" s="212"/>
      <c r="O14" s="218"/>
      <c r="P14" s="215"/>
      <c r="Q14" s="217" t="s">
        <v>1006</v>
      </c>
      <c r="R14" s="1173"/>
    </row>
    <row r="15" spans="1:21" s="761" customFormat="1" x14ac:dyDescent="0.25">
      <c r="B15" s="1142">
        <f>+C14+C15</f>
        <v>241039.27000000002</v>
      </c>
      <c r="C15" s="1144">
        <f>+I9</f>
        <v>214800</v>
      </c>
      <c r="D15" s="1155" t="s">
        <v>1124</v>
      </c>
      <c r="E15" s="1156"/>
      <c r="F15" s="1134"/>
      <c r="G15" s="742">
        <v>132933.53</v>
      </c>
      <c r="H15" s="742"/>
      <c r="I15" s="668"/>
      <c r="J15" s="767"/>
      <c r="K15" s="767">
        <f>3714.81+3714.81+3714.81</f>
        <v>11144.43</v>
      </c>
      <c r="L15" s="637"/>
      <c r="O15" s="218" t="s">
        <v>1022</v>
      </c>
      <c r="P15" s="220" t="s">
        <v>1007</v>
      </c>
      <c r="Q15" s="742"/>
    </row>
    <row r="16" spans="1:21" x14ac:dyDescent="0.25">
      <c r="A16" s="761"/>
      <c r="B16" s="1118"/>
      <c r="C16" s="974">
        <f>+I10</f>
        <v>-233300</v>
      </c>
      <c r="D16" s="1155" t="s">
        <v>1081</v>
      </c>
      <c r="E16" s="1156"/>
      <c r="F16" s="1134"/>
      <c r="G16" s="668">
        <f>+G15-G14</f>
        <v>22933.53</v>
      </c>
      <c r="H16" s="668">
        <f>+H15-H14</f>
        <v>-104800</v>
      </c>
      <c r="I16" s="668"/>
      <c r="J16" s="761"/>
      <c r="K16" s="761"/>
      <c r="L16" s="761"/>
      <c r="M16" s="215"/>
      <c r="O16" s="218" t="s">
        <v>997</v>
      </c>
      <c r="P16" s="220" t="s">
        <v>965</v>
      </c>
      <c r="Q16" s="666"/>
      <c r="R16" s="743"/>
      <c r="U16" s="212"/>
    </row>
    <row r="17" spans="1:21" s="761" customFormat="1" x14ac:dyDescent="0.25">
      <c r="B17" s="1118">
        <f>+C16+C17</f>
        <v>-233300</v>
      </c>
      <c r="C17" s="974">
        <f>+I11</f>
        <v>0</v>
      </c>
      <c r="D17" s="1155" t="s">
        <v>1082</v>
      </c>
      <c r="E17" s="1156"/>
      <c r="F17" s="1133"/>
      <c r="H17" s="668"/>
      <c r="I17" s="668"/>
      <c r="M17" s="215"/>
      <c r="N17" s="212"/>
      <c r="O17" s="215"/>
      <c r="P17" s="217"/>
      <c r="Q17" s="742"/>
    </row>
    <row r="18" spans="1:21" s="761" customFormat="1" x14ac:dyDescent="0.25">
      <c r="A18" s="639"/>
      <c r="B18" s="983" t="s">
        <v>1125</v>
      </c>
      <c r="C18" s="975">
        <f>SUM(C11:C17)</f>
        <v>207909.09999999998</v>
      </c>
      <c r="D18" s="921"/>
      <c r="E18" s="922"/>
      <c r="F18" s="1158" t="s">
        <v>1102</v>
      </c>
      <c r="G18" s="1159" t="str">
        <f>IF(CtzvM&gt;CtzvN,"Cambio de CEDEARS","Deposito de DOLARES")</f>
        <v>Deposito de DOLARES</v>
      </c>
      <c r="H18" s="759"/>
      <c r="I18" s="759">
        <f>+F19*Ctz</f>
        <v>32009.999999999996</v>
      </c>
      <c r="J18" s="819"/>
      <c r="K18" s="768"/>
      <c r="M18" s="215"/>
      <c r="N18" s="212"/>
    </row>
    <row r="19" spans="1:21" s="761" customFormat="1" x14ac:dyDescent="0.25">
      <c r="A19" s="639"/>
      <c r="B19" s="987"/>
      <c r="C19" s="976">
        <v>0</v>
      </c>
      <c r="D19" s="919"/>
      <c r="E19" s="920" t="str">
        <f>"libre " &amp; ROUND((+C19*100/$B$22),2) &amp; " %"</f>
        <v>libre 0 %</v>
      </c>
      <c r="F19" s="1157">
        <v>200</v>
      </c>
      <c r="G19" s="753" t="str">
        <f>IF(Ctz=CtzM,F23,"") &amp; IF(Ctz=CtzG,F24,"") &amp; IF(Ctz=CtzS,F25,"") &amp; IF(Ctz=CtzZ,F26,"") &amp; IF(Ctz=CtzN,F27,"") &amp; IF(Ctz=CtzC,F28,"")</f>
        <v>.Balanz</v>
      </c>
      <c r="H19" s="753" t="str">
        <f>IF(Ctzv=CtzvM,F23,"") &amp; IF(Ctzv=CtzvG,F24,"") &amp; IF(Ctzv=CtzvS,F25,"") &amp; IF(Ctzv=CtzvZ,F26,"") &amp; IF(Ctzv=CtzvN,F27,"") &amp; IF(Ctzv=CtzvC,F28,"")</f>
        <v>.Blue</v>
      </c>
      <c r="I19" s="889">
        <f>+F19*Ctzv</f>
        <v>35800</v>
      </c>
      <c r="J19" s="767"/>
      <c r="K19" s="767"/>
      <c r="M19" s="215"/>
      <c r="N19" s="212"/>
    </row>
    <row r="20" spans="1:21" x14ac:dyDescent="0.25">
      <c r="B20" s="987"/>
      <c r="C20" s="976">
        <f>+C10</f>
        <v>15434.936</v>
      </c>
      <c r="D20" s="919"/>
      <c r="E20" s="920" t="str">
        <f>"gastos " &amp; ROUND((+C20*100/$B$22),2) &amp; " %"</f>
        <v>gastos 17,22 %</v>
      </c>
      <c r="F20" s="754" t="s">
        <v>110</v>
      </c>
      <c r="G20" s="755">
        <f>MIN(G23:G28)</f>
        <v>160.04999999999998</v>
      </c>
      <c r="H20" s="756">
        <f>MAX(H23:H28)</f>
        <v>179</v>
      </c>
      <c r="I20" s="756">
        <f>+I19-I18</f>
        <v>3790.0000000000036</v>
      </c>
      <c r="J20" s="832"/>
      <c r="M20" s="215"/>
      <c r="O20" s="215"/>
      <c r="R20" s="212"/>
      <c r="S20" s="216"/>
      <c r="T20" s="666"/>
    </row>
    <row r="21" spans="1:21" s="603" customFormat="1" x14ac:dyDescent="0.25">
      <c r="A21" s="639"/>
      <c r="B21" s="987"/>
      <c r="C21" s="977">
        <f>+B22-C22</f>
        <v>74205.063999999998</v>
      </c>
      <c r="D21" s="917"/>
      <c r="E21" s="918" t="str">
        <f>"valorAhorro " &amp; ROUND((+C21*100/$B$22),2) &amp; " %"</f>
        <v>valorAhorro 82,78 %</v>
      </c>
      <c r="F21" s="828" t="s">
        <v>885</v>
      </c>
      <c r="G21" s="762">
        <v>115.5</v>
      </c>
      <c r="H21" s="762">
        <f>+CtzE-0.5</f>
        <v>115</v>
      </c>
      <c r="I21" s="816"/>
      <c r="J21" s="833"/>
      <c r="K21" s="767"/>
      <c r="L21" s="637"/>
      <c r="M21" s="215"/>
      <c r="N21" s="212"/>
      <c r="O21" s="215"/>
      <c r="R21" s="212"/>
      <c r="S21" s="666"/>
      <c r="T21" s="666"/>
      <c r="U21" s="901"/>
    </row>
    <row r="22" spans="1:21" s="603" customFormat="1" x14ac:dyDescent="0.25">
      <c r="A22" s="639"/>
      <c r="B22" s="988">
        <f>89640</f>
        <v>89640</v>
      </c>
      <c r="C22" s="978">
        <f>SUM(C19:C20)</f>
        <v>15434.936</v>
      </c>
      <c r="D22" s="1123">
        <f>+D10/B22/100</f>
        <v>2.8484251450245423E-2</v>
      </c>
      <c r="E22" s="916" t="str">
        <f>"Gastos " &amp; ROUND((+C22*100/$B$22),2) &amp; " %"</f>
        <v>Gastos 17,22 %</v>
      </c>
      <c r="F22" s="900"/>
      <c r="G22" s="762"/>
      <c r="H22" s="762"/>
      <c r="I22" s="816"/>
      <c r="J22" s="833"/>
      <c r="K22" s="767"/>
      <c r="L22" s="691"/>
      <c r="M22" s="215"/>
      <c r="Q22" s="212"/>
      <c r="R22" s="212"/>
      <c r="S22" s="259"/>
      <c r="T22" s="666"/>
      <c r="U22" s="901"/>
    </row>
    <row r="23" spans="1:21" x14ac:dyDescent="0.25">
      <c r="B23" s="984">
        <v>2000</v>
      </c>
      <c r="C23" s="979">
        <f>+B23*CtzvN</f>
        <v>358000</v>
      </c>
      <c r="D23" s="925"/>
      <c r="E23" s="923" t="str">
        <f ca="1">"dolares : " &amp; ROUND((+C23*100/$C$28),3) &amp; " %"</f>
        <v>dolares : 17,371 %</v>
      </c>
      <c r="F23" s="760" t="s">
        <v>860</v>
      </c>
      <c r="G23" s="757">
        <f>+stockExchange!M184</f>
        <v>169.67621419676215</v>
      </c>
      <c r="H23" s="757">
        <f>+CtzM</f>
        <v>169.67621419676215</v>
      </c>
      <c r="I23" s="757"/>
      <c r="J23" s="834"/>
      <c r="L23" s="691"/>
      <c r="P23" s="212"/>
      <c r="Q23" s="212"/>
      <c r="R23" s="212"/>
      <c r="S23" s="691"/>
      <c r="T23" s="691"/>
      <c r="U23" s="767"/>
    </row>
    <row r="24" spans="1:21" x14ac:dyDescent="0.25">
      <c r="B24" s="985">
        <f>Dolares_Bolsa</f>
        <v>8351.2000000000007</v>
      </c>
      <c r="C24" s="980">
        <f>Bolsa_Total_P</f>
        <v>1494939.49</v>
      </c>
      <c r="D24" s="926" t="str">
        <f ca="1">"solvencia:"&amp;UPPER(TEXT( A28,"dd"))&amp; UPPER(TEXT( A28,"mmm"))&amp; UPPER(TEXT(A28,"YY"))&amp;"-"&amp;+A28-TODAY()&amp;"D-" &amp; ROUND( YEARFRAC(A28,TODAY()),2) &amp;"Y"</f>
        <v>solvencia:31DIC26-1947D-5,33Y</v>
      </c>
      <c r="E24" s="924" t="str">
        <f ca="1">"valorBolsa : " &amp; ROUND((+C24*100/$C$28),3) &amp; " %"</f>
        <v>valorBolsa : 72,54 %</v>
      </c>
      <c r="F24" s="760" t="s">
        <v>986</v>
      </c>
      <c r="G24" s="751">
        <f>99.35*1.65</f>
        <v>163.92749999999998</v>
      </c>
      <c r="H24" s="752">
        <f>(+G24/1.65)-5</f>
        <v>94.35</v>
      </c>
      <c r="I24" s="752"/>
      <c r="J24" s="835"/>
      <c r="L24" s="761"/>
      <c r="M24" s="761"/>
      <c r="N24" s="767"/>
      <c r="P24" s="212"/>
      <c r="Q24" s="212"/>
      <c r="R24" s="212"/>
      <c r="S24" s="691"/>
      <c r="T24" s="691"/>
      <c r="U24" s="767"/>
    </row>
    <row r="25" spans="1:21" x14ac:dyDescent="0.25">
      <c r="A25" s="761"/>
      <c r="B25" s="985">
        <f>+D25*CtzvDBitcoin</f>
        <v>0</v>
      </c>
      <c r="C25" s="980">
        <f>+B25*Ctzv</f>
        <v>0</v>
      </c>
      <c r="D25" s="926"/>
      <c r="E25" s="924" t="str">
        <f ca="1">"valorBitcoin : " &amp; ROUND((+C25*100/$C$28),3) &amp; " %"</f>
        <v>valorBitcoin : 0 %</v>
      </c>
      <c r="F25" s="760" t="s">
        <v>861</v>
      </c>
      <c r="G25" s="751">
        <f>99.5*1.65</f>
        <v>164.17499999999998</v>
      </c>
      <c r="H25" s="752">
        <f>(+G25/1.65)-6</f>
        <v>93.5</v>
      </c>
      <c r="I25" s="752"/>
      <c r="J25" s="835"/>
      <c r="L25" s="691"/>
      <c r="P25" s="212"/>
      <c r="S25" s="691"/>
      <c r="T25" s="691"/>
      <c r="U25" s="767"/>
    </row>
    <row r="26" spans="1:21" x14ac:dyDescent="0.25">
      <c r="A26" s="902"/>
      <c r="B26" s="985">
        <f>+C26/CtzN</f>
        <v>1142.3576923076921</v>
      </c>
      <c r="C26" s="980">
        <f>+C18</f>
        <v>207909.09999999998</v>
      </c>
      <c r="D26" s="926"/>
      <c r="E26" s="924" t="str">
        <f ca="1">"valorReserva : " &amp; ROUND((+C26*100/$C$28),3) &amp; " %"</f>
        <v>valorReserva : 10,089 %</v>
      </c>
      <c r="F26" s="760" t="s">
        <v>863</v>
      </c>
      <c r="G26" s="751">
        <f>97*1.65</f>
        <v>160.04999999999998</v>
      </c>
      <c r="H26" s="752">
        <f>(+G26/1.65)-2</f>
        <v>95</v>
      </c>
      <c r="I26" s="752"/>
      <c r="J26" s="835"/>
      <c r="L26" s="691"/>
      <c r="N26" s="718"/>
      <c r="P26" s="212"/>
      <c r="S26" s="718"/>
      <c r="T26" s="691"/>
      <c r="U26" s="767"/>
    </row>
    <row r="27" spans="1:21" s="761" customFormat="1" x14ac:dyDescent="0.25">
      <c r="A27" s="902"/>
      <c r="B27" s="985"/>
      <c r="C27" s="980">
        <f ca="1">Santander_Total + Brubank_Total + Rebank_Total</f>
        <v>0</v>
      </c>
      <c r="D27" s="926"/>
      <c r="E27" s="924" t="str">
        <f ca="1">"plazosFijos : " &amp; ROUND((+C27*100/$C$28),3) &amp; " %"</f>
        <v>plazosFijos : 0 %</v>
      </c>
      <c r="F27" s="760" t="s">
        <v>862</v>
      </c>
      <c r="G27" s="751">
        <v>182</v>
      </c>
      <c r="H27" s="752">
        <f>+G27-3</f>
        <v>179</v>
      </c>
      <c r="I27" s="752"/>
      <c r="J27" s="839"/>
      <c r="K27" s="767"/>
      <c r="O27" s="209"/>
      <c r="U27" s="767"/>
    </row>
    <row r="28" spans="1:21" x14ac:dyDescent="0.25">
      <c r="A28" s="1172">
        <v>46387</v>
      </c>
      <c r="B28" s="986">
        <f>SUM(B23:B27)</f>
        <v>11493.557692307693</v>
      </c>
      <c r="C28" s="981">
        <f ca="1">SUM(C23:C27)</f>
        <v>2060848.5899999999</v>
      </c>
      <c r="D28" s="927">
        <f ca="1">SUM(C23:C27)</f>
        <v>2060848.5899999999</v>
      </c>
      <c r="E28" s="928" t="str">
        <f ca="1">"Invertido : " &amp; ROUND((+D28*100/$C$28),3) &amp; " %"</f>
        <v>Invertido : 100 %</v>
      </c>
      <c r="F28" s="760" t="s">
        <v>933</v>
      </c>
      <c r="G28" s="751"/>
      <c r="H28" s="752">
        <f>+CtzC</f>
        <v>0</v>
      </c>
      <c r="I28" s="752"/>
      <c r="J28" s="839"/>
      <c r="L28" s="691"/>
      <c r="M28" s="691"/>
      <c r="N28" s="718"/>
      <c r="T28" s="212"/>
      <c r="U28" s="212"/>
    </row>
    <row r="29" spans="1:21" x14ac:dyDescent="0.25">
      <c r="B29" s="605"/>
      <c r="C29" s="855">
        <f ca="1">2000000-C28</f>
        <v>-60848.589999999851</v>
      </c>
      <c r="D29" s="659"/>
      <c r="E29" s="232"/>
      <c r="L29" s="691"/>
      <c r="M29" s="691"/>
      <c r="N29" s="745"/>
      <c r="P29" s="761"/>
      <c r="Q29" s="761"/>
      <c r="T29" s="212"/>
      <c r="U29" s="212"/>
    </row>
    <row r="30" spans="1:21" x14ac:dyDescent="0.25">
      <c r="B30" s="731" t="str">
        <f>"Descripcion " &amp; COUNTA(B32:B35)</f>
        <v>Descripcion 4</v>
      </c>
      <c r="C30" s="731" t="s">
        <v>900</v>
      </c>
      <c r="D30" s="732" t="s">
        <v>899</v>
      </c>
      <c r="E30" s="731" t="s">
        <v>829</v>
      </c>
      <c r="G30" s="739" t="s">
        <v>841</v>
      </c>
      <c r="H30" s="740" t="s">
        <v>843</v>
      </c>
      <c r="I30" s="691" t="s">
        <v>842</v>
      </c>
      <c r="J30" s="836" t="s">
        <v>840</v>
      </c>
      <c r="K30" s="767" t="s">
        <v>847</v>
      </c>
      <c r="L30" s="691"/>
      <c r="M30" s="243"/>
      <c r="O30" s="221"/>
      <c r="P30" s="761"/>
      <c r="Q30" s="761"/>
      <c r="T30" s="713"/>
      <c r="U30" s="212"/>
    </row>
    <row r="31" spans="1:21" x14ac:dyDescent="0.25">
      <c r="A31" s="658"/>
      <c r="B31" s="731" t="s">
        <v>828</v>
      </c>
      <c r="C31" s="734" t="s">
        <v>1055</v>
      </c>
      <c r="D31" s="731" t="s">
        <v>1054</v>
      </c>
      <c r="E31" s="731" t="s">
        <v>833</v>
      </c>
      <c r="F31" s="605"/>
      <c r="G31" s="736" t="s">
        <v>984</v>
      </c>
      <c r="H31" s="736" t="s">
        <v>985</v>
      </c>
      <c r="I31" s="735">
        <v>4512</v>
      </c>
      <c r="J31" s="837" t="s">
        <v>838</v>
      </c>
      <c r="K31" s="767" t="s">
        <v>903</v>
      </c>
      <c r="L31" s="826">
        <v>5623</v>
      </c>
      <c r="M31" s="243"/>
      <c r="O31" s="221"/>
      <c r="P31" s="761"/>
      <c r="Q31" s="761"/>
      <c r="S31" s="735"/>
    </row>
    <row r="32" spans="1:21" x14ac:dyDescent="0.25">
      <c r="A32" s="658"/>
      <c r="B32" s="763" t="s">
        <v>129</v>
      </c>
      <c r="C32" s="734" t="s">
        <v>934</v>
      </c>
      <c r="D32" s="763" t="s">
        <v>928</v>
      </c>
      <c r="E32" s="763" t="s">
        <v>833</v>
      </c>
      <c r="F32" s="232"/>
      <c r="G32" s="736" t="s">
        <v>984</v>
      </c>
      <c r="H32" s="736" t="s">
        <v>985</v>
      </c>
      <c r="I32" s="735" t="s">
        <v>839</v>
      </c>
      <c r="J32" s="837"/>
      <c r="K32" s="767" t="s">
        <v>930</v>
      </c>
      <c r="L32" s="826">
        <v>5623</v>
      </c>
      <c r="M32" s="214"/>
      <c r="N32" s="243"/>
      <c r="P32" s="761"/>
      <c r="Q32" s="761"/>
      <c r="S32" s="735"/>
    </row>
    <row r="33" spans="1:21" x14ac:dyDescent="0.25">
      <c r="A33" s="668"/>
      <c r="B33" s="763" t="s">
        <v>830</v>
      </c>
      <c r="C33" s="734" t="s">
        <v>1014</v>
      </c>
      <c r="D33" s="763" t="s">
        <v>1015</v>
      </c>
      <c r="E33" s="763" t="s">
        <v>834</v>
      </c>
      <c r="F33" s="668"/>
      <c r="G33" s="739" t="s">
        <v>1039</v>
      </c>
      <c r="H33" s="739" t="s">
        <v>977</v>
      </c>
      <c r="I33" s="735"/>
      <c r="J33" s="838"/>
      <c r="K33" s="767" t="str">
        <f>"Mar-2021"</f>
        <v>Mar-2021</v>
      </c>
      <c r="L33" s="761"/>
      <c r="M33" s="214"/>
      <c r="P33" s="761"/>
      <c r="Q33" s="761"/>
      <c r="S33" s="735"/>
    </row>
    <row r="34" spans="1:21" x14ac:dyDescent="0.25">
      <c r="A34" s="658"/>
      <c r="B34" s="733" t="s">
        <v>801</v>
      </c>
      <c r="C34" s="734" t="s">
        <v>832</v>
      </c>
      <c r="D34" s="731" t="s">
        <v>837</v>
      </c>
      <c r="E34" s="731" t="s">
        <v>834</v>
      </c>
      <c r="F34" s="232"/>
      <c r="G34" s="739" t="s">
        <v>1039</v>
      </c>
      <c r="H34" s="739" t="s">
        <v>983</v>
      </c>
      <c r="I34" s="735" t="s">
        <v>839</v>
      </c>
      <c r="J34" s="836" t="s">
        <v>844</v>
      </c>
      <c r="K34" s="767" t="s">
        <v>904</v>
      </c>
      <c r="L34" s="691"/>
      <c r="M34" s="214"/>
      <c r="S34" s="735"/>
    </row>
    <row r="35" spans="1:21" s="761" customFormat="1" x14ac:dyDescent="0.25">
      <c r="A35" s="658"/>
      <c r="B35" s="731" t="s">
        <v>886</v>
      </c>
      <c r="C35" s="734" t="s">
        <v>917</v>
      </c>
      <c r="D35" s="763" t="s">
        <v>875</v>
      </c>
      <c r="E35" s="731" t="s">
        <v>856</v>
      </c>
      <c r="F35" s="605"/>
      <c r="G35" s="739" t="s">
        <v>1039</v>
      </c>
      <c r="H35" s="750" t="s">
        <v>977</v>
      </c>
      <c r="I35" s="691" t="s">
        <v>1002</v>
      </c>
      <c r="J35" s="767" t="s">
        <v>983</v>
      </c>
      <c r="K35" s="767" t="s">
        <v>887</v>
      </c>
      <c r="L35" s="691"/>
      <c r="M35" s="742"/>
      <c r="O35" s="209"/>
      <c r="S35" s="735"/>
    </row>
    <row r="36" spans="1:21" x14ac:dyDescent="0.25">
      <c r="A36" s="761"/>
      <c r="B36" s="763" t="s">
        <v>1059</v>
      </c>
      <c r="C36" s="734"/>
      <c r="D36" s="763"/>
      <c r="E36" s="763" t="s">
        <v>891</v>
      </c>
      <c r="F36" s="761" t="s">
        <v>1061</v>
      </c>
      <c r="G36" s="750" t="s">
        <v>1039</v>
      </c>
      <c r="H36" s="750" t="s">
        <v>1060</v>
      </c>
      <c r="I36" s="735"/>
      <c r="K36" s="767" t="str">
        <f>"May-2021"</f>
        <v>May-2021</v>
      </c>
      <c r="L36" s="243"/>
      <c r="M36" s="215"/>
      <c r="N36" s="243"/>
      <c r="R36" s="761"/>
      <c r="S36" s="735"/>
    </row>
    <row r="37" spans="1:21" s="243" customFormat="1" x14ac:dyDescent="0.25">
      <c r="A37" s="761"/>
      <c r="B37" s="763" t="s">
        <v>1089</v>
      </c>
      <c r="C37" s="734" t="s">
        <v>1090</v>
      </c>
      <c r="D37" s="763" t="s">
        <v>1092</v>
      </c>
      <c r="E37" s="763" t="s">
        <v>1091</v>
      </c>
      <c r="F37" s="761"/>
      <c r="G37" s="750" t="s">
        <v>1039</v>
      </c>
      <c r="H37" s="750" t="s">
        <v>977</v>
      </c>
      <c r="I37" s="735"/>
      <c r="J37" s="767"/>
      <c r="K37" s="767" t="str">
        <f>"Jun-2021"</f>
        <v>Jun-2021</v>
      </c>
      <c r="L37" s="761"/>
      <c r="M37" s="215"/>
      <c r="N37" s="212"/>
      <c r="O37" s="209"/>
      <c r="R37" s="761"/>
    </row>
    <row r="38" spans="1:21" s="243" customFormat="1" x14ac:dyDescent="0.25">
      <c r="A38" s="691"/>
      <c r="B38" s="215"/>
      <c r="C38" s="212"/>
      <c r="D38" s="215"/>
      <c r="E38" s="217"/>
      <c r="M38" s="215"/>
      <c r="N38" s="212"/>
      <c r="O38" s="209"/>
      <c r="R38" s="761"/>
    </row>
    <row r="39" spans="1:21" s="761" customFormat="1" x14ac:dyDescent="0.25">
      <c r="A39" s="639"/>
      <c r="B39" s="215"/>
      <c r="C39" s="243"/>
      <c r="D39" s="215"/>
      <c r="E39" s="217"/>
      <c r="O39" s="209"/>
    </row>
    <row r="40" spans="1:21" s="243" customFormat="1" x14ac:dyDescent="0.25">
      <c r="A40" s="639"/>
      <c r="B40" s="215"/>
      <c r="C40" s="212"/>
      <c r="D40" s="215"/>
      <c r="E40" s="217"/>
      <c r="F40" s="691"/>
      <c r="G40" s="691"/>
      <c r="H40" s="691"/>
      <c r="I40" s="691"/>
      <c r="J40" s="767"/>
      <c r="K40" s="767"/>
      <c r="L40" s="691"/>
      <c r="M40" s="215"/>
      <c r="O40" s="209"/>
      <c r="R40" s="761"/>
    </row>
    <row r="41" spans="1:21" s="243" customFormat="1" x14ac:dyDescent="0.25">
      <c r="A41" s="639"/>
      <c r="B41" s="215"/>
      <c r="C41" s="212"/>
      <c r="D41" s="215"/>
      <c r="E41" s="215"/>
      <c r="F41" s="212"/>
      <c r="G41" s="217"/>
      <c r="H41" s="637"/>
      <c r="I41" s="637"/>
      <c r="J41" s="767"/>
      <c r="K41" s="767"/>
      <c r="L41" s="691"/>
      <c r="M41" s="691"/>
      <c r="N41" s="212"/>
      <c r="O41" s="209"/>
      <c r="R41" s="761"/>
    </row>
    <row r="42" spans="1:21" x14ac:dyDescent="0.25">
      <c r="B42" s="243"/>
      <c r="C42" s="243"/>
      <c r="D42" s="243"/>
      <c r="E42" s="243"/>
      <c r="F42" s="212"/>
      <c r="M42" s="691"/>
      <c r="R42" s="761"/>
      <c r="T42" s="212"/>
      <c r="U42" s="212"/>
    </row>
    <row r="43" spans="1:21" x14ac:dyDescent="0.25">
      <c r="F43" s="212"/>
      <c r="M43" s="215"/>
      <c r="R43" s="761"/>
      <c r="T43" s="212"/>
      <c r="U43" s="212"/>
    </row>
    <row r="44" spans="1:21" s="243" customFormat="1" x14ac:dyDescent="0.25">
      <c r="A44" s="639"/>
      <c r="B44" s="212"/>
      <c r="C44" s="212"/>
      <c r="D44" s="215"/>
      <c r="E44" s="217"/>
      <c r="G44" s="217"/>
      <c r="H44" s="637"/>
      <c r="I44" s="637"/>
      <c r="J44" s="767"/>
      <c r="K44" s="767"/>
      <c r="L44" s="637"/>
      <c r="M44" s="215"/>
      <c r="O44" s="209"/>
      <c r="R44" s="761"/>
    </row>
    <row r="45" spans="1:21" x14ac:dyDescent="0.25">
      <c r="M45" s="215"/>
      <c r="R45" s="761"/>
      <c r="T45" s="212"/>
      <c r="U45" s="826"/>
    </row>
    <row r="46" spans="1:21" x14ac:dyDescent="0.25">
      <c r="H46" s="640"/>
      <c r="M46" s="215"/>
      <c r="R46" s="761"/>
      <c r="T46" s="212"/>
      <c r="U46" s="826"/>
    </row>
    <row r="47" spans="1:21" x14ac:dyDescent="0.25">
      <c r="H47" s="640"/>
      <c r="N47" s="243"/>
      <c r="R47" s="761"/>
      <c r="T47" s="212"/>
      <c r="U47" s="212"/>
    </row>
    <row r="48" spans="1:21" x14ac:dyDescent="0.25">
      <c r="N48" s="243"/>
      <c r="P48" s="243"/>
      <c r="Q48" s="243"/>
      <c r="R48" s="243"/>
      <c r="T48" s="212"/>
      <c r="U48" s="212"/>
    </row>
    <row r="49" spans="2:21" x14ac:dyDescent="0.25">
      <c r="N49" s="691"/>
      <c r="R49" s="761"/>
      <c r="T49" s="212"/>
      <c r="U49" s="212"/>
    </row>
    <row r="50" spans="2:21" x14ac:dyDescent="0.25">
      <c r="N50" s="243"/>
      <c r="R50" s="761"/>
      <c r="T50" s="212"/>
      <c r="U50" s="212"/>
    </row>
    <row r="51" spans="2:21" x14ac:dyDescent="0.25">
      <c r="I51" s="641"/>
      <c r="R51" s="761"/>
      <c r="T51" s="212"/>
      <c r="U51" s="212"/>
    </row>
    <row r="52" spans="2:21" x14ac:dyDescent="0.25">
      <c r="I52" s="641"/>
      <c r="R52" s="761"/>
      <c r="T52" s="212"/>
      <c r="U52" s="212"/>
    </row>
    <row r="53" spans="2:21" x14ac:dyDescent="0.25">
      <c r="I53" s="641"/>
      <c r="R53" s="761"/>
      <c r="T53" s="212"/>
      <c r="U53" s="212"/>
    </row>
    <row r="54" spans="2:21" x14ac:dyDescent="0.25">
      <c r="N54" s="691"/>
      <c r="R54" s="761"/>
      <c r="T54" s="212"/>
      <c r="U54" s="212"/>
    </row>
    <row r="55" spans="2:21" x14ac:dyDescent="0.25">
      <c r="L55" s="641"/>
      <c r="N55" s="691"/>
      <c r="R55" s="761"/>
      <c r="T55" s="212"/>
      <c r="U55" s="212"/>
    </row>
    <row r="56" spans="2:21" x14ac:dyDescent="0.25">
      <c r="B56" s="215"/>
      <c r="C56" s="218"/>
      <c r="E56" s="215"/>
      <c r="L56" s="641"/>
      <c r="N56" s="691"/>
      <c r="R56" s="761"/>
      <c r="T56" s="212"/>
      <c r="U56" s="212"/>
    </row>
    <row r="57" spans="2:21" x14ac:dyDescent="0.25">
      <c r="G57" s="603"/>
      <c r="L57" s="641"/>
      <c r="N57" s="691"/>
      <c r="R57" s="761"/>
      <c r="T57" s="212"/>
      <c r="U57" s="212"/>
    </row>
    <row r="58" spans="2:21" x14ac:dyDescent="0.25">
      <c r="F58" s="212"/>
      <c r="G58" s="603"/>
      <c r="N58" s="691"/>
      <c r="R58" s="761"/>
      <c r="T58" s="212"/>
      <c r="U58" s="212"/>
    </row>
    <row r="59" spans="2:21" x14ac:dyDescent="0.25">
      <c r="F59" s="212"/>
      <c r="G59" s="603"/>
      <c r="N59" s="691"/>
      <c r="R59" s="761"/>
      <c r="T59" s="212"/>
      <c r="U59" s="212"/>
    </row>
    <row r="60" spans="2:21" x14ac:dyDescent="0.25">
      <c r="F60" s="212"/>
      <c r="G60" s="603"/>
      <c r="N60" s="691"/>
      <c r="T60" s="212"/>
      <c r="U60" s="212"/>
    </row>
    <row r="61" spans="2:21" x14ac:dyDescent="0.25">
      <c r="F61" s="212"/>
      <c r="G61" s="603"/>
      <c r="N61" s="691"/>
      <c r="T61" s="212"/>
      <c r="U61" s="212"/>
    </row>
    <row r="62" spans="2:21" x14ac:dyDescent="0.25">
      <c r="F62" s="212"/>
      <c r="G62" s="603"/>
      <c r="N62" s="691"/>
      <c r="T62" s="212"/>
      <c r="U62" s="212"/>
    </row>
    <row r="63" spans="2:21" x14ac:dyDescent="0.25">
      <c r="F63" s="212"/>
      <c r="G63" s="603"/>
      <c r="N63" s="691"/>
      <c r="T63" s="212"/>
      <c r="U63" s="212"/>
    </row>
    <row r="64" spans="2:21" x14ac:dyDescent="0.25">
      <c r="F64" s="212"/>
      <c r="N64" s="243"/>
      <c r="R64" s="243"/>
      <c r="T64" s="212"/>
      <c r="U64" s="212"/>
    </row>
    <row r="65" spans="1:21" x14ac:dyDescent="0.25">
      <c r="F65" s="212"/>
      <c r="T65" s="212"/>
      <c r="U65" s="212"/>
    </row>
    <row r="66" spans="1:21" x14ac:dyDescent="0.25">
      <c r="F66" s="212"/>
      <c r="T66" s="212"/>
      <c r="U66" s="212"/>
    </row>
    <row r="67" spans="1:21" x14ac:dyDescent="0.25">
      <c r="F67" s="212"/>
      <c r="R67" s="243"/>
      <c r="T67" s="212"/>
      <c r="U67" s="212"/>
    </row>
    <row r="68" spans="1:21" x14ac:dyDescent="0.25">
      <c r="F68" s="212"/>
      <c r="R68" s="761"/>
      <c r="T68" s="212"/>
      <c r="U68" s="212"/>
    </row>
    <row r="69" spans="1:21" s="691" customFormat="1" x14ac:dyDescent="0.25">
      <c r="A69" s="639"/>
      <c r="B69" s="212"/>
      <c r="C69" s="212"/>
      <c r="D69" s="215"/>
      <c r="E69" s="217"/>
      <c r="F69" s="215"/>
      <c r="G69" s="217"/>
      <c r="H69" s="637"/>
      <c r="I69" s="637"/>
      <c r="J69" s="767"/>
      <c r="K69" s="767"/>
      <c r="L69" s="637"/>
      <c r="M69" s="212"/>
      <c r="N69" s="243"/>
      <c r="O69" s="209"/>
      <c r="R69" s="761"/>
    </row>
    <row r="70" spans="1:21" s="691" customFormat="1" x14ac:dyDescent="0.25">
      <c r="A70" s="639"/>
      <c r="B70" s="212"/>
      <c r="C70" s="212"/>
      <c r="D70" s="215"/>
      <c r="E70" s="217"/>
      <c r="F70" s="215"/>
      <c r="G70" s="217"/>
      <c r="H70" s="637"/>
      <c r="I70" s="637"/>
      <c r="J70" s="767"/>
      <c r="K70" s="767"/>
      <c r="L70" s="637"/>
      <c r="M70" s="212"/>
      <c r="N70" s="212"/>
      <c r="O70" s="209"/>
      <c r="R70" s="761"/>
    </row>
    <row r="71" spans="1:21" x14ac:dyDescent="0.25">
      <c r="R71" s="691"/>
      <c r="T71" s="212"/>
      <c r="U71" s="212"/>
    </row>
    <row r="72" spans="1:21" x14ac:dyDescent="0.25">
      <c r="T72" s="212"/>
      <c r="U72" s="212"/>
    </row>
    <row r="73" spans="1:21" x14ac:dyDescent="0.25">
      <c r="R73" s="243"/>
      <c r="T73" s="212"/>
      <c r="U73" s="212"/>
    </row>
    <row r="74" spans="1:21" s="691" customFormat="1" x14ac:dyDescent="0.25">
      <c r="A74" s="639"/>
      <c r="B74" s="212"/>
      <c r="C74" s="212"/>
      <c r="D74" s="215"/>
      <c r="E74" s="217"/>
      <c r="F74" s="215"/>
      <c r="G74" s="217"/>
      <c r="H74" s="637"/>
      <c r="I74" s="637"/>
      <c r="J74" s="767"/>
      <c r="K74" s="767"/>
      <c r="L74" s="637"/>
      <c r="M74" s="212"/>
      <c r="N74" s="212"/>
      <c r="O74" s="209"/>
      <c r="R74" s="212"/>
    </row>
    <row r="75" spans="1:21" s="691" customFormat="1" x14ac:dyDescent="0.25">
      <c r="A75" s="639"/>
      <c r="B75" s="212"/>
      <c r="C75" s="212"/>
      <c r="D75" s="215"/>
      <c r="E75" s="217"/>
      <c r="F75" s="215"/>
      <c r="G75" s="217"/>
      <c r="H75" s="637"/>
      <c r="I75" s="637"/>
      <c r="J75" s="767"/>
      <c r="K75" s="767"/>
      <c r="L75" s="637"/>
      <c r="M75" s="212"/>
      <c r="N75" s="212"/>
      <c r="O75" s="209"/>
      <c r="R75" s="212"/>
    </row>
    <row r="76" spans="1:21" x14ac:dyDescent="0.25">
      <c r="R76" s="212"/>
      <c r="T76" s="212"/>
      <c r="U76" s="212"/>
    </row>
    <row r="77" spans="1:21" x14ac:dyDescent="0.25">
      <c r="R77" s="212"/>
      <c r="T77" s="212"/>
      <c r="U77" s="212"/>
    </row>
    <row r="78" spans="1:21" x14ac:dyDescent="0.25">
      <c r="N78" s="691"/>
      <c r="R78" s="212"/>
      <c r="T78" s="212"/>
      <c r="U78" s="212"/>
    </row>
    <row r="79" spans="1:21" x14ac:dyDescent="0.25">
      <c r="R79" s="243"/>
      <c r="T79" s="212"/>
      <c r="U79" s="212"/>
    </row>
    <row r="80" spans="1:21" x14ac:dyDescent="0.25">
      <c r="R80" s="212"/>
      <c r="T80" s="212"/>
      <c r="U80" s="212"/>
    </row>
    <row r="81" spans="13:21" x14ac:dyDescent="0.25">
      <c r="R81" s="212"/>
      <c r="T81" s="212"/>
      <c r="U81" s="212"/>
    </row>
    <row r="82" spans="13:21" x14ac:dyDescent="0.25">
      <c r="N82" s="691"/>
      <c r="R82" s="243"/>
      <c r="T82" s="212"/>
      <c r="U82" s="212"/>
    </row>
    <row r="83" spans="13:21" x14ac:dyDescent="0.25">
      <c r="N83" s="691"/>
      <c r="R83" s="243"/>
      <c r="T83" s="212"/>
      <c r="U83" s="212"/>
    </row>
    <row r="84" spans="13:21" x14ac:dyDescent="0.25">
      <c r="M84" s="211"/>
      <c r="R84" s="243"/>
      <c r="T84" s="212"/>
      <c r="U84" s="212"/>
    </row>
    <row r="85" spans="13:21" x14ac:dyDescent="0.25">
      <c r="M85" s="211"/>
      <c r="R85" s="212"/>
      <c r="T85" s="212"/>
      <c r="U85" s="212"/>
    </row>
    <row r="86" spans="13:21" x14ac:dyDescent="0.25">
      <c r="M86" s="213"/>
      <c r="R86" s="212"/>
      <c r="T86" s="212"/>
      <c r="U86" s="212"/>
    </row>
    <row r="87" spans="13:21" x14ac:dyDescent="0.25">
      <c r="M87" s="213"/>
      <c r="R87" s="243"/>
      <c r="T87" s="212"/>
      <c r="U87" s="212"/>
    </row>
    <row r="88" spans="13:21" x14ac:dyDescent="0.25">
      <c r="M88" s="213"/>
      <c r="R88" s="212"/>
      <c r="T88" s="212"/>
      <c r="U88" s="212"/>
    </row>
    <row r="89" spans="13:21" x14ac:dyDescent="0.25">
      <c r="M89" s="213"/>
      <c r="R89" s="243"/>
      <c r="T89" s="212"/>
      <c r="U89" s="212"/>
    </row>
    <row r="90" spans="13:21" x14ac:dyDescent="0.25">
      <c r="M90" s="213"/>
      <c r="R90" s="212"/>
      <c r="T90" s="212"/>
      <c r="U90" s="212"/>
    </row>
    <row r="91" spans="13:21" x14ac:dyDescent="0.25">
      <c r="M91" s="213"/>
      <c r="R91" s="212"/>
      <c r="T91" s="212"/>
      <c r="U91" s="212"/>
    </row>
    <row r="92" spans="13:21" x14ac:dyDescent="0.25">
      <c r="R92" s="243"/>
      <c r="T92" s="212"/>
      <c r="U92" s="212"/>
    </row>
    <row r="93" spans="13:21" x14ac:dyDescent="0.25">
      <c r="R93" s="212"/>
      <c r="T93" s="212"/>
      <c r="U93" s="212"/>
    </row>
    <row r="94" spans="13:21" x14ac:dyDescent="0.25">
      <c r="R94" s="212"/>
      <c r="T94" s="212"/>
      <c r="U94" s="212"/>
    </row>
    <row r="95" spans="13:21" x14ac:dyDescent="0.25">
      <c r="N95" s="691"/>
      <c r="R95" s="212"/>
      <c r="T95" s="212"/>
      <c r="U95" s="212"/>
    </row>
    <row r="96" spans="13:21" x14ac:dyDescent="0.25">
      <c r="R96" s="212"/>
      <c r="T96" s="212"/>
      <c r="U96" s="212"/>
    </row>
    <row r="97" spans="14:21" x14ac:dyDescent="0.25">
      <c r="R97" s="212"/>
      <c r="T97" s="212"/>
      <c r="U97" s="212"/>
    </row>
    <row r="98" spans="14:21" x14ac:dyDescent="0.25">
      <c r="R98" s="212"/>
      <c r="T98" s="212"/>
      <c r="U98" s="212"/>
    </row>
    <row r="99" spans="14:21" x14ac:dyDescent="0.25">
      <c r="R99" s="212"/>
      <c r="T99" s="212"/>
      <c r="U99" s="212"/>
    </row>
    <row r="100" spans="14:21" x14ac:dyDescent="0.25">
      <c r="R100" s="212"/>
      <c r="T100" s="212"/>
      <c r="U100" s="212"/>
    </row>
    <row r="101" spans="14:21" x14ac:dyDescent="0.25">
      <c r="R101" s="212"/>
      <c r="T101" s="212"/>
      <c r="U101" s="212"/>
    </row>
    <row r="102" spans="14:21" x14ac:dyDescent="0.25">
      <c r="N102" s="215"/>
      <c r="R102" s="691"/>
      <c r="T102" s="212"/>
      <c r="U102" s="212"/>
    </row>
    <row r="103" spans="14:21" x14ac:dyDescent="0.25">
      <c r="N103" s="215"/>
      <c r="R103" s="212"/>
      <c r="T103" s="212"/>
      <c r="U103" s="212"/>
    </row>
    <row r="104" spans="14:21" x14ac:dyDescent="0.25">
      <c r="N104" s="215"/>
      <c r="R104" s="212"/>
      <c r="T104" s="212"/>
      <c r="U104" s="212"/>
    </row>
    <row r="105" spans="14:21" x14ac:dyDescent="0.25">
      <c r="N105" s="215"/>
      <c r="R105" s="212"/>
      <c r="T105" s="212"/>
      <c r="U105" s="212"/>
    </row>
    <row r="106" spans="14:21" x14ac:dyDescent="0.25">
      <c r="N106" s="215"/>
      <c r="P106" s="691"/>
      <c r="Q106" s="691"/>
      <c r="R106" s="691"/>
      <c r="T106" s="212"/>
      <c r="U106" s="212"/>
    </row>
    <row r="107" spans="14:21" x14ac:dyDescent="0.25">
      <c r="N107" s="215"/>
      <c r="R107" s="691"/>
      <c r="T107" s="212"/>
      <c r="U107" s="212"/>
    </row>
    <row r="108" spans="14:21" x14ac:dyDescent="0.25">
      <c r="N108" s="215"/>
      <c r="R108" s="212"/>
      <c r="T108" s="212"/>
      <c r="U108" s="212"/>
    </row>
    <row r="109" spans="14:21" x14ac:dyDescent="0.25">
      <c r="N109" s="215"/>
      <c r="R109" s="212"/>
    </row>
    <row r="110" spans="14:21" x14ac:dyDescent="0.25">
      <c r="N110" s="215"/>
      <c r="R110" s="212"/>
    </row>
    <row r="111" spans="14:21" x14ac:dyDescent="0.25">
      <c r="N111" s="215"/>
      <c r="R111" s="212"/>
    </row>
    <row r="112" spans="14:21" x14ac:dyDescent="0.25">
      <c r="N112" s="215"/>
      <c r="R112" s="212"/>
    </row>
    <row r="113" spans="14:18" x14ac:dyDescent="0.25">
      <c r="N113" s="215"/>
      <c r="R113" s="212"/>
    </row>
    <row r="114" spans="14:18" x14ac:dyDescent="0.25">
      <c r="N114" s="215"/>
      <c r="R114" s="212"/>
    </row>
    <row r="115" spans="14:18" x14ac:dyDescent="0.25">
      <c r="N115" s="215"/>
      <c r="R115" s="212"/>
    </row>
    <row r="116" spans="14:18" x14ac:dyDescent="0.25">
      <c r="N116" s="215"/>
      <c r="R116" s="212"/>
    </row>
    <row r="117" spans="14:18" x14ac:dyDescent="0.25">
      <c r="N117" s="215"/>
      <c r="R117" s="212"/>
    </row>
    <row r="118" spans="14:18" x14ac:dyDescent="0.25">
      <c r="R118" s="212"/>
    </row>
    <row r="119" spans="14:18" x14ac:dyDescent="0.25">
      <c r="R119" s="691"/>
    </row>
    <row r="120" spans="14:18" x14ac:dyDescent="0.25">
      <c r="R120" s="212"/>
    </row>
    <row r="121" spans="14:18" x14ac:dyDescent="0.25">
      <c r="R121" s="212"/>
    </row>
    <row r="122" spans="14:18" x14ac:dyDescent="0.25">
      <c r="R122" s="212"/>
    </row>
    <row r="123" spans="14:18" x14ac:dyDescent="0.25">
      <c r="R123" s="212"/>
    </row>
    <row r="124" spans="14:18" x14ac:dyDescent="0.25">
      <c r="R124" s="212"/>
    </row>
    <row r="125" spans="14:18" x14ac:dyDescent="0.25">
      <c r="R125" s="212"/>
    </row>
    <row r="126" spans="14:18" x14ac:dyDescent="0.25">
      <c r="R126" s="212"/>
    </row>
    <row r="127" spans="14:18" x14ac:dyDescent="0.25">
      <c r="R127" s="212"/>
    </row>
    <row r="128" spans="14:18" x14ac:dyDescent="0.25">
      <c r="R128" s="212"/>
    </row>
    <row r="129" spans="16:18" x14ac:dyDescent="0.25">
      <c r="R129" s="212"/>
    </row>
    <row r="130" spans="16:18" x14ac:dyDescent="0.25">
      <c r="R130" s="212"/>
    </row>
    <row r="131" spans="16:18" x14ac:dyDescent="0.25">
      <c r="P131" s="212"/>
      <c r="Q131" s="212"/>
      <c r="R131" s="21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7"/>
  <sheetViews>
    <sheetView tabSelected="1" workbookViewId="0">
      <pane ySplit="3" topLeftCell="A40" activePane="bottomLeft" state="frozen"/>
      <selection pane="bottomLeft" activeCell="E52" sqref="E52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76" customWidth="1"/>
    <col min="5" max="5" width="13.7109375" style="776" customWidth="1"/>
    <col min="6" max="6" width="17.42578125" style="785" customWidth="1"/>
    <col min="7" max="7" width="15.7109375" style="793" bestFit="1" customWidth="1"/>
    <col min="8" max="8" width="16.28515625" style="10" customWidth="1"/>
    <col min="9" max="9" width="18.7109375" style="799" customWidth="1"/>
    <col min="10" max="10" width="16.85546875" style="799" bestFit="1" customWidth="1"/>
    <col min="11" max="11" width="14.5703125" style="746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76">
        <f ca="1">TODAY()</f>
        <v>44440</v>
      </c>
      <c r="C1" s="1177"/>
      <c r="D1" s="769" t="s">
        <v>0</v>
      </c>
      <c r="E1" s="777">
        <f>COUNTA(B5:B67)</f>
        <v>44</v>
      </c>
      <c r="F1" s="781" t="s">
        <v>1</v>
      </c>
      <c r="G1" s="787"/>
      <c r="H1" s="187"/>
      <c r="I1" s="796"/>
      <c r="J1" s="811"/>
      <c r="K1" s="692"/>
    </row>
    <row r="2" spans="1:12" s="3" customFormat="1" x14ac:dyDescent="0.25">
      <c r="A2" s="183"/>
      <c r="B2" s="198"/>
      <c r="C2" s="241"/>
      <c r="D2" s="772"/>
      <c r="E2" s="778"/>
      <c r="F2" s="782" t="s">
        <v>751</v>
      </c>
      <c r="G2" s="789">
        <f ca="1">+resume!C28</f>
        <v>2060848.5899999999</v>
      </c>
      <c r="H2" s="200"/>
      <c r="I2" s="796"/>
      <c r="J2" s="813"/>
      <c r="K2" s="694"/>
      <c r="L2" s="42"/>
    </row>
    <row r="3" spans="1:12" s="3" customFormat="1" x14ac:dyDescent="0.25">
      <c r="A3" s="183"/>
      <c r="B3" s="202" t="s">
        <v>7</v>
      </c>
      <c r="C3" s="203" t="s">
        <v>8</v>
      </c>
      <c r="D3" s="773" t="s">
        <v>9</v>
      </c>
      <c r="E3" s="780" t="s">
        <v>64</v>
      </c>
      <c r="F3" s="783"/>
      <c r="G3" s="789"/>
      <c r="H3" s="200"/>
      <c r="I3" s="798"/>
      <c r="J3" s="807"/>
      <c r="K3" s="693"/>
      <c r="L3" s="42"/>
    </row>
    <row r="4" spans="1:12" x14ac:dyDescent="0.25">
      <c r="A4" s="905" t="s">
        <v>11</v>
      </c>
      <c r="B4" s="906"/>
      <c r="C4" s="905" t="s">
        <v>12</v>
      </c>
      <c r="D4" s="907">
        <v>0</v>
      </c>
      <c r="E4" s="907"/>
      <c r="F4" s="908"/>
      <c r="G4" s="790"/>
    </row>
    <row r="5" spans="1:12" x14ac:dyDescent="0.25">
      <c r="A5" s="905"/>
      <c r="B5" s="906">
        <v>44180</v>
      </c>
      <c r="C5" s="905" t="s">
        <v>957</v>
      </c>
      <c r="D5" s="907">
        <v>52600</v>
      </c>
      <c r="E5" s="907"/>
      <c r="F5" s="908"/>
      <c r="G5" s="791"/>
      <c r="H5" s="11"/>
      <c r="I5" s="800"/>
    </row>
    <row r="6" spans="1:12" x14ac:dyDescent="0.25">
      <c r="A6" s="905"/>
      <c r="B6" s="906">
        <v>44206</v>
      </c>
      <c r="C6" s="905" t="s">
        <v>966</v>
      </c>
      <c r="D6" s="907"/>
      <c r="E6" s="907">
        <v>45000</v>
      </c>
      <c r="F6" s="908"/>
      <c r="G6" s="791"/>
      <c r="H6" s="11"/>
      <c r="I6" s="800"/>
      <c r="K6" s="261"/>
    </row>
    <row r="7" spans="1:12" x14ac:dyDescent="0.25">
      <c r="A7" s="905"/>
      <c r="B7" s="906"/>
      <c r="C7" s="905"/>
      <c r="D7" s="907"/>
      <c r="E7" s="907"/>
      <c r="F7" s="908">
        <f>SUM(D4:D7)-SUM(E4:E7)</f>
        <v>7600</v>
      </c>
      <c r="G7" s="792">
        <v>1000052.56</v>
      </c>
      <c r="H7" s="485"/>
      <c r="I7" s="800"/>
      <c r="K7" s="261"/>
    </row>
    <row r="8" spans="1:12" x14ac:dyDescent="0.25">
      <c r="A8" s="905" t="s">
        <v>16</v>
      </c>
      <c r="B8" s="906">
        <v>44209</v>
      </c>
      <c r="C8" s="905" t="s">
        <v>957</v>
      </c>
      <c r="D8" s="907">
        <v>52600</v>
      </c>
      <c r="E8" s="907"/>
      <c r="F8" s="908"/>
      <c r="G8" s="792"/>
      <c r="H8" s="11"/>
      <c r="I8" s="800"/>
      <c r="K8" s="261"/>
    </row>
    <row r="9" spans="1:12" x14ac:dyDescent="0.25">
      <c r="A9" s="905"/>
      <c r="B9" s="906">
        <v>44209</v>
      </c>
      <c r="C9" s="905" t="s">
        <v>958</v>
      </c>
      <c r="D9" s="907">
        <v>67200</v>
      </c>
      <c r="E9" s="907"/>
      <c r="F9" s="908"/>
      <c r="G9" s="792"/>
      <c r="H9" s="11"/>
      <c r="I9" s="800"/>
      <c r="K9" s="261"/>
    </row>
    <row r="10" spans="1:12" x14ac:dyDescent="0.25">
      <c r="A10" s="905"/>
      <c r="B10" s="906">
        <v>44250</v>
      </c>
      <c r="C10" s="905" t="s">
        <v>1085</v>
      </c>
      <c r="D10" s="907"/>
      <c r="E10" s="907">
        <v>41000</v>
      </c>
      <c r="F10" s="908"/>
      <c r="G10" s="792"/>
      <c r="H10" s="11"/>
      <c r="I10" s="800"/>
      <c r="K10" s="261"/>
    </row>
    <row r="11" spans="1:12" x14ac:dyDescent="0.25">
      <c r="A11" s="905"/>
      <c r="B11" s="906">
        <v>44228</v>
      </c>
      <c r="C11" s="905" t="s">
        <v>932</v>
      </c>
      <c r="D11" s="907"/>
      <c r="E11" s="907">
        <f>26500+70000+10500</f>
        <v>107000</v>
      </c>
      <c r="F11" s="908"/>
      <c r="G11" s="792"/>
      <c r="H11" s="11"/>
      <c r="I11" s="800"/>
      <c r="K11" s="261"/>
    </row>
    <row r="12" spans="1:12" x14ac:dyDescent="0.25">
      <c r="A12" s="905"/>
      <c r="B12" s="906"/>
      <c r="C12" s="905"/>
      <c r="D12" s="907"/>
      <c r="E12" s="907"/>
      <c r="F12" s="908">
        <f>SUM(D8:D12)-SUM(E8:E12)</f>
        <v>-28200</v>
      </c>
      <c r="G12" s="792">
        <v>1033786.1965</v>
      </c>
      <c r="H12" s="485"/>
      <c r="I12" s="800"/>
      <c r="K12" s="695"/>
    </row>
    <row r="13" spans="1:12" x14ac:dyDescent="0.25">
      <c r="A13" s="905" t="s">
        <v>17</v>
      </c>
      <c r="B13" s="906">
        <v>44286</v>
      </c>
      <c r="C13" s="905" t="s">
        <v>957</v>
      </c>
      <c r="D13" s="907">
        <v>52600</v>
      </c>
      <c r="E13" s="907"/>
      <c r="F13" s="908"/>
      <c r="G13" s="792"/>
      <c r="H13" s="627"/>
      <c r="I13" s="800"/>
    </row>
    <row r="14" spans="1:12" x14ac:dyDescent="0.25">
      <c r="A14" s="905"/>
      <c r="B14" s="906">
        <v>44256</v>
      </c>
      <c r="C14" s="905" t="s">
        <v>958</v>
      </c>
      <c r="D14" s="907">
        <v>74700</v>
      </c>
      <c r="E14" s="907"/>
      <c r="F14" s="908"/>
      <c r="G14" s="792"/>
      <c r="H14" s="627"/>
      <c r="I14" s="800"/>
    </row>
    <row r="15" spans="1:12" x14ac:dyDescent="0.25">
      <c r="A15" s="905"/>
      <c r="B15" s="906">
        <v>44259</v>
      </c>
      <c r="C15" s="905" t="s">
        <v>1085</v>
      </c>
      <c r="D15" s="907"/>
      <c r="E15" s="907">
        <v>38000</v>
      </c>
      <c r="F15" s="908"/>
      <c r="G15" s="792"/>
      <c r="H15" s="627"/>
      <c r="I15" s="800"/>
    </row>
    <row r="16" spans="1:12" x14ac:dyDescent="0.25">
      <c r="A16" s="905"/>
      <c r="B16" s="906">
        <v>44278</v>
      </c>
      <c r="C16" s="905" t="s">
        <v>1085</v>
      </c>
      <c r="D16" s="907"/>
      <c r="E16" s="907">
        <v>10500</v>
      </c>
      <c r="F16" s="908"/>
      <c r="G16" s="792"/>
      <c r="H16" s="627"/>
      <c r="I16" s="800"/>
    </row>
    <row r="17" spans="1:16" x14ac:dyDescent="0.25">
      <c r="A17" s="905"/>
      <c r="B17" s="906">
        <v>44256</v>
      </c>
      <c r="C17" s="905" t="s">
        <v>932</v>
      </c>
      <c r="D17" s="907"/>
      <c r="E17" s="907">
        <f>58600+43000+10800</f>
        <v>112400</v>
      </c>
      <c r="F17" s="908"/>
      <c r="G17" s="792"/>
      <c r="H17" s="627"/>
      <c r="I17" s="800"/>
    </row>
    <row r="18" spans="1:16" x14ac:dyDescent="0.25">
      <c r="A18" s="905"/>
      <c r="B18" s="906"/>
      <c r="C18" s="905"/>
      <c r="D18" s="907"/>
      <c r="E18" s="907"/>
      <c r="F18" s="908">
        <f>SUM(D13:D18)-SUM(E13:E18)</f>
        <v>-33600</v>
      </c>
      <c r="G18" s="792">
        <v>1035086.2113</v>
      </c>
      <c r="H18" s="485"/>
      <c r="I18" s="800"/>
    </row>
    <row r="19" spans="1:16" x14ac:dyDescent="0.25">
      <c r="A19" s="905" t="s">
        <v>18</v>
      </c>
      <c r="B19" s="906">
        <v>44316</v>
      </c>
      <c r="C19" s="905" t="s">
        <v>957</v>
      </c>
      <c r="D19" s="907">
        <v>52600</v>
      </c>
      <c r="E19" s="907"/>
      <c r="F19" s="908"/>
      <c r="G19" s="792"/>
      <c r="H19" s="485"/>
      <c r="I19" s="800"/>
    </row>
    <row r="20" spans="1:16" x14ac:dyDescent="0.25">
      <c r="A20" s="905"/>
      <c r="B20" s="906">
        <v>44287</v>
      </c>
      <c r="C20" s="905" t="s">
        <v>958</v>
      </c>
      <c r="D20" s="907">
        <v>74700</v>
      </c>
      <c r="E20" s="907"/>
      <c r="F20" s="908"/>
      <c r="G20" s="792"/>
      <c r="H20" s="485"/>
      <c r="I20" s="800"/>
    </row>
    <row r="21" spans="1:16" x14ac:dyDescent="0.25">
      <c r="A21" s="905"/>
      <c r="B21" s="906">
        <v>44287</v>
      </c>
      <c r="C21" s="905" t="s">
        <v>1033</v>
      </c>
      <c r="D21" s="907"/>
      <c r="E21" s="907">
        <v>108700</v>
      </c>
      <c r="F21" s="908"/>
      <c r="G21" s="792"/>
      <c r="H21" s="485"/>
      <c r="I21" s="1115"/>
    </row>
    <row r="22" spans="1:16" x14ac:dyDescent="0.25">
      <c r="A22" s="905"/>
      <c r="B22" s="906"/>
      <c r="C22" s="905"/>
      <c r="D22" s="907"/>
      <c r="E22" s="907"/>
      <c r="F22" s="908">
        <f>SUM(D19:D22)-SUM(E19:E22)</f>
        <v>18600</v>
      </c>
      <c r="G22" s="792">
        <v>1070013.1113</v>
      </c>
      <c r="H22" s="11"/>
      <c r="I22" s="1115"/>
      <c r="N22" s="77"/>
      <c r="O22" s="77"/>
      <c r="P22" s="77"/>
    </row>
    <row r="23" spans="1:16" x14ac:dyDescent="0.25">
      <c r="A23" s="905" t="s">
        <v>20</v>
      </c>
      <c r="B23" s="906">
        <v>44347</v>
      </c>
      <c r="C23" s="905" t="s">
        <v>957</v>
      </c>
      <c r="D23" s="907">
        <v>52600</v>
      </c>
      <c r="E23" s="907"/>
      <c r="F23" s="908"/>
      <c r="G23" s="792"/>
      <c r="H23" s="485"/>
      <c r="I23" s="1115"/>
      <c r="N23" s="77"/>
      <c r="O23" s="77"/>
      <c r="P23" s="77"/>
    </row>
    <row r="24" spans="1:16" x14ac:dyDescent="0.25">
      <c r="A24" s="905"/>
      <c r="B24" s="906">
        <v>44317</v>
      </c>
      <c r="C24" s="905" t="s">
        <v>958</v>
      </c>
      <c r="D24" s="907">
        <v>89640</v>
      </c>
      <c r="E24" s="907"/>
      <c r="F24" s="908"/>
      <c r="G24" s="792"/>
      <c r="H24" s="485"/>
      <c r="I24" s="800"/>
      <c r="N24" s="77"/>
      <c r="O24" s="77"/>
      <c r="P24" s="77"/>
    </row>
    <row r="25" spans="1:16" x14ac:dyDescent="0.25">
      <c r="A25" s="905"/>
      <c r="B25" s="906">
        <v>44317</v>
      </c>
      <c r="C25" s="905" t="s">
        <v>1033</v>
      </c>
      <c r="D25" s="907"/>
      <c r="E25" s="907">
        <v>102800</v>
      </c>
      <c r="F25" s="908"/>
      <c r="G25" s="792"/>
      <c r="H25" s="76"/>
      <c r="I25" s="800"/>
      <c r="N25" s="77"/>
      <c r="O25" s="77"/>
      <c r="P25" s="77"/>
    </row>
    <row r="26" spans="1:16" x14ac:dyDescent="0.25">
      <c r="A26" s="905"/>
      <c r="B26" s="906"/>
      <c r="C26" s="905"/>
      <c r="D26" s="907"/>
      <c r="E26" s="907"/>
      <c r="F26" s="908">
        <f>SUM(D23:D26)-SUM(E23:E26)</f>
        <v>39440</v>
      </c>
      <c r="G26" s="792">
        <v>912486.05</v>
      </c>
      <c r="H26" s="76"/>
      <c r="I26" s="800"/>
    </row>
    <row r="27" spans="1:16" x14ac:dyDescent="0.25">
      <c r="A27" s="905" t="s">
        <v>21</v>
      </c>
      <c r="B27" s="906">
        <v>44377</v>
      </c>
      <c r="C27" s="905" t="s">
        <v>1065</v>
      </c>
      <c r="D27" s="907">
        <v>71000</v>
      </c>
      <c r="E27" s="907"/>
      <c r="F27" s="908"/>
      <c r="G27" s="792"/>
      <c r="H27" s="485"/>
      <c r="I27" s="800"/>
    </row>
    <row r="28" spans="1:16" x14ac:dyDescent="0.25">
      <c r="A28" s="905"/>
      <c r="B28" s="906">
        <v>44348</v>
      </c>
      <c r="C28" s="905" t="s">
        <v>1069</v>
      </c>
      <c r="D28" s="907">
        <v>89640</v>
      </c>
      <c r="E28" s="907"/>
      <c r="F28" s="908"/>
      <c r="G28" s="792"/>
      <c r="H28" s="485"/>
      <c r="I28" s="800"/>
      <c r="J28" s="800"/>
    </row>
    <row r="29" spans="1:16" x14ac:dyDescent="0.25">
      <c r="A29" s="905"/>
      <c r="B29" s="906">
        <v>44362</v>
      </c>
      <c r="C29" s="905" t="s">
        <v>1066</v>
      </c>
      <c r="D29" s="907">
        <v>107000</v>
      </c>
      <c r="E29" s="907"/>
      <c r="F29" s="908"/>
      <c r="G29" s="792"/>
      <c r="H29" s="485"/>
      <c r="I29" s="800"/>
    </row>
    <row r="30" spans="1:16" x14ac:dyDescent="0.25">
      <c r="A30" s="905"/>
      <c r="B30" s="906">
        <v>44371</v>
      </c>
      <c r="C30" s="905" t="s">
        <v>1071</v>
      </c>
      <c r="D30" s="907">
        <v>44820</v>
      </c>
      <c r="E30" s="907"/>
      <c r="F30" s="908"/>
      <c r="G30" s="792"/>
      <c r="H30" s="485"/>
      <c r="I30" s="800"/>
    </row>
    <row r="31" spans="1:16" x14ac:dyDescent="0.25">
      <c r="A31" s="905"/>
      <c r="B31" s="906">
        <v>44371</v>
      </c>
      <c r="C31" s="905" t="s">
        <v>1086</v>
      </c>
      <c r="D31" s="907"/>
      <c r="E31" s="907">
        <v>4500</v>
      </c>
      <c r="F31" s="908"/>
      <c r="G31" s="792"/>
      <c r="H31" s="485"/>
      <c r="I31" s="800"/>
    </row>
    <row r="32" spans="1:16" x14ac:dyDescent="0.25">
      <c r="A32" s="905"/>
      <c r="B32" s="906">
        <v>44348</v>
      </c>
      <c r="C32" s="905" t="s">
        <v>1067</v>
      </c>
      <c r="D32" s="907"/>
      <c r="E32" s="907">
        <v>98000</v>
      </c>
      <c r="F32" s="908"/>
      <c r="G32" s="792"/>
      <c r="H32" s="485"/>
      <c r="I32" s="800"/>
      <c r="J32" s="800"/>
      <c r="L32" s="746"/>
    </row>
    <row r="33" spans="1:14" x14ac:dyDescent="0.25">
      <c r="A33" s="905"/>
      <c r="B33" s="906"/>
      <c r="C33" s="905"/>
      <c r="D33" s="907"/>
      <c r="E33" s="907"/>
      <c r="F33" s="908">
        <f>SUM(D27:D33)-SUM(E27:E33)</f>
        <v>209960</v>
      </c>
      <c r="G33" s="792">
        <v>1348827.675</v>
      </c>
      <c r="H33" s="11"/>
      <c r="I33" s="801"/>
      <c r="J33" s="801"/>
      <c r="K33" s="696"/>
      <c r="L33" s="648"/>
      <c r="M33" s="648"/>
    </row>
    <row r="34" spans="1:14" x14ac:dyDescent="0.25">
      <c r="A34" s="905" t="s">
        <v>22</v>
      </c>
      <c r="B34" s="906">
        <v>44408</v>
      </c>
      <c r="C34" s="905" t="s">
        <v>1088</v>
      </c>
      <c r="D34" s="907">
        <v>70000</v>
      </c>
      <c r="E34" s="907"/>
      <c r="F34" s="908"/>
      <c r="G34" s="792"/>
      <c r="H34" s="485"/>
      <c r="I34" s="801"/>
      <c r="J34" s="801"/>
      <c r="K34" s="696"/>
      <c r="L34" s="648"/>
      <c r="M34" s="648"/>
    </row>
    <row r="35" spans="1:14" x14ac:dyDescent="0.25">
      <c r="A35" s="905"/>
      <c r="B35" s="906">
        <v>44378</v>
      </c>
      <c r="C35" s="905" t="s">
        <v>1069</v>
      </c>
      <c r="D35" s="907">
        <v>89640</v>
      </c>
      <c r="E35" s="907"/>
      <c r="F35" s="908"/>
      <c r="G35" s="792"/>
      <c r="H35" s="485"/>
      <c r="I35" s="801"/>
      <c r="J35" s="801"/>
      <c r="K35" s="696"/>
      <c r="L35" s="648"/>
      <c r="M35" s="648"/>
    </row>
    <row r="36" spans="1:14" x14ac:dyDescent="0.25">
      <c r="A36" s="905"/>
      <c r="B36" s="906">
        <v>44392</v>
      </c>
      <c r="C36" s="905" t="s">
        <v>1070</v>
      </c>
      <c r="D36" s="907">
        <v>250000</v>
      </c>
      <c r="E36" s="907"/>
      <c r="F36" s="908"/>
      <c r="G36" s="792"/>
      <c r="H36" s="485"/>
      <c r="I36" s="801"/>
      <c r="J36" s="801"/>
      <c r="K36" s="696"/>
      <c r="L36" s="648"/>
      <c r="M36" s="648"/>
    </row>
    <row r="37" spans="1:14" x14ac:dyDescent="0.25">
      <c r="A37" s="905"/>
      <c r="B37" s="906">
        <v>44378</v>
      </c>
      <c r="C37" s="905" t="s">
        <v>1067</v>
      </c>
      <c r="D37" s="907"/>
      <c r="E37" s="907">
        <v>95000</v>
      </c>
      <c r="F37" s="908"/>
      <c r="G37" s="792"/>
      <c r="H37" s="485"/>
      <c r="I37" s="803"/>
      <c r="J37" s="803"/>
      <c r="K37" s="696"/>
      <c r="L37" s="648"/>
      <c r="M37" s="648"/>
    </row>
    <row r="38" spans="1:14" x14ac:dyDescent="0.25">
      <c r="A38" s="905"/>
      <c r="B38" s="906"/>
      <c r="C38" s="905"/>
      <c r="D38" s="907"/>
      <c r="E38" s="907"/>
      <c r="F38" s="908">
        <f>SUM(D34:D38)-SUM(E34:E38)</f>
        <v>314640</v>
      </c>
      <c r="G38" s="792">
        <v>1593398.9</v>
      </c>
      <c r="H38" s="11"/>
      <c r="I38" s="801"/>
      <c r="J38" s="814"/>
      <c r="K38" s="697"/>
      <c r="L38" s="648"/>
      <c r="M38" s="648"/>
    </row>
    <row r="39" spans="1:14" x14ac:dyDescent="0.25">
      <c r="A39" s="905" t="s">
        <v>23</v>
      </c>
      <c r="B39" s="906">
        <v>44423</v>
      </c>
      <c r="C39" s="905" t="s">
        <v>1070</v>
      </c>
      <c r="D39" s="907">
        <v>304000</v>
      </c>
      <c r="E39" s="907"/>
      <c r="F39" s="908"/>
      <c r="G39" s="792"/>
      <c r="J39" s="785"/>
      <c r="K39" s="698"/>
      <c r="L39" s="646"/>
      <c r="M39" s="646"/>
    </row>
    <row r="40" spans="1:14" x14ac:dyDescent="0.25">
      <c r="A40" s="905"/>
      <c r="B40" s="906">
        <v>44439</v>
      </c>
      <c r="C40" s="905" t="s">
        <v>1088</v>
      </c>
      <c r="D40" s="907">
        <v>70000</v>
      </c>
      <c r="E40" s="907"/>
      <c r="F40" s="908"/>
      <c r="G40" s="792"/>
      <c r="J40" s="785"/>
      <c r="K40" s="698"/>
      <c r="L40" s="646"/>
      <c r="M40" s="646"/>
    </row>
    <row r="41" spans="1:14" x14ac:dyDescent="0.25">
      <c r="A41" s="905"/>
      <c r="B41" s="906">
        <v>44409</v>
      </c>
      <c r="C41" s="905" t="s">
        <v>1069</v>
      </c>
      <c r="D41" s="907">
        <v>89640</v>
      </c>
      <c r="E41" s="907"/>
      <c r="F41" s="908"/>
      <c r="G41" s="792"/>
      <c r="H41" s="485"/>
      <c r="I41" s="800"/>
      <c r="J41" s="806"/>
      <c r="K41" s="699"/>
    </row>
    <row r="42" spans="1:14" x14ac:dyDescent="0.25">
      <c r="A42" s="905"/>
      <c r="B42" s="906">
        <v>44423</v>
      </c>
      <c r="C42" s="905" t="s">
        <v>183</v>
      </c>
      <c r="D42" s="907"/>
      <c r="E42" s="907">
        <v>177000</v>
      </c>
      <c r="F42" s="908"/>
      <c r="G42" s="792"/>
      <c r="H42" s="11"/>
      <c r="I42" s="800"/>
      <c r="J42" s="806"/>
      <c r="K42" s="699"/>
      <c r="N42" s="1171"/>
    </row>
    <row r="43" spans="1:14" x14ac:dyDescent="0.25">
      <c r="A43" s="905"/>
      <c r="B43" s="906">
        <v>44409</v>
      </c>
      <c r="C43" s="905" t="s">
        <v>1067</v>
      </c>
      <c r="D43" s="907"/>
      <c r="E43" s="907">
        <v>90000</v>
      </c>
      <c r="F43" s="908"/>
      <c r="G43" s="792"/>
      <c r="H43" s="11"/>
      <c r="I43" s="800"/>
      <c r="J43" s="806"/>
      <c r="K43" s="699"/>
      <c r="M43" s="800"/>
      <c r="N43" s="806"/>
    </row>
    <row r="44" spans="1:14" x14ac:dyDescent="0.25">
      <c r="A44" s="905"/>
      <c r="B44" s="906"/>
      <c r="C44" s="905"/>
      <c r="D44" s="907"/>
      <c r="E44" s="907"/>
      <c r="F44" s="908">
        <f>SUM(D39:D44)-SUM(E39:E44)</f>
        <v>196640</v>
      </c>
      <c r="G44" s="792">
        <v>1785224.79</v>
      </c>
      <c r="H44" s="11"/>
      <c r="I44" s="800"/>
      <c r="J44" s="806"/>
      <c r="K44" s="699"/>
      <c r="M44" s="800"/>
      <c r="N44" s="806"/>
    </row>
    <row r="45" spans="1:14" x14ac:dyDescent="0.25">
      <c r="A45" s="945" t="s">
        <v>24</v>
      </c>
      <c r="B45" s="946">
        <v>44449</v>
      </c>
      <c r="C45" s="945" t="s">
        <v>1057</v>
      </c>
      <c r="D45" s="947">
        <v>290000</v>
      </c>
      <c r="E45" s="947"/>
      <c r="F45" s="948"/>
      <c r="G45" s="792"/>
      <c r="H45" s="11"/>
      <c r="I45" s="800"/>
      <c r="J45" s="806"/>
      <c r="K45" s="699"/>
      <c r="M45" s="800"/>
      <c r="N45" s="806"/>
    </row>
    <row r="46" spans="1:14" x14ac:dyDescent="0.25">
      <c r="A46" s="945"/>
      <c r="B46" s="946">
        <v>44440</v>
      </c>
      <c r="C46" s="945" t="s">
        <v>958</v>
      </c>
      <c r="D46" s="947">
        <v>89640</v>
      </c>
      <c r="E46" s="947"/>
      <c r="F46" s="948"/>
      <c r="G46" s="792"/>
      <c r="H46" s="11"/>
      <c r="I46" s="800"/>
      <c r="M46" s="800"/>
      <c r="N46" s="799"/>
    </row>
    <row r="47" spans="1:14" x14ac:dyDescent="0.25">
      <c r="A47" s="945"/>
      <c r="B47" s="946">
        <v>44444</v>
      </c>
      <c r="C47" s="945" t="s">
        <v>183</v>
      </c>
      <c r="D47" s="947">
        <f>1200*CtzvN</f>
        <v>214800</v>
      </c>
      <c r="E47" s="947"/>
      <c r="F47" s="948"/>
      <c r="G47" s="792"/>
      <c r="H47" s="11"/>
      <c r="I47" s="800"/>
      <c r="M47" s="800"/>
      <c r="N47" s="799"/>
    </row>
    <row r="48" spans="1:14" x14ac:dyDescent="0.25">
      <c r="A48" s="945"/>
      <c r="B48" s="946">
        <v>44439</v>
      </c>
      <c r="C48" s="945" t="s">
        <v>1110</v>
      </c>
      <c r="D48" s="947"/>
      <c r="E48" s="947">
        <v>115000</v>
      </c>
      <c r="F48" s="948"/>
      <c r="G48" s="792"/>
      <c r="H48" s="485"/>
      <c r="I48" s="800"/>
      <c r="J48" s="806"/>
      <c r="K48" s="699"/>
    </row>
    <row r="49" spans="1:14" x14ac:dyDescent="0.25">
      <c r="A49" s="945"/>
      <c r="B49" s="946">
        <v>44439</v>
      </c>
      <c r="C49" s="945" t="s">
        <v>1111</v>
      </c>
      <c r="D49" s="947"/>
      <c r="E49" s="947">
        <v>130000</v>
      </c>
      <c r="F49" s="948"/>
      <c r="G49" s="792"/>
      <c r="H49" s="485"/>
      <c r="I49" s="800"/>
      <c r="J49" s="806"/>
      <c r="K49" s="699"/>
    </row>
    <row r="50" spans="1:14" x14ac:dyDescent="0.25">
      <c r="A50" s="945"/>
      <c r="B50" s="946">
        <v>44439</v>
      </c>
      <c r="C50" s="945" t="s">
        <v>1112</v>
      </c>
      <c r="D50" s="947"/>
      <c r="E50" s="947">
        <v>13000</v>
      </c>
      <c r="F50" s="948"/>
      <c r="G50" s="792"/>
      <c r="H50" s="485"/>
      <c r="I50" s="800"/>
      <c r="J50" s="806"/>
      <c r="K50" s="699"/>
    </row>
    <row r="51" spans="1:14" x14ac:dyDescent="0.25">
      <c r="A51" s="945"/>
      <c r="B51" s="946">
        <v>44439</v>
      </c>
      <c r="C51" s="945" t="s">
        <v>1113</v>
      </c>
      <c r="D51" s="947"/>
      <c r="E51" s="947">
        <v>3700</v>
      </c>
      <c r="F51" s="948"/>
      <c r="G51" s="792"/>
      <c r="H51" s="485"/>
      <c r="I51" s="800"/>
      <c r="J51" s="806"/>
      <c r="K51" s="699"/>
    </row>
    <row r="52" spans="1:14" x14ac:dyDescent="0.25">
      <c r="A52" s="945"/>
      <c r="B52" s="946">
        <v>44439</v>
      </c>
      <c r="C52" s="945" t="s">
        <v>1114</v>
      </c>
      <c r="D52" s="947"/>
      <c r="E52" s="947">
        <v>25000</v>
      </c>
      <c r="F52" s="948"/>
      <c r="G52" s="792"/>
      <c r="H52" s="485"/>
      <c r="I52" s="800"/>
      <c r="J52" s="806"/>
      <c r="K52" s="699"/>
    </row>
    <row r="53" spans="1:14" x14ac:dyDescent="0.25">
      <c r="A53" s="945"/>
      <c r="B53" s="946">
        <v>44454</v>
      </c>
      <c r="C53" s="945" t="s">
        <v>183</v>
      </c>
      <c r="D53" s="947"/>
      <c r="E53" s="947">
        <v>290000</v>
      </c>
      <c r="F53" s="948"/>
      <c r="G53" s="792"/>
      <c r="H53" s="11"/>
      <c r="I53" s="800"/>
      <c r="M53" s="800"/>
      <c r="N53" s="806"/>
    </row>
    <row r="54" spans="1:14" x14ac:dyDescent="0.25">
      <c r="A54" s="945"/>
      <c r="B54" s="946"/>
      <c r="C54" s="945"/>
      <c r="D54" s="947"/>
      <c r="E54" s="947"/>
      <c r="F54" s="948">
        <f>SUM(D45:D54)-SUM(E45:E54)</f>
        <v>17740</v>
      </c>
      <c r="G54" s="792">
        <f ca="1">+G2</f>
        <v>2060848.5899999999</v>
      </c>
      <c r="H54" s="11"/>
      <c r="I54" s="800"/>
      <c r="J54" s="806"/>
      <c r="K54" s="699"/>
    </row>
    <row r="55" spans="1:14" x14ac:dyDescent="0.25">
      <c r="A55" s="1119" t="s">
        <v>25</v>
      </c>
      <c r="B55" s="1120">
        <v>44470</v>
      </c>
      <c r="C55" s="1119" t="s">
        <v>958</v>
      </c>
      <c r="D55" s="1121">
        <v>86640</v>
      </c>
      <c r="E55" s="1121"/>
      <c r="F55" s="1122"/>
      <c r="G55" s="792"/>
      <c r="K55" s="699"/>
      <c r="L55" s="746"/>
      <c r="N55" s="1171"/>
    </row>
    <row r="56" spans="1:14" x14ac:dyDescent="0.25">
      <c r="A56" s="1119"/>
      <c r="B56" s="1120"/>
      <c r="C56" s="1119" t="s">
        <v>940</v>
      </c>
      <c r="D56" s="1121"/>
      <c r="E56" s="1121">
        <f>+D55-E57</f>
        <v>56640</v>
      </c>
      <c r="F56" s="1122"/>
      <c r="G56" s="792"/>
      <c r="H56" s="11"/>
      <c r="I56" s="800"/>
      <c r="L56" s="746"/>
      <c r="M56" s="746"/>
    </row>
    <row r="57" spans="1:14" x14ac:dyDescent="0.25">
      <c r="A57" s="1119"/>
      <c r="B57" s="1120"/>
      <c r="C57" s="1119" t="s">
        <v>1067</v>
      </c>
      <c r="D57" s="1121"/>
      <c r="E57" s="1121">
        <v>30000</v>
      </c>
      <c r="F57" s="1122"/>
      <c r="G57" s="792"/>
      <c r="H57" s="11"/>
      <c r="I57" s="800"/>
      <c r="J57" s="806"/>
      <c r="K57" s="699"/>
      <c r="L57" s="746"/>
      <c r="M57" s="746"/>
    </row>
    <row r="58" spans="1:14" x14ac:dyDescent="0.25">
      <c r="A58" s="1119"/>
      <c r="B58" s="1120"/>
      <c r="C58" s="1119"/>
      <c r="D58" s="1121"/>
      <c r="E58" s="1121"/>
      <c r="F58" s="1122">
        <f>SUM(D55:D58)-SUM(E55:E58)</f>
        <v>0</v>
      </c>
      <c r="G58" s="792">
        <f ca="1">+G2</f>
        <v>2060848.5899999999</v>
      </c>
      <c r="H58" s="485"/>
      <c r="I58" s="800"/>
      <c r="J58" s="806"/>
      <c r="K58" s="699"/>
      <c r="M58" s="746"/>
    </row>
    <row r="59" spans="1:14" x14ac:dyDescent="0.25">
      <c r="A59" s="1119" t="s">
        <v>26</v>
      </c>
      <c r="B59" s="1120">
        <v>44501</v>
      </c>
      <c r="C59" s="1119" t="s">
        <v>958</v>
      </c>
      <c r="D59" s="1121">
        <v>86640</v>
      </c>
      <c r="E59" s="1121"/>
      <c r="F59" s="1122"/>
      <c r="G59" s="792"/>
      <c r="H59" s="11"/>
      <c r="I59" s="800"/>
      <c r="J59" s="806"/>
      <c r="K59" s="699"/>
      <c r="L59" s="88"/>
      <c r="M59" s="746"/>
    </row>
    <row r="60" spans="1:14" x14ac:dyDescent="0.25">
      <c r="A60" s="1119"/>
      <c r="B60" s="1120"/>
      <c r="C60" s="1119" t="s">
        <v>940</v>
      </c>
      <c r="D60" s="1121"/>
      <c r="E60" s="1121">
        <f>+D59-E61</f>
        <v>56640</v>
      </c>
      <c r="F60" s="1122"/>
      <c r="G60" s="792"/>
      <c r="H60" s="11"/>
      <c r="I60" s="800"/>
      <c r="L60" s="88"/>
      <c r="M60" s="746"/>
    </row>
    <row r="61" spans="1:14" x14ac:dyDescent="0.25">
      <c r="A61" s="1119"/>
      <c r="B61" s="1120"/>
      <c r="C61" s="1119" t="s">
        <v>1067</v>
      </c>
      <c r="D61" s="1121"/>
      <c r="E61" s="1121">
        <v>30000</v>
      </c>
      <c r="F61" s="1122"/>
      <c r="G61" s="792"/>
      <c r="H61" s="11"/>
      <c r="I61" s="800"/>
      <c r="M61" s="746"/>
    </row>
    <row r="62" spans="1:14" x14ac:dyDescent="0.25">
      <c r="A62" s="1119"/>
      <c r="B62" s="1120"/>
      <c r="C62" s="1119"/>
      <c r="D62" s="1121"/>
      <c r="E62" s="1121"/>
      <c r="F62" s="1122">
        <f>SUM(D59:D62)-SUM(E59:E62)</f>
        <v>0</v>
      </c>
      <c r="G62" s="792">
        <f ca="1">+G2</f>
        <v>2060848.5899999999</v>
      </c>
      <c r="H62" s="485"/>
      <c r="I62" s="800"/>
      <c r="J62" s="806"/>
      <c r="K62" s="699"/>
    </row>
    <row r="63" spans="1:14" x14ac:dyDescent="0.25">
      <c r="A63" s="1119" t="s">
        <v>27</v>
      </c>
      <c r="B63" s="1120">
        <v>44501</v>
      </c>
      <c r="C63" s="1119" t="s">
        <v>958</v>
      </c>
      <c r="D63" s="1121">
        <v>86640</v>
      </c>
      <c r="E63" s="1121"/>
      <c r="F63" s="1122"/>
      <c r="G63" s="792"/>
      <c r="H63" s="11"/>
      <c r="I63" s="800"/>
      <c r="J63" s="806"/>
      <c r="K63" s="699"/>
    </row>
    <row r="64" spans="1:14" x14ac:dyDescent="0.25">
      <c r="A64" s="1119"/>
      <c r="B64" s="1120"/>
      <c r="C64" s="1119" t="s">
        <v>1127</v>
      </c>
      <c r="D64" s="1121">
        <f>+D63/2</f>
        <v>43320</v>
      </c>
      <c r="E64" s="1121"/>
      <c r="F64" s="1122"/>
      <c r="G64" s="792"/>
      <c r="H64" s="11"/>
      <c r="I64" s="800"/>
    </row>
    <row r="65" spans="1:13" x14ac:dyDescent="0.25">
      <c r="A65" s="1119"/>
      <c r="B65" s="1120"/>
      <c r="C65" s="1119" t="s">
        <v>940</v>
      </c>
      <c r="D65" s="1121"/>
      <c r="E65" s="1121">
        <f>+D63+D64-E66</f>
        <v>99960</v>
      </c>
      <c r="F65" s="1122"/>
      <c r="G65" s="792"/>
      <c r="H65" s="11"/>
      <c r="I65" s="800"/>
      <c r="M65" s="746"/>
    </row>
    <row r="66" spans="1:13" x14ac:dyDescent="0.25">
      <c r="A66" s="1119"/>
      <c r="B66" s="1120"/>
      <c r="C66" s="1119" t="s">
        <v>1067</v>
      </c>
      <c r="D66" s="1121"/>
      <c r="E66" s="1121">
        <v>30000</v>
      </c>
      <c r="F66" s="1122"/>
      <c r="G66" s="792"/>
      <c r="H66" s="11"/>
      <c r="I66" s="800"/>
      <c r="M66" s="746"/>
    </row>
    <row r="67" spans="1:13" x14ac:dyDescent="0.25">
      <c r="A67" s="1119"/>
      <c r="B67" s="1120"/>
      <c r="C67" s="1119"/>
      <c r="D67" s="1121"/>
      <c r="E67" s="1121"/>
      <c r="F67" s="1122">
        <f>SUM(D63:D67)-SUM(E63:E67)</f>
        <v>0</v>
      </c>
      <c r="G67" s="792">
        <f ca="1">+G2</f>
        <v>2060848.5899999999</v>
      </c>
      <c r="H67" s="485"/>
      <c r="I67" s="767"/>
      <c r="J67" s="767"/>
      <c r="K67" s="761"/>
      <c r="L67" s="742"/>
    </row>
    <row r="68" spans="1:13" x14ac:dyDescent="0.25">
      <c r="A68" s="19"/>
      <c r="D68" s="775"/>
      <c r="E68" s="775"/>
      <c r="H68" s="485"/>
      <c r="I68" s="800"/>
    </row>
    <row r="69" spans="1:13" x14ac:dyDescent="0.25">
      <c r="A69" s="19"/>
      <c r="D69" s="775"/>
      <c r="E69" s="775"/>
    </row>
    <row r="70" spans="1:13" x14ac:dyDescent="0.25">
      <c r="A70" s="19"/>
      <c r="D70" s="775"/>
      <c r="E70" s="775"/>
    </row>
    <row r="71" spans="1:13" x14ac:dyDescent="0.25">
      <c r="A71" s="19"/>
      <c r="D71" s="775"/>
      <c r="E71" s="775"/>
    </row>
    <row r="72" spans="1:13" x14ac:dyDescent="0.25">
      <c r="A72" s="19"/>
      <c r="D72" s="775"/>
      <c r="E72" s="775"/>
      <c r="I72" s="805" t="s">
        <v>28</v>
      </c>
      <c r="J72" s="805">
        <f>+J73/36</f>
        <v>27379.642777777779</v>
      </c>
      <c r="K72" s="700"/>
    </row>
    <row r="73" spans="1:13" x14ac:dyDescent="0.25">
      <c r="A73" s="19"/>
      <c r="D73" s="775"/>
      <c r="E73" s="775"/>
      <c r="I73" s="805"/>
      <c r="J73" s="805">
        <v>985667.14</v>
      </c>
      <c r="K73" s="700"/>
    </row>
    <row r="74" spans="1:13" x14ac:dyDescent="0.25">
      <c r="A74" s="19"/>
      <c r="D74" s="775"/>
      <c r="E74" s="775"/>
      <c r="I74" s="805" t="s">
        <v>144</v>
      </c>
      <c r="J74" s="805" t="s">
        <v>145</v>
      </c>
      <c r="K74" s="700" t="s">
        <v>146</v>
      </c>
    </row>
    <row r="75" spans="1:13" x14ac:dyDescent="0.25">
      <c r="A75" s="19"/>
      <c r="D75" s="775"/>
      <c r="E75" s="775"/>
      <c r="I75" s="805">
        <f>_ENE21v</f>
        <v>1000052.56</v>
      </c>
      <c r="J75" s="805">
        <f>+I75-J73</f>
        <v>14385.420000000042</v>
      </c>
      <c r="K75" s="719">
        <f>(+J75*100/J73)/100</f>
        <v>1.4594602392852461E-2</v>
      </c>
    </row>
    <row r="76" spans="1:13" x14ac:dyDescent="0.25">
      <c r="A76" s="19"/>
      <c r="D76" s="775"/>
      <c r="E76" s="775"/>
      <c r="I76" s="805">
        <f>_FEB21v</f>
        <v>1033786.1965</v>
      </c>
      <c r="J76" s="805">
        <f t="shared" ref="J76:J84" si="0">+I76-I75</f>
        <v>33733.636499999906</v>
      </c>
      <c r="K76" s="719">
        <f t="shared" ref="K76:K84" si="1">(+J76*100/I75)/100</f>
        <v>3.373186355325155E-2</v>
      </c>
    </row>
    <row r="77" spans="1:13" x14ac:dyDescent="0.25">
      <c r="A77" s="19"/>
      <c r="D77" s="775"/>
      <c r="E77" s="775"/>
      <c r="I77" s="805">
        <f>_MAR21v</f>
        <v>1035086.2113</v>
      </c>
      <c r="J77" s="805">
        <f t="shared" si="0"/>
        <v>1300.0148000000045</v>
      </c>
      <c r="K77" s="719">
        <f t="shared" si="1"/>
        <v>1.2575277213038357E-3</v>
      </c>
    </row>
    <row r="78" spans="1:13" x14ac:dyDescent="0.25">
      <c r="A78" s="19"/>
      <c r="D78" s="775"/>
      <c r="E78" s="775"/>
      <c r="I78" s="805">
        <f>_ABR21v</f>
        <v>1070013.1113</v>
      </c>
      <c r="J78" s="805">
        <f t="shared" si="0"/>
        <v>34926.900000000023</v>
      </c>
      <c r="K78" s="719">
        <f t="shared" si="1"/>
        <v>3.3742986447606274E-2</v>
      </c>
    </row>
    <row r="79" spans="1:13" x14ac:dyDescent="0.25">
      <c r="A79" s="19"/>
      <c r="D79" s="775"/>
      <c r="E79" s="775"/>
      <c r="I79" s="805">
        <f>_MAY21v</f>
        <v>912486.05</v>
      </c>
      <c r="J79" s="805">
        <f t="shared" si="0"/>
        <v>-157527.06129999994</v>
      </c>
      <c r="K79" s="719">
        <f t="shared" si="1"/>
        <v>-0.14721974865206491</v>
      </c>
    </row>
    <row r="80" spans="1:13" x14ac:dyDescent="0.25">
      <c r="A80" s="19"/>
      <c r="D80" s="775"/>
      <c r="E80" s="775"/>
      <c r="I80" s="805">
        <f>_JUN21v</f>
        <v>1348827.675</v>
      </c>
      <c r="J80" s="805">
        <f t="shared" si="0"/>
        <v>436341.625</v>
      </c>
      <c r="K80" s="719">
        <f t="shared" si="1"/>
        <v>0.47818991314990511</v>
      </c>
    </row>
    <row r="81" spans="1:15" x14ac:dyDescent="0.25">
      <c r="A81" s="19"/>
      <c r="D81" s="775"/>
      <c r="E81" s="775"/>
      <c r="I81" s="805">
        <f>_JUL21v</f>
        <v>1593398.9</v>
      </c>
      <c r="J81" s="805">
        <f t="shared" si="0"/>
        <v>244571.22499999986</v>
      </c>
      <c r="K81" s="719">
        <f t="shared" si="1"/>
        <v>0.18132132779674751</v>
      </c>
    </row>
    <row r="82" spans="1:15" x14ac:dyDescent="0.25">
      <c r="A82" s="19"/>
      <c r="D82" s="775"/>
      <c r="E82" s="775"/>
      <c r="I82" s="805">
        <f>_AGO21v</f>
        <v>1785224.79</v>
      </c>
      <c r="J82" s="805">
        <f t="shared" si="0"/>
        <v>191825.89000000013</v>
      </c>
      <c r="K82" s="719">
        <f t="shared" si="1"/>
        <v>0.12038786395547289</v>
      </c>
    </row>
    <row r="83" spans="1:15" x14ac:dyDescent="0.25">
      <c r="A83" s="19"/>
      <c r="D83" s="775"/>
      <c r="E83" s="775"/>
      <c r="I83" s="805">
        <f ca="1">_SEP21v</f>
        <v>2060848.5899999999</v>
      </c>
      <c r="J83" s="805">
        <f t="shared" ca="1" si="0"/>
        <v>275623.79999999981</v>
      </c>
      <c r="K83" s="719">
        <f t="shared" ca="1" si="1"/>
        <v>0.15439164946841222</v>
      </c>
    </row>
    <row r="84" spans="1:15" x14ac:dyDescent="0.25">
      <c r="A84" s="19"/>
      <c r="D84" s="775"/>
      <c r="E84" s="775"/>
      <c r="I84" s="805">
        <f ca="1">_OCT21v</f>
        <v>2060848.5899999999</v>
      </c>
      <c r="J84" s="805">
        <f t="shared" ca="1" si="0"/>
        <v>0</v>
      </c>
      <c r="K84" s="719">
        <f t="shared" ca="1" si="1"/>
        <v>0</v>
      </c>
    </row>
    <row r="85" spans="1:15" x14ac:dyDescent="0.25">
      <c r="A85" s="19"/>
      <c r="D85" s="775"/>
      <c r="E85" s="775"/>
      <c r="I85" s="805">
        <f ca="1">_NOV21v</f>
        <v>2060848.5899999999</v>
      </c>
      <c r="J85" s="805">
        <f ca="1">+I85-I84</f>
        <v>0</v>
      </c>
      <c r="K85" s="719">
        <f ca="1">(+J85*100/I84)/100</f>
        <v>0</v>
      </c>
    </row>
    <row r="86" spans="1:15" x14ac:dyDescent="0.25">
      <c r="A86" s="19"/>
      <c r="D86" s="775"/>
      <c r="E86" s="775"/>
      <c r="I86" s="805">
        <f ca="1">_DIC21v</f>
        <v>2060848.5899999999</v>
      </c>
      <c r="J86" s="805">
        <f ca="1">+I86-I85</f>
        <v>0</v>
      </c>
      <c r="K86" s="719">
        <f ca="1">(+J86*100/I85)/100</f>
        <v>0</v>
      </c>
    </row>
    <row r="87" spans="1:15" x14ac:dyDescent="0.25">
      <c r="A87" s="19"/>
      <c r="D87" s="775"/>
      <c r="E87" s="775"/>
      <c r="I87" s="805"/>
      <c r="J87" s="805">
        <f ca="1">SUM(J75:J86)</f>
        <v>1075181.4499999997</v>
      </c>
      <c r="K87" s="719">
        <f ca="1">SUM(K75:K86)</f>
        <v>0.87039798583348693</v>
      </c>
      <c r="L87" s="28"/>
    </row>
    <row r="88" spans="1:15" x14ac:dyDescent="0.25">
      <c r="A88" s="19"/>
      <c r="D88" s="775"/>
      <c r="E88" s="775"/>
      <c r="G88" s="794"/>
      <c r="I88" s="805" t="s">
        <v>944</v>
      </c>
      <c r="J88" s="805">
        <f>SUM(D4:D68)-SUM(E4:E68)</f>
        <v>742820</v>
      </c>
      <c r="K88" s="719"/>
      <c r="M88" s="746"/>
    </row>
    <row r="89" spans="1:15" x14ac:dyDescent="0.25">
      <c r="A89" s="92"/>
      <c r="F89" s="786"/>
      <c r="G89" s="794"/>
      <c r="I89" s="805" t="s">
        <v>945</v>
      </c>
      <c r="J89" s="805">
        <f ca="1">+J87-J88</f>
        <v>332361.44999999972</v>
      </c>
      <c r="K89" s="719"/>
      <c r="L89" s="32"/>
      <c r="M89" s="33"/>
      <c r="N89" s="33"/>
    </row>
    <row r="90" spans="1:15" x14ac:dyDescent="0.25">
      <c r="A90" s="92"/>
      <c r="F90" s="786"/>
      <c r="G90" s="794"/>
      <c r="H90" s="30"/>
      <c r="I90" s="808"/>
      <c r="J90" s="815"/>
      <c r="K90" s="701"/>
      <c r="L90" s="33"/>
      <c r="M90" s="33"/>
      <c r="N90" s="33"/>
    </row>
    <row r="91" spans="1:15" x14ac:dyDescent="0.25">
      <c r="A91" s="92"/>
      <c r="D91" s="775"/>
      <c r="E91" s="775"/>
      <c r="F91" s="786"/>
      <c r="G91" s="795"/>
      <c r="H91" s="34"/>
      <c r="I91" s="808"/>
      <c r="J91" s="800"/>
      <c r="K91" s="701"/>
      <c r="L91" s="33"/>
      <c r="M91" s="33"/>
      <c r="N91" s="33"/>
    </row>
    <row r="92" spans="1:15" x14ac:dyDescent="0.25">
      <c r="A92" s="92"/>
      <c r="F92" s="786"/>
      <c r="G92" s="795"/>
      <c r="H92" s="34"/>
      <c r="I92" s="800"/>
      <c r="J92" s="800"/>
    </row>
    <row r="93" spans="1:15" x14ac:dyDescent="0.25">
      <c r="A93" s="92"/>
      <c r="F93" s="786"/>
      <c r="G93" s="795"/>
      <c r="H93" s="93"/>
      <c r="I93" s="809"/>
      <c r="J93" s="809"/>
      <c r="L93" s="746"/>
      <c r="M93" s="746"/>
      <c r="O93" s="746"/>
    </row>
    <row r="94" spans="1:15" x14ac:dyDescent="0.25">
      <c r="A94" s="92"/>
      <c r="F94" s="786"/>
      <c r="G94" s="795"/>
      <c r="H94" s="93"/>
      <c r="I94" s="809"/>
      <c r="J94" s="809"/>
      <c r="L94" s="746"/>
      <c r="M94" s="746"/>
      <c r="O94" s="746"/>
    </row>
    <row r="95" spans="1:15" x14ac:dyDescent="0.25">
      <c r="A95" s="92"/>
      <c r="F95" s="786"/>
      <c r="G95" s="795"/>
      <c r="H95" s="93"/>
      <c r="I95" s="809"/>
      <c r="J95" s="809"/>
      <c r="L95" s="746"/>
      <c r="M95" s="746"/>
      <c r="O95" s="746"/>
    </row>
    <row r="96" spans="1:15" x14ac:dyDescent="0.25">
      <c r="A96" s="92"/>
      <c r="F96" s="786"/>
      <c r="G96" s="795"/>
      <c r="H96" s="93"/>
      <c r="I96" s="809"/>
      <c r="J96" s="809"/>
      <c r="L96" s="746"/>
      <c r="M96" s="746"/>
      <c r="O96" s="746"/>
    </row>
    <row r="97" spans="1:10" x14ac:dyDescent="0.25">
      <c r="A97" s="92"/>
      <c r="F97" s="786"/>
      <c r="G97" s="795"/>
      <c r="H97" s="93"/>
      <c r="I97" s="809"/>
      <c r="J97" s="809"/>
    </row>
    <row r="98" spans="1:10" x14ac:dyDescent="0.25">
      <c r="A98" s="92"/>
      <c r="F98" s="786"/>
      <c r="G98" s="795"/>
      <c r="H98" s="93"/>
      <c r="I98" s="810"/>
      <c r="J98" s="810"/>
    </row>
    <row r="99" spans="1:10" x14ac:dyDescent="0.25">
      <c r="A99" s="92"/>
      <c r="F99" s="786"/>
      <c r="G99" s="795"/>
      <c r="H99" s="93"/>
      <c r="I99" s="810"/>
      <c r="J99" s="810"/>
    </row>
    <row r="100" spans="1:10" x14ac:dyDescent="0.25">
      <c r="A100" s="92"/>
      <c r="F100" s="786"/>
      <c r="G100" s="795"/>
      <c r="H100" s="93"/>
      <c r="I100" s="810"/>
      <c r="J100" s="810"/>
    </row>
    <row r="101" spans="1:10" x14ac:dyDescent="0.25">
      <c r="A101" s="92"/>
      <c r="F101" s="786"/>
      <c r="G101" s="795"/>
      <c r="H101" s="93"/>
      <c r="I101" s="810"/>
      <c r="J101" s="810"/>
    </row>
    <row r="102" spans="1:10" x14ac:dyDescent="0.25">
      <c r="A102" s="92"/>
      <c r="F102" s="786"/>
      <c r="G102" s="795"/>
      <c r="H102" s="93"/>
      <c r="I102" s="810"/>
      <c r="J102" s="810"/>
    </row>
    <row r="103" spans="1:10" x14ac:dyDescent="0.25">
      <c r="A103" s="92"/>
      <c r="F103" s="786"/>
      <c r="G103" s="795"/>
      <c r="H103" s="93"/>
      <c r="I103" s="810"/>
      <c r="J103" s="810"/>
    </row>
    <row r="104" spans="1:10" x14ac:dyDescent="0.25">
      <c r="A104" s="92"/>
      <c r="F104" s="786"/>
      <c r="G104" s="795"/>
      <c r="H104" s="93"/>
      <c r="I104" s="810"/>
      <c r="J104" s="810"/>
    </row>
    <row r="105" spans="1:10" x14ac:dyDescent="0.25">
      <c r="A105" s="92"/>
      <c r="F105" s="786"/>
      <c r="G105" s="795"/>
      <c r="H105" s="93"/>
      <c r="I105" s="810"/>
      <c r="J105" s="810"/>
    </row>
    <row r="106" spans="1:10" x14ac:dyDescent="0.25">
      <c r="A106" s="92"/>
      <c r="F106" s="786"/>
      <c r="G106" s="795"/>
      <c r="H106" s="93"/>
      <c r="I106" s="810"/>
      <c r="J106" s="810"/>
    </row>
    <row r="107" spans="1:10" x14ac:dyDescent="0.25">
      <c r="A107" s="92"/>
      <c r="F107" s="786"/>
      <c r="G107" s="795"/>
      <c r="H107" s="93"/>
      <c r="I107" s="810"/>
      <c r="J107" s="810"/>
    </row>
    <row r="108" spans="1:10" x14ac:dyDescent="0.25">
      <c r="A108" s="92"/>
      <c r="F108" s="786"/>
      <c r="G108" s="795"/>
      <c r="H108" s="93"/>
      <c r="I108" s="810"/>
      <c r="J108" s="810"/>
    </row>
    <row r="109" spans="1:10" x14ac:dyDescent="0.25">
      <c r="A109" s="92"/>
      <c r="F109" s="786"/>
      <c r="G109" s="795"/>
      <c r="H109" s="93"/>
      <c r="I109" s="810"/>
      <c r="J109" s="810"/>
    </row>
    <row r="110" spans="1:10" x14ac:dyDescent="0.25">
      <c r="A110" s="92"/>
      <c r="F110" s="786"/>
      <c r="G110" s="795"/>
      <c r="H110" s="93"/>
      <c r="I110" s="810"/>
      <c r="J110" s="810"/>
    </row>
    <row r="111" spans="1:10" x14ac:dyDescent="0.25">
      <c r="A111" s="92"/>
      <c r="B111" s="391" t="s">
        <v>32</v>
      </c>
      <c r="C111" s="391" t="s">
        <v>33</v>
      </c>
      <c r="F111" s="786"/>
      <c r="G111" s="795"/>
      <c r="H111" s="93"/>
      <c r="I111" s="810"/>
      <c r="J111" s="810"/>
    </row>
    <row r="112" spans="1:10" x14ac:dyDescent="0.25">
      <c r="A112" s="92"/>
      <c r="B112" s="391">
        <f>SUM(D4:D89)</f>
        <v>2652660</v>
      </c>
      <c r="C112" s="391">
        <f>SUM(E4:E89)</f>
        <v>1909840</v>
      </c>
      <c r="F112" s="786"/>
      <c r="G112" s="795"/>
      <c r="H112" s="93"/>
      <c r="I112" s="810"/>
      <c r="J112" s="810"/>
    </row>
    <row r="113" spans="1:10" x14ac:dyDescent="0.25">
      <c r="A113" s="92"/>
      <c r="B113" s="530">
        <f>+B112-C112</f>
        <v>742820</v>
      </c>
      <c r="F113" s="786"/>
      <c r="G113" s="795"/>
      <c r="H113" s="93"/>
      <c r="I113" s="810"/>
      <c r="J113" s="810"/>
    </row>
    <row r="114" spans="1:10" x14ac:dyDescent="0.25">
      <c r="A114" s="92"/>
      <c r="F114" s="786"/>
      <c r="G114" s="795"/>
      <c r="H114" s="93"/>
      <c r="I114" s="810"/>
      <c r="J114" s="810"/>
    </row>
    <row r="115" spans="1:10" x14ac:dyDescent="0.25">
      <c r="A115" s="92"/>
      <c r="F115" s="786"/>
      <c r="G115" s="795"/>
      <c r="H115" s="93"/>
      <c r="I115" s="810"/>
      <c r="J115" s="810"/>
    </row>
    <row r="116" spans="1:10" x14ac:dyDescent="0.25">
      <c r="A116" s="92"/>
      <c r="F116" s="786"/>
      <c r="G116" s="795"/>
      <c r="H116" s="93"/>
      <c r="I116" s="810"/>
      <c r="J116" s="810"/>
    </row>
    <row r="117" spans="1:10" x14ac:dyDescent="0.25">
      <c r="A117" s="92"/>
      <c r="F117" s="786"/>
      <c r="G117" s="795"/>
      <c r="H117" s="93"/>
      <c r="I117" s="810"/>
      <c r="J117" s="810"/>
    </row>
    <row r="118" spans="1:10" x14ac:dyDescent="0.25">
      <c r="A118" s="92"/>
      <c r="F118" s="786"/>
      <c r="G118" s="795"/>
      <c r="H118" s="93"/>
      <c r="I118" s="810"/>
      <c r="J118" s="810"/>
    </row>
    <row r="119" spans="1:10" x14ac:dyDescent="0.25">
      <c r="A119" s="92"/>
      <c r="F119" s="786"/>
      <c r="G119" s="795"/>
      <c r="H119" s="93"/>
      <c r="I119" s="810"/>
      <c r="J119" s="810"/>
    </row>
    <row r="120" spans="1:10" x14ac:dyDescent="0.25">
      <c r="A120" s="92"/>
      <c r="F120" s="786"/>
      <c r="G120" s="795"/>
      <c r="H120" s="93"/>
      <c r="I120" s="810"/>
      <c r="J120" s="810"/>
    </row>
    <row r="121" spans="1:10" x14ac:dyDescent="0.25">
      <c r="A121" s="92"/>
      <c r="F121" s="786"/>
      <c r="G121" s="795"/>
      <c r="H121" s="93"/>
      <c r="I121" s="810"/>
      <c r="J121" s="810"/>
    </row>
    <row r="122" spans="1:10" x14ac:dyDescent="0.25">
      <c r="A122" s="92"/>
      <c r="F122" s="786"/>
      <c r="G122" s="795"/>
      <c r="H122" s="93"/>
      <c r="I122" s="810"/>
      <c r="J122" s="810"/>
    </row>
    <row r="123" spans="1:10" x14ac:dyDescent="0.25">
      <c r="A123" s="92"/>
      <c r="F123" s="786"/>
      <c r="G123" s="795"/>
      <c r="H123" s="93"/>
      <c r="I123" s="810"/>
      <c r="J123" s="810"/>
    </row>
    <row r="124" spans="1:10" x14ac:dyDescent="0.25">
      <c r="A124" s="92"/>
      <c r="F124" s="786"/>
      <c r="G124" s="795"/>
      <c r="H124" s="93"/>
      <c r="I124" s="810"/>
      <c r="J124" s="810"/>
    </row>
    <row r="125" spans="1:10" x14ac:dyDescent="0.25">
      <c r="A125" s="92"/>
      <c r="F125" s="786"/>
      <c r="G125" s="795"/>
      <c r="H125" s="93"/>
      <c r="I125" s="810"/>
      <c r="J125" s="810"/>
    </row>
    <row r="126" spans="1:10" x14ac:dyDescent="0.25">
      <c r="A126" s="92"/>
      <c r="F126" s="786"/>
      <c r="G126" s="795"/>
      <c r="H126" s="93"/>
      <c r="I126" s="810"/>
      <c r="J126" s="810"/>
    </row>
    <row r="127" spans="1:10" x14ac:dyDescent="0.25">
      <c r="A127" s="92"/>
      <c r="F127" s="786"/>
      <c r="G127" s="795"/>
      <c r="H127" s="93"/>
      <c r="I127" s="810"/>
      <c r="J127" s="810"/>
    </row>
    <row r="128" spans="1:10" x14ac:dyDescent="0.25">
      <c r="A128" s="92"/>
      <c r="F128" s="786"/>
      <c r="G128" s="795"/>
      <c r="H128" s="93"/>
      <c r="I128" s="810"/>
      <c r="J128" s="810"/>
    </row>
    <row r="129" spans="1:10" x14ac:dyDescent="0.25">
      <c r="A129" s="92"/>
      <c r="F129" s="786"/>
      <c r="G129" s="795"/>
      <c r="H129" s="93"/>
      <c r="I129" s="810"/>
      <c r="J129" s="810"/>
    </row>
    <row r="130" spans="1:10" x14ac:dyDescent="0.25">
      <c r="A130" s="92"/>
      <c r="F130" s="786"/>
      <c r="G130" s="795"/>
      <c r="H130" s="93"/>
      <c r="I130" s="810"/>
      <c r="J130" s="810"/>
    </row>
    <row r="131" spans="1:10" x14ac:dyDescent="0.25">
      <c r="A131" s="92"/>
      <c r="F131" s="786"/>
      <c r="G131" s="795"/>
      <c r="H131" s="93"/>
      <c r="I131" s="810"/>
      <c r="J131" s="810"/>
    </row>
    <row r="132" spans="1:10" x14ac:dyDescent="0.25">
      <c r="A132" s="92"/>
      <c r="F132" s="786"/>
      <c r="G132" s="795"/>
      <c r="H132" s="93"/>
      <c r="I132" s="810"/>
      <c r="J132" s="810"/>
    </row>
    <row r="133" spans="1:10" x14ac:dyDescent="0.25">
      <c r="A133" s="92"/>
      <c r="F133" s="786"/>
      <c r="G133" s="795"/>
      <c r="H133" s="93"/>
      <c r="I133" s="810"/>
      <c r="J133" s="810"/>
    </row>
    <row r="134" spans="1:10" x14ac:dyDescent="0.25">
      <c r="A134" s="92"/>
      <c r="F134" s="786"/>
      <c r="G134" s="795"/>
      <c r="H134" s="93"/>
      <c r="I134" s="810"/>
      <c r="J134" s="810"/>
    </row>
    <row r="135" spans="1:10" x14ac:dyDescent="0.25">
      <c r="A135" s="92"/>
      <c r="F135" s="786"/>
      <c r="G135" s="795"/>
      <c r="H135" s="93"/>
      <c r="I135" s="810"/>
      <c r="J135" s="810"/>
    </row>
    <row r="136" spans="1:10" x14ac:dyDescent="0.25">
      <c r="A136" s="92"/>
      <c r="F136" s="786"/>
      <c r="G136" s="795"/>
      <c r="H136" s="93"/>
      <c r="I136" s="810"/>
      <c r="J136" s="810"/>
    </row>
    <row r="137" spans="1:10" x14ac:dyDescent="0.25">
      <c r="A137" s="92"/>
      <c r="F137" s="786"/>
      <c r="G137" s="795"/>
      <c r="H137" s="93"/>
      <c r="I137" s="810"/>
      <c r="J137" s="810"/>
    </row>
    <row r="138" spans="1:10" x14ac:dyDescent="0.25">
      <c r="A138" s="92"/>
      <c r="F138" s="786"/>
      <c r="G138" s="795"/>
      <c r="H138" s="93"/>
      <c r="I138" s="810"/>
      <c r="J138" s="810"/>
    </row>
    <row r="139" spans="1:10" x14ac:dyDescent="0.25">
      <c r="A139" s="92"/>
      <c r="F139" s="786"/>
      <c r="G139" s="795"/>
      <c r="H139" s="93"/>
      <c r="I139" s="810"/>
      <c r="J139" s="810"/>
    </row>
    <row r="140" spans="1:10" x14ac:dyDescent="0.25">
      <c r="A140" s="92"/>
      <c r="F140" s="786"/>
      <c r="G140" s="795"/>
      <c r="H140" s="93"/>
      <c r="I140" s="810"/>
      <c r="J140" s="810"/>
    </row>
    <row r="141" spans="1:10" x14ac:dyDescent="0.25">
      <c r="A141" s="92"/>
      <c r="F141" s="786"/>
      <c r="G141" s="795"/>
      <c r="H141" s="93"/>
      <c r="I141" s="810"/>
      <c r="J141" s="810"/>
    </row>
    <row r="142" spans="1:10" x14ac:dyDescent="0.25">
      <c r="A142" s="92"/>
      <c r="F142" s="786"/>
      <c r="G142" s="795"/>
      <c r="H142" s="93"/>
      <c r="I142" s="810"/>
      <c r="J142" s="810"/>
    </row>
    <row r="143" spans="1:10" x14ac:dyDescent="0.25">
      <c r="A143" s="92"/>
      <c r="F143" s="786"/>
      <c r="G143" s="795"/>
      <c r="H143" s="93"/>
      <c r="I143" s="810"/>
      <c r="J143" s="810"/>
    </row>
    <row r="144" spans="1:10" x14ac:dyDescent="0.25">
      <c r="A144" s="92"/>
      <c r="F144" s="786"/>
      <c r="G144" s="795"/>
      <c r="H144" s="93"/>
      <c r="I144" s="810"/>
      <c r="J144" s="810"/>
    </row>
    <row r="145" spans="1:10" x14ac:dyDescent="0.25">
      <c r="A145" s="92"/>
      <c r="F145" s="786"/>
      <c r="G145" s="795"/>
      <c r="H145" s="93"/>
      <c r="I145" s="810"/>
      <c r="J145" s="810"/>
    </row>
    <row r="146" spans="1:10" x14ac:dyDescent="0.25">
      <c r="A146" s="92"/>
      <c r="F146" s="786"/>
      <c r="G146" s="795"/>
      <c r="H146" s="93"/>
      <c r="I146" s="810"/>
      <c r="J146" s="810"/>
    </row>
    <row r="147" spans="1:10" x14ac:dyDescent="0.25">
      <c r="A147" s="92"/>
      <c r="F147" s="786"/>
      <c r="G147" s="795"/>
      <c r="H147" s="93"/>
      <c r="I147" s="810"/>
      <c r="J147" s="810"/>
    </row>
    <row r="148" spans="1:10" x14ac:dyDescent="0.25">
      <c r="A148" s="92"/>
      <c r="F148" s="786"/>
      <c r="G148" s="795"/>
      <c r="H148" s="93"/>
      <c r="I148" s="810"/>
      <c r="J148" s="810"/>
    </row>
    <row r="149" spans="1:10" x14ac:dyDescent="0.25">
      <c r="A149" s="92"/>
      <c r="F149" s="786"/>
      <c r="G149" s="795"/>
      <c r="H149" s="93"/>
      <c r="I149" s="810"/>
      <c r="J149" s="810"/>
    </row>
    <row r="150" spans="1:10" x14ac:dyDescent="0.25">
      <c r="A150" s="92"/>
      <c r="F150" s="786"/>
      <c r="G150" s="795"/>
      <c r="H150" s="93"/>
      <c r="I150" s="810"/>
      <c r="J150" s="810"/>
    </row>
    <row r="151" spans="1:10" x14ac:dyDescent="0.25">
      <c r="A151" s="92"/>
      <c r="F151" s="786"/>
      <c r="G151" s="795"/>
      <c r="H151" s="93"/>
      <c r="I151" s="810"/>
      <c r="J151" s="810"/>
    </row>
    <row r="152" spans="1:10" x14ac:dyDescent="0.25">
      <c r="A152" s="92"/>
      <c r="F152" s="786"/>
      <c r="G152" s="795"/>
      <c r="H152" s="93"/>
      <c r="I152" s="810"/>
      <c r="J152" s="810"/>
    </row>
    <row r="153" spans="1:10" x14ac:dyDescent="0.25">
      <c r="A153" s="92"/>
      <c r="F153" s="786"/>
      <c r="G153" s="795"/>
      <c r="H153" s="93"/>
      <c r="I153" s="810"/>
      <c r="J153" s="810"/>
    </row>
    <row r="154" spans="1:10" x14ac:dyDescent="0.25">
      <c r="A154" s="92"/>
      <c r="F154" s="786"/>
      <c r="G154" s="795"/>
      <c r="H154" s="93"/>
      <c r="I154" s="810"/>
      <c r="J154" s="810"/>
    </row>
    <row r="155" spans="1:10" x14ac:dyDescent="0.25">
      <c r="A155" s="92"/>
      <c r="F155" s="786"/>
      <c r="G155" s="795"/>
      <c r="H155" s="93"/>
      <c r="I155" s="810"/>
      <c r="J155" s="810"/>
    </row>
    <row r="156" spans="1:10" x14ac:dyDescent="0.25">
      <c r="A156" s="92"/>
      <c r="F156" s="786"/>
      <c r="G156" s="795"/>
      <c r="H156" s="93"/>
      <c r="I156" s="810"/>
      <c r="J156" s="810"/>
    </row>
    <row r="157" spans="1:10" x14ac:dyDescent="0.25">
      <c r="A157" s="92"/>
      <c r="F157" s="786"/>
      <c r="G157" s="795"/>
      <c r="H157" s="93"/>
      <c r="I157" s="810"/>
      <c r="J157" s="810"/>
    </row>
    <row r="158" spans="1:10" x14ac:dyDescent="0.25">
      <c r="A158" s="92"/>
      <c r="F158" s="786"/>
      <c r="G158" s="795"/>
      <c r="H158" s="93"/>
      <c r="I158" s="810"/>
      <c r="J158" s="810"/>
    </row>
    <row r="159" spans="1:10" x14ac:dyDescent="0.25">
      <c r="A159" s="92"/>
      <c r="F159" s="786"/>
      <c r="G159" s="795"/>
      <c r="H159" s="93"/>
      <c r="I159" s="810"/>
      <c r="J159" s="810"/>
    </row>
    <row r="160" spans="1:10" x14ac:dyDescent="0.25">
      <c r="A160" s="92"/>
      <c r="F160" s="786"/>
      <c r="G160" s="795"/>
      <c r="H160" s="93"/>
      <c r="I160" s="810"/>
      <c r="J160" s="810"/>
    </row>
    <row r="161" spans="1:10" x14ac:dyDescent="0.25">
      <c r="A161" s="92"/>
      <c r="F161" s="786"/>
      <c r="G161" s="795"/>
      <c r="H161" s="93"/>
      <c r="I161" s="810"/>
      <c r="J161" s="810"/>
    </row>
    <row r="162" spans="1:10" x14ac:dyDescent="0.25">
      <c r="A162" s="92"/>
      <c r="F162" s="786"/>
      <c r="G162" s="795"/>
      <c r="H162" s="93"/>
      <c r="I162" s="810"/>
      <c r="J162" s="810"/>
    </row>
    <row r="163" spans="1:10" x14ac:dyDescent="0.25">
      <c r="A163" s="92"/>
      <c r="F163" s="786"/>
      <c r="G163" s="795"/>
      <c r="H163" s="93"/>
      <c r="I163" s="810"/>
      <c r="J163" s="810"/>
    </row>
    <row r="164" spans="1:10" x14ac:dyDescent="0.25">
      <c r="A164" s="92"/>
      <c r="F164" s="786"/>
      <c r="G164" s="795"/>
      <c r="H164" s="93"/>
      <c r="I164" s="810"/>
      <c r="J164" s="810"/>
    </row>
    <row r="165" spans="1:10" x14ac:dyDescent="0.25">
      <c r="A165" s="92"/>
      <c r="F165" s="786"/>
      <c r="G165" s="795"/>
      <c r="H165" s="93"/>
      <c r="I165" s="810"/>
      <c r="J165" s="810"/>
    </row>
    <row r="166" spans="1:10" x14ac:dyDescent="0.25">
      <c r="A166" s="92"/>
      <c r="F166" s="786"/>
      <c r="G166" s="795"/>
      <c r="H166" s="93"/>
      <c r="I166" s="810"/>
      <c r="J166" s="810"/>
    </row>
    <row r="167" spans="1:10" x14ac:dyDescent="0.25">
      <c r="A167" s="92"/>
      <c r="F167" s="786"/>
      <c r="G167" s="795"/>
      <c r="H167" s="93"/>
      <c r="I167" s="810"/>
      <c r="J167" s="810"/>
    </row>
    <row r="168" spans="1:10" x14ac:dyDescent="0.25">
      <c r="A168" s="92"/>
      <c r="F168" s="786"/>
      <c r="G168" s="795"/>
      <c r="H168" s="93"/>
      <c r="I168" s="810"/>
      <c r="J168" s="810"/>
    </row>
    <row r="169" spans="1:10" x14ac:dyDescent="0.25">
      <c r="A169" s="92"/>
      <c r="F169" s="786"/>
      <c r="G169" s="795"/>
      <c r="H169" s="93"/>
      <c r="I169" s="810"/>
      <c r="J169" s="810"/>
    </row>
    <row r="170" spans="1:10" x14ac:dyDescent="0.25">
      <c r="A170" s="92"/>
      <c r="F170" s="786"/>
      <c r="G170" s="795"/>
      <c r="H170" s="93"/>
      <c r="I170" s="810"/>
      <c r="J170" s="810"/>
    </row>
    <row r="171" spans="1:10" x14ac:dyDescent="0.25">
      <c r="A171" s="92"/>
      <c r="F171" s="786"/>
      <c r="G171" s="795"/>
      <c r="H171" s="93"/>
      <c r="I171" s="810"/>
      <c r="J171" s="810"/>
    </row>
    <row r="172" spans="1:10" x14ac:dyDescent="0.25">
      <c r="A172" s="92"/>
      <c r="F172" s="786"/>
      <c r="G172" s="795"/>
      <c r="H172" s="93"/>
      <c r="I172" s="810"/>
      <c r="J172" s="810"/>
    </row>
    <row r="173" spans="1:10" x14ac:dyDescent="0.25">
      <c r="A173" s="92"/>
      <c r="F173" s="786"/>
      <c r="G173" s="795"/>
      <c r="H173" s="93"/>
      <c r="I173" s="810"/>
      <c r="J173" s="810"/>
    </row>
    <row r="174" spans="1:10" x14ac:dyDescent="0.25">
      <c r="A174" s="92"/>
      <c r="F174" s="786"/>
      <c r="G174" s="795"/>
      <c r="H174" s="93"/>
      <c r="I174" s="810"/>
      <c r="J174" s="810"/>
    </row>
    <row r="175" spans="1:10" x14ac:dyDescent="0.25">
      <c r="A175" s="92"/>
      <c r="F175" s="786"/>
      <c r="G175" s="795"/>
      <c r="H175" s="93"/>
      <c r="I175" s="810"/>
      <c r="J175" s="810"/>
    </row>
    <row r="176" spans="1:10" x14ac:dyDescent="0.25">
      <c r="A176" s="92"/>
      <c r="F176" s="786"/>
      <c r="G176" s="795"/>
      <c r="H176" s="93"/>
      <c r="I176" s="810"/>
      <c r="J176" s="810"/>
    </row>
    <row r="177" spans="1:10" x14ac:dyDescent="0.25">
      <c r="A177" s="92"/>
      <c r="F177" s="786"/>
      <c r="G177" s="795"/>
      <c r="H177" s="93"/>
      <c r="I177" s="810"/>
      <c r="J177" s="810"/>
    </row>
    <row r="178" spans="1:10" x14ac:dyDescent="0.25">
      <c r="A178" s="92"/>
      <c r="F178" s="786"/>
      <c r="G178" s="795"/>
      <c r="H178" s="93"/>
      <c r="I178" s="810"/>
      <c r="J178" s="810"/>
    </row>
    <row r="179" spans="1:10" x14ac:dyDescent="0.25">
      <c r="A179" s="92"/>
      <c r="F179" s="786"/>
      <c r="G179" s="795"/>
      <c r="H179" s="93"/>
      <c r="I179" s="810"/>
      <c r="J179" s="810"/>
    </row>
    <row r="180" spans="1:10" x14ac:dyDescent="0.25">
      <c r="A180" s="92"/>
      <c r="F180" s="786"/>
      <c r="G180" s="795"/>
      <c r="H180" s="93"/>
      <c r="I180" s="810"/>
      <c r="J180" s="810"/>
    </row>
    <row r="181" spans="1:10" x14ac:dyDescent="0.25">
      <c r="A181" s="92"/>
      <c r="F181" s="786"/>
      <c r="G181" s="795"/>
      <c r="H181" s="93"/>
      <c r="I181" s="810"/>
      <c r="J181" s="810"/>
    </row>
    <row r="182" spans="1:10" x14ac:dyDescent="0.25">
      <c r="A182" s="92"/>
      <c r="F182" s="786"/>
      <c r="G182" s="795"/>
      <c r="H182" s="93"/>
      <c r="I182" s="810"/>
      <c r="J182" s="810"/>
    </row>
    <row r="183" spans="1:10" x14ac:dyDescent="0.25">
      <c r="A183" s="92"/>
      <c r="F183" s="786"/>
      <c r="G183" s="795"/>
      <c r="H183" s="93"/>
      <c r="I183" s="810"/>
      <c r="J183" s="810"/>
    </row>
    <row r="184" spans="1:10" x14ac:dyDescent="0.25">
      <c r="A184" s="92"/>
      <c r="F184" s="786"/>
      <c r="G184" s="795"/>
      <c r="H184" s="93"/>
      <c r="I184" s="810"/>
      <c r="J184" s="810"/>
    </row>
    <row r="185" spans="1:10" x14ac:dyDescent="0.25">
      <c r="A185" s="92"/>
      <c r="F185" s="786"/>
      <c r="G185" s="795"/>
      <c r="H185" s="93"/>
      <c r="I185" s="810"/>
      <c r="J185" s="810"/>
    </row>
    <row r="186" spans="1:10" x14ac:dyDescent="0.25">
      <c r="A186" s="92"/>
      <c r="F186" s="786"/>
      <c r="G186" s="795"/>
      <c r="H186" s="93"/>
      <c r="I186" s="810"/>
      <c r="J186" s="810"/>
    </row>
    <row r="187" spans="1:10" x14ac:dyDescent="0.25">
      <c r="A187" s="92"/>
      <c r="F187" s="786"/>
      <c r="G187" s="795"/>
      <c r="H187" s="93"/>
      <c r="I187" s="810"/>
      <c r="J187" s="810"/>
    </row>
    <row r="188" spans="1:10" x14ac:dyDescent="0.25">
      <c r="A188" s="92"/>
      <c r="F188" s="786"/>
      <c r="G188" s="795"/>
      <c r="H188" s="93"/>
      <c r="I188" s="810"/>
      <c r="J188" s="810"/>
    </row>
    <row r="189" spans="1:10" x14ac:dyDescent="0.25">
      <c r="A189" s="92"/>
      <c r="F189" s="786"/>
      <c r="G189" s="795"/>
      <c r="H189" s="93"/>
      <c r="I189" s="810"/>
      <c r="J189" s="810"/>
    </row>
    <row r="190" spans="1:10" x14ac:dyDescent="0.25">
      <c r="A190" s="92"/>
      <c r="F190" s="786"/>
      <c r="G190" s="795"/>
      <c r="H190" s="93"/>
      <c r="I190" s="810"/>
      <c r="J190" s="810"/>
    </row>
    <row r="191" spans="1:10" x14ac:dyDescent="0.25">
      <c r="A191" s="92"/>
      <c r="F191" s="786"/>
      <c r="G191" s="795"/>
      <c r="H191" s="93"/>
      <c r="I191" s="810"/>
      <c r="J191" s="810"/>
    </row>
    <row r="192" spans="1:10" x14ac:dyDescent="0.25">
      <c r="A192" s="92"/>
      <c r="F192" s="786"/>
      <c r="G192" s="795"/>
      <c r="H192" s="93"/>
      <c r="I192" s="810"/>
      <c r="J192" s="810"/>
    </row>
    <row r="193" spans="1:10" x14ac:dyDescent="0.25">
      <c r="A193" s="92"/>
      <c r="F193" s="786"/>
      <c r="G193" s="795"/>
      <c r="H193" s="93"/>
      <c r="I193" s="810"/>
      <c r="J193" s="810"/>
    </row>
    <row r="194" spans="1:10" x14ac:dyDescent="0.25">
      <c r="A194" s="92"/>
      <c r="F194" s="786"/>
      <c r="G194" s="795"/>
      <c r="H194" s="93"/>
      <c r="I194" s="810"/>
      <c r="J194" s="810"/>
    </row>
    <row r="195" spans="1:10" x14ac:dyDescent="0.25">
      <c r="A195" s="92"/>
      <c r="F195" s="786"/>
      <c r="G195" s="795"/>
      <c r="H195" s="93"/>
      <c r="I195" s="810"/>
      <c r="J195" s="810"/>
    </row>
    <row r="196" spans="1:10" x14ac:dyDescent="0.25">
      <c r="A196" s="92"/>
      <c r="F196" s="786"/>
      <c r="G196" s="795"/>
      <c r="H196" s="93"/>
      <c r="I196" s="810"/>
      <c r="J196" s="810"/>
    </row>
    <row r="197" spans="1:10" x14ac:dyDescent="0.25">
      <c r="A197" s="92"/>
      <c r="F197" s="786"/>
      <c r="G197" s="795"/>
      <c r="H197" s="93"/>
      <c r="I197" s="810"/>
      <c r="J197" s="810"/>
    </row>
    <row r="198" spans="1:10" x14ac:dyDescent="0.25">
      <c r="A198" s="92"/>
      <c r="F198" s="786"/>
      <c r="G198" s="795"/>
      <c r="H198" s="93"/>
      <c r="I198" s="810"/>
      <c r="J198" s="810"/>
    </row>
    <row r="199" spans="1:10" x14ac:dyDescent="0.25">
      <c r="A199" s="92"/>
      <c r="F199" s="786"/>
      <c r="G199" s="795"/>
      <c r="H199" s="93"/>
      <c r="I199" s="810"/>
      <c r="J199" s="810"/>
    </row>
    <row r="200" spans="1:10" x14ac:dyDescent="0.25">
      <c r="A200" s="92"/>
      <c r="F200" s="786"/>
      <c r="G200" s="795"/>
      <c r="H200" s="93"/>
      <c r="I200" s="810"/>
      <c r="J200" s="810"/>
    </row>
    <row r="201" spans="1:10" x14ac:dyDescent="0.25">
      <c r="A201" s="92"/>
      <c r="F201" s="786"/>
      <c r="G201" s="795"/>
      <c r="H201" s="93"/>
      <c r="I201" s="810"/>
      <c r="J201" s="810"/>
    </row>
    <row r="202" spans="1:10" x14ac:dyDescent="0.25">
      <c r="A202" s="92"/>
      <c r="F202" s="786"/>
      <c r="G202" s="795"/>
      <c r="H202" s="93"/>
      <c r="I202" s="810"/>
      <c r="J202" s="810"/>
    </row>
    <row r="203" spans="1:10" x14ac:dyDescent="0.25">
      <c r="A203" s="92"/>
      <c r="F203" s="786"/>
      <c r="G203" s="795"/>
      <c r="H203" s="93"/>
      <c r="I203" s="810"/>
      <c r="J203" s="810"/>
    </row>
    <row r="204" spans="1:10" x14ac:dyDescent="0.25">
      <c r="A204" s="92"/>
      <c r="F204" s="786"/>
      <c r="G204" s="795"/>
      <c r="H204" s="93"/>
      <c r="I204" s="810"/>
      <c r="J204" s="810"/>
    </row>
    <row r="205" spans="1:10" x14ac:dyDescent="0.25">
      <c r="A205" s="92"/>
      <c r="F205" s="786"/>
      <c r="G205" s="795"/>
      <c r="H205" s="93"/>
      <c r="I205" s="810"/>
      <c r="J205" s="810"/>
    </row>
    <row r="206" spans="1:10" x14ac:dyDescent="0.25">
      <c r="A206" s="92"/>
      <c r="F206" s="786"/>
      <c r="G206" s="795"/>
      <c r="H206" s="93"/>
      <c r="I206" s="810"/>
      <c r="J206" s="810"/>
    </row>
    <row r="207" spans="1:10" x14ac:dyDescent="0.25">
      <c r="A207" s="92"/>
      <c r="F207" s="786"/>
      <c r="G207" s="795"/>
      <c r="H207" s="93"/>
      <c r="I207" s="810"/>
      <c r="J207" s="810"/>
    </row>
    <row r="208" spans="1:10" x14ac:dyDescent="0.25">
      <c r="A208" s="92"/>
      <c r="F208" s="786"/>
      <c r="G208" s="795"/>
      <c r="H208" s="93"/>
      <c r="I208" s="810"/>
      <c r="J208" s="810"/>
    </row>
    <row r="209" spans="1:10" x14ac:dyDescent="0.25">
      <c r="A209" s="92"/>
      <c r="F209" s="786"/>
      <c r="G209" s="795"/>
      <c r="H209" s="93"/>
      <c r="I209" s="810"/>
      <c r="J209" s="810"/>
    </row>
    <row r="210" spans="1:10" x14ac:dyDescent="0.25">
      <c r="A210" s="92"/>
      <c r="F210" s="786"/>
      <c r="G210" s="795"/>
      <c r="H210" s="93"/>
      <c r="I210" s="810"/>
      <c r="J210" s="810"/>
    </row>
    <row r="211" spans="1:10" x14ac:dyDescent="0.25">
      <c r="A211" s="92"/>
      <c r="F211" s="786"/>
      <c r="G211" s="795"/>
      <c r="H211" s="93"/>
      <c r="I211" s="810"/>
      <c r="J211" s="810"/>
    </row>
    <row r="212" spans="1:10" x14ac:dyDescent="0.25">
      <c r="A212" s="92"/>
      <c r="F212" s="786"/>
      <c r="G212" s="795"/>
      <c r="H212" s="93"/>
      <c r="I212" s="810"/>
      <c r="J212" s="810"/>
    </row>
    <row r="213" spans="1:10" x14ac:dyDescent="0.25">
      <c r="A213" s="92"/>
      <c r="F213" s="786"/>
      <c r="G213" s="795"/>
      <c r="H213" s="93"/>
      <c r="I213" s="810"/>
      <c r="J213" s="810"/>
    </row>
    <row r="214" spans="1:10" x14ac:dyDescent="0.25">
      <c r="A214" s="92"/>
      <c r="F214" s="786"/>
      <c r="G214" s="795"/>
      <c r="H214" s="93"/>
      <c r="I214" s="810"/>
      <c r="J214" s="810"/>
    </row>
    <row r="215" spans="1:10" x14ac:dyDescent="0.25">
      <c r="A215" s="92"/>
      <c r="F215" s="786"/>
      <c r="G215" s="795"/>
      <c r="H215" s="93"/>
      <c r="I215" s="810"/>
      <c r="J215" s="810"/>
    </row>
    <row r="216" spans="1:10" x14ac:dyDescent="0.25">
      <c r="A216" s="92"/>
      <c r="F216" s="786"/>
      <c r="G216" s="795"/>
      <c r="H216" s="93"/>
      <c r="I216" s="810"/>
      <c r="J216" s="810"/>
    </row>
    <row r="217" spans="1:10" x14ac:dyDescent="0.25">
      <c r="A217" s="92"/>
      <c r="F217" s="786"/>
      <c r="G217" s="795"/>
      <c r="H217" s="93"/>
      <c r="I217" s="810"/>
      <c r="J217" s="810"/>
    </row>
    <row r="218" spans="1:10" x14ac:dyDescent="0.25">
      <c r="A218" s="92"/>
      <c r="F218" s="786"/>
      <c r="G218" s="795"/>
      <c r="H218" s="93"/>
      <c r="I218" s="810"/>
      <c r="J218" s="810"/>
    </row>
    <row r="219" spans="1:10" x14ac:dyDescent="0.25">
      <c r="A219" s="92"/>
      <c r="F219" s="786"/>
      <c r="G219" s="795"/>
      <c r="H219" s="93"/>
      <c r="I219" s="810"/>
      <c r="J219" s="810"/>
    </row>
    <row r="220" spans="1:10" x14ac:dyDescent="0.25">
      <c r="A220" s="92"/>
      <c r="F220" s="786"/>
      <c r="G220" s="795"/>
      <c r="H220" s="93"/>
      <c r="I220" s="810"/>
      <c r="J220" s="810"/>
    </row>
    <row r="221" spans="1:10" x14ac:dyDescent="0.25">
      <c r="A221" s="92"/>
      <c r="F221" s="786"/>
      <c r="G221" s="795"/>
      <c r="H221" s="93"/>
      <c r="I221" s="810"/>
      <c r="J221" s="810"/>
    </row>
    <row r="222" spans="1:10" x14ac:dyDescent="0.25">
      <c r="A222" s="92"/>
      <c r="F222" s="786"/>
      <c r="G222" s="795"/>
      <c r="H222" s="93"/>
      <c r="I222" s="810"/>
      <c r="J222" s="810"/>
    </row>
    <row r="223" spans="1:10" x14ac:dyDescent="0.25">
      <c r="A223" s="92"/>
      <c r="F223" s="786"/>
      <c r="G223" s="795"/>
      <c r="H223" s="93"/>
      <c r="I223" s="810"/>
      <c r="J223" s="810"/>
    </row>
    <row r="224" spans="1:10" x14ac:dyDescent="0.25">
      <c r="A224" s="92"/>
      <c r="F224" s="786"/>
      <c r="G224" s="795"/>
      <c r="H224" s="93"/>
      <c r="I224" s="810"/>
      <c r="J224" s="810"/>
    </row>
    <row r="225" spans="1:10" x14ac:dyDescent="0.25">
      <c r="A225" s="92"/>
      <c r="F225" s="786"/>
      <c r="G225" s="795"/>
      <c r="H225" s="93"/>
      <c r="I225" s="810"/>
      <c r="J225" s="810"/>
    </row>
    <row r="226" spans="1:10" x14ac:dyDescent="0.25">
      <c r="A226" s="92"/>
      <c r="F226" s="786"/>
      <c r="G226" s="795"/>
      <c r="H226" s="93"/>
      <c r="I226" s="810"/>
      <c r="J226" s="810"/>
    </row>
    <row r="227" spans="1:10" x14ac:dyDescent="0.25">
      <c r="A227" s="92"/>
      <c r="F227" s="786"/>
      <c r="G227" s="795"/>
      <c r="H227" s="93"/>
      <c r="I227" s="810"/>
      <c r="J227" s="810"/>
    </row>
    <row r="228" spans="1:10" x14ac:dyDescent="0.25">
      <c r="A228" s="92"/>
      <c r="F228" s="786"/>
      <c r="G228" s="795"/>
      <c r="H228" s="93"/>
      <c r="I228" s="810"/>
      <c r="J228" s="810"/>
    </row>
    <row r="229" spans="1:10" x14ac:dyDescent="0.25">
      <c r="A229" s="92"/>
      <c r="F229" s="786"/>
      <c r="G229" s="795"/>
      <c r="H229" s="93"/>
      <c r="I229" s="810"/>
      <c r="J229" s="810"/>
    </row>
    <row r="230" spans="1:10" x14ac:dyDescent="0.25">
      <c r="A230" s="92"/>
      <c r="F230" s="786"/>
      <c r="G230" s="795"/>
      <c r="H230" s="93"/>
      <c r="I230" s="810"/>
      <c r="J230" s="810"/>
    </row>
    <row r="231" spans="1:10" x14ac:dyDescent="0.25">
      <c r="A231" s="92"/>
      <c r="F231" s="786"/>
      <c r="G231" s="795"/>
      <c r="H231" s="93"/>
      <c r="I231" s="810"/>
      <c r="J231" s="810"/>
    </row>
    <row r="232" spans="1:10" x14ac:dyDescent="0.25">
      <c r="A232" s="92"/>
      <c r="F232" s="786"/>
      <c r="G232" s="795"/>
      <c r="H232" s="93"/>
      <c r="I232" s="810"/>
      <c r="J232" s="810"/>
    </row>
    <row r="233" spans="1:10" x14ac:dyDescent="0.25">
      <c r="A233" s="92"/>
      <c r="F233" s="786"/>
      <c r="G233" s="795"/>
      <c r="H233" s="93"/>
      <c r="I233" s="810"/>
      <c r="J233" s="810"/>
    </row>
    <row r="234" spans="1:10" x14ac:dyDescent="0.25">
      <c r="A234" s="92"/>
      <c r="F234" s="786"/>
      <c r="G234" s="795"/>
      <c r="H234" s="93"/>
      <c r="I234" s="810"/>
      <c r="J234" s="810"/>
    </row>
    <row r="235" spans="1:10" x14ac:dyDescent="0.25">
      <c r="A235" s="92"/>
      <c r="F235" s="786"/>
      <c r="G235" s="795"/>
      <c r="H235" s="93"/>
      <c r="I235" s="810"/>
      <c r="J235" s="810"/>
    </row>
    <row r="236" spans="1:10" x14ac:dyDescent="0.25">
      <c r="A236" s="92"/>
      <c r="F236" s="786"/>
      <c r="G236" s="795"/>
      <c r="H236" s="93"/>
      <c r="I236" s="810"/>
      <c r="J236" s="810"/>
    </row>
    <row r="237" spans="1:10" x14ac:dyDescent="0.25">
      <c r="A237" s="92"/>
      <c r="F237" s="786"/>
      <c r="G237" s="795"/>
      <c r="H237" s="93"/>
      <c r="I237" s="810"/>
      <c r="J237" s="810"/>
    </row>
    <row r="238" spans="1:10" x14ac:dyDescent="0.25">
      <c r="A238" s="92"/>
      <c r="F238" s="786"/>
      <c r="G238" s="795"/>
      <c r="H238" s="93"/>
      <c r="I238" s="810"/>
      <c r="J238" s="810"/>
    </row>
    <row r="239" spans="1:10" x14ac:dyDescent="0.25">
      <c r="A239" s="92"/>
      <c r="F239" s="786"/>
      <c r="G239" s="795"/>
      <c r="H239" s="93"/>
      <c r="I239" s="810"/>
      <c r="J239" s="810"/>
    </row>
    <row r="240" spans="1:10" x14ac:dyDescent="0.25">
      <c r="A240" s="92"/>
      <c r="F240" s="786"/>
      <c r="G240" s="795"/>
      <c r="H240" s="93"/>
      <c r="I240" s="810"/>
      <c r="J240" s="810"/>
    </row>
    <row r="241" spans="1:10" x14ac:dyDescent="0.25">
      <c r="A241" s="92"/>
      <c r="F241" s="786"/>
      <c r="G241" s="795"/>
      <c r="H241" s="93"/>
      <c r="I241" s="810"/>
      <c r="J241" s="810"/>
    </row>
    <row r="242" spans="1:10" x14ac:dyDescent="0.25">
      <c r="A242" s="92"/>
      <c r="F242" s="786"/>
      <c r="G242" s="795"/>
      <c r="H242" s="93"/>
      <c r="I242" s="810"/>
      <c r="J242" s="810"/>
    </row>
    <row r="243" spans="1:10" x14ac:dyDescent="0.25">
      <c r="A243" s="92"/>
      <c r="F243" s="786"/>
      <c r="G243" s="795"/>
      <c r="H243" s="93"/>
      <c r="I243" s="810"/>
      <c r="J243" s="810"/>
    </row>
    <row r="244" spans="1:10" x14ac:dyDescent="0.25">
      <c r="A244" s="92"/>
      <c r="F244" s="786"/>
      <c r="G244" s="795"/>
      <c r="H244" s="93"/>
      <c r="I244" s="810"/>
      <c r="J244" s="810"/>
    </row>
    <row r="245" spans="1:10" x14ac:dyDescent="0.25">
      <c r="A245" s="92"/>
      <c r="F245" s="786"/>
      <c r="G245" s="795"/>
      <c r="H245" s="93"/>
      <c r="I245" s="810"/>
      <c r="J245" s="810"/>
    </row>
    <row r="246" spans="1:10" x14ac:dyDescent="0.25">
      <c r="A246" s="92"/>
      <c r="F246" s="786"/>
      <c r="G246" s="795"/>
      <c r="H246" s="93"/>
      <c r="I246" s="810"/>
      <c r="J246" s="810"/>
    </row>
    <row r="247" spans="1:10" x14ac:dyDescent="0.25">
      <c r="A247" s="92"/>
      <c r="F247" s="786"/>
      <c r="G247" s="795"/>
      <c r="H247" s="93"/>
      <c r="I247" s="810"/>
      <c r="J247" s="810"/>
    </row>
    <row r="248" spans="1:10" x14ac:dyDescent="0.25">
      <c r="A248" s="92"/>
      <c r="F248" s="786"/>
      <c r="G248" s="795"/>
      <c r="H248" s="93"/>
      <c r="I248" s="810"/>
      <c r="J248" s="810"/>
    </row>
    <row r="249" spans="1:10" x14ac:dyDescent="0.25">
      <c r="A249" s="92"/>
      <c r="F249" s="786"/>
      <c r="G249" s="795"/>
      <c r="H249" s="93"/>
      <c r="I249" s="810"/>
      <c r="J249" s="810"/>
    </row>
    <row r="250" spans="1:10" x14ac:dyDescent="0.25">
      <c r="A250" s="92"/>
      <c r="F250" s="786"/>
      <c r="G250" s="795"/>
      <c r="H250" s="93"/>
      <c r="I250" s="810"/>
      <c r="J250" s="810"/>
    </row>
    <row r="251" spans="1:10" x14ac:dyDescent="0.25">
      <c r="A251" s="92"/>
      <c r="F251" s="786"/>
      <c r="G251" s="795"/>
      <c r="H251" s="93"/>
      <c r="I251" s="810"/>
      <c r="J251" s="810"/>
    </row>
    <row r="252" spans="1:10" x14ac:dyDescent="0.25">
      <c r="A252" s="92"/>
      <c r="F252" s="786"/>
      <c r="G252" s="795"/>
      <c r="H252" s="93"/>
      <c r="I252" s="810"/>
      <c r="J252" s="810"/>
    </row>
    <row r="253" spans="1:10" x14ac:dyDescent="0.25">
      <c r="A253" s="92"/>
      <c r="F253" s="786"/>
      <c r="G253" s="795"/>
      <c r="H253" s="93"/>
      <c r="I253" s="810"/>
      <c r="J253" s="810"/>
    </row>
    <row r="254" spans="1:10" x14ac:dyDescent="0.25">
      <c r="A254" s="92"/>
      <c r="F254" s="786"/>
      <c r="G254" s="795"/>
      <c r="H254" s="93"/>
      <c r="I254" s="810"/>
      <c r="J254" s="810"/>
    </row>
    <row r="255" spans="1:10" x14ac:dyDescent="0.25">
      <c r="A255" s="92"/>
      <c r="F255" s="786"/>
      <c r="G255" s="795"/>
      <c r="H255" s="93"/>
      <c r="I255" s="810"/>
      <c r="J255" s="810"/>
    </row>
    <row r="256" spans="1:10" x14ac:dyDescent="0.25">
      <c r="A256" s="92"/>
      <c r="F256" s="786"/>
      <c r="G256" s="795"/>
      <c r="H256" s="93"/>
      <c r="I256" s="810"/>
      <c r="J256" s="810"/>
    </row>
    <row r="257" spans="1:10" x14ac:dyDescent="0.25">
      <c r="A257" s="92"/>
      <c r="F257" s="786"/>
      <c r="G257" s="795"/>
      <c r="H257" s="93"/>
      <c r="I257" s="810"/>
      <c r="J257" s="810"/>
    </row>
    <row r="258" spans="1:10" x14ac:dyDescent="0.25">
      <c r="A258" s="92"/>
      <c r="F258" s="786"/>
      <c r="G258" s="795"/>
      <c r="H258" s="93"/>
      <c r="I258" s="810"/>
      <c r="J258" s="810"/>
    </row>
    <row r="259" spans="1:10" x14ac:dyDescent="0.25">
      <c r="A259" s="92"/>
      <c r="F259" s="786"/>
      <c r="G259" s="795"/>
      <c r="H259" s="93"/>
      <c r="I259" s="810"/>
      <c r="J259" s="810"/>
    </row>
    <row r="260" spans="1:10" x14ac:dyDescent="0.25">
      <c r="A260" s="92"/>
      <c r="F260" s="786"/>
      <c r="G260" s="795"/>
      <c r="H260" s="93"/>
      <c r="I260" s="810"/>
      <c r="J260" s="810"/>
    </row>
    <row r="261" spans="1:10" x14ac:dyDescent="0.25">
      <c r="A261" s="92"/>
      <c r="F261" s="786"/>
      <c r="G261" s="795"/>
      <c r="H261" s="93"/>
      <c r="I261" s="810"/>
      <c r="J261" s="810"/>
    </row>
    <row r="262" spans="1:10" x14ac:dyDescent="0.25">
      <c r="A262" s="92"/>
      <c r="F262" s="786"/>
      <c r="G262" s="795"/>
      <c r="H262" s="93"/>
      <c r="I262" s="810"/>
      <c r="J262" s="810"/>
    </row>
    <row r="263" spans="1:10" x14ac:dyDescent="0.25">
      <c r="A263" s="92"/>
      <c r="F263" s="786"/>
      <c r="G263" s="795"/>
      <c r="H263" s="93"/>
      <c r="I263" s="810"/>
      <c r="J263" s="810"/>
    </row>
    <row r="264" spans="1:10" x14ac:dyDescent="0.25">
      <c r="A264" s="92"/>
      <c r="F264" s="786"/>
      <c r="G264" s="795"/>
      <c r="H264" s="93"/>
      <c r="I264" s="810"/>
      <c r="J264" s="810"/>
    </row>
    <row r="265" spans="1:10" x14ac:dyDescent="0.25">
      <c r="A265" s="92"/>
      <c r="F265" s="786"/>
      <c r="G265" s="795"/>
      <c r="H265" s="93"/>
      <c r="I265" s="810"/>
      <c r="J265" s="810"/>
    </row>
    <row r="266" spans="1:10" x14ac:dyDescent="0.25">
      <c r="A266" s="92"/>
      <c r="F266" s="786"/>
      <c r="G266" s="795"/>
      <c r="H266" s="93"/>
      <c r="I266" s="810"/>
      <c r="J266" s="810"/>
    </row>
    <row r="267" spans="1:10" x14ac:dyDescent="0.25">
      <c r="A267" s="92"/>
      <c r="F267" s="786"/>
      <c r="G267" s="795"/>
      <c r="H267" s="93"/>
      <c r="I267" s="810"/>
      <c r="J267" s="810"/>
    </row>
    <row r="268" spans="1:10" x14ac:dyDescent="0.25">
      <c r="A268" s="92"/>
      <c r="F268" s="786"/>
      <c r="G268" s="795"/>
      <c r="H268" s="93"/>
      <c r="I268" s="810"/>
      <c r="J268" s="810"/>
    </row>
    <row r="269" spans="1:10" x14ac:dyDescent="0.25">
      <c r="A269" s="92"/>
      <c r="F269" s="786"/>
      <c r="G269" s="795"/>
      <c r="H269" s="93"/>
      <c r="I269" s="810"/>
      <c r="J269" s="810"/>
    </row>
    <row r="270" spans="1:10" x14ac:dyDescent="0.25">
      <c r="A270" s="92"/>
      <c r="F270" s="786"/>
      <c r="G270" s="795"/>
      <c r="H270" s="93"/>
      <c r="I270" s="810"/>
      <c r="J270" s="810"/>
    </row>
    <row r="271" spans="1:10" x14ac:dyDescent="0.25">
      <c r="A271" s="92"/>
      <c r="F271" s="786"/>
      <c r="G271" s="795"/>
      <c r="H271" s="93"/>
      <c r="I271" s="810"/>
      <c r="J271" s="810"/>
    </row>
    <row r="272" spans="1:10" x14ac:dyDescent="0.25">
      <c r="A272" s="92"/>
      <c r="F272" s="786"/>
      <c r="G272" s="795"/>
      <c r="H272" s="93"/>
      <c r="I272" s="810"/>
      <c r="J272" s="810"/>
    </row>
    <row r="273" spans="1:10" x14ac:dyDescent="0.25">
      <c r="A273" s="92"/>
      <c r="F273" s="786"/>
      <c r="G273" s="795"/>
      <c r="H273" s="93"/>
      <c r="I273" s="810"/>
      <c r="J273" s="810"/>
    </row>
    <row r="274" spans="1:10" x14ac:dyDescent="0.25">
      <c r="A274" s="92"/>
      <c r="F274" s="786"/>
      <c r="G274" s="795"/>
      <c r="H274" s="93"/>
      <c r="I274" s="810"/>
      <c r="J274" s="810"/>
    </row>
    <row r="275" spans="1:10" x14ac:dyDescent="0.25">
      <c r="A275" s="92"/>
      <c r="F275" s="786"/>
      <c r="G275" s="795"/>
      <c r="H275" s="93"/>
      <c r="I275" s="810"/>
      <c r="J275" s="810"/>
    </row>
    <row r="276" spans="1:10" x14ac:dyDescent="0.25">
      <c r="A276" s="92"/>
      <c r="F276" s="786"/>
      <c r="G276" s="795"/>
      <c r="H276" s="93"/>
      <c r="I276" s="810"/>
      <c r="J276" s="810"/>
    </row>
    <row r="277" spans="1:10" x14ac:dyDescent="0.25">
      <c r="A277" s="92"/>
      <c r="F277" s="786"/>
      <c r="G277" s="795"/>
      <c r="H277" s="93"/>
      <c r="I277" s="810"/>
      <c r="J277" s="810"/>
    </row>
    <row r="278" spans="1:10" x14ac:dyDescent="0.25">
      <c r="A278" s="92"/>
      <c r="F278" s="786"/>
      <c r="G278" s="795"/>
      <c r="H278" s="93"/>
      <c r="I278" s="810"/>
      <c r="J278" s="810"/>
    </row>
    <row r="279" spans="1:10" x14ac:dyDescent="0.25">
      <c r="A279" s="92"/>
      <c r="F279" s="786"/>
      <c r="G279" s="795"/>
      <c r="H279" s="93"/>
      <c r="I279" s="810"/>
      <c r="J279" s="810"/>
    </row>
    <row r="280" spans="1:10" x14ac:dyDescent="0.25">
      <c r="A280" s="92"/>
      <c r="F280" s="786"/>
      <c r="G280" s="795"/>
      <c r="H280" s="93"/>
      <c r="I280" s="810"/>
      <c r="J280" s="810"/>
    </row>
    <row r="281" spans="1:10" x14ac:dyDescent="0.25">
      <c r="A281" s="92"/>
      <c r="F281" s="786"/>
      <c r="G281" s="795"/>
      <c r="H281" s="93"/>
      <c r="I281" s="810"/>
      <c r="J281" s="810"/>
    </row>
    <row r="282" spans="1:10" x14ac:dyDescent="0.25">
      <c r="A282" s="92"/>
      <c r="F282" s="786"/>
      <c r="G282" s="795"/>
      <c r="H282" s="93"/>
      <c r="I282" s="810"/>
      <c r="J282" s="810"/>
    </row>
    <row r="283" spans="1:10" x14ac:dyDescent="0.25">
      <c r="A283" s="92"/>
      <c r="F283" s="786"/>
      <c r="G283" s="795"/>
      <c r="H283" s="93"/>
      <c r="I283" s="810"/>
      <c r="J283" s="810"/>
    </row>
    <row r="284" spans="1:10" x14ac:dyDescent="0.25">
      <c r="A284" s="92"/>
      <c r="F284" s="786"/>
      <c r="G284" s="795"/>
      <c r="H284" s="93"/>
      <c r="I284" s="810"/>
      <c r="J284" s="810"/>
    </row>
    <row r="285" spans="1:10" x14ac:dyDescent="0.25">
      <c r="A285" s="92"/>
      <c r="F285" s="786"/>
      <c r="G285" s="795"/>
      <c r="H285" s="93"/>
      <c r="I285" s="810"/>
      <c r="J285" s="810"/>
    </row>
    <row r="286" spans="1:10" x14ac:dyDescent="0.25">
      <c r="A286" s="92"/>
      <c r="F286" s="786"/>
      <c r="G286" s="795"/>
      <c r="H286" s="93"/>
      <c r="I286" s="810"/>
      <c r="J286" s="810"/>
    </row>
    <row r="287" spans="1:10" x14ac:dyDescent="0.25">
      <c r="A287" s="92"/>
      <c r="F287" s="786"/>
      <c r="G287" s="795"/>
      <c r="H287" s="93"/>
      <c r="I287" s="810"/>
      <c r="J287" s="810"/>
    </row>
    <row r="288" spans="1:10" x14ac:dyDescent="0.25">
      <c r="A288" s="92"/>
      <c r="F288" s="786"/>
      <c r="G288" s="795"/>
      <c r="H288" s="93"/>
      <c r="I288" s="810"/>
      <c r="J288" s="810"/>
    </row>
    <row r="289" spans="1:10" x14ac:dyDescent="0.25">
      <c r="A289" s="92"/>
      <c r="F289" s="786"/>
      <c r="G289" s="795"/>
      <c r="H289" s="93"/>
      <c r="I289" s="810"/>
      <c r="J289" s="810"/>
    </row>
    <row r="290" spans="1:10" x14ac:dyDescent="0.25">
      <c r="A290" s="92"/>
      <c r="F290" s="786"/>
      <c r="G290" s="795"/>
      <c r="H290" s="93"/>
      <c r="I290" s="810"/>
      <c r="J290" s="810"/>
    </row>
    <row r="291" spans="1:10" x14ac:dyDescent="0.25">
      <c r="A291" s="92"/>
      <c r="F291" s="786"/>
      <c r="G291" s="795"/>
      <c r="H291" s="93"/>
      <c r="I291" s="810"/>
      <c r="J291" s="810"/>
    </row>
    <row r="292" spans="1:10" x14ac:dyDescent="0.25">
      <c r="A292" s="92"/>
      <c r="F292" s="786"/>
      <c r="G292" s="795"/>
      <c r="H292" s="93"/>
      <c r="I292" s="810"/>
      <c r="J292" s="810"/>
    </row>
    <row r="293" spans="1:10" x14ac:dyDescent="0.25">
      <c r="A293" s="92"/>
      <c r="F293" s="786"/>
      <c r="G293" s="795"/>
      <c r="H293" s="93"/>
      <c r="I293" s="810"/>
      <c r="J293" s="810"/>
    </row>
    <row r="294" spans="1:10" x14ac:dyDescent="0.25">
      <c r="A294" s="92"/>
      <c r="F294" s="786"/>
      <c r="G294" s="795"/>
      <c r="H294" s="93"/>
      <c r="I294" s="810"/>
      <c r="J294" s="810"/>
    </row>
    <row r="295" spans="1:10" x14ac:dyDescent="0.25">
      <c r="A295" s="92"/>
      <c r="F295" s="786"/>
      <c r="G295" s="795"/>
      <c r="H295" s="93"/>
      <c r="I295" s="810"/>
      <c r="J295" s="810"/>
    </row>
    <row r="296" spans="1:10" x14ac:dyDescent="0.25">
      <c r="A296" s="92"/>
      <c r="F296" s="786"/>
      <c r="G296" s="795"/>
      <c r="H296" s="93"/>
      <c r="I296" s="810"/>
      <c r="J296" s="810"/>
    </row>
    <row r="297" spans="1:10" x14ac:dyDescent="0.25">
      <c r="A297" s="92"/>
      <c r="F297" s="786"/>
      <c r="G297" s="795"/>
      <c r="H297" s="93"/>
      <c r="I297" s="810"/>
      <c r="J297" s="810"/>
    </row>
    <row r="298" spans="1:10" x14ac:dyDescent="0.25">
      <c r="A298" s="92"/>
      <c r="F298" s="786"/>
      <c r="G298" s="795"/>
      <c r="H298" s="93"/>
      <c r="I298" s="810"/>
      <c r="J298" s="810"/>
    </row>
    <row r="299" spans="1:10" x14ac:dyDescent="0.25">
      <c r="A299" s="92"/>
      <c r="F299" s="786"/>
      <c r="G299" s="795"/>
      <c r="H299" s="93"/>
      <c r="I299" s="810"/>
      <c r="J299" s="810"/>
    </row>
    <row r="300" spans="1:10" x14ac:dyDescent="0.25">
      <c r="A300" s="92"/>
      <c r="F300" s="786"/>
      <c r="G300" s="795"/>
      <c r="H300" s="93"/>
      <c r="I300" s="810"/>
      <c r="J300" s="810"/>
    </row>
    <row r="301" spans="1:10" x14ac:dyDescent="0.25">
      <c r="A301" s="92"/>
      <c r="F301" s="786"/>
      <c r="G301" s="795"/>
      <c r="H301" s="93"/>
      <c r="I301" s="810"/>
      <c r="J301" s="810"/>
    </row>
    <row r="302" spans="1:10" x14ac:dyDescent="0.25">
      <c r="A302" s="92"/>
      <c r="F302" s="786"/>
      <c r="G302" s="795"/>
      <c r="H302" s="93"/>
      <c r="I302" s="810"/>
      <c r="J302" s="810"/>
    </row>
    <row r="303" spans="1:10" x14ac:dyDescent="0.25">
      <c r="A303" s="92"/>
      <c r="F303" s="786"/>
      <c r="G303" s="795"/>
      <c r="H303" s="93"/>
      <c r="I303" s="810"/>
      <c r="J303" s="810"/>
    </row>
    <row r="304" spans="1:10" x14ac:dyDescent="0.25">
      <c r="A304" s="92"/>
      <c r="F304" s="786"/>
      <c r="G304" s="795"/>
      <c r="H304" s="93"/>
      <c r="I304" s="810"/>
      <c r="J304" s="810"/>
    </row>
    <row r="305" spans="1:10" x14ac:dyDescent="0.25">
      <c r="A305" s="92"/>
      <c r="F305" s="786"/>
      <c r="G305" s="795"/>
      <c r="H305" s="93"/>
      <c r="I305" s="810"/>
      <c r="J305" s="810"/>
    </row>
    <row r="306" spans="1:10" x14ac:dyDescent="0.25">
      <c r="A306" s="92"/>
      <c r="F306" s="786"/>
      <c r="G306" s="795"/>
      <c r="H306" s="93"/>
      <c r="I306" s="810"/>
      <c r="J306" s="810"/>
    </row>
    <row r="307" spans="1:10" x14ac:dyDescent="0.25">
      <c r="A307" s="92"/>
      <c r="F307" s="786"/>
      <c r="G307" s="795"/>
      <c r="H307" s="93"/>
      <c r="I307" s="810"/>
      <c r="J307" s="810"/>
    </row>
    <row r="308" spans="1:10" x14ac:dyDescent="0.25">
      <c r="A308" s="92"/>
      <c r="F308" s="786"/>
      <c r="G308" s="795"/>
      <c r="H308" s="93"/>
      <c r="I308" s="810"/>
      <c r="J308" s="810"/>
    </row>
    <row r="309" spans="1:10" x14ac:dyDescent="0.25">
      <c r="A309" s="92"/>
      <c r="F309" s="786"/>
      <c r="G309" s="795"/>
      <c r="H309" s="93"/>
      <c r="I309" s="810"/>
      <c r="J309" s="810"/>
    </row>
    <row r="310" spans="1:10" x14ac:dyDescent="0.25">
      <c r="A310" s="92"/>
      <c r="F310" s="786"/>
      <c r="G310" s="795"/>
      <c r="H310" s="93"/>
      <c r="I310" s="810"/>
      <c r="J310" s="810"/>
    </row>
    <row r="311" spans="1:10" x14ac:dyDescent="0.25">
      <c r="A311" s="92"/>
      <c r="F311" s="786"/>
      <c r="G311" s="795"/>
      <c r="H311" s="93"/>
      <c r="I311" s="810"/>
      <c r="J311" s="810"/>
    </row>
    <row r="312" spans="1:10" x14ac:dyDescent="0.25">
      <c r="A312" s="92"/>
      <c r="F312" s="786"/>
      <c r="G312" s="795"/>
      <c r="H312" s="93"/>
      <c r="I312" s="810"/>
      <c r="J312" s="810"/>
    </row>
    <row r="313" spans="1:10" x14ac:dyDescent="0.25">
      <c r="A313" s="92"/>
      <c r="F313" s="786"/>
      <c r="G313" s="795"/>
      <c r="H313" s="93"/>
      <c r="I313" s="810"/>
      <c r="J313" s="810"/>
    </row>
    <row r="314" spans="1:10" x14ac:dyDescent="0.25">
      <c r="A314" s="92"/>
      <c r="F314" s="786"/>
      <c r="G314" s="795"/>
      <c r="H314" s="93"/>
      <c r="I314" s="810"/>
      <c r="J314" s="810"/>
    </row>
    <row r="315" spans="1:10" x14ac:dyDescent="0.25">
      <c r="A315" s="92"/>
      <c r="F315" s="786"/>
      <c r="G315" s="795"/>
      <c r="H315" s="93"/>
      <c r="I315" s="810"/>
      <c r="J315" s="810"/>
    </row>
    <row r="316" spans="1:10" x14ac:dyDescent="0.25">
      <c r="A316" s="92"/>
      <c r="F316" s="786"/>
      <c r="G316" s="795"/>
      <c r="H316" s="93"/>
      <c r="I316" s="810"/>
      <c r="J316" s="810"/>
    </row>
    <row r="317" spans="1:10" x14ac:dyDescent="0.25">
      <c r="A317" s="92"/>
      <c r="F317" s="786"/>
      <c r="G317" s="795"/>
      <c r="H317" s="93"/>
      <c r="I317" s="810"/>
      <c r="J317" s="810"/>
    </row>
    <row r="318" spans="1:10" x14ac:dyDescent="0.25">
      <c r="A318" s="92"/>
      <c r="F318" s="786"/>
      <c r="G318" s="795"/>
      <c r="H318" s="93"/>
      <c r="I318" s="810"/>
      <c r="J318" s="810"/>
    </row>
    <row r="319" spans="1:10" x14ac:dyDescent="0.25">
      <c r="A319" s="92"/>
      <c r="F319" s="786"/>
      <c r="G319" s="795"/>
      <c r="H319" s="93"/>
      <c r="I319" s="810"/>
      <c r="J319" s="810"/>
    </row>
    <row r="320" spans="1:10" x14ac:dyDescent="0.25">
      <c r="A320" s="92"/>
      <c r="F320" s="786"/>
      <c r="G320" s="795"/>
      <c r="H320" s="93"/>
      <c r="I320" s="810"/>
      <c r="J320" s="810"/>
    </row>
    <row r="321" spans="1:10" x14ac:dyDescent="0.25">
      <c r="A321" s="92"/>
      <c r="F321" s="786"/>
      <c r="G321" s="795"/>
      <c r="H321" s="93"/>
      <c r="I321" s="810"/>
      <c r="J321" s="810"/>
    </row>
    <row r="322" spans="1:10" x14ac:dyDescent="0.25">
      <c r="A322" s="92"/>
      <c r="F322" s="786"/>
      <c r="G322" s="795"/>
      <c r="H322" s="93"/>
      <c r="I322" s="810"/>
      <c r="J322" s="810"/>
    </row>
    <row r="323" spans="1:10" x14ac:dyDescent="0.25">
      <c r="A323" s="92"/>
      <c r="F323" s="786"/>
      <c r="G323" s="795"/>
      <c r="H323" s="93"/>
      <c r="I323" s="810"/>
      <c r="J323" s="810"/>
    </row>
    <row r="324" spans="1:10" x14ac:dyDescent="0.25">
      <c r="A324" s="92"/>
      <c r="F324" s="786"/>
      <c r="G324" s="795"/>
      <c r="H324" s="93"/>
      <c r="I324" s="810"/>
      <c r="J324" s="810"/>
    </row>
    <row r="325" spans="1:10" x14ac:dyDescent="0.25">
      <c r="A325" s="92"/>
      <c r="F325" s="786"/>
      <c r="G325" s="795"/>
      <c r="H325" s="93"/>
      <c r="I325" s="810"/>
      <c r="J325" s="810"/>
    </row>
    <row r="326" spans="1:10" x14ac:dyDescent="0.25">
      <c r="A326" s="92"/>
      <c r="F326" s="786"/>
      <c r="G326" s="795"/>
      <c r="H326" s="93"/>
      <c r="I326" s="810"/>
      <c r="J326" s="810"/>
    </row>
    <row r="327" spans="1:10" x14ac:dyDescent="0.25">
      <c r="A327" s="92"/>
      <c r="F327" s="786"/>
      <c r="G327" s="795"/>
      <c r="H327" s="93"/>
      <c r="I327" s="810"/>
      <c r="J327" s="810"/>
    </row>
    <row r="328" spans="1:10" x14ac:dyDescent="0.25">
      <c r="A328" s="92"/>
      <c r="F328" s="786"/>
      <c r="G328" s="795"/>
      <c r="H328" s="93"/>
      <c r="I328" s="810"/>
      <c r="J328" s="810"/>
    </row>
    <row r="329" spans="1:10" x14ac:dyDescent="0.25">
      <c r="A329" s="92"/>
      <c r="F329" s="786"/>
      <c r="G329" s="795"/>
      <c r="H329" s="93"/>
      <c r="I329" s="810"/>
      <c r="J329" s="810"/>
    </row>
    <row r="330" spans="1:10" x14ac:dyDescent="0.25">
      <c r="A330" s="92"/>
      <c r="F330" s="786"/>
      <c r="G330" s="795"/>
      <c r="H330" s="93"/>
      <c r="I330" s="810"/>
      <c r="J330" s="810"/>
    </row>
    <row r="331" spans="1:10" x14ac:dyDescent="0.25">
      <c r="A331" s="92"/>
      <c r="F331" s="786"/>
      <c r="G331" s="795"/>
      <c r="H331" s="93"/>
      <c r="I331" s="810"/>
      <c r="J331" s="810"/>
    </row>
    <row r="332" spans="1:10" x14ac:dyDescent="0.25">
      <c r="A332" s="92"/>
      <c r="F332" s="786"/>
      <c r="G332" s="795"/>
      <c r="H332" s="93"/>
      <c r="I332" s="810"/>
      <c r="J332" s="810"/>
    </row>
    <row r="333" spans="1:10" x14ac:dyDescent="0.25">
      <c r="A333" s="92"/>
      <c r="F333" s="786"/>
      <c r="G333" s="795"/>
      <c r="H333" s="93"/>
      <c r="I333" s="810"/>
      <c r="J333" s="810"/>
    </row>
    <row r="334" spans="1:10" x14ac:dyDescent="0.25">
      <c r="A334" s="92"/>
      <c r="F334" s="786"/>
      <c r="G334" s="795"/>
      <c r="H334" s="93"/>
      <c r="I334" s="810"/>
      <c r="J334" s="810"/>
    </row>
    <row r="335" spans="1:10" x14ac:dyDescent="0.25">
      <c r="A335" s="92"/>
      <c r="F335" s="786"/>
      <c r="G335" s="795"/>
      <c r="H335" s="93"/>
      <c r="I335" s="810"/>
      <c r="J335" s="810"/>
    </row>
    <row r="336" spans="1:10" x14ac:dyDescent="0.25">
      <c r="A336" s="92"/>
      <c r="F336" s="786"/>
      <c r="G336" s="795"/>
      <c r="H336" s="93"/>
      <c r="I336" s="810"/>
      <c r="J336" s="810"/>
    </row>
    <row r="337" spans="1:10" x14ac:dyDescent="0.25">
      <c r="A337" s="92"/>
      <c r="F337" s="786"/>
      <c r="G337" s="795"/>
      <c r="H337" s="93"/>
      <c r="I337" s="810"/>
      <c r="J337" s="810"/>
    </row>
    <row r="338" spans="1:10" x14ac:dyDescent="0.25">
      <c r="A338" s="92"/>
      <c r="F338" s="786"/>
      <c r="G338" s="795"/>
      <c r="H338" s="93"/>
      <c r="I338" s="810"/>
      <c r="J338" s="810"/>
    </row>
    <row r="339" spans="1:10" x14ac:dyDescent="0.25">
      <c r="A339" s="92"/>
      <c r="F339" s="786"/>
      <c r="G339" s="795"/>
      <c r="H339" s="93"/>
      <c r="I339" s="810"/>
      <c r="J339" s="810"/>
    </row>
    <row r="340" spans="1:10" x14ac:dyDescent="0.25">
      <c r="A340" s="92"/>
      <c r="F340" s="786"/>
      <c r="G340" s="795"/>
      <c r="H340" s="93"/>
      <c r="I340" s="810"/>
      <c r="J340" s="810"/>
    </row>
    <row r="341" spans="1:10" x14ac:dyDescent="0.25">
      <c r="A341" s="92"/>
      <c r="F341" s="786"/>
      <c r="G341" s="795"/>
      <c r="H341" s="93"/>
      <c r="I341" s="810"/>
      <c r="J341" s="810"/>
    </row>
    <row r="342" spans="1:10" x14ac:dyDescent="0.25">
      <c r="A342" s="92"/>
      <c r="F342" s="786"/>
      <c r="G342" s="795"/>
      <c r="H342" s="93"/>
      <c r="I342" s="810"/>
      <c r="J342" s="810"/>
    </row>
    <row r="343" spans="1:10" x14ac:dyDescent="0.25">
      <c r="A343" s="92"/>
      <c r="F343" s="786"/>
      <c r="G343" s="795"/>
      <c r="H343" s="93"/>
      <c r="I343" s="810"/>
      <c r="J343" s="810"/>
    </row>
    <row r="344" spans="1:10" x14ac:dyDescent="0.25">
      <c r="A344" s="92"/>
      <c r="F344" s="786"/>
      <c r="G344" s="795"/>
      <c r="H344" s="93"/>
      <c r="I344" s="810"/>
      <c r="J344" s="810"/>
    </row>
    <row r="345" spans="1:10" x14ac:dyDescent="0.25">
      <c r="A345" s="92"/>
      <c r="F345" s="786"/>
      <c r="G345" s="795"/>
      <c r="H345" s="93"/>
      <c r="I345" s="810"/>
      <c r="J345" s="810"/>
    </row>
    <row r="346" spans="1:10" x14ac:dyDescent="0.25">
      <c r="A346" s="92"/>
      <c r="F346" s="786"/>
      <c r="G346" s="795"/>
      <c r="H346" s="93"/>
      <c r="I346" s="810"/>
      <c r="J346" s="810"/>
    </row>
    <row r="347" spans="1:10" x14ac:dyDescent="0.25">
      <c r="A347" s="92"/>
      <c r="F347" s="786"/>
      <c r="G347" s="795"/>
      <c r="H347" s="93"/>
      <c r="I347" s="810"/>
      <c r="J347" s="810"/>
    </row>
    <row r="348" spans="1:10" x14ac:dyDescent="0.25">
      <c r="A348" s="92"/>
      <c r="F348" s="786"/>
      <c r="G348" s="795"/>
      <c r="H348" s="93"/>
      <c r="I348" s="810"/>
      <c r="J348" s="810"/>
    </row>
    <row r="349" spans="1:10" x14ac:dyDescent="0.25">
      <c r="A349" s="92"/>
      <c r="F349" s="786"/>
      <c r="G349" s="795"/>
      <c r="H349" s="93"/>
      <c r="I349" s="810"/>
      <c r="J349" s="810"/>
    </row>
    <row r="350" spans="1:10" x14ac:dyDescent="0.25">
      <c r="A350" s="92"/>
      <c r="F350" s="786"/>
      <c r="G350" s="795"/>
      <c r="H350" s="93"/>
      <c r="I350" s="810"/>
      <c r="J350" s="810"/>
    </row>
    <row r="351" spans="1:10" x14ac:dyDescent="0.25">
      <c r="A351" s="92"/>
      <c r="F351" s="786"/>
      <c r="G351" s="795"/>
      <c r="H351" s="93"/>
      <c r="I351" s="810"/>
      <c r="J351" s="810"/>
    </row>
    <row r="352" spans="1:10" x14ac:dyDescent="0.25">
      <c r="A352" s="92"/>
      <c r="F352" s="786"/>
      <c r="G352" s="795"/>
      <c r="H352" s="93"/>
      <c r="I352" s="810"/>
      <c r="J352" s="810"/>
    </row>
    <row r="353" spans="1:10" x14ac:dyDescent="0.25">
      <c r="A353" s="92"/>
      <c r="F353" s="786"/>
      <c r="G353" s="795"/>
      <c r="H353" s="93"/>
      <c r="I353" s="810"/>
      <c r="J353" s="810"/>
    </row>
    <row r="354" spans="1:10" x14ac:dyDescent="0.25">
      <c r="A354" s="92"/>
      <c r="F354" s="786"/>
      <c r="G354" s="795"/>
      <c r="H354" s="93"/>
      <c r="I354" s="810"/>
      <c r="J354" s="810"/>
    </row>
    <row r="355" spans="1:10" x14ac:dyDescent="0.25">
      <c r="A355" s="92"/>
      <c r="F355" s="786"/>
      <c r="G355" s="795"/>
      <c r="H355" s="93"/>
      <c r="I355" s="810"/>
      <c r="J355" s="810"/>
    </row>
    <row r="356" spans="1:10" x14ac:dyDescent="0.25">
      <c r="A356" s="92"/>
      <c r="F356" s="786"/>
      <c r="G356" s="795"/>
      <c r="H356" s="93"/>
      <c r="I356" s="810"/>
      <c r="J356" s="810"/>
    </row>
    <row r="357" spans="1:10" x14ac:dyDescent="0.25">
      <c r="A357" s="92"/>
      <c r="F357" s="786"/>
      <c r="G357" s="795"/>
      <c r="H357" s="93"/>
      <c r="I357" s="810"/>
      <c r="J357" s="810"/>
    </row>
    <row r="358" spans="1:10" x14ac:dyDescent="0.25">
      <c r="A358" s="92"/>
      <c r="F358" s="786"/>
      <c r="G358" s="795"/>
      <c r="H358" s="93"/>
      <c r="I358" s="810"/>
      <c r="J358" s="810"/>
    </row>
    <row r="359" spans="1:10" x14ac:dyDescent="0.25">
      <c r="A359" s="92"/>
      <c r="F359" s="786"/>
      <c r="G359" s="795"/>
      <c r="H359" s="93"/>
      <c r="I359" s="810"/>
      <c r="J359" s="810"/>
    </row>
    <row r="360" spans="1:10" x14ac:dyDescent="0.25">
      <c r="A360" s="92"/>
      <c r="F360" s="786"/>
      <c r="G360" s="795"/>
      <c r="H360" s="93"/>
      <c r="I360" s="810"/>
      <c r="J360" s="810"/>
    </row>
    <row r="361" spans="1:10" x14ac:dyDescent="0.25">
      <c r="A361" s="92"/>
      <c r="F361" s="786"/>
      <c r="G361" s="795"/>
      <c r="H361" s="93"/>
      <c r="I361" s="810"/>
      <c r="J361" s="810"/>
    </row>
    <row r="362" spans="1:10" x14ac:dyDescent="0.25">
      <c r="A362" s="92"/>
      <c r="F362" s="786"/>
      <c r="G362" s="795"/>
      <c r="H362" s="93"/>
      <c r="I362" s="810"/>
      <c r="J362" s="810"/>
    </row>
    <row r="363" spans="1:10" x14ac:dyDescent="0.25">
      <c r="A363" s="92"/>
      <c r="F363" s="786"/>
      <c r="G363" s="795"/>
      <c r="H363" s="93"/>
      <c r="I363" s="810"/>
      <c r="J363" s="810"/>
    </row>
    <row r="364" spans="1:10" x14ac:dyDescent="0.25">
      <c r="A364" s="92"/>
      <c r="F364" s="786"/>
      <c r="G364" s="795"/>
      <c r="H364" s="93"/>
      <c r="I364" s="810"/>
      <c r="J364" s="810"/>
    </row>
    <row r="365" spans="1:10" x14ac:dyDescent="0.25">
      <c r="A365" s="92"/>
      <c r="F365" s="786"/>
      <c r="G365" s="795"/>
      <c r="H365" s="93"/>
      <c r="I365" s="810"/>
      <c r="J365" s="810"/>
    </row>
    <row r="366" spans="1:10" x14ac:dyDescent="0.25">
      <c r="A366" s="92"/>
      <c r="F366" s="786"/>
      <c r="G366" s="795"/>
      <c r="H366" s="93"/>
      <c r="I366" s="810"/>
      <c r="J366" s="810"/>
    </row>
    <row r="367" spans="1:10" x14ac:dyDescent="0.25">
      <c r="A367" s="92"/>
      <c r="F367" s="786"/>
      <c r="G367" s="795"/>
      <c r="H367" s="93"/>
      <c r="I367" s="810"/>
      <c r="J367" s="810"/>
    </row>
    <row r="368" spans="1:10" x14ac:dyDescent="0.25">
      <c r="A368" s="92"/>
      <c r="F368" s="786"/>
      <c r="G368" s="795"/>
      <c r="H368" s="93"/>
      <c r="I368" s="810"/>
      <c r="J368" s="810"/>
    </row>
    <row r="369" spans="1:10" x14ac:dyDescent="0.25">
      <c r="A369" s="92"/>
      <c r="F369" s="786"/>
      <c r="G369" s="795"/>
      <c r="H369" s="93"/>
      <c r="I369" s="810"/>
      <c r="J369" s="810"/>
    </row>
    <row r="370" spans="1:10" x14ac:dyDescent="0.25">
      <c r="A370" s="92"/>
      <c r="F370" s="786"/>
      <c r="G370" s="795"/>
      <c r="H370" s="93"/>
      <c r="I370" s="810"/>
      <c r="J370" s="810"/>
    </row>
    <row r="371" spans="1:10" x14ac:dyDescent="0.25">
      <c r="A371" s="92"/>
      <c r="F371" s="786"/>
      <c r="G371" s="795"/>
      <c r="H371" s="93"/>
      <c r="I371" s="810"/>
      <c r="J371" s="810"/>
    </row>
    <row r="372" spans="1:10" x14ac:dyDescent="0.25">
      <c r="A372" s="92"/>
      <c r="F372" s="786"/>
      <c r="G372" s="795"/>
      <c r="H372" s="93"/>
      <c r="I372" s="810"/>
      <c r="J372" s="810"/>
    </row>
    <row r="373" spans="1:10" x14ac:dyDescent="0.25">
      <c r="A373" s="92"/>
      <c r="F373" s="786"/>
      <c r="G373" s="795"/>
      <c r="H373" s="93"/>
      <c r="I373" s="810"/>
      <c r="J373" s="810"/>
    </row>
    <row r="374" spans="1:10" x14ac:dyDescent="0.25">
      <c r="A374" s="92"/>
      <c r="F374" s="786"/>
      <c r="G374" s="795"/>
      <c r="H374" s="93"/>
      <c r="I374" s="810"/>
      <c r="J374" s="810"/>
    </row>
    <row r="375" spans="1:10" x14ac:dyDescent="0.25">
      <c r="A375" s="92"/>
      <c r="F375" s="786"/>
      <c r="G375" s="795"/>
      <c r="H375" s="93"/>
      <c r="I375" s="810"/>
      <c r="J375" s="810"/>
    </row>
    <row r="376" spans="1:10" x14ac:dyDescent="0.25">
      <c r="A376" s="92"/>
      <c r="F376" s="786"/>
      <c r="G376" s="795"/>
      <c r="H376" s="93"/>
      <c r="I376" s="810"/>
      <c r="J376" s="810"/>
    </row>
    <row r="377" spans="1:10" x14ac:dyDescent="0.25">
      <c r="A377" s="92"/>
      <c r="F377" s="786"/>
      <c r="G377" s="795"/>
      <c r="H377" s="93"/>
      <c r="I377" s="810"/>
      <c r="J377" s="810"/>
    </row>
    <row r="378" spans="1:10" x14ac:dyDescent="0.25">
      <c r="A378" s="92"/>
      <c r="F378" s="786"/>
      <c r="G378" s="795"/>
      <c r="H378" s="93"/>
      <c r="I378" s="810"/>
      <c r="J378" s="810"/>
    </row>
    <row r="379" spans="1:10" x14ac:dyDescent="0.25">
      <c r="A379" s="92"/>
      <c r="F379" s="786"/>
      <c r="G379" s="795"/>
      <c r="H379" s="93"/>
      <c r="I379" s="810"/>
      <c r="J379" s="810"/>
    </row>
    <row r="380" spans="1:10" x14ac:dyDescent="0.25">
      <c r="A380" s="92"/>
      <c r="F380" s="786"/>
      <c r="G380" s="795"/>
      <c r="H380" s="93"/>
      <c r="I380" s="810"/>
      <c r="J380" s="810"/>
    </row>
    <row r="381" spans="1:10" x14ac:dyDescent="0.25">
      <c r="A381" s="92"/>
      <c r="F381" s="786"/>
      <c r="G381" s="795"/>
      <c r="H381" s="93"/>
      <c r="I381" s="810"/>
      <c r="J381" s="810"/>
    </row>
    <row r="382" spans="1:10" x14ac:dyDescent="0.25">
      <c r="A382" s="92"/>
      <c r="F382" s="786"/>
      <c r="G382" s="795"/>
      <c r="H382" s="93"/>
      <c r="I382" s="810"/>
      <c r="J382" s="810"/>
    </row>
    <row r="383" spans="1:10" x14ac:dyDescent="0.25">
      <c r="A383" s="92"/>
      <c r="F383" s="786"/>
      <c r="G383" s="795"/>
      <c r="H383" s="93"/>
      <c r="I383" s="810"/>
      <c r="J383" s="810"/>
    </row>
    <row r="384" spans="1:10" x14ac:dyDescent="0.25">
      <c r="A384" s="92"/>
      <c r="F384" s="786"/>
      <c r="G384" s="795"/>
      <c r="H384" s="93"/>
      <c r="I384" s="810"/>
      <c r="J384" s="810"/>
    </row>
    <row r="385" spans="1:10" x14ac:dyDescent="0.25">
      <c r="A385" s="92"/>
      <c r="F385" s="786"/>
      <c r="G385" s="795"/>
      <c r="H385" s="93"/>
      <c r="I385" s="810"/>
      <c r="J385" s="810"/>
    </row>
    <row r="386" spans="1:10" x14ac:dyDescent="0.25">
      <c r="A386" s="92"/>
      <c r="F386" s="786"/>
      <c r="G386" s="795"/>
      <c r="H386" s="93"/>
      <c r="I386" s="810"/>
      <c r="J386" s="810"/>
    </row>
    <row r="387" spans="1:10" x14ac:dyDescent="0.25">
      <c r="A387" s="92"/>
      <c r="F387" s="786"/>
      <c r="G387" s="795"/>
      <c r="H387" s="93"/>
      <c r="I387" s="810"/>
      <c r="J387" s="810"/>
    </row>
    <row r="388" spans="1:10" x14ac:dyDescent="0.25">
      <c r="A388" s="92"/>
      <c r="F388" s="786"/>
      <c r="G388" s="795"/>
      <c r="H388" s="93"/>
      <c r="I388" s="810"/>
      <c r="J388" s="810"/>
    </row>
    <row r="389" spans="1:10" x14ac:dyDescent="0.25">
      <c r="A389" s="92"/>
      <c r="F389" s="786"/>
      <c r="G389" s="795"/>
      <c r="H389" s="93"/>
      <c r="I389" s="810"/>
      <c r="J389" s="810"/>
    </row>
    <row r="390" spans="1:10" x14ac:dyDescent="0.25">
      <c r="A390" s="92"/>
      <c r="F390" s="786"/>
      <c r="G390" s="795"/>
      <c r="H390" s="93"/>
      <c r="I390" s="810"/>
      <c r="J390" s="810"/>
    </row>
    <row r="391" spans="1:10" x14ac:dyDescent="0.25">
      <c r="A391" s="92"/>
      <c r="F391" s="786"/>
      <c r="G391" s="795"/>
      <c r="H391" s="93"/>
      <c r="I391" s="810"/>
      <c r="J391" s="810"/>
    </row>
    <row r="392" spans="1:10" x14ac:dyDescent="0.25">
      <c r="A392" s="92"/>
      <c r="F392" s="786"/>
      <c r="G392" s="795"/>
      <c r="H392" s="93"/>
      <c r="I392" s="810"/>
      <c r="J392" s="810"/>
    </row>
    <row r="393" spans="1:10" x14ac:dyDescent="0.25">
      <c r="A393" s="92"/>
      <c r="F393" s="786"/>
      <c r="G393" s="795"/>
      <c r="H393" s="93"/>
      <c r="I393" s="810"/>
      <c r="J393" s="810"/>
    </row>
    <row r="394" spans="1:10" x14ac:dyDescent="0.25">
      <c r="A394" s="92"/>
      <c r="F394" s="786"/>
      <c r="G394" s="795"/>
      <c r="H394" s="93"/>
      <c r="I394" s="810"/>
      <c r="J394" s="810"/>
    </row>
    <row r="395" spans="1:10" x14ac:dyDescent="0.25">
      <c r="A395" s="92"/>
      <c r="F395" s="786"/>
      <c r="G395" s="795"/>
      <c r="H395" s="93"/>
      <c r="I395" s="810"/>
      <c r="J395" s="810"/>
    </row>
    <row r="396" spans="1:10" x14ac:dyDescent="0.25">
      <c r="A396" s="92"/>
      <c r="F396" s="786"/>
      <c r="G396" s="795"/>
      <c r="H396" s="93"/>
      <c r="I396" s="810"/>
      <c r="J396" s="810"/>
    </row>
    <row r="397" spans="1:10" x14ac:dyDescent="0.25">
      <c r="A397" s="92"/>
      <c r="F397" s="786"/>
      <c r="G397" s="795"/>
      <c r="H397" s="93"/>
      <c r="I397" s="810"/>
      <c r="J397" s="810"/>
    </row>
    <row r="398" spans="1:10" x14ac:dyDescent="0.25">
      <c r="A398" s="92"/>
      <c r="F398" s="786"/>
      <c r="G398" s="795"/>
      <c r="H398" s="93"/>
      <c r="I398" s="810"/>
      <c r="J398" s="810"/>
    </row>
    <row r="399" spans="1:10" x14ac:dyDescent="0.25">
      <c r="A399" s="92"/>
      <c r="F399" s="786"/>
      <c r="G399" s="795"/>
      <c r="H399" s="93"/>
      <c r="I399" s="810"/>
      <c r="J399" s="810"/>
    </row>
    <row r="400" spans="1:10" x14ac:dyDescent="0.25">
      <c r="A400" s="92"/>
      <c r="F400" s="786"/>
      <c r="G400" s="795"/>
      <c r="H400" s="93"/>
      <c r="I400" s="810"/>
      <c r="J400" s="810"/>
    </row>
    <row r="401" spans="1:10" x14ac:dyDescent="0.25">
      <c r="A401" s="92"/>
      <c r="F401" s="786"/>
      <c r="G401" s="795"/>
      <c r="H401" s="93"/>
      <c r="I401" s="810"/>
      <c r="J401" s="810"/>
    </row>
    <row r="402" spans="1:10" x14ac:dyDescent="0.25">
      <c r="A402" s="92"/>
      <c r="F402" s="786"/>
      <c r="G402" s="795"/>
      <c r="H402" s="93"/>
      <c r="I402" s="810"/>
      <c r="J402" s="810"/>
    </row>
    <row r="403" spans="1:10" x14ac:dyDescent="0.25">
      <c r="A403" s="92"/>
      <c r="F403" s="786"/>
      <c r="G403" s="795"/>
      <c r="H403" s="93"/>
      <c r="I403" s="810"/>
      <c r="J403" s="810"/>
    </row>
    <row r="404" spans="1:10" x14ac:dyDescent="0.25">
      <c r="A404" s="92"/>
      <c r="F404" s="786"/>
      <c r="G404" s="795"/>
      <c r="H404" s="93"/>
      <c r="I404" s="810"/>
      <c r="J404" s="810"/>
    </row>
    <row r="405" spans="1:10" x14ac:dyDescent="0.25">
      <c r="A405" s="92"/>
      <c r="F405" s="786"/>
      <c r="G405" s="795"/>
      <c r="H405" s="93"/>
      <c r="I405" s="810"/>
      <c r="J405" s="810"/>
    </row>
    <row r="406" spans="1:10" x14ac:dyDescent="0.25">
      <c r="A406" s="92"/>
      <c r="F406" s="786"/>
      <c r="G406" s="795"/>
      <c r="H406" s="93"/>
      <c r="I406" s="810"/>
      <c r="J406" s="810"/>
    </row>
    <row r="407" spans="1:10" x14ac:dyDescent="0.25">
      <c r="A407" s="92"/>
      <c r="F407" s="786"/>
      <c r="G407" s="795"/>
      <c r="H407" s="93"/>
      <c r="I407" s="810"/>
      <c r="J407" s="810"/>
    </row>
    <row r="408" spans="1:10" x14ac:dyDescent="0.25">
      <c r="A408" s="92"/>
      <c r="F408" s="786"/>
      <c r="G408" s="795"/>
      <c r="H408" s="93"/>
      <c r="I408" s="810"/>
      <c r="J408" s="810"/>
    </row>
    <row r="409" spans="1:10" x14ac:dyDescent="0.25">
      <c r="A409" s="92"/>
      <c r="F409" s="786"/>
      <c r="G409" s="795"/>
      <c r="H409" s="93"/>
      <c r="I409" s="810"/>
      <c r="J409" s="810"/>
    </row>
    <row r="410" spans="1:10" x14ac:dyDescent="0.25">
      <c r="A410" s="92"/>
      <c r="F410" s="786"/>
      <c r="G410" s="795"/>
      <c r="H410" s="93"/>
      <c r="I410" s="810"/>
      <c r="J410" s="810"/>
    </row>
    <row r="411" spans="1:10" x14ac:dyDescent="0.25">
      <c r="A411" s="92"/>
      <c r="F411" s="786"/>
      <c r="G411" s="795"/>
      <c r="H411" s="93"/>
      <c r="I411" s="810"/>
      <c r="J411" s="810"/>
    </row>
    <row r="412" spans="1:10" x14ac:dyDescent="0.25">
      <c r="A412" s="92"/>
      <c r="F412" s="786"/>
      <c r="G412" s="795"/>
      <c r="H412" s="93"/>
      <c r="I412" s="810"/>
      <c r="J412" s="810"/>
    </row>
    <row r="413" spans="1:10" x14ac:dyDescent="0.25">
      <c r="A413" s="92"/>
      <c r="F413" s="786"/>
      <c r="G413" s="795"/>
      <c r="H413" s="93"/>
      <c r="I413" s="810"/>
      <c r="J413" s="810"/>
    </row>
    <row r="414" spans="1:10" x14ac:dyDescent="0.25">
      <c r="A414" s="92"/>
      <c r="F414" s="786"/>
      <c r="G414" s="795"/>
      <c r="H414" s="93"/>
      <c r="I414" s="810"/>
      <c r="J414" s="810"/>
    </row>
    <row r="415" spans="1:10" x14ac:dyDescent="0.25">
      <c r="A415" s="92"/>
      <c r="F415" s="786"/>
      <c r="G415" s="795"/>
      <c r="H415" s="93"/>
      <c r="I415" s="810"/>
      <c r="J415" s="810"/>
    </row>
    <row r="416" spans="1:10" x14ac:dyDescent="0.25">
      <c r="A416" s="92"/>
      <c r="F416" s="786"/>
      <c r="G416" s="795"/>
      <c r="H416" s="93"/>
      <c r="I416" s="810"/>
      <c r="J416" s="810"/>
    </row>
    <row r="417" spans="1:10" x14ac:dyDescent="0.25">
      <c r="A417" s="92"/>
      <c r="F417" s="786"/>
      <c r="G417" s="795"/>
      <c r="H417" s="93"/>
      <c r="I417" s="810"/>
      <c r="J417" s="810"/>
    </row>
    <row r="418" spans="1:10" x14ac:dyDescent="0.25">
      <c r="A418" s="92"/>
      <c r="F418" s="786"/>
      <c r="G418" s="795"/>
      <c r="H418" s="93"/>
      <c r="I418" s="810"/>
      <c r="J418" s="810"/>
    </row>
    <row r="419" spans="1:10" x14ac:dyDescent="0.25">
      <c r="A419" s="92"/>
      <c r="F419" s="786"/>
      <c r="G419" s="795"/>
      <c r="H419" s="93"/>
      <c r="I419" s="810"/>
      <c r="J419" s="810"/>
    </row>
    <row r="420" spans="1:10" x14ac:dyDescent="0.25">
      <c r="A420" s="92"/>
      <c r="F420" s="786"/>
      <c r="G420" s="795"/>
      <c r="H420" s="93"/>
      <c r="I420" s="810"/>
      <c r="J420" s="810"/>
    </row>
    <row r="421" spans="1:10" x14ac:dyDescent="0.25">
      <c r="A421" s="92"/>
      <c r="F421" s="786"/>
      <c r="G421" s="795"/>
      <c r="H421" s="93"/>
      <c r="I421" s="810"/>
      <c r="J421" s="810"/>
    </row>
    <row r="422" spans="1:10" x14ac:dyDescent="0.25">
      <c r="A422" s="92"/>
      <c r="F422" s="786"/>
      <c r="G422" s="795"/>
      <c r="H422" s="93"/>
      <c r="I422" s="810"/>
      <c r="J422" s="810"/>
    </row>
    <row r="423" spans="1:10" x14ac:dyDescent="0.25">
      <c r="A423" s="92"/>
      <c r="F423" s="786"/>
      <c r="G423" s="795"/>
      <c r="H423" s="93"/>
      <c r="I423" s="810"/>
      <c r="J423" s="810"/>
    </row>
    <row r="424" spans="1:10" x14ac:dyDescent="0.25">
      <c r="A424" s="92"/>
      <c r="F424" s="786"/>
      <c r="G424" s="795"/>
      <c r="H424" s="93"/>
      <c r="I424" s="810"/>
      <c r="J424" s="810"/>
    </row>
    <row r="425" spans="1:10" x14ac:dyDescent="0.25">
      <c r="A425" s="92"/>
      <c r="F425" s="786"/>
      <c r="G425" s="795"/>
      <c r="H425" s="93"/>
      <c r="I425" s="810"/>
      <c r="J425" s="810"/>
    </row>
    <row r="426" spans="1:10" x14ac:dyDescent="0.25">
      <c r="A426" s="92"/>
      <c r="F426" s="786"/>
      <c r="G426" s="795"/>
      <c r="H426" s="93"/>
      <c r="I426" s="810"/>
      <c r="J426" s="810"/>
    </row>
    <row r="427" spans="1:10" x14ac:dyDescent="0.25">
      <c r="A427" s="92"/>
      <c r="F427" s="786"/>
      <c r="G427" s="795"/>
      <c r="H427" s="93"/>
      <c r="I427" s="810"/>
      <c r="J427" s="810"/>
    </row>
    <row r="428" spans="1:10" x14ac:dyDescent="0.25">
      <c r="A428" s="92"/>
      <c r="F428" s="786"/>
      <c r="G428" s="795"/>
      <c r="H428" s="93"/>
      <c r="I428" s="810"/>
      <c r="J428" s="810"/>
    </row>
    <row r="429" spans="1:10" x14ac:dyDescent="0.25">
      <c r="A429" s="92"/>
      <c r="F429" s="786"/>
      <c r="G429" s="795"/>
      <c r="H429" s="93"/>
      <c r="I429" s="810"/>
      <c r="J429" s="810"/>
    </row>
    <row r="430" spans="1:10" x14ac:dyDescent="0.25">
      <c r="A430" s="92"/>
      <c r="F430" s="786"/>
      <c r="G430" s="795"/>
      <c r="H430" s="93"/>
      <c r="I430" s="810"/>
      <c r="J430" s="810"/>
    </row>
    <row r="431" spans="1:10" x14ac:dyDescent="0.25">
      <c r="A431" s="92"/>
      <c r="F431" s="786"/>
      <c r="G431" s="795"/>
      <c r="H431" s="93"/>
      <c r="I431" s="810"/>
      <c r="J431" s="810"/>
    </row>
    <row r="432" spans="1:10" x14ac:dyDescent="0.25">
      <c r="A432" s="92"/>
      <c r="F432" s="786"/>
      <c r="G432" s="795"/>
      <c r="H432" s="93"/>
      <c r="I432" s="810"/>
      <c r="J432" s="810"/>
    </row>
    <row r="433" spans="1:10" x14ac:dyDescent="0.25">
      <c r="A433" s="92"/>
      <c r="F433" s="786"/>
      <c r="G433" s="795"/>
      <c r="H433" s="93"/>
      <c r="I433" s="810"/>
      <c r="J433" s="810"/>
    </row>
    <row r="434" spans="1:10" x14ac:dyDescent="0.25">
      <c r="A434" s="92"/>
      <c r="F434" s="786"/>
      <c r="G434" s="795"/>
      <c r="H434" s="93"/>
      <c r="I434" s="810"/>
      <c r="J434" s="810"/>
    </row>
    <row r="435" spans="1:10" x14ac:dyDescent="0.25">
      <c r="A435" s="92"/>
      <c r="F435" s="786"/>
      <c r="G435" s="795"/>
      <c r="H435" s="93"/>
      <c r="I435" s="810"/>
      <c r="J435" s="810"/>
    </row>
    <row r="436" spans="1:10" x14ac:dyDescent="0.25">
      <c r="A436" s="92"/>
      <c r="F436" s="786"/>
      <c r="G436" s="795"/>
      <c r="H436" s="93"/>
      <c r="I436" s="810"/>
      <c r="J436" s="810"/>
    </row>
    <row r="437" spans="1:10" x14ac:dyDescent="0.25">
      <c r="A437" s="92"/>
      <c r="F437" s="786"/>
      <c r="G437" s="795"/>
      <c r="H437" s="93"/>
      <c r="I437" s="810"/>
      <c r="J437" s="810"/>
    </row>
    <row r="438" spans="1:10" x14ac:dyDescent="0.25">
      <c r="A438" s="92"/>
      <c r="F438" s="786"/>
      <c r="G438" s="795"/>
      <c r="H438" s="93"/>
      <c r="I438" s="810"/>
      <c r="J438" s="810"/>
    </row>
    <row r="439" spans="1:10" x14ac:dyDescent="0.25">
      <c r="A439" s="92"/>
      <c r="F439" s="786"/>
      <c r="G439" s="795"/>
      <c r="H439" s="93"/>
      <c r="I439" s="810"/>
      <c r="J439" s="810"/>
    </row>
    <row r="440" spans="1:10" x14ac:dyDescent="0.25">
      <c r="A440" s="92"/>
      <c r="F440" s="786"/>
      <c r="G440" s="795"/>
      <c r="H440" s="93"/>
      <c r="I440" s="810"/>
      <c r="J440" s="810"/>
    </row>
    <row r="441" spans="1:10" x14ac:dyDescent="0.25">
      <c r="A441" s="92"/>
      <c r="F441" s="786"/>
      <c r="G441" s="795"/>
      <c r="H441" s="93"/>
      <c r="I441" s="810"/>
      <c r="J441" s="810"/>
    </row>
    <row r="442" spans="1:10" x14ac:dyDescent="0.25">
      <c r="A442" s="92"/>
      <c r="F442" s="786"/>
      <c r="G442" s="795"/>
      <c r="H442" s="93"/>
      <c r="I442" s="810"/>
      <c r="J442" s="810"/>
    </row>
    <row r="443" spans="1:10" x14ac:dyDescent="0.25">
      <c r="A443" s="92"/>
      <c r="F443" s="786"/>
      <c r="G443" s="795"/>
      <c r="H443" s="93"/>
      <c r="I443" s="810"/>
      <c r="J443" s="810"/>
    </row>
    <row r="444" spans="1:10" x14ac:dyDescent="0.25">
      <c r="A444" s="92"/>
      <c r="F444" s="786"/>
      <c r="G444" s="795"/>
      <c r="H444" s="93"/>
      <c r="I444" s="810"/>
      <c r="J444" s="810"/>
    </row>
    <row r="445" spans="1:10" x14ac:dyDescent="0.25">
      <c r="A445" s="92"/>
      <c r="F445" s="786"/>
      <c r="G445" s="795"/>
      <c r="H445" s="93"/>
      <c r="I445" s="810"/>
      <c r="J445" s="810"/>
    </row>
    <row r="446" spans="1:10" x14ac:dyDescent="0.25">
      <c r="A446" s="92"/>
      <c r="F446" s="786"/>
      <c r="G446" s="795"/>
      <c r="H446" s="93"/>
      <c r="I446" s="810"/>
      <c r="J446" s="810"/>
    </row>
    <row r="447" spans="1:10" x14ac:dyDescent="0.25">
      <c r="A447" s="92"/>
      <c r="F447" s="786"/>
      <c r="G447" s="795"/>
      <c r="H447" s="93"/>
      <c r="I447" s="810"/>
      <c r="J447" s="810"/>
    </row>
    <row r="448" spans="1:10" x14ac:dyDescent="0.25">
      <c r="A448" s="92"/>
      <c r="F448" s="786"/>
      <c r="G448" s="795"/>
      <c r="H448" s="93"/>
      <c r="I448" s="810"/>
      <c r="J448" s="810"/>
    </row>
    <row r="449" spans="1:10" x14ac:dyDescent="0.25">
      <c r="A449" s="92"/>
      <c r="F449" s="786"/>
      <c r="G449" s="795"/>
      <c r="H449" s="93"/>
      <c r="I449" s="810"/>
      <c r="J449" s="810"/>
    </row>
    <row r="450" spans="1:10" x14ac:dyDescent="0.25">
      <c r="A450" s="92"/>
      <c r="F450" s="786"/>
      <c r="G450" s="795"/>
      <c r="H450" s="93"/>
      <c r="I450" s="810"/>
      <c r="J450" s="810"/>
    </row>
    <row r="451" spans="1:10" x14ac:dyDescent="0.25">
      <c r="A451" s="92"/>
      <c r="F451" s="786"/>
      <c r="G451" s="795"/>
      <c r="H451" s="93"/>
      <c r="I451" s="810"/>
      <c r="J451" s="810"/>
    </row>
    <row r="452" spans="1:10" x14ac:dyDescent="0.25">
      <c r="A452" s="92"/>
      <c r="F452" s="786"/>
      <c r="G452" s="795"/>
      <c r="H452" s="93"/>
      <c r="I452" s="810"/>
      <c r="J452" s="810"/>
    </row>
    <row r="453" spans="1:10" x14ac:dyDescent="0.25">
      <c r="A453" s="92"/>
      <c r="F453" s="786"/>
      <c r="G453" s="795"/>
      <c r="H453" s="93"/>
      <c r="I453" s="810"/>
      <c r="J453" s="810"/>
    </row>
    <row r="454" spans="1:10" x14ac:dyDescent="0.25">
      <c r="A454" s="92"/>
      <c r="F454" s="786"/>
      <c r="G454" s="795"/>
      <c r="H454" s="93"/>
      <c r="I454" s="810"/>
      <c r="J454" s="810"/>
    </row>
    <row r="455" spans="1:10" x14ac:dyDescent="0.25">
      <c r="A455" s="92"/>
      <c r="F455" s="786"/>
      <c r="G455" s="795"/>
      <c r="H455" s="93"/>
      <c r="I455" s="810"/>
      <c r="J455" s="810"/>
    </row>
    <row r="456" spans="1:10" x14ac:dyDescent="0.25">
      <c r="A456" s="92"/>
      <c r="F456" s="786"/>
      <c r="G456" s="795"/>
      <c r="H456" s="93"/>
      <c r="I456" s="810"/>
      <c r="J456" s="810"/>
    </row>
    <row r="457" spans="1:10" x14ac:dyDescent="0.25">
      <c r="A457" s="92"/>
      <c r="F457" s="786"/>
      <c r="G457" s="795"/>
      <c r="H457" s="93"/>
      <c r="I457" s="810"/>
      <c r="J457" s="810"/>
    </row>
    <row r="458" spans="1:10" x14ac:dyDescent="0.25">
      <c r="A458" s="92"/>
      <c r="F458" s="786"/>
      <c r="G458" s="795"/>
      <c r="H458" s="93"/>
      <c r="I458" s="810"/>
      <c r="J458" s="810"/>
    </row>
    <row r="459" spans="1:10" x14ac:dyDescent="0.25">
      <c r="A459" s="92"/>
      <c r="F459" s="786"/>
      <c r="G459" s="795"/>
      <c r="H459" s="93"/>
      <c r="I459" s="810"/>
      <c r="J459" s="810"/>
    </row>
    <row r="460" spans="1:10" x14ac:dyDescent="0.25">
      <c r="A460" s="92"/>
      <c r="F460" s="786"/>
      <c r="G460" s="795"/>
      <c r="H460" s="93"/>
      <c r="I460" s="810"/>
      <c r="J460" s="810"/>
    </row>
    <row r="461" spans="1:10" x14ac:dyDescent="0.25">
      <c r="A461" s="92"/>
      <c r="F461" s="786"/>
      <c r="G461" s="795"/>
      <c r="H461" s="93"/>
      <c r="I461" s="810"/>
      <c r="J461" s="810"/>
    </row>
    <row r="462" spans="1:10" x14ac:dyDescent="0.25">
      <c r="A462" s="92"/>
      <c r="F462" s="786"/>
      <c r="G462" s="795"/>
      <c r="H462" s="93"/>
      <c r="I462" s="810"/>
      <c r="J462" s="810"/>
    </row>
    <row r="463" spans="1:10" x14ac:dyDescent="0.25">
      <c r="A463" s="92"/>
      <c r="F463" s="786"/>
      <c r="G463" s="795"/>
      <c r="H463" s="93"/>
      <c r="I463" s="810"/>
      <c r="J463" s="810"/>
    </row>
    <row r="464" spans="1:10" x14ac:dyDescent="0.25">
      <c r="A464" s="92"/>
      <c r="F464" s="786"/>
      <c r="G464" s="795"/>
      <c r="H464" s="93"/>
      <c r="I464" s="810"/>
      <c r="J464" s="810"/>
    </row>
    <row r="465" spans="1:10" x14ac:dyDescent="0.25">
      <c r="A465" s="92"/>
      <c r="F465" s="786"/>
      <c r="G465" s="795"/>
      <c r="H465" s="93"/>
      <c r="I465" s="810"/>
      <c r="J465" s="810"/>
    </row>
    <row r="466" spans="1:10" x14ac:dyDescent="0.25">
      <c r="A466" s="92"/>
      <c r="F466" s="786"/>
      <c r="G466" s="795"/>
      <c r="H466" s="93"/>
      <c r="I466" s="810"/>
      <c r="J466" s="810"/>
    </row>
    <row r="467" spans="1:10" x14ac:dyDescent="0.25">
      <c r="A467" s="92"/>
      <c r="F467" s="786"/>
      <c r="G467" s="795"/>
      <c r="H467" s="93"/>
      <c r="I467" s="810"/>
      <c r="J467" s="810"/>
    </row>
    <row r="468" spans="1:10" x14ac:dyDescent="0.25">
      <c r="A468" s="92"/>
      <c r="F468" s="786"/>
      <c r="G468" s="795"/>
      <c r="H468" s="93"/>
      <c r="I468" s="810"/>
      <c r="J468" s="810"/>
    </row>
    <row r="469" spans="1:10" x14ac:dyDescent="0.25">
      <c r="A469" s="92"/>
      <c r="F469" s="786"/>
      <c r="G469" s="795"/>
      <c r="H469" s="93"/>
      <c r="I469" s="810"/>
      <c r="J469" s="810"/>
    </row>
    <row r="470" spans="1:10" x14ac:dyDescent="0.25">
      <c r="A470" s="92"/>
      <c r="F470" s="786"/>
      <c r="G470" s="795"/>
      <c r="H470" s="93"/>
      <c r="I470" s="810"/>
      <c r="J470" s="810"/>
    </row>
    <row r="471" spans="1:10" x14ac:dyDescent="0.25">
      <c r="A471" s="92"/>
      <c r="F471" s="786"/>
      <c r="G471" s="795"/>
      <c r="H471" s="93"/>
      <c r="I471" s="810"/>
      <c r="J471" s="810"/>
    </row>
    <row r="472" spans="1:10" x14ac:dyDescent="0.25">
      <c r="A472" s="92"/>
      <c r="F472" s="786"/>
      <c r="G472" s="795"/>
      <c r="H472" s="93"/>
      <c r="I472" s="810"/>
      <c r="J472" s="810"/>
    </row>
    <row r="473" spans="1:10" x14ac:dyDescent="0.25">
      <c r="A473" s="92"/>
      <c r="F473" s="786"/>
      <c r="G473" s="795"/>
      <c r="H473" s="93"/>
      <c r="I473" s="810"/>
      <c r="J473" s="810"/>
    </row>
    <row r="474" spans="1:10" x14ac:dyDescent="0.25">
      <c r="A474" s="92"/>
      <c r="F474" s="786"/>
      <c r="G474" s="795"/>
      <c r="H474" s="93"/>
      <c r="I474" s="810"/>
      <c r="J474" s="810"/>
    </row>
    <row r="475" spans="1:10" x14ac:dyDescent="0.25">
      <c r="A475" s="92"/>
      <c r="F475" s="786"/>
      <c r="G475" s="795"/>
      <c r="H475" s="93"/>
      <c r="I475" s="810"/>
      <c r="J475" s="810"/>
    </row>
    <row r="476" spans="1:10" x14ac:dyDescent="0.25">
      <c r="A476" s="92"/>
      <c r="F476" s="786"/>
      <c r="G476" s="795"/>
      <c r="H476" s="93"/>
      <c r="I476" s="810"/>
      <c r="J476" s="810"/>
    </row>
    <row r="477" spans="1:10" x14ac:dyDescent="0.25">
      <c r="A477" s="92"/>
      <c r="F477" s="786"/>
      <c r="G477" s="795"/>
      <c r="H477" s="93"/>
      <c r="I477" s="810"/>
      <c r="J477" s="810"/>
    </row>
    <row r="478" spans="1:10" x14ac:dyDescent="0.25">
      <c r="A478" s="92"/>
      <c r="F478" s="786"/>
      <c r="G478" s="795"/>
      <c r="H478" s="93"/>
      <c r="I478" s="810"/>
      <c r="J478" s="810"/>
    </row>
    <row r="479" spans="1:10" x14ac:dyDescent="0.25">
      <c r="A479" s="92"/>
      <c r="F479" s="786"/>
      <c r="G479" s="795"/>
      <c r="H479" s="93"/>
      <c r="I479" s="810"/>
      <c r="J479" s="810"/>
    </row>
    <row r="480" spans="1:10" x14ac:dyDescent="0.25">
      <c r="A480" s="92"/>
      <c r="F480" s="786"/>
      <c r="G480" s="795"/>
      <c r="H480" s="93"/>
      <c r="I480" s="810"/>
      <c r="J480" s="810"/>
    </row>
    <row r="481" spans="1:10" x14ac:dyDescent="0.25">
      <c r="A481" s="92"/>
      <c r="F481" s="786"/>
      <c r="G481" s="795"/>
      <c r="H481" s="93"/>
      <c r="I481" s="810"/>
      <c r="J481" s="810"/>
    </row>
    <row r="482" spans="1:10" x14ac:dyDescent="0.25">
      <c r="A482" s="92"/>
      <c r="F482" s="786"/>
      <c r="G482" s="795"/>
      <c r="H482" s="93"/>
      <c r="I482" s="810"/>
      <c r="J482" s="810"/>
    </row>
    <row r="483" spans="1:10" x14ac:dyDescent="0.25">
      <c r="A483" s="92"/>
      <c r="F483" s="786"/>
      <c r="G483" s="795"/>
      <c r="H483" s="93"/>
      <c r="I483" s="810"/>
      <c r="J483" s="810"/>
    </row>
    <row r="484" spans="1:10" x14ac:dyDescent="0.25">
      <c r="A484" s="92"/>
      <c r="F484" s="786"/>
      <c r="G484" s="795"/>
      <c r="H484" s="93"/>
      <c r="I484" s="810"/>
      <c r="J484" s="810"/>
    </row>
    <row r="485" spans="1:10" x14ac:dyDescent="0.25">
      <c r="A485" s="92"/>
      <c r="F485" s="786"/>
      <c r="G485" s="795"/>
      <c r="H485" s="93"/>
      <c r="I485" s="810"/>
      <c r="J485" s="810"/>
    </row>
    <row r="486" spans="1:10" x14ac:dyDescent="0.25">
      <c r="A486" s="92"/>
      <c r="F486" s="786"/>
      <c r="G486" s="795"/>
      <c r="H486" s="93"/>
      <c r="I486" s="810"/>
      <c r="J486" s="810"/>
    </row>
    <row r="487" spans="1:10" x14ac:dyDescent="0.25">
      <c r="A487" s="92"/>
      <c r="F487" s="786"/>
      <c r="G487" s="795"/>
      <c r="H487" s="93"/>
      <c r="I487" s="810"/>
      <c r="J487" s="810"/>
    </row>
    <row r="488" spans="1:10" x14ac:dyDescent="0.25">
      <c r="A488" s="92"/>
      <c r="F488" s="786"/>
      <c r="G488" s="795"/>
      <c r="H488" s="93"/>
      <c r="I488" s="810"/>
      <c r="J488" s="810"/>
    </row>
    <row r="489" spans="1:10" x14ac:dyDescent="0.25">
      <c r="A489" s="92"/>
      <c r="F489" s="786"/>
      <c r="G489" s="795"/>
      <c r="H489" s="93"/>
      <c r="I489" s="810"/>
      <c r="J489" s="810"/>
    </row>
    <row r="490" spans="1:10" x14ac:dyDescent="0.25">
      <c r="A490" s="92"/>
      <c r="F490" s="786"/>
      <c r="G490" s="795"/>
      <c r="H490" s="93"/>
      <c r="I490" s="810"/>
      <c r="J490" s="810"/>
    </row>
    <row r="491" spans="1:10" x14ac:dyDescent="0.25">
      <c r="A491" s="92"/>
      <c r="F491" s="786"/>
      <c r="G491" s="795"/>
      <c r="H491" s="93"/>
      <c r="I491" s="810"/>
      <c r="J491" s="810"/>
    </row>
    <row r="492" spans="1:10" x14ac:dyDescent="0.25">
      <c r="A492" s="92"/>
      <c r="F492" s="786"/>
      <c r="G492" s="795"/>
      <c r="H492" s="93"/>
      <c r="I492" s="810"/>
      <c r="J492" s="810"/>
    </row>
    <row r="493" spans="1:10" x14ac:dyDescent="0.25">
      <c r="A493" s="92"/>
      <c r="F493" s="786"/>
      <c r="G493" s="795"/>
      <c r="H493" s="93"/>
      <c r="I493" s="810"/>
      <c r="J493" s="810"/>
    </row>
    <row r="494" spans="1:10" x14ac:dyDescent="0.25">
      <c r="A494" s="92"/>
      <c r="F494" s="786"/>
      <c r="G494" s="795"/>
      <c r="H494" s="93"/>
      <c r="I494" s="810"/>
      <c r="J494" s="810"/>
    </row>
    <row r="495" spans="1:10" x14ac:dyDescent="0.25">
      <c r="A495" s="92"/>
      <c r="F495" s="786"/>
      <c r="G495" s="795"/>
      <c r="H495" s="93"/>
      <c r="I495" s="810"/>
      <c r="J495" s="810"/>
    </row>
    <row r="496" spans="1:10" x14ac:dyDescent="0.25">
      <c r="A496" s="92"/>
      <c r="F496" s="786"/>
      <c r="G496" s="795"/>
      <c r="H496" s="93"/>
      <c r="I496" s="810"/>
      <c r="J496" s="810"/>
    </row>
    <row r="497" spans="1:10" x14ac:dyDescent="0.25">
      <c r="A497" s="92"/>
      <c r="F497" s="786"/>
      <c r="G497" s="795"/>
      <c r="H497" s="93"/>
      <c r="I497" s="810"/>
      <c r="J497" s="810"/>
    </row>
    <row r="498" spans="1:10" x14ac:dyDescent="0.25">
      <c r="A498" s="92"/>
      <c r="F498" s="786"/>
      <c r="G498" s="795"/>
      <c r="H498" s="93"/>
      <c r="I498" s="810"/>
      <c r="J498" s="810"/>
    </row>
    <row r="499" spans="1:10" x14ac:dyDescent="0.25">
      <c r="A499" s="92"/>
      <c r="F499" s="786"/>
      <c r="G499" s="795"/>
      <c r="H499" s="93"/>
      <c r="I499" s="810"/>
      <c r="J499" s="810"/>
    </row>
    <row r="500" spans="1:10" x14ac:dyDescent="0.25">
      <c r="A500" s="92"/>
      <c r="F500" s="786"/>
      <c r="G500" s="795"/>
      <c r="H500" s="93"/>
      <c r="I500" s="810"/>
      <c r="J500" s="810"/>
    </row>
    <row r="501" spans="1:10" x14ac:dyDescent="0.25">
      <c r="A501" s="92"/>
      <c r="F501" s="786"/>
      <c r="G501" s="795"/>
      <c r="H501" s="93"/>
      <c r="I501" s="810"/>
      <c r="J501" s="810"/>
    </row>
    <row r="502" spans="1:10" x14ac:dyDescent="0.25">
      <c r="A502" s="92"/>
      <c r="F502" s="786"/>
      <c r="G502" s="795"/>
      <c r="H502" s="93"/>
      <c r="I502" s="810"/>
      <c r="J502" s="810"/>
    </row>
    <row r="503" spans="1:10" x14ac:dyDescent="0.25">
      <c r="A503" s="92"/>
      <c r="F503" s="786"/>
      <c r="G503" s="795"/>
      <c r="H503" s="93"/>
      <c r="I503" s="810"/>
      <c r="J503" s="810"/>
    </row>
    <row r="504" spans="1:10" x14ac:dyDescent="0.25">
      <c r="A504" s="92"/>
      <c r="F504" s="786"/>
      <c r="G504" s="795"/>
      <c r="H504" s="93"/>
      <c r="I504" s="810"/>
      <c r="J504" s="810"/>
    </row>
    <row r="505" spans="1:10" x14ac:dyDescent="0.25">
      <c r="A505" s="92"/>
      <c r="F505" s="786"/>
      <c r="G505" s="795"/>
      <c r="H505" s="93"/>
      <c r="I505" s="810"/>
      <c r="J505" s="810"/>
    </row>
    <row r="506" spans="1:10" x14ac:dyDescent="0.25">
      <c r="A506" s="92"/>
      <c r="F506" s="786"/>
      <c r="G506" s="795"/>
      <c r="H506" s="93"/>
      <c r="I506" s="810"/>
      <c r="J506" s="810"/>
    </row>
    <row r="507" spans="1:10" x14ac:dyDescent="0.25">
      <c r="A507" s="92"/>
      <c r="F507" s="786"/>
      <c r="G507" s="795"/>
      <c r="H507" s="93"/>
      <c r="I507" s="810"/>
      <c r="J507" s="810"/>
    </row>
    <row r="508" spans="1:10" x14ac:dyDescent="0.25">
      <c r="A508" s="92"/>
      <c r="F508" s="786"/>
      <c r="G508" s="795"/>
      <c r="H508" s="93"/>
      <c r="I508" s="810"/>
      <c r="J508" s="810"/>
    </row>
    <row r="509" spans="1:10" x14ac:dyDescent="0.25">
      <c r="A509" s="92"/>
      <c r="F509" s="786"/>
      <c r="G509" s="795"/>
      <c r="H509" s="93"/>
      <c r="I509" s="810"/>
      <c r="J509" s="810"/>
    </row>
    <row r="510" spans="1:10" x14ac:dyDescent="0.25">
      <c r="A510" s="92"/>
      <c r="F510" s="786"/>
      <c r="G510" s="795"/>
      <c r="H510" s="93"/>
      <c r="I510" s="810"/>
      <c r="J510" s="810"/>
    </row>
    <row r="511" spans="1:10" x14ac:dyDescent="0.25">
      <c r="A511" s="92"/>
      <c r="F511" s="786"/>
      <c r="G511" s="795"/>
      <c r="H511" s="93"/>
      <c r="I511" s="810"/>
      <c r="J511" s="810"/>
    </row>
    <row r="512" spans="1:10" x14ac:dyDescent="0.25">
      <c r="A512" s="92"/>
      <c r="F512" s="786"/>
      <c r="G512" s="795"/>
      <c r="H512" s="93"/>
      <c r="I512" s="810"/>
      <c r="J512" s="810"/>
    </row>
    <row r="513" spans="1:10" x14ac:dyDescent="0.25">
      <c r="A513" s="92"/>
      <c r="F513" s="786"/>
      <c r="G513" s="795"/>
      <c r="H513" s="93"/>
      <c r="I513" s="810"/>
      <c r="J513" s="810"/>
    </row>
    <row r="514" spans="1:10" x14ac:dyDescent="0.25">
      <c r="A514" s="92"/>
      <c r="F514" s="786"/>
      <c r="G514" s="795"/>
      <c r="H514" s="93"/>
      <c r="I514" s="810"/>
      <c r="J514" s="810"/>
    </row>
    <row r="515" spans="1:10" x14ac:dyDescent="0.25">
      <c r="A515" s="92"/>
      <c r="F515" s="786"/>
      <c r="G515" s="795"/>
      <c r="H515" s="93"/>
      <c r="I515" s="810"/>
      <c r="J515" s="810"/>
    </row>
    <row r="516" spans="1:10" x14ac:dyDescent="0.25">
      <c r="A516" s="92"/>
      <c r="F516" s="786"/>
      <c r="G516" s="795"/>
      <c r="H516" s="93"/>
      <c r="I516" s="810"/>
      <c r="J516" s="810"/>
    </row>
    <row r="517" spans="1:10" x14ac:dyDescent="0.25">
      <c r="A517" s="92"/>
      <c r="F517" s="786"/>
      <c r="G517" s="795"/>
      <c r="H517" s="93"/>
      <c r="I517" s="810"/>
      <c r="J517" s="810"/>
    </row>
    <row r="518" spans="1:10" x14ac:dyDescent="0.25">
      <c r="A518" s="92"/>
      <c r="F518" s="786"/>
      <c r="G518" s="795"/>
      <c r="H518" s="93"/>
      <c r="I518" s="810"/>
      <c r="J518" s="810"/>
    </row>
    <row r="519" spans="1:10" x14ac:dyDescent="0.25">
      <c r="A519" s="92"/>
      <c r="F519" s="786"/>
      <c r="G519" s="795"/>
      <c r="H519" s="93"/>
      <c r="I519" s="810"/>
      <c r="J519" s="810"/>
    </row>
    <row r="520" spans="1:10" x14ac:dyDescent="0.25">
      <c r="A520" s="92"/>
      <c r="F520" s="786"/>
      <c r="G520" s="795"/>
      <c r="H520" s="93"/>
      <c r="I520" s="810"/>
      <c r="J520" s="810"/>
    </row>
    <row r="521" spans="1:10" x14ac:dyDescent="0.25">
      <c r="A521" s="92"/>
      <c r="F521" s="786"/>
      <c r="G521" s="795"/>
      <c r="H521" s="93"/>
      <c r="I521" s="810"/>
      <c r="J521" s="810"/>
    </row>
    <row r="522" spans="1:10" x14ac:dyDescent="0.25">
      <c r="A522" s="92"/>
      <c r="F522" s="786"/>
      <c r="G522" s="795"/>
      <c r="H522" s="93"/>
      <c r="I522" s="810"/>
      <c r="J522" s="810"/>
    </row>
    <row r="523" spans="1:10" x14ac:dyDescent="0.25">
      <c r="A523" s="92"/>
      <c r="F523" s="786"/>
      <c r="G523" s="795"/>
      <c r="H523" s="93"/>
      <c r="I523" s="810"/>
      <c r="J523" s="810"/>
    </row>
    <row r="524" spans="1:10" x14ac:dyDescent="0.25">
      <c r="A524" s="92"/>
      <c r="F524" s="786"/>
      <c r="G524" s="795"/>
      <c r="H524" s="93"/>
      <c r="I524" s="810"/>
      <c r="J524" s="810"/>
    </row>
    <row r="525" spans="1:10" x14ac:dyDescent="0.25">
      <c r="A525" s="92"/>
      <c r="F525" s="786"/>
      <c r="G525" s="795"/>
      <c r="H525" s="93"/>
      <c r="I525" s="810"/>
      <c r="J525" s="810"/>
    </row>
    <row r="526" spans="1:10" x14ac:dyDescent="0.25">
      <c r="A526" s="92"/>
      <c r="F526" s="786"/>
      <c r="G526" s="795"/>
      <c r="H526" s="93"/>
      <c r="I526" s="810"/>
      <c r="J526" s="810"/>
    </row>
    <row r="527" spans="1:10" x14ac:dyDescent="0.25">
      <c r="A527" s="92"/>
      <c r="F527" s="786"/>
      <c r="G527" s="795"/>
      <c r="H527" s="93"/>
      <c r="I527" s="810"/>
      <c r="J527" s="810"/>
    </row>
    <row r="528" spans="1:10" x14ac:dyDescent="0.25">
      <c r="A528" s="92"/>
      <c r="F528" s="786"/>
      <c r="G528" s="795"/>
      <c r="H528" s="93"/>
      <c r="I528" s="810"/>
      <c r="J528" s="810"/>
    </row>
    <row r="529" spans="1:10" x14ac:dyDescent="0.25">
      <c r="A529" s="92"/>
      <c r="F529" s="786"/>
      <c r="G529" s="795"/>
      <c r="H529" s="93"/>
      <c r="I529" s="810"/>
      <c r="J529" s="810"/>
    </row>
    <row r="530" spans="1:10" x14ac:dyDescent="0.25">
      <c r="A530" s="92"/>
      <c r="F530" s="786"/>
      <c r="G530" s="795"/>
      <c r="H530" s="93"/>
      <c r="I530" s="810"/>
      <c r="J530" s="810"/>
    </row>
    <row r="531" spans="1:10" x14ac:dyDescent="0.25">
      <c r="A531" s="92"/>
      <c r="F531" s="786"/>
      <c r="G531" s="795"/>
      <c r="H531" s="93"/>
      <c r="I531" s="810"/>
      <c r="J531" s="810"/>
    </row>
    <row r="532" spans="1:10" x14ac:dyDescent="0.25">
      <c r="A532" s="92"/>
      <c r="F532" s="786"/>
      <c r="G532" s="795"/>
      <c r="H532" s="93"/>
      <c r="I532" s="810"/>
      <c r="J532" s="810"/>
    </row>
    <row r="533" spans="1:10" x14ac:dyDescent="0.25">
      <c r="A533" s="92"/>
      <c r="F533" s="786"/>
      <c r="G533" s="795"/>
      <c r="H533" s="93"/>
      <c r="I533" s="810"/>
      <c r="J533" s="810"/>
    </row>
    <row r="534" spans="1:10" x14ac:dyDescent="0.25">
      <c r="A534" s="92"/>
      <c r="F534" s="786"/>
      <c r="G534" s="795"/>
      <c r="H534" s="93"/>
      <c r="I534" s="810"/>
      <c r="J534" s="810"/>
    </row>
    <row r="535" spans="1:10" x14ac:dyDescent="0.25">
      <c r="A535" s="92"/>
      <c r="F535" s="786"/>
      <c r="G535" s="795"/>
      <c r="H535" s="93"/>
      <c r="I535" s="810"/>
      <c r="J535" s="810"/>
    </row>
    <row r="536" spans="1:10" x14ac:dyDescent="0.25">
      <c r="A536" s="92"/>
      <c r="F536" s="786"/>
      <c r="G536" s="795"/>
      <c r="H536" s="93"/>
      <c r="I536" s="810"/>
      <c r="J536" s="810"/>
    </row>
    <row r="537" spans="1:10" x14ac:dyDescent="0.25">
      <c r="A537" s="92"/>
      <c r="F537" s="786"/>
      <c r="G537" s="795"/>
      <c r="H537" s="93"/>
      <c r="I537" s="810"/>
      <c r="J537" s="810"/>
    </row>
    <row r="538" spans="1:10" x14ac:dyDescent="0.25">
      <c r="A538" s="92"/>
      <c r="F538" s="786"/>
      <c r="G538" s="795"/>
      <c r="H538" s="93"/>
      <c r="I538" s="810"/>
      <c r="J538" s="810"/>
    </row>
    <row r="539" spans="1:10" x14ac:dyDescent="0.25">
      <c r="A539" s="92"/>
      <c r="F539" s="786"/>
      <c r="G539" s="795"/>
      <c r="H539" s="93"/>
      <c r="I539" s="810"/>
      <c r="J539" s="810"/>
    </row>
    <row r="540" spans="1:10" x14ac:dyDescent="0.25">
      <c r="A540" s="92"/>
      <c r="F540" s="786"/>
      <c r="G540" s="795"/>
      <c r="H540" s="93"/>
      <c r="I540" s="810"/>
      <c r="J540" s="810"/>
    </row>
    <row r="541" spans="1:10" x14ac:dyDescent="0.25">
      <c r="A541" s="92"/>
      <c r="F541" s="786"/>
      <c r="G541" s="795"/>
      <c r="H541" s="93"/>
      <c r="I541" s="810"/>
      <c r="J541" s="810"/>
    </row>
    <row r="542" spans="1:10" x14ac:dyDescent="0.25">
      <c r="A542" s="92"/>
      <c r="F542" s="786"/>
      <c r="G542" s="795"/>
      <c r="H542" s="93"/>
      <c r="I542" s="810"/>
      <c r="J542" s="810"/>
    </row>
    <row r="543" spans="1:10" x14ac:dyDescent="0.25">
      <c r="A543" s="92"/>
      <c r="F543" s="786"/>
      <c r="G543" s="795"/>
      <c r="H543" s="93"/>
      <c r="I543" s="810"/>
      <c r="J543" s="810"/>
    </row>
    <row r="544" spans="1:10" x14ac:dyDescent="0.25">
      <c r="A544" s="92"/>
      <c r="F544" s="786"/>
      <c r="G544" s="795"/>
      <c r="H544" s="93"/>
      <c r="I544" s="810"/>
      <c r="J544" s="810"/>
    </row>
    <row r="545" spans="1:10" x14ac:dyDescent="0.25">
      <c r="A545" s="92"/>
      <c r="F545" s="786"/>
      <c r="G545" s="795"/>
      <c r="H545" s="93"/>
      <c r="I545" s="810"/>
      <c r="J545" s="810"/>
    </row>
    <row r="546" spans="1:10" x14ac:dyDescent="0.25">
      <c r="A546" s="92"/>
      <c r="F546" s="786"/>
      <c r="G546" s="795"/>
      <c r="H546" s="93"/>
      <c r="I546" s="810"/>
      <c r="J546" s="810"/>
    </row>
    <row r="547" spans="1:10" x14ac:dyDescent="0.25">
      <c r="A547" s="92"/>
      <c r="F547" s="786"/>
      <c r="G547" s="795"/>
      <c r="H547" s="93"/>
      <c r="I547" s="810"/>
      <c r="J547" s="810"/>
    </row>
    <row r="548" spans="1:10" x14ac:dyDescent="0.25">
      <c r="A548" s="92"/>
      <c r="F548" s="786"/>
      <c r="G548" s="795"/>
      <c r="H548" s="93"/>
      <c r="I548" s="810"/>
      <c r="J548" s="810"/>
    </row>
    <row r="549" spans="1:10" x14ac:dyDescent="0.25">
      <c r="A549" s="92"/>
      <c r="F549" s="786"/>
      <c r="G549" s="795"/>
      <c r="H549" s="93"/>
      <c r="I549" s="810"/>
      <c r="J549" s="810"/>
    </row>
    <row r="550" spans="1:10" x14ac:dyDescent="0.25">
      <c r="A550" s="92"/>
      <c r="F550" s="786"/>
      <c r="G550" s="795"/>
      <c r="H550" s="93"/>
      <c r="I550" s="810"/>
      <c r="J550" s="810"/>
    </row>
    <row r="551" spans="1:10" x14ac:dyDescent="0.25">
      <c r="A551" s="92"/>
      <c r="F551" s="786"/>
      <c r="G551" s="795"/>
      <c r="H551" s="93"/>
      <c r="I551" s="810"/>
      <c r="J551" s="810"/>
    </row>
    <row r="552" spans="1:10" x14ac:dyDescent="0.25">
      <c r="A552" s="92"/>
      <c r="F552" s="786"/>
      <c r="G552" s="795"/>
      <c r="H552" s="93"/>
      <c r="I552" s="810"/>
      <c r="J552" s="810"/>
    </row>
    <row r="553" spans="1:10" x14ac:dyDescent="0.25">
      <c r="A553" s="92"/>
      <c r="F553" s="786"/>
      <c r="G553" s="795"/>
      <c r="H553" s="93"/>
      <c r="I553" s="810"/>
      <c r="J553" s="810"/>
    </row>
    <row r="554" spans="1:10" x14ac:dyDescent="0.25">
      <c r="A554" s="92"/>
      <c r="F554" s="786"/>
      <c r="G554" s="795"/>
      <c r="H554" s="93"/>
      <c r="I554" s="810"/>
      <c r="J554" s="810"/>
    </row>
    <row r="555" spans="1:10" x14ac:dyDescent="0.25">
      <c r="A555" s="92"/>
      <c r="F555" s="786"/>
      <c r="G555" s="795"/>
      <c r="H555" s="93"/>
      <c r="I555" s="810"/>
      <c r="J555" s="810"/>
    </row>
    <row r="556" spans="1:10" x14ac:dyDescent="0.25">
      <c r="A556" s="92"/>
      <c r="F556" s="786"/>
      <c r="G556" s="795"/>
      <c r="H556" s="93"/>
      <c r="I556" s="810"/>
      <c r="J556" s="810"/>
    </row>
    <row r="557" spans="1:10" x14ac:dyDescent="0.25">
      <c r="A557" s="92"/>
      <c r="F557" s="786"/>
      <c r="G557" s="795"/>
      <c r="H557" s="93"/>
      <c r="I557" s="810"/>
      <c r="J557" s="810"/>
    </row>
    <row r="558" spans="1:10" x14ac:dyDescent="0.25">
      <c r="A558" s="92"/>
      <c r="F558" s="786"/>
      <c r="G558" s="795"/>
      <c r="H558" s="93"/>
      <c r="I558" s="810"/>
      <c r="J558" s="810"/>
    </row>
    <row r="559" spans="1:10" x14ac:dyDescent="0.25">
      <c r="A559" s="92"/>
      <c r="F559" s="786"/>
      <c r="G559" s="795"/>
      <c r="H559" s="93"/>
      <c r="I559" s="810"/>
      <c r="J559" s="810"/>
    </row>
    <row r="560" spans="1:10" x14ac:dyDescent="0.25">
      <c r="A560" s="92"/>
      <c r="F560" s="786"/>
      <c r="G560" s="795"/>
      <c r="H560" s="93"/>
      <c r="I560" s="810"/>
      <c r="J560" s="810"/>
    </row>
    <row r="561" spans="1:10" x14ac:dyDescent="0.25">
      <c r="A561" s="92"/>
      <c r="F561" s="786"/>
      <c r="G561" s="795"/>
      <c r="H561" s="93"/>
      <c r="I561" s="810"/>
      <c r="J561" s="810"/>
    </row>
    <row r="562" spans="1:10" x14ac:dyDescent="0.25">
      <c r="A562" s="92"/>
      <c r="F562" s="786"/>
      <c r="G562" s="795"/>
      <c r="H562" s="93"/>
      <c r="I562" s="810"/>
      <c r="J562" s="810"/>
    </row>
    <row r="563" spans="1:10" x14ac:dyDescent="0.25">
      <c r="A563" s="92"/>
      <c r="F563" s="786"/>
      <c r="G563" s="795"/>
      <c r="H563" s="93"/>
      <c r="I563" s="810"/>
      <c r="J563" s="810"/>
    </row>
    <row r="564" spans="1:10" x14ac:dyDescent="0.25">
      <c r="A564" s="92"/>
      <c r="F564" s="786"/>
      <c r="G564" s="795"/>
      <c r="H564" s="93"/>
      <c r="I564" s="810"/>
      <c r="J564" s="810"/>
    </row>
    <row r="565" spans="1:10" x14ac:dyDescent="0.25">
      <c r="A565" s="92"/>
      <c r="F565" s="786"/>
      <c r="G565" s="795"/>
      <c r="H565" s="93"/>
      <c r="I565" s="810"/>
      <c r="J565" s="810"/>
    </row>
    <row r="566" spans="1:10" x14ac:dyDescent="0.25">
      <c r="A566" s="92"/>
      <c r="F566" s="786"/>
      <c r="G566" s="795"/>
      <c r="H566" s="93"/>
      <c r="I566" s="810"/>
      <c r="J566" s="810"/>
    </row>
    <row r="567" spans="1:10" x14ac:dyDescent="0.25">
      <c r="A567" s="92"/>
      <c r="F567" s="786"/>
      <c r="G567" s="795"/>
      <c r="H567" s="93"/>
      <c r="I567" s="810"/>
      <c r="J567" s="810"/>
    </row>
    <row r="568" spans="1:10" x14ac:dyDescent="0.25">
      <c r="A568" s="92"/>
      <c r="F568" s="786"/>
      <c r="G568" s="795"/>
      <c r="H568" s="93"/>
      <c r="I568" s="810"/>
      <c r="J568" s="810"/>
    </row>
    <row r="569" spans="1:10" x14ac:dyDescent="0.25">
      <c r="A569" s="92"/>
      <c r="F569" s="786"/>
      <c r="G569" s="795"/>
      <c r="H569" s="93"/>
      <c r="I569" s="810"/>
      <c r="J569" s="810"/>
    </row>
    <row r="570" spans="1:10" x14ac:dyDescent="0.25">
      <c r="A570" s="92"/>
      <c r="F570" s="786"/>
      <c r="G570" s="795"/>
      <c r="H570" s="93"/>
      <c r="I570" s="810"/>
      <c r="J570" s="810"/>
    </row>
    <row r="571" spans="1:10" x14ac:dyDescent="0.25">
      <c r="A571" s="92"/>
      <c r="F571" s="786"/>
      <c r="G571" s="795"/>
      <c r="H571" s="93"/>
      <c r="I571" s="810"/>
      <c r="J571" s="810"/>
    </row>
    <row r="572" spans="1:10" x14ac:dyDescent="0.25">
      <c r="A572" s="92"/>
      <c r="F572" s="786"/>
      <c r="G572" s="795"/>
      <c r="H572" s="93"/>
      <c r="I572" s="810"/>
      <c r="J572" s="810"/>
    </row>
    <row r="573" spans="1:10" x14ac:dyDescent="0.25">
      <c r="A573" s="92"/>
      <c r="F573" s="786"/>
      <c r="G573" s="795"/>
      <c r="H573" s="93"/>
      <c r="I573" s="810"/>
      <c r="J573" s="810"/>
    </row>
    <row r="574" spans="1:10" x14ac:dyDescent="0.25">
      <c r="A574" s="92"/>
      <c r="F574" s="786"/>
      <c r="G574" s="795"/>
      <c r="H574" s="93"/>
      <c r="I574" s="810"/>
      <c r="J574" s="810"/>
    </row>
    <row r="575" spans="1:10" x14ac:dyDescent="0.25">
      <c r="A575" s="92"/>
      <c r="F575" s="786"/>
      <c r="G575" s="795"/>
      <c r="H575" s="93"/>
      <c r="I575" s="810"/>
      <c r="J575" s="810"/>
    </row>
    <row r="576" spans="1:10" x14ac:dyDescent="0.25">
      <c r="A576" s="92"/>
      <c r="F576" s="786"/>
      <c r="G576" s="795"/>
      <c r="H576" s="93"/>
      <c r="I576" s="810"/>
      <c r="J576" s="810"/>
    </row>
    <row r="577" spans="1:10" x14ac:dyDescent="0.25">
      <c r="A577" s="92"/>
      <c r="F577" s="786"/>
      <c r="G577" s="795"/>
      <c r="H577" s="93"/>
      <c r="I577" s="810"/>
      <c r="J577" s="810"/>
    </row>
    <row r="578" spans="1:10" x14ac:dyDescent="0.25">
      <c r="A578" s="92"/>
      <c r="F578" s="786"/>
      <c r="G578" s="795"/>
      <c r="H578" s="93"/>
      <c r="I578" s="810"/>
      <c r="J578" s="810"/>
    </row>
    <row r="579" spans="1:10" x14ac:dyDescent="0.25">
      <c r="A579" s="92"/>
      <c r="F579" s="786"/>
      <c r="G579" s="795"/>
      <c r="H579" s="93"/>
      <c r="I579" s="810"/>
      <c r="J579" s="810"/>
    </row>
    <row r="580" spans="1:10" x14ac:dyDescent="0.25">
      <c r="A580" s="92"/>
      <c r="F580" s="786"/>
      <c r="G580" s="795"/>
      <c r="H580" s="93"/>
      <c r="I580" s="810"/>
      <c r="J580" s="810"/>
    </row>
    <row r="581" spans="1:10" x14ac:dyDescent="0.25">
      <c r="A581" s="92"/>
      <c r="F581" s="786"/>
      <c r="G581" s="795"/>
      <c r="H581" s="93"/>
      <c r="I581" s="810"/>
      <c r="J581" s="810"/>
    </row>
    <row r="582" spans="1:10" x14ac:dyDescent="0.25">
      <c r="A582" s="92"/>
      <c r="F582" s="786"/>
      <c r="G582" s="795"/>
      <c r="H582" s="93"/>
      <c r="I582" s="810"/>
      <c r="J582" s="810"/>
    </row>
    <row r="583" spans="1:10" x14ac:dyDescent="0.25">
      <c r="A583" s="92"/>
      <c r="F583" s="786"/>
      <c r="G583" s="795"/>
      <c r="H583" s="93"/>
      <c r="I583" s="810"/>
      <c r="J583" s="810"/>
    </row>
    <row r="584" spans="1:10" x14ac:dyDescent="0.25">
      <c r="A584" s="92"/>
      <c r="F584" s="786"/>
      <c r="G584" s="795"/>
      <c r="H584" s="93"/>
      <c r="I584" s="810"/>
      <c r="J584" s="810"/>
    </row>
    <row r="585" spans="1:10" x14ac:dyDescent="0.25">
      <c r="A585" s="92"/>
      <c r="F585" s="786"/>
      <c r="G585" s="795"/>
      <c r="H585" s="93"/>
      <c r="I585" s="810"/>
      <c r="J585" s="810"/>
    </row>
    <row r="586" spans="1:10" x14ac:dyDescent="0.25">
      <c r="A586" s="92"/>
      <c r="F586" s="786"/>
      <c r="G586" s="795"/>
      <c r="H586" s="93"/>
      <c r="I586" s="810"/>
      <c r="J586" s="810"/>
    </row>
    <row r="587" spans="1:10" x14ac:dyDescent="0.25">
      <c r="A587" s="92"/>
      <c r="F587" s="786"/>
      <c r="G587" s="795"/>
      <c r="H587" s="93"/>
      <c r="I587" s="810"/>
      <c r="J587" s="810"/>
    </row>
    <row r="588" spans="1:10" x14ac:dyDescent="0.25">
      <c r="A588" s="92"/>
      <c r="F588" s="786"/>
      <c r="G588" s="795"/>
      <c r="H588" s="93"/>
      <c r="I588" s="810"/>
      <c r="J588" s="810"/>
    </row>
    <row r="589" spans="1:10" x14ac:dyDescent="0.25">
      <c r="A589" s="92"/>
      <c r="F589" s="786"/>
      <c r="G589" s="795"/>
      <c r="H589" s="93"/>
      <c r="I589" s="810"/>
      <c r="J589" s="810"/>
    </row>
    <row r="590" spans="1:10" x14ac:dyDescent="0.25">
      <c r="A590" s="92"/>
      <c r="F590" s="786"/>
      <c r="G590" s="795"/>
      <c r="H590" s="93"/>
      <c r="I590" s="810"/>
      <c r="J590" s="810"/>
    </row>
    <row r="591" spans="1:10" x14ac:dyDescent="0.25">
      <c r="A591" s="92"/>
      <c r="F591" s="786"/>
      <c r="G591" s="795"/>
      <c r="H591" s="93"/>
      <c r="I591" s="810"/>
      <c r="J591" s="810"/>
    </row>
    <row r="592" spans="1:10" x14ac:dyDescent="0.25">
      <c r="A592" s="92"/>
      <c r="F592" s="786"/>
      <c r="G592" s="795"/>
      <c r="H592" s="93"/>
      <c r="I592" s="810"/>
      <c r="J592" s="810"/>
    </row>
    <row r="593" spans="1:10" x14ac:dyDescent="0.25">
      <c r="A593" s="92"/>
      <c r="F593" s="786"/>
      <c r="G593" s="795"/>
      <c r="H593" s="93"/>
      <c r="I593" s="810"/>
      <c r="J593" s="810"/>
    </row>
    <row r="594" spans="1:10" x14ac:dyDescent="0.25">
      <c r="A594" s="92"/>
      <c r="F594" s="786"/>
      <c r="G594" s="795"/>
      <c r="H594" s="93"/>
      <c r="I594" s="810"/>
      <c r="J594" s="810"/>
    </row>
    <row r="595" spans="1:10" x14ac:dyDescent="0.25">
      <c r="A595" s="92"/>
      <c r="F595" s="786"/>
      <c r="G595" s="795"/>
      <c r="H595" s="93"/>
      <c r="I595" s="810"/>
      <c r="J595" s="810"/>
    </row>
    <row r="596" spans="1:10" x14ac:dyDescent="0.25">
      <c r="A596" s="92"/>
      <c r="F596" s="786"/>
      <c r="G596" s="795"/>
      <c r="H596" s="93"/>
      <c r="I596" s="810"/>
      <c r="J596" s="810"/>
    </row>
    <row r="597" spans="1:10" x14ac:dyDescent="0.25">
      <c r="A597" s="92"/>
      <c r="F597" s="786"/>
      <c r="G597" s="795"/>
      <c r="H597" s="93"/>
      <c r="I597" s="810"/>
      <c r="J597" s="810"/>
    </row>
    <row r="598" spans="1:10" x14ac:dyDescent="0.25">
      <c r="A598" s="92"/>
      <c r="F598" s="786"/>
      <c r="G598" s="795"/>
      <c r="H598" s="93"/>
      <c r="I598" s="810"/>
      <c r="J598" s="810"/>
    </row>
    <row r="599" spans="1:10" x14ac:dyDescent="0.25">
      <c r="A599" s="92"/>
      <c r="F599" s="786"/>
      <c r="G599" s="795"/>
      <c r="H599" s="93"/>
      <c r="I599" s="810"/>
      <c r="J599" s="810"/>
    </row>
    <row r="600" spans="1:10" x14ac:dyDescent="0.25">
      <c r="A600" s="92"/>
      <c r="F600" s="786"/>
      <c r="G600" s="795"/>
      <c r="H600" s="93"/>
      <c r="I600" s="810"/>
      <c r="J600" s="810"/>
    </row>
    <row r="601" spans="1:10" x14ac:dyDescent="0.25">
      <c r="A601" s="92"/>
      <c r="F601" s="786"/>
      <c r="G601" s="795"/>
      <c r="H601" s="93"/>
      <c r="I601" s="810"/>
      <c r="J601" s="810"/>
    </row>
    <row r="602" spans="1:10" x14ac:dyDescent="0.25">
      <c r="A602" s="92"/>
      <c r="F602" s="786"/>
      <c r="G602" s="795"/>
      <c r="H602" s="93"/>
      <c r="I602" s="810"/>
      <c r="J602" s="810"/>
    </row>
    <row r="603" spans="1:10" x14ac:dyDescent="0.25">
      <c r="A603" s="92"/>
      <c r="F603" s="786"/>
      <c r="G603" s="795"/>
      <c r="H603" s="93"/>
      <c r="I603" s="810"/>
      <c r="J603" s="810"/>
    </row>
    <row r="604" spans="1:10" x14ac:dyDescent="0.25">
      <c r="A604" s="92"/>
      <c r="F604" s="786"/>
      <c r="G604" s="795"/>
      <c r="H604" s="93"/>
      <c r="I604" s="810"/>
      <c r="J604" s="810"/>
    </row>
    <row r="605" spans="1:10" x14ac:dyDescent="0.25">
      <c r="A605" s="92"/>
      <c r="F605" s="786"/>
      <c r="G605" s="795"/>
      <c r="H605" s="93"/>
      <c r="I605" s="810"/>
      <c r="J605" s="810"/>
    </row>
    <row r="606" spans="1:10" x14ac:dyDescent="0.25">
      <c r="A606" s="92"/>
      <c r="F606" s="786"/>
      <c r="G606" s="795"/>
      <c r="H606" s="93"/>
      <c r="I606" s="810"/>
      <c r="J606" s="810"/>
    </row>
    <row r="607" spans="1:10" x14ac:dyDescent="0.25">
      <c r="A607" s="92"/>
      <c r="F607" s="786"/>
      <c r="G607" s="795"/>
      <c r="H607" s="93"/>
      <c r="I607" s="810"/>
      <c r="J607" s="810"/>
    </row>
    <row r="608" spans="1:10" x14ac:dyDescent="0.25">
      <c r="A608" s="92"/>
      <c r="F608" s="786"/>
      <c r="G608" s="795"/>
      <c r="H608" s="93"/>
      <c r="I608" s="810"/>
      <c r="J608" s="810"/>
    </row>
    <row r="609" spans="1:10" x14ac:dyDescent="0.25">
      <c r="A609" s="92"/>
      <c r="F609" s="786"/>
      <c r="G609" s="795"/>
      <c r="H609" s="93"/>
      <c r="I609" s="810"/>
      <c r="J609" s="810"/>
    </row>
    <row r="610" spans="1:10" x14ac:dyDescent="0.25">
      <c r="A610" s="92"/>
      <c r="F610" s="786"/>
      <c r="G610" s="795"/>
      <c r="H610" s="93"/>
      <c r="I610" s="810"/>
      <c r="J610" s="810"/>
    </row>
    <row r="611" spans="1:10" x14ac:dyDescent="0.25">
      <c r="A611" s="92"/>
      <c r="F611" s="786"/>
      <c r="G611" s="795"/>
      <c r="H611" s="93"/>
      <c r="I611" s="810"/>
      <c r="J611" s="810"/>
    </row>
    <row r="612" spans="1:10" x14ac:dyDescent="0.25">
      <c r="A612" s="92"/>
      <c r="F612" s="786"/>
      <c r="G612" s="795"/>
      <c r="H612" s="93"/>
      <c r="I612" s="810"/>
      <c r="J612" s="810"/>
    </row>
    <row r="613" spans="1:10" x14ac:dyDescent="0.25">
      <c r="A613" s="92"/>
      <c r="F613" s="786"/>
      <c r="G613" s="795"/>
      <c r="H613" s="93"/>
      <c r="I613" s="810"/>
      <c r="J613" s="810"/>
    </row>
    <row r="614" spans="1:10" x14ac:dyDescent="0.25">
      <c r="A614" s="92"/>
      <c r="F614" s="786"/>
      <c r="G614" s="795"/>
      <c r="H614" s="93"/>
      <c r="I614" s="810"/>
      <c r="J614" s="810"/>
    </row>
    <row r="615" spans="1:10" x14ac:dyDescent="0.25">
      <c r="A615" s="92"/>
      <c r="F615" s="786"/>
      <c r="G615" s="795"/>
      <c r="H615" s="93"/>
      <c r="I615" s="810"/>
      <c r="J615" s="810"/>
    </row>
    <row r="616" spans="1:10" x14ac:dyDescent="0.25">
      <c r="A616" s="92"/>
      <c r="F616" s="786"/>
      <c r="G616" s="795"/>
      <c r="H616" s="93"/>
      <c r="I616" s="810"/>
      <c r="J616" s="810"/>
    </row>
    <row r="617" spans="1:10" x14ac:dyDescent="0.25">
      <c r="A617" s="92"/>
      <c r="F617" s="786"/>
      <c r="G617" s="795"/>
      <c r="H617" s="93"/>
      <c r="I617" s="810"/>
      <c r="J617" s="810"/>
    </row>
    <row r="618" spans="1:10" x14ac:dyDescent="0.25">
      <c r="A618" s="92"/>
      <c r="F618" s="786"/>
      <c r="G618" s="795"/>
      <c r="H618" s="93"/>
      <c r="I618" s="810"/>
      <c r="J618" s="810"/>
    </row>
    <row r="619" spans="1:10" x14ac:dyDescent="0.25">
      <c r="A619" s="92"/>
      <c r="F619" s="786"/>
      <c r="G619" s="795"/>
      <c r="H619" s="93"/>
      <c r="I619" s="810"/>
      <c r="J619" s="810"/>
    </row>
    <row r="620" spans="1:10" x14ac:dyDescent="0.25">
      <c r="A620" s="92"/>
      <c r="F620" s="786"/>
      <c r="G620" s="795"/>
      <c r="H620" s="93"/>
      <c r="I620" s="810"/>
      <c r="J620" s="810"/>
    </row>
    <row r="621" spans="1:10" x14ac:dyDescent="0.25">
      <c r="A621" s="92"/>
      <c r="F621" s="786"/>
      <c r="G621" s="795"/>
      <c r="H621" s="93"/>
      <c r="I621" s="810"/>
      <c r="J621" s="810"/>
    </row>
    <row r="622" spans="1:10" x14ac:dyDescent="0.25">
      <c r="A622" s="92"/>
      <c r="F622" s="786"/>
      <c r="G622" s="795"/>
      <c r="H622" s="93"/>
      <c r="I622" s="810"/>
      <c r="J622" s="810"/>
    </row>
    <row r="623" spans="1:10" x14ac:dyDescent="0.25">
      <c r="A623" s="92"/>
      <c r="F623" s="786"/>
      <c r="G623" s="795"/>
      <c r="H623" s="93"/>
      <c r="I623" s="810"/>
      <c r="J623" s="810"/>
    </row>
    <row r="624" spans="1:10" x14ac:dyDescent="0.25">
      <c r="A624" s="92"/>
      <c r="F624" s="786"/>
      <c r="G624" s="795"/>
      <c r="H624" s="93"/>
      <c r="I624" s="810"/>
      <c r="J624" s="810"/>
    </row>
    <row r="625" spans="1:10" x14ac:dyDescent="0.25">
      <c r="A625" s="92"/>
      <c r="F625" s="786"/>
      <c r="G625" s="795"/>
      <c r="H625" s="93"/>
      <c r="I625" s="810"/>
      <c r="J625" s="810"/>
    </row>
    <row r="626" spans="1:10" x14ac:dyDescent="0.25">
      <c r="A626" s="92"/>
      <c r="F626" s="786"/>
      <c r="G626" s="795"/>
      <c r="H626" s="93"/>
      <c r="I626" s="810"/>
      <c r="J626" s="810"/>
    </row>
    <row r="627" spans="1:10" x14ac:dyDescent="0.25">
      <c r="A627" s="92"/>
      <c r="F627" s="786"/>
      <c r="G627" s="795"/>
      <c r="H627" s="93"/>
      <c r="I627" s="810"/>
      <c r="J627" s="810"/>
    </row>
    <row r="628" spans="1:10" x14ac:dyDescent="0.25">
      <c r="A628" s="92"/>
      <c r="F628" s="786"/>
      <c r="G628" s="795"/>
      <c r="H628" s="93"/>
      <c r="I628" s="810"/>
      <c r="J628" s="810"/>
    </row>
    <row r="629" spans="1:10" x14ac:dyDescent="0.25">
      <c r="A629" s="92"/>
      <c r="F629" s="786"/>
      <c r="G629" s="795"/>
      <c r="H629" s="93"/>
      <c r="I629" s="810"/>
      <c r="J629" s="810"/>
    </row>
    <row r="630" spans="1:10" x14ac:dyDescent="0.25">
      <c r="A630" s="92"/>
      <c r="F630" s="786"/>
      <c r="G630" s="795"/>
      <c r="H630" s="93"/>
      <c r="I630" s="810"/>
      <c r="J630" s="810"/>
    </row>
    <row r="631" spans="1:10" x14ac:dyDescent="0.25">
      <c r="A631" s="92"/>
      <c r="F631" s="786"/>
      <c r="G631" s="795"/>
      <c r="H631" s="93"/>
      <c r="I631" s="810"/>
      <c r="J631" s="810"/>
    </row>
    <row r="632" spans="1:10" x14ac:dyDescent="0.25">
      <c r="A632" s="92"/>
      <c r="F632" s="786"/>
      <c r="G632" s="795"/>
      <c r="H632" s="93"/>
      <c r="I632" s="810"/>
      <c r="J632" s="810"/>
    </row>
    <row r="633" spans="1:10" x14ac:dyDescent="0.25">
      <c r="A633" s="92"/>
      <c r="F633" s="786"/>
      <c r="G633" s="795"/>
      <c r="H633" s="93"/>
      <c r="I633" s="810"/>
      <c r="J633" s="810"/>
    </row>
    <row r="634" spans="1:10" x14ac:dyDescent="0.25">
      <c r="A634" s="92"/>
      <c r="F634" s="786"/>
      <c r="G634" s="795"/>
      <c r="H634" s="93"/>
      <c r="I634" s="810"/>
      <c r="J634" s="810"/>
    </row>
    <row r="635" spans="1:10" x14ac:dyDescent="0.25">
      <c r="A635" s="92"/>
      <c r="F635" s="786"/>
      <c r="G635" s="795"/>
      <c r="H635" s="93"/>
      <c r="I635" s="810"/>
      <c r="J635" s="810"/>
    </row>
    <row r="636" spans="1:10" x14ac:dyDescent="0.25">
      <c r="A636" s="92"/>
      <c r="F636" s="786"/>
      <c r="G636" s="795"/>
      <c r="H636" s="93"/>
      <c r="I636" s="810"/>
      <c r="J636" s="810"/>
    </row>
    <row r="637" spans="1:10" x14ac:dyDescent="0.25">
      <c r="A637" s="92"/>
      <c r="F637" s="786"/>
      <c r="G637" s="795"/>
      <c r="H637" s="93"/>
      <c r="I637" s="810"/>
      <c r="J637" s="810"/>
    </row>
    <row r="638" spans="1:10" x14ac:dyDescent="0.25">
      <c r="A638" s="92"/>
      <c r="F638" s="786"/>
      <c r="G638" s="795"/>
      <c r="H638" s="93"/>
      <c r="I638" s="810"/>
      <c r="J638" s="810"/>
    </row>
    <row r="639" spans="1:10" x14ac:dyDescent="0.25">
      <c r="A639" s="92"/>
      <c r="F639" s="786"/>
      <c r="G639" s="795"/>
      <c r="H639" s="93"/>
      <c r="I639" s="810"/>
      <c r="J639" s="810"/>
    </row>
    <row r="640" spans="1:10" x14ac:dyDescent="0.25">
      <c r="A640" s="92"/>
      <c r="F640" s="786"/>
      <c r="G640" s="795"/>
      <c r="H640" s="93"/>
      <c r="I640" s="810"/>
      <c r="J640" s="810"/>
    </row>
    <row r="641" spans="1:10" x14ac:dyDescent="0.25">
      <c r="A641" s="92"/>
      <c r="F641" s="786"/>
      <c r="G641" s="795"/>
      <c r="H641" s="93"/>
      <c r="I641" s="810"/>
      <c r="J641" s="810"/>
    </row>
    <row r="642" spans="1:10" x14ac:dyDescent="0.25">
      <c r="A642" s="92"/>
      <c r="F642" s="786"/>
      <c r="G642" s="795"/>
      <c r="H642" s="93"/>
      <c r="I642" s="810"/>
      <c r="J642" s="810"/>
    </row>
    <row r="643" spans="1:10" x14ac:dyDescent="0.25">
      <c r="A643" s="92"/>
      <c r="F643" s="786"/>
      <c r="G643" s="795"/>
      <c r="H643" s="93"/>
      <c r="I643" s="810"/>
      <c r="J643" s="810"/>
    </row>
    <row r="644" spans="1:10" x14ac:dyDescent="0.25">
      <c r="A644" s="92"/>
      <c r="F644" s="786"/>
      <c r="G644" s="795"/>
      <c r="H644" s="93"/>
      <c r="I644" s="810"/>
      <c r="J644" s="810"/>
    </row>
    <row r="645" spans="1:10" x14ac:dyDescent="0.25">
      <c r="A645" s="92"/>
      <c r="F645" s="786"/>
      <c r="G645" s="795"/>
      <c r="H645" s="93"/>
      <c r="I645" s="810"/>
      <c r="J645" s="810"/>
    </row>
    <row r="646" spans="1:10" x14ac:dyDescent="0.25">
      <c r="A646" s="92"/>
      <c r="F646" s="786"/>
      <c r="G646" s="795"/>
      <c r="H646" s="93"/>
      <c r="I646" s="810"/>
      <c r="J646" s="810"/>
    </row>
    <row r="647" spans="1:10" x14ac:dyDescent="0.25">
      <c r="A647" s="92"/>
      <c r="F647" s="786"/>
      <c r="G647" s="795"/>
      <c r="H647" s="93"/>
      <c r="I647" s="810"/>
      <c r="J647" s="810"/>
    </row>
    <row r="648" spans="1:10" x14ac:dyDescent="0.25">
      <c r="A648" s="92"/>
      <c r="F648" s="786"/>
      <c r="G648" s="795"/>
      <c r="H648" s="93"/>
      <c r="I648" s="810"/>
      <c r="J648" s="810"/>
    </row>
    <row r="649" spans="1:10" x14ac:dyDescent="0.25">
      <c r="A649" s="92"/>
      <c r="F649" s="786"/>
      <c r="G649" s="795"/>
      <c r="H649" s="93"/>
      <c r="I649" s="810"/>
      <c r="J649" s="810"/>
    </row>
    <row r="650" spans="1:10" x14ac:dyDescent="0.25">
      <c r="A650" s="92"/>
      <c r="F650" s="786"/>
      <c r="G650" s="795"/>
      <c r="H650" s="93"/>
      <c r="I650" s="810"/>
      <c r="J650" s="810"/>
    </row>
    <row r="651" spans="1:10" x14ac:dyDescent="0.25">
      <c r="A651" s="92"/>
      <c r="F651" s="786"/>
      <c r="G651" s="795"/>
      <c r="H651" s="93"/>
      <c r="I651" s="810"/>
      <c r="J651" s="810"/>
    </row>
    <row r="652" spans="1:10" x14ac:dyDescent="0.25">
      <c r="A652" s="92"/>
      <c r="F652" s="786"/>
      <c r="G652" s="795"/>
      <c r="H652" s="93"/>
      <c r="I652" s="810"/>
      <c r="J652" s="810"/>
    </row>
    <row r="653" spans="1:10" x14ac:dyDescent="0.25">
      <c r="A653" s="92"/>
      <c r="F653" s="786"/>
      <c r="G653" s="795"/>
      <c r="H653" s="93"/>
      <c r="I653" s="810"/>
      <c r="J653" s="810"/>
    </row>
    <row r="654" spans="1:10" x14ac:dyDescent="0.25">
      <c r="A654" s="92"/>
      <c r="F654" s="786"/>
      <c r="G654" s="795"/>
      <c r="H654" s="93"/>
      <c r="I654" s="810"/>
      <c r="J654" s="810"/>
    </row>
    <row r="655" spans="1:10" x14ac:dyDescent="0.25">
      <c r="A655" s="92"/>
      <c r="F655" s="786"/>
      <c r="G655" s="795"/>
      <c r="H655" s="93"/>
      <c r="I655" s="810"/>
      <c r="J655" s="810"/>
    </row>
    <row r="656" spans="1:10" x14ac:dyDescent="0.25">
      <c r="A656" s="92"/>
      <c r="F656" s="786"/>
      <c r="G656" s="795"/>
      <c r="H656" s="93"/>
      <c r="I656" s="810"/>
      <c r="J656" s="810"/>
    </row>
    <row r="657" spans="1:10" x14ac:dyDescent="0.25">
      <c r="A657" s="92"/>
      <c r="F657" s="786"/>
      <c r="G657" s="795"/>
      <c r="H657" s="93"/>
      <c r="I657" s="810"/>
      <c r="J657" s="810"/>
    </row>
    <row r="658" spans="1:10" x14ac:dyDescent="0.25">
      <c r="A658" s="92"/>
      <c r="F658" s="786"/>
      <c r="G658" s="795"/>
      <c r="H658" s="93"/>
      <c r="I658" s="810"/>
      <c r="J658" s="810"/>
    </row>
    <row r="659" spans="1:10" x14ac:dyDescent="0.25">
      <c r="A659" s="92"/>
      <c r="F659" s="786"/>
      <c r="G659" s="795"/>
      <c r="H659" s="93"/>
      <c r="I659" s="810"/>
      <c r="J659" s="810"/>
    </row>
    <row r="660" spans="1:10" x14ac:dyDescent="0.25">
      <c r="A660" s="92"/>
      <c r="F660" s="786"/>
      <c r="G660" s="795"/>
      <c r="H660" s="93"/>
      <c r="I660" s="810"/>
      <c r="J660" s="810"/>
    </row>
    <row r="661" spans="1:10" x14ac:dyDescent="0.25">
      <c r="A661" s="92"/>
      <c r="F661" s="786"/>
      <c r="G661" s="795"/>
      <c r="H661" s="93"/>
      <c r="I661" s="810"/>
      <c r="J661" s="810"/>
    </row>
    <row r="662" spans="1:10" x14ac:dyDescent="0.25">
      <c r="A662" s="92"/>
      <c r="F662" s="786"/>
      <c r="G662" s="795"/>
      <c r="H662" s="93"/>
      <c r="I662" s="810"/>
      <c r="J662" s="810"/>
    </row>
    <row r="663" spans="1:10" x14ac:dyDescent="0.25">
      <c r="A663" s="92"/>
      <c r="F663" s="786"/>
      <c r="G663" s="795"/>
      <c r="H663" s="93"/>
      <c r="I663" s="810"/>
      <c r="J663" s="810"/>
    </row>
    <row r="664" spans="1:10" x14ac:dyDescent="0.25">
      <c r="A664" s="92"/>
      <c r="F664" s="786"/>
      <c r="G664" s="795"/>
      <c r="H664" s="93"/>
      <c r="I664" s="810"/>
      <c r="J664" s="810"/>
    </row>
    <row r="665" spans="1:10" x14ac:dyDescent="0.25">
      <c r="A665" s="92"/>
      <c r="F665" s="786"/>
      <c r="G665" s="795"/>
      <c r="H665" s="93"/>
      <c r="I665" s="810"/>
      <c r="J665" s="810"/>
    </row>
    <row r="666" spans="1:10" x14ac:dyDescent="0.25">
      <c r="A666" s="92"/>
      <c r="F666" s="786"/>
      <c r="G666" s="795"/>
      <c r="H666" s="93"/>
      <c r="I666" s="810"/>
      <c r="J666" s="810"/>
    </row>
    <row r="667" spans="1:10" x14ac:dyDescent="0.25">
      <c r="A667" s="92"/>
      <c r="F667" s="786"/>
      <c r="G667" s="795"/>
      <c r="H667" s="93"/>
      <c r="I667" s="810"/>
      <c r="J667" s="810"/>
    </row>
    <row r="668" spans="1:10" x14ac:dyDescent="0.25">
      <c r="A668" s="92"/>
      <c r="F668" s="786"/>
      <c r="G668" s="795"/>
      <c r="H668" s="93"/>
      <c r="I668" s="810"/>
      <c r="J668" s="810"/>
    </row>
    <row r="669" spans="1:10" x14ac:dyDescent="0.25">
      <c r="A669" s="92"/>
      <c r="F669" s="786"/>
      <c r="G669" s="795"/>
      <c r="H669" s="93"/>
      <c r="I669" s="810"/>
      <c r="J669" s="810"/>
    </row>
    <row r="670" spans="1:10" x14ac:dyDescent="0.25">
      <c r="A670" s="92"/>
      <c r="F670" s="786"/>
      <c r="G670" s="795"/>
      <c r="H670" s="93"/>
      <c r="I670" s="810"/>
      <c r="J670" s="810"/>
    </row>
    <row r="671" spans="1:10" x14ac:dyDescent="0.25">
      <c r="A671" s="92"/>
      <c r="F671" s="786"/>
      <c r="G671" s="795"/>
      <c r="H671" s="93"/>
      <c r="I671" s="810"/>
      <c r="J671" s="810"/>
    </row>
    <row r="672" spans="1:10" x14ac:dyDescent="0.25">
      <c r="A672" s="92"/>
      <c r="F672" s="786"/>
      <c r="G672" s="795"/>
      <c r="H672" s="93"/>
      <c r="I672" s="810"/>
      <c r="J672" s="810"/>
    </row>
    <row r="673" spans="1:10" x14ac:dyDescent="0.25">
      <c r="A673" s="92"/>
      <c r="F673" s="786"/>
      <c r="G673" s="795"/>
      <c r="H673" s="93"/>
      <c r="I673" s="810"/>
      <c r="J673" s="810"/>
    </row>
    <row r="674" spans="1:10" x14ac:dyDescent="0.25">
      <c r="A674" s="92"/>
      <c r="F674" s="786"/>
      <c r="G674" s="795"/>
      <c r="H674" s="93"/>
      <c r="I674" s="810"/>
      <c r="J674" s="810"/>
    </row>
    <row r="675" spans="1:10" x14ac:dyDescent="0.25">
      <c r="A675" s="92"/>
      <c r="F675" s="786"/>
      <c r="G675" s="795"/>
      <c r="H675" s="93"/>
      <c r="I675" s="810"/>
      <c r="J675" s="810"/>
    </row>
    <row r="676" spans="1:10" x14ac:dyDescent="0.25">
      <c r="A676" s="92"/>
      <c r="F676" s="786"/>
      <c r="G676" s="795"/>
      <c r="H676" s="93"/>
      <c r="I676" s="810"/>
      <c r="J676" s="810"/>
    </row>
    <row r="677" spans="1:10" x14ac:dyDescent="0.25">
      <c r="A677" s="92"/>
      <c r="F677" s="786"/>
      <c r="G677" s="795"/>
      <c r="H677" s="93"/>
      <c r="I677" s="810"/>
      <c r="J677" s="810"/>
    </row>
    <row r="678" spans="1:10" x14ac:dyDescent="0.25">
      <c r="A678" s="92"/>
      <c r="F678" s="786"/>
      <c r="G678" s="795"/>
      <c r="H678" s="93"/>
      <c r="I678" s="810"/>
      <c r="J678" s="810"/>
    </row>
    <row r="679" spans="1:10" x14ac:dyDescent="0.25">
      <c r="A679" s="92"/>
      <c r="F679" s="786"/>
      <c r="G679" s="795"/>
      <c r="H679" s="93"/>
      <c r="I679" s="810"/>
      <c r="J679" s="810"/>
    </row>
    <row r="680" spans="1:10" x14ac:dyDescent="0.25">
      <c r="A680" s="92"/>
      <c r="F680" s="786"/>
      <c r="G680" s="795"/>
      <c r="H680" s="93"/>
      <c r="I680" s="810"/>
      <c r="J680" s="810"/>
    </row>
    <row r="681" spans="1:10" x14ac:dyDescent="0.25">
      <c r="A681" s="92"/>
      <c r="F681" s="786"/>
      <c r="G681" s="795"/>
      <c r="H681" s="93"/>
      <c r="I681" s="810"/>
      <c r="J681" s="810"/>
    </row>
    <row r="682" spans="1:10" x14ac:dyDescent="0.25">
      <c r="A682" s="92"/>
      <c r="F682" s="786"/>
      <c r="G682" s="795"/>
      <c r="H682" s="93"/>
      <c r="I682" s="810"/>
      <c r="J682" s="810"/>
    </row>
    <row r="683" spans="1:10" x14ac:dyDescent="0.25">
      <c r="A683" s="92"/>
      <c r="F683" s="786"/>
      <c r="G683" s="795"/>
      <c r="H683" s="93"/>
      <c r="I683" s="810"/>
      <c r="J683" s="810"/>
    </row>
    <row r="684" spans="1:10" x14ac:dyDescent="0.25">
      <c r="A684" s="92"/>
      <c r="F684" s="786"/>
      <c r="G684" s="795"/>
      <c r="H684" s="93"/>
      <c r="I684" s="810"/>
      <c r="J684" s="810"/>
    </row>
    <row r="685" spans="1:10" x14ac:dyDescent="0.25">
      <c r="A685" s="92"/>
      <c r="F685" s="786"/>
      <c r="G685" s="795"/>
      <c r="H685" s="93"/>
      <c r="I685" s="810"/>
      <c r="J685" s="810"/>
    </row>
    <row r="686" spans="1:10" x14ac:dyDescent="0.25">
      <c r="A686" s="92"/>
      <c r="F686" s="786"/>
      <c r="G686" s="795"/>
      <c r="H686" s="93"/>
      <c r="I686" s="810"/>
      <c r="J686" s="810"/>
    </row>
    <row r="687" spans="1:10" x14ac:dyDescent="0.25">
      <c r="A687" s="92"/>
      <c r="F687" s="786"/>
      <c r="G687" s="795"/>
      <c r="H687" s="93"/>
      <c r="I687" s="810"/>
      <c r="J687" s="810"/>
    </row>
    <row r="688" spans="1:10" x14ac:dyDescent="0.25">
      <c r="A688" s="92"/>
      <c r="F688" s="786"/>
      <c r="G688" s="795"/>
      <c r="H688" s="93"/>
      <c r="I688" s="810"/>
      <c r="J688" s="810"/>
    </row>
    <row r="689" spans="1:10" x14ac:dyDescent="0.25">
      <c r="A689" s="92"/>
      <c r="F689" s="786"/>
      <c r="G689" s="795"/>
      <c r="H689" s="93"/>
      <c r="I689" s="810"/>
      <c r="J689" s="810"/>
    </row>
    <row r="690" spans="1:10" x14ac:dyDescent="0.25">
      <c r="A690" s="92"/>
      <c r="F690" s="786"/>
      <c r="G690" s="795"/>
      <c r="H690" s="93"/>
      <c r="I690" s="810"/>
      <c r="J690" s="810"/>
    </row>
    <row r="691" spans="1:10" x14ac:dyDescent="0.25">
      <c r="A691" s="92"/>
      <c r="F691" s="786"/>
      <c r="G691" s="795"/>
      <c r="H691" s="93"/>
      <c r="I691" s="810"/>
      <c r="J691" s="810"/>
    </row>
    <row r="692" spans="1:10" x14ac:dyDescent="0.25">
      <c r="A692" s="92"/>
      <c r="F692" s="786"/>
      <c r="G692" s="795"/>
      <c r="H692" s="93"/>
      <c r="I692" s="810"/>
      <c r="J692" s="810"/>
    </row>
    <row r="693" spans="1:10" x14ac:dyDescent="0.25">
      <c r="A693" s="92"/>
      <c r="F693" s="786"/>
      <c r="G693" s="795"/>
      <c r="H693" s="93"/>
      <c r="I693" s="810"/>
      <c r="J693" s="810"/>
    </row>
    <row r="694" spans="1:10" x14ac:dyDescent="0.25">
      <c r="A694" s="92"/>
      <c r="F694" s="786"/>
      <c r="G694" s="795"/>
      <c r="H694" s="93"/>
      <c r="I694" s="810"/>
      <c r="J694" s="810"/>
    </row>
    <row r="695" spans="1:10" x14ac:dyDescent="0.25">
      <c r="A695" s="92"/>
      <c r="F695" s="786"/>
      <c r="G695" s="795"/>
      <c r="H695" s="93"/>
      <c r="I695" s="810"/>
      <c r="J695" s="810"/>
    </row>
    <row r="696" spans="1:10" x14ac:dyDescent="0.25">
      <c r="A696" s="92"/>
      <c r="F696" s="786"/>
      <c r="G696" s="795"/>
      <c r="H696" s="93"/>
      <c r="I696" s="810"/>
      <c r="J696" s="810"/>
    </row>
    <row r="697" spans="1:10" x14ac:dyDescent="0.25">
      <c r="A697" s="92"/>
      <c r="F697" s="786"/>
      <c r="G697" s="795"/>
      <c r="H697" s="93"/>
      <c r="I697" s="810"/>
      <c r="J697" s="810"/>
    </row>
    <row r="698" spans="1:10" x14ac:dyDescent="0.25">
      <c r="A698" s="92"/>
      <c r="F698" s="786"/>
      <c r="G698" s="795"/>
      <c r="H698" s="93"/>
      <c r="I698" s="810"/>
      <c r="J698" s="810"/>
    </row>
    <row r="699" spans="1:10" x14ac:dyDescent="0.25">
      <c r="A699" s="92"/>
      <c r="F699" s="786"/>
      <c r="G699" s="795"/>
      <c r="H699" s="93"/>
      <c r="I699" s="810"/>
      <c r="J699" s="810"/>
    </row>
    <row r="700" spans="1:10" x14ac:dyDescent="0.25">
      <c r="A700" s="92"/>
      <c r="F700" s="786"/>
      <c r="G700" s="795"/>
      <c r="H700" s="93"/>
      <c r="I700" s="810"/>
      <c r="J700" s="810"/>
    </row>
    <row r="701" spans="1:10" x14ac:dyDescent="0.25">
      <c r="A701" s="92"/>
      <c r="F701" s="786"/>
      <c r="G701" s="795"/>
      <c r="H701" s="93"/>
      <c r="I701" s="810"/>
      <c r="J701" s="810"/>
    </row>
    <row r="702" spans="1:10" x14ac:dyDescent="0.25">
      <c r="A702" s="92"/>
      <c r="F702" s="786"/>
      <c r="G702" s="795"/>
      <c r="H702" s="93"/>
      <c r="I702" s="810"/>
      <c r="J702" s="810"/>
    </row>
    <row r="703" spans="1:10" x14ac:dyDescent="0.25">
      <c r="A703" s="92"/>
      <c r="F703" s="786"/>
      <c r="G703" s="795"/>
      <c r="H703" s="93"/>
      <c r="I703" s="810"/>
      <c r="J703" s="810"/>
    </row>
    <row r="704" spans="1:10" x14ac:dyDescent="0.25">
      <c r="A704" s="92"/>
      <c r="F704" s="786"/>
      <c r="G704" s="795"/>
      <c r="H704" s="93"/>
      <c r="I704" s="810"/>
      <c r="J704" s="810"/>
    </row>
    <row r="705" spans="1:10" x14ac:dyDescent="0.25">
      <c r="A705" s="92"/>
      <c r="F705" s="786"/>
      <c r="G705" s="795"/>
      <c r="H705" s="93"/>
      <c r="I705" s="810"/>
      <c r="J705" s="810"/>
    </row>
    <row r="706" spans="1:10" x14ac:dyDescent="0.25">
      <c r="A706" s="92"/>
      <c r="F706" s="786"/>
      <c r="G706" s="795"/>
      <c r="H706" s="93"/>
      <c r="I706" s="810"/>
      <c r="J706" s="810"/>
    </row>
    <row r="707" spans="1:10" x14ac:dyDescent="0.25">
      <c r="A707" s="92"/>
      <c r="F707" s="786"/>
      <c r="G707" s="795"/>
      <c r="H707" s="93"/>
      <c r="I707" s="810"/>
      <c r="J707" s="810"/>
    </row>
    <row r="708" spans="1:10" x14ac:dyDescent="0.25">
      <c r="A708" s="92"/>
      <c r="F708" s="786"/>
      <c r="G708" s="795"/>
      <c r="H708" s="93"/>
      <c r="I708" s="810"/>
      <c r="J708" s="810"/>
    </row>
    <row r="709" spans="1:10" x14ac:dyDescent="0.25">
      <c r="A709" s="92"/>
      <c r="F709" s="786"/>
      <c r="G709" s="795"/>
      <c r="H709" s="93"/>
      <c r="I709" s="810"/>
      <c r="J709" s="810"/>
    </row>
    <row r="710" spans="1:10" x14ac:dyDescent="0.25">
      <c r="A710" s="92"/>
      <c r="F710" s="786"/>
      <c r="G710" s="795"/>
      <c r="H710" s="93"/>
      <c r="I710" s="810"/>
      <c r="J710" s="810"/>
    </row>
    <row r="711" spans="1:10" x14ac:dyDescent="0.25">
      <c r="A711" s="92"/>
      <c r="F711" s="786"/>
      <c r="G711" s="795"/>
      <c r="H711" s="93"/>
      <c r="I711" s="810"/>
      <c r="J711" s="810"/>
    </row>
    <row r="712" spans="1:10" x14ac:dyDescent="0.25">
      <c r="A712" s="92"/>
      <c r="F712" s="786"/>
      <c r="G712" s="795"/>
      <c r="H712" s="93"/>
      <c r="I712" s="810"/>
      <c r="J712" s="810"/>
    </row>
    <row r="713" spans="1:10" x14ac:dyDescent="0.25">
      <c r="A713" s="92"/>
      <c r="F713" s="786"/>
      <c r="G713" s="795"/>
      <c r="H713" s="93"/>
      <c r="I713" s="810"/>
      <c r="J713" s="810"/>
    </row>
    <row r="714" spans="1:10" x14ac:dyDescent="0.25">
      <c r="A714" s="92"/>
      <c r="F714" s="786"/>
      <c r="G714" s="795"/>
      <c r="H714" s="93"/>
      <c r="I714" s="810"/>
      <c r="J714" s="810"/>
    </row>
    <row r="715" spans="1:10" x14ac:dyDescent="0.25">
      <c r="A715" s="92"/>
      <c r="F715" s="786"/>
      <c r="G715" s="795"/>
      <c r="H715" s="93"/>
      <c r="I715" s="810"/>
      <c r="J715" s="810"/>
    </row>
    <row r="716" spans="1:10" x14ac:dyDescent="0.25">
      <c r="A716" s="92"/>
      <c r="F716" s="786"/>
      <c r="G716" s="795"/>
      <c r="H716" s="93"/>
      <c r="I716" s="810"/>
      <c r="J716" s="810"/>
    </row>
    <row r="717" spans="1:10" x14ac:dyDescent="0.25">
      <c r="A717" s="92"/>
      <c r="F717" s="786"/>
      <c r="G717" s="795"/>
      <c r="H717" s="93"/>
      <c r="I717" s="810"/>
      <c r="J717" s="810"/>
    </row>
    <row r="718" spans="1:10" x14ac:dyDescent="0.25">
      <c r="A718" s="92"/>
      <c r="F718" s="786"/>
      <c r="G718" s="795"/>
      <c r="H718" s="93"/>
      <c r="I718" s="810"/>
      <c r="J718" s="810"/>
    </row>
    <row r="719" spans="1:10" x14ac:dyDescent="0.25">
      <c r="A719" s="92"/>
      <c r="F719" s="786"/>
      <c r="G719" s="795"/>
      <c r="H719" s="93"/>
      <c r="I719" s="810"/>
      <c r="J719" s="810"/>
    </row>
    <row r="720" spans="1:10" x14ac:dyDescent="0.25">
      <c r="A720" s="92"/>
      <c r="F720" s="786"/>
      <c r="G720" s="795"/>
      <c r="H720" s="93"/>
      <c r="I720" s="810"/>
      <c r="J720" s="810"/>
    </row>
    <row r="721" spans="1:10" x14ac:dyDescent="0.25">
      <c r="A721" s="92"/>
      <c r="F721" s="786"/>
      <c r="G721" s="795"/>
      <c r="H721" s="93"/>
      <c r="I721" s="810"/>
      <c r="J721" s="810"/>
    </row>
    <row r="722" spans="1:10" x14ac:dyDescent="0.25">
      <c r="A722" s="92"/>
      <c r="F722" s="786"/>
      <c r="G722" s="795"/>
      <c r="H722" s="93"/>
      <c r="I722" s="810"/>
      <c r="J722" s="810"/>
    </row>
    <row r="723" spans="1:10" x14ac:dyDescent="0.25">
      <c r="A723" s="92"/>
      <c r="F723" s="786"/>
      <c r="G723" s="795"/>
      <c r="H723" s="93"/>
      <c r="I723" s="810"/>
      <c r="J723" s="810"/>
    </row>
    <row r="724" spans="1:10" x14ac:dyDescent="0.25">
      <c r="A724" s="92"/>
      <c r="F724" s="786"/>
      <c r="G724" s="795"/>
      <c r="H724" s="93"/>
      <c r="I724" s="810"/>
      <c r="J724" s="810"/>
    </row>
    <row r="725" spans="1:10" x14ac:dyDescent="0.25">
      <c r="A725" s="92"/>
      <c r="F725" s="786"/>
      <c r="G725" s="795"/>
      <c r="H725" s="93"/>
      <c r="I725" s="810"/>
      <c r="J725" s="810"/>
    </row>
    <row r="726" spans="1:10" x14ac:dyDescent="0.25">
      <c r="A726" s="92"/>
      <c r="F726" s="786"/>
      <c r="G726" s="795"/>
      <c r="H726" s="93"/>
      <c r="I726" s="810"/>
      <c r="J726" s="810"/>
    </row>
    <row r="727" spans="1:10" x14ac:dyDescent="0.25">
      <c r="A727" s="92"/>
      <c r="F727" s="786"/>
      <c r="G727" s="795"/>
      <c r="H727" s="93"/>
      <c r="I727" s="810"/>
      <c r="J727" s="810"/>
    </row>
    <row r="728" spans="1:10" x14ac:dyDescent="0.25">
      <c r="A728" s="92"/>
      <c r="F728" s="786"/>
      <c r="G728" s="795"/>
      <c r="H728" s="93"/>
      <c r="I728" s="810"/>
      <c r="J728" s="810"/>
    </row>
    <row r="729" spans="1:10" x14ac:dyDescent="0.25">
      <c r="A729" s="92"/>
      <c r="F729" s="786"/>
      <c r="G729" s="795"/>
      <c r="H729" s="93"/>
      <c r="I729" s="810"/>
      <c r="J729" s="810"/>
    </row>
    <row r="730" spans="1:10" x14ac:dyDescent="0.25">
      <c r="A730" s="92"/>
      <c r="F730" s="786"/>
      <c r="G730" s="795"/>
      <c r="H730" s="93"/>
      <c r="I730" s="810"/>
      <c r="J730" s="810"/>
    </row>
    <row r="731" spans="1:10" x14ac:dyDescent="0.25">
      <c r="A731" s="92"/>
      <c r="F731" s="786"/>
      <c r="G731" s="795"/>
      <c r="H731" s="93"/>
      <c r="I731" s="810"/>
      <c r="J731" s="810"/>
    </row>
    <row r="732" spans="1:10" x14ac:dyDescent="0.25">
      <c r="A732" s="92"/>
      <c r="F732" s="786"/>
      <c r="G732" s="795"/>
      <c r="H732" s="93"/>
      <c r="I732" s="810"/>
      <c r="J732" s="810"/>
    </row>
    <row r="733" spans="1:10" x14ac:dyDescent="0.25">
      <c r="A733" s="92"/>
      <c r="F733" s="786"/>
      <c r="G733" s="795"/>
      <c r="H733" s="93"/>
      <c r="I733" s="810"/>
      <c r="J733" s="810"/>
    </row>
    <row r="734" spans="1:10" x14ac:dyDescent="0.25">
      <c r="A734" s="92"/>
      <c r="F734" s="786"/>
      <c r="G734" s="795"/>
      <c r="H734" s="93"/>
      <c r="I734" s="810"/>
      <c r="J734" s="810"/>
    </row>
    <row r="735" spans="1:10" x14ac:dyDescent="0.25">
      <c r="A735" s="92"/>
      <c r="F735" s="786"/>
      <c r="G735" s="795"/>
      <c r="H735" s="93"/>
      <c r="I735" s="810"/>
      <c r="J735" s="810"/>
    </row>
    <row r="736" spans="1:10" x14ac:dyDescent="0.25">
      <c r="A736" s="92"/>
      <c r="F736" s="786"/>
      <c r="G736" s="795"/>
      <c r="H736" s="93"/>
      <c r="I736" s="810"/>
      <c r="J736" s="810"/>
    </row>
    <row r="737" spans="1:10" x14ac:dyDescent="0.25">
      <c r="A737" s="92"/>
      <c r="F737" s="786"/>
      <c r="G737" s="795"/>
      <c r="H737" s="93"/>
      <c r="I737" s="810"/>
      <c r="J737" s="810"/>
    </row>
    <row r="738" spans="1:10" x14ac:dyDescent="0.25">
      <c r="A738" s="92"/>
      <c r="F738" s="786"/>
      <c r="G738" s="795"/>
      <c r="H738" s="93"/>
      <c r="I738" s="810"/>
      <c r="J738" s="810"/>
    </row>
    <row r="739" spans="1:10" x14ac:dyDescent="0.25">
      <c r="A739" s="92"/>
      <c r="F739" s="786"/>
      <c r="G739" s="795"/>
      <c r="H739" s="93"/>
      <c r="I739" s="810"/>
      <c r="J739" s="810"/>
    </row>
    <row r="740" spans="1:10" x14ac:dyDescent="0.25">
      <c r="A740" s="92"/>
      <c r="F740" s="786"/>
      <c r="G740" s="795"/>
      <c r="H740" s="93"/>
      <c r="I740" s="810"/>
      <c r="J740" s="810"/>
    </row>
    <row r="741" spans="1:10" x14ac:dyDescent="0.25">
      <c r="A741" s="92"/>
      <c r="F741" s="786"/>
      <c r="G741" s="795"/>
      <c r="H741" s="93"/>
      <c r="I741" s="810"/>
      <c r="J741" s="810"/>
    </row>
    <row r="742" spans="1:10" x14ac:dyDescent="0.25">
      <c r="A742" s="92"/>
      <c r="F742" s="786"/>
      <c r="G742" s="795"/>
      <c r="H742" s="93"/>
      <c r="I742" s="810"/>
      <c r="J742" s="810"/>
    </row>
    <row r="743" spans="1:10" x14ac:dyDescent="0.25">
      <c r="A743" s="92"/>
      <c r="F743" s="786"/>
      <c r="G743" s="795"/>
      <c r="H743" s="93"/>
      <c r="I743" s="810"/>
      <c r="J743" s="810"/>
    </row>
    <row r="744" spans="1:10" x14ac:dyDescent="0.25">
      <c r="A744" s="92"/>
      <c r="F744" s="786"/>
      <c r="G744" s="795"/>
      <c r="H744" s="93"/>
      <c r="I744" s="810"/>
      <c r="J744" s="810"/>
    </row>
    <row r="745" spans="1:10" x14ac:dyDescent="0.25">
      <c r="A745" s="92"/>
      <c r="F745" s="786"/>
      <c r="G745" s="795"/>
      <c r="H745" s="93"/>
      <c r="I745" s="810"/>
      <c r="J745" s="810"/>
    </row>
    <row r="746" spans="1:10" x14ac:dyDescent="0.25">
      <c r="A746" s="92"/>
      <c r="F746" s="786"/>
      <c r="G746" s="795"/>
      <c r="H746" s="93"/>
      <c r="I746" s="810"/>
      <c r="J746" s="810"/>
    </row>
    <row r="747" spans="1:10" x14ac:dyDescent="0.25">
      <c r="A747" s="92"/>
      <c r="F747" s="786"/>
      <c r="G747" s="795"/>
      <c r="H747" s="93"/>
      <c r="I747" s="810"/>
      <c r="J747" s="810"/>
    </row>
    <row r="748" spans="1:10" x14ac:dyDescent="0.25">
      <c r="A748" s="92"/>
      <c r="F748" s="786"/>
      <c r="G748" s="795"/>
      <c r="H748" s="93"/>
      <c r="I748" s="810"/>
      <c r="J748" s="810"/>
    </row>
    <row r="749" spans="1:10" x14ac:dyDescent="0.25">
      <c r="A749" s="92"/>
      <c r="F749" s="786"/>
      <c r="G749" s="795"/>
      <c r="H749" s="93"/>
      <c r="I749" s="810"/>
      <c r="J749" s="810"/>
    </row>
    <row r="750" spans="1:10" x14ac:dyDescent="0.25">
      <c r="A750" s="92"/>
      <c r="F750" s="786"/>
      <c r="G750" s="795"/>
      <c r="H750" s="93"/>
      <c r="I750" s="810"/>
      <c r="J750" s="810"/>
    </row>
    <row r="751" spans="1:10" x14ac:dyDescent="0.25">
      <c r="A751" s="92"/>
      <c r="F751" s="786"/>
      <c r="G751" s="795"/>
      <c r="H751" s="93"/>
      <c r="I751" s="810"/>
      <c r="J751" s="810"/>
    </row>
    <row r="752" spans="1:10" x14ac:dyDescent="0.25">
      <c r="A752" s="92"/>
      <c r="F752" s="786"/>
      <c r="G752" s="795"/>
      <c r="H752" s="93"/>
      <c r="I752" s="810"/>
      <c r="J752" s="810"/>
    </row>
    <row r="753" spans="1:10" x14ac:dyDescent="0.25">
      <c r="A753" s="92"/>
      <c r="F753" s="786"/>
      <c r="G753" s="795"/>
      <c r="H753" s="93"/>
      <c r="I753" s="810"/>
      <c r="J753" s="810"/>
    </row>
    <row r="754" spans="1:10" x14ac:dyDescent="0.25">
      <c r="A754" s="92"/>
      <c r="F754" s="786"/>
      <c r="G754" s="795"/>
      <c r="H754" s="93"/>
      <c r="I754" s="810"/>
      <c r="J754" s="810"/>
    </row>
    <row r="755" spans="1:10" x14ac:dyDescent="0.25">
      <c r="A755" s="92"/>
      <c r="F755" s="786"/>
      <c r="G755" s="795"/>
      <c r="H755" s="93"/>
      <c r="I755" s="810"/>
      <c r="J755" s="810"/>
    </row>
    <row r="756" spans="1:10" x14ac:dyDescent="0.25">
      <c r="A756" s="92"/>
      <c r="F756" s="786"/>
      <c r="G756" s="795"/>
      <c r="H756" s="93"/>
      <c r="I756" s="810"/>
      <c r="J756" s="810"/>
    </row>
    <row r="757" spans="1:10" x14ac:dyDescent="0.25">
      <c r="A757" s="92"/>
      <c r="F757" s="786"/>
      <c r="G757" s="795"/>
      <c r="H757" s="93"/>
      <c r="I757" s="810"/>
      <c r="J757" s="810"/>
    </row>
    <row r="758" spans="1:10" x14ac:dyDescent="0.25">
      <c r="A758" s="92"/>
      <c r="F758" s="786"/>
      <c r="G758" s="795"/>
      <c r="H758" s="93"/>
      <c r="I758" s="810"/>
      <c r="J758" s="810"/>
    </row>
    <row r="759" spans="1:10" x14ac:dyDescent="0.25">
      <c r="A759" s="92"/>
      <c r="F759" s="786"/>
      <c r="G759" s="795"/>
      <c r="H759" s="93"/>
      <c r="I759" s="810"/>
      <c r="J759" s="810"/>
    </row>
    <row r="760" spans="1:10" x14ac:dyDescent="0.25">
      <c r="A760" s="92"/>
      <c r="F760" s="786"/>
      <c r="G760" s="795"/>
      <c r="H760" s="93"/>
      <c r="I760" s="810"/>
      <c r="J760" s="810"/>
    </row>
    <row r="761" spans="1:10" x14ac:dyDescent="0.25">
      <c r="A761" s="92"/>
      <c r="F761" s="786"/>
      <c r="G761" s="795"/>
      <c r="H761" s="93"/>
      <c r="I761" s="810"/>
      <c r="J761" s="810"/>
    </row>
    <row r="762" spans="1:10" x14ac:dyDescent="0.25">
      <c r="A762" s="92"/>
      <c r="F762" s="786"/>
      <c r="G762" s="795"/>
      <c r="H762" s="93"/>
      <c r="I762" s="810"/>
      <c r="J762" s="810"/>
    </row>
    <row r="763" spans="1:10" x14ac:dyDescent="0.25">
      <c r="A763" s="92"/>
      <c r="F763" s="786"/>
      <c r="G763" s="795"/>
      <c r="H763" s="93"/>
      <c r="I763" s="810"/>
      <c r="J763" s="810"/>
    </row>
    <row r="764" spans="1:10" x14ac:dyDescent="0.25">
      <c r="A764" s="92"/>
      <c r="F764" s="786"/>
      <c r="G764" s="795"/>
      <c r="H764" s="93"/>
      <c r="I764" s="810"/>
      <c r="J764" s="810"/>
    </row>
    <row r="765" spans="1:10" x14ac:dyDescent="0.25">
      <c r="A765" s="92"/>
      <c r="F765" s="786"/>
      <c r="G765" s="795"/>
      <c r="H765" s="93"/>
      <c r="I765" s="810"/>
      <c r="J765" s="810"/>
    </row>
    <row r="766" spans="1:10" x14ac:dyDescent="0.25">
      <c r="A766" s="92"/>
      <c r="F766" s="786"/>
      <c r="G766" s="795"/>
      <c r="H766" s="93"/>
      <c r="I766" s="810"/>
      <c r="J766" s="810"/>
    </row>
    <row r="767" spans="1:10" x14ac:dyDescent="0.25">
      <c r="A767" s="92"/>
      <c r="F767" s="786"/>
      <c r="G767" s="795"/>
      <c r="H767" s="93"/>
      <c r="I767" s="810"/>
      <c r="J767" s="810"/>
    </row>
    <row r="768" spans="1:10" x14ac:dyDescent="0.25">
      <c r="A768" s="92"/>
      <c r="F768" s="786"/>
      <c r="G768" s="795"/>
      <c r="H768" s="93"/>
      <c r="I768" s="810"/>
      <c r="J768" s="810"/>
    </row>
    <row r="769" spans="1:10" x14ac:dyDescent="0.25">
      <c r="A769" s="92"/>
      <c r="F769" s="786"/>
      <c r="G769" s="795"/>
      <c r="H769" s="93"/>
      <c r="I769" s="810"/>
      <c r="J769" s="810"/>
    </row>
    <row r="770" spans="1:10" x14ac:dyDescent="0.25">
      <c r="A770" s="92"/>
      <c r="F770" s="786"/>
      <c r="G770" s="795"/>
      <c r="H770" s="93"/>
      <c r="I770" s="810"/>
      <c r="J770" s="810"/>
    </row>
    <row r="771" spans="1:10" x14ac:dyDescent="0.25">
      <c r="A771" s="92"/>
      <c r="F771" s="786"/>
      <c r="G771" s="795"/>
      <c r="H771" s="93"/>
      <c r="I771" s="810"/>
      <c r="J771" s="810"/>
    </row>
    <row r="772" spans="1:10" x14ac:dyDescent="0.25">
      <c r="A772" s="92"/>
      <c r="F772" s="786"/>
      <c r="G772" s="795"/>
      <c r="H772" s="93"/>
      <c r="I772" s="810"/>
      <c r="J772" s="810"/>
    </row>
    <row r="773" spans="1:10" x14ac:dyDescent="0.25">
      <c r="A773" s="92"/>
      <c r="F773" s="786"/>
      <c r="G773" s="795"/>
      <c r="H773" s="93"/>
      <c r="I773" s="810"/>
      <c r="J773" s="810"/>
    </row>
    <row r="774" spans="1:10" x14ac:dyDescent="0.25">
      <c r="A774" s="92"/>
      <c r="F774" s="786"/>
      <c r="G774" s="795"/>
      <c r="H774" s="93"/>
      <c r="I774" s="810"/>
      <c r="J774" s="810"/>
    </row>
    <row r="775" spans="1:10" x14ac:dyDescent="0.25">
      <c r="A775" s="92"/>
      <c r="F775" s="786"/>
      <c r="G775" s="795"/>
      <c r="H775" s="93"/>
      <c r="I775" s="810"/>
      <c r="J775" s="810"/>
    </row>
    <row r="776" spans="1:10" x14ac:dyDescent="0.25">
      <c r="A776" s="92"/>
      <c r="F776" s="786"/>
      <c r="G776" s="795"/>
      <c r="H776" s="93"/>
      <c r="I776" s="810"/>
      <c r="J776" s="810"/>
    </row>
    <row r="777" spans="1:10" x14ac:dyDescent="0.25">
      <c r="A777" s="92"/>
      <c r="F777" s="786"/>
      <c r="G777" s="795"/>
      <c r="H777" s="93"/>
      <c r="I777" s="810"/>
      <c r="J777" s="810"/>
    </row>
    <row r="778" spans="1:10" x14ac:dyDescent="0.25">
      <c r="A778" s="92"/>
      <c r="F778" s="786"/>
      <c r="G778" s="795"/>
      <c r="H778" s="93"/>
      <c r="I778" s="810"/>
      <c r="J778" s="810"/>
    </row>
    <row r="779" spans="1:10" x14ac:dyDescent="0.25">
      <c r="A779" s="92"/>
      <c r="F779" s="786"/>
      <c r="G779" s="795"/>
      <c r="H779" s="93"/>
      <c r="I779" s="810"/>
      <c r="J779" s="810"/>
    </row>
    <row r="780" spans="1:10" x14ac:dyDescent="0.25">
      <c r="A780" s="92"/>
      <c r="F780" s="786"/>
      <c r="G780" s="795"/>
      <c r="H780" s="93"/>
      <c r="I780" s="810"/>
      <c r="J780" s="810"/>
    </row>
    <row r="781" spans="1:10" x14ac:dyDescent="0.25">
      <c r="A781" s="92"/>
      <c r="F781" s="786"/>
      <c r="G781" s="795"/>
      <c r="H781" s="93"/>
      <c r="I781" s="810"/>
      <c r="J781" s="810"/>
    </row>
    <row r="782" spans="1:10" x14ac:dyDescent="0.25">
      <c r="A782" s="92"/>
      <c r="F782" s="786"/>
      <c r="G782" s="795"/>
      <c r="H782" s="93"/>
      <c r="I782" s="810"/>
      <c r="J782" s="810"/>
    </row>
    <row r="783" spans="1:10" x14ac:dyDescent="0.25">
      <c r="A783" s="92"/>
      <c r="F783" s="786"/>
      <c r="G783" s="795"/>
      <c r="H783" s="93"/>
      <c r="I783" s="810"/>
      <c r="J783" s="810"/>
    </row>
    <row r="784" spans="1:10" x14ac:dyDescent="0.25">
      <c r="A784" s="92"/>
      <c r="F784" s="786"/>
      <c r="G784" s="795"/>
      <c r="H784" s="93"/>
      <c r="I784" s="810"/>
      <c r="J784" s="810"/>
    </row>
    <row r="785" spans="1:10" x14ac:dyDescent="0.25">
      <c r="A785" s="92"/>
      <c r="F785" s="786"/>
      <c r="G785" s="795"/>
      <c r="H785" s="93"/>
      <c r="I785" s="810"/>
      <c r="J785" s="810"/>
    </row>
    <row r="786" spans="1:10" x14ac:dyDescent="0.25">
      <c r="A786" s="92"/>
      <c r="F786" s="786"/>
      <c r="G786" s="795"/>
      <c r="H786" s="93"/>
      <c r="I786" s="810"/>
      <c r="J786" s="810"/>
    </row>
    <row r="787" spans="1:10" x14ac:dyDescent="0.25">
      <c r="A787" s="92"/>
      <c r="F787" s="786"/>
      <c r="G787" s="795"/>
      <c r="H787" s="93"/>
      <c r="I787" s="810"/>
      <c r="J787" s="810"/>
    </row>
    <row r="788" spans="1:10" x14ac:dyDescent="0.25">
      <c r="A788" s="92"/>
      <c r="F788" s="786"/>
      <c r="G788" s="795"/>
      <c r="H788" s="93"/>
      <c r="I788" s="810"/>
      <c r="J788" s="810"/>
    </row>
    <row r="789" spans="1:10" x14ac:dyDescent="0.25">
      <c r="A789" s="92"/>
      <c r="F789" s="786"/>
      <c r="G789" s="795"/>
      <c r="H789" s="93"/>
      <c r="I789" s="810"/>
      <c r="J789" s="810"/>
    </row>
    <row r="790" spans="1:10" x14ac:dyDescent="0.25">
      <c r="A790" s="92"/>
      <c r="F790" s="786"/>
      <c r="G790" s="795"/>
      <c r="H790" s="93"/>
      <c r="I790" s="810"/>
      <c r="J790" s="810"/>
    </row>
    <row r="791" spans="1:10" x14ac:dyDescent="0.25">
      <c r="A791" s="92"/>
      <c r="F791" s="786"/>
      <c r="G791" s="795"/>
      <c r="H791" s="93"/>
      <c r="I791" s="810"/>
      <c r="J791" s="810"/>
    </row>
    <row r="792" spans="1:10" x14ac:dyDescent="0.25">
      <c r="A792" s="92"/>
      <c r="F792" s="786"/>
      <c r="G792" s="795"/>
      <c r="H792" s="93"/>
      <c r="I792" s="810"/>
      <c r="J792" s="810"/>
    </row>
    <row r="793" spans="1:10" x14ac:dyDescent="0.25">
      <c r="A793" s="92"/>
      <c r="F793" s="786"/>
      <c r="G793" s="795"/>
      <c r="H793" s="93"/>
      <c r="I793" s="810"/>
      <c r="J793" s="810"/>
    </row>
    <row r="794" spans="1:10" x14ac:dyDescent="0.25">
      <c r="A794" s="92"/>
      <c r="F794" s="786"/>
      <c r="G794" s="795"/>
      <c r="H794" s="93"/>
      <c r="I794" s="810"/>
      <c r="J794" s="810"/>
    </row>
    <row r="795" spans="1:10" x14ac:dyDescent="0.25">
      <c r="A795" s="92"/>
      <c r="F795" s="786"/>
      <c r="G795" s="795"/>
      <c r="H795" s="93"/>
      <c r="I795" s="810"/>
      <c r="J795" s="810"/>
    </row>
    <row r="796" spans="1:10" x14ac:dyDescent="0.25">
      <c r="A796" s="92"/>
      <c r="F796" s="786"/>
      <c r="G796" s="795"/>
      <c r="H796" s="93"/>
      <c r="I796" s="810"/>
      <c r="J796" s="810"/>
    </row>
    <row r="797" spans="1:10" x14ac:dyDescent="0.25">
      <c r="A797" s="92"/>
      <c r="F797" s="786"/>
      <c r="G797" s="795"/>
      <c r="H797" s="93"/>
      <c r="I797" s="810"/>
      <c r="J797" s="810"/>
    </row>
    <row r="798" spans="1:10" x14ac:dyDescent="0.25">
      <c r="A798" s="92"/>
      <c r="F798" s="786"/>
      <c r="G798" s="795"/>
      <c r="H798" s="93"/>
      <c r="I798" s="810"/>
      <c r="J798" s="810"/>
    </row>
    <row r="799" spans="1:10" x14ac:dyDescent="0.25">
      <c r="A799" s="92"/>
      <c r="F799" s="786"/>
      <c r="G799" s="795"/>
      <c r="H799" s="93"/>
      <c r="I799" s="810"/>
      <c r="J799" s="810"/>
    </row>
    <row r="800" spans="1:10" x14ac:dyDescent="0.25">
      <c r="A800" s="92"/>
      <c r="F800" s="786"/>
      <c r="G800" s="795"/>
      <c r="H800" s="93"/>
      <c r="I800" s="810"/>
      <c r="J800" s="810"/>
    </row>
    <row r="801" spans="1:10" x14ac:dyDescent="0.25">
      <c r="A801" s="92"/>
      <c r="F801" s="786"/>
      <c r="G801" s="795"/>
      <c r="H801" s="93"/>
      <c r="I801" s="810"/>
      <c r="J801" s="810"/>
    </row>
    <row r="802" spans="1:10" x14ac:dyDescent="0.25">
      <c r="A802" s="92"/>
      <c r="F802" s="786"/>
      <c r="G802" s="795"/>
      <c r="H802" s="93"/>
      <c r="I802" s="810"/>
      <c r="J802" s="810"/>
    </row>
    <row r="803" spans="1:10" x14ac:dyDescent="0.25">
      <c r="A803" s="92"/>
      <c r="F803" s="786"/>
      <c r="G803" s="795"/>
      <c r="H803" s="93"/>
      <c r="I803" s="810"/>
      <c r="J803" s="810"/>
    </row>
    <row r="804" spans="1:10" x14ac:dyDescent="0.25">
      <c r="A804" s="92"/>
      <c r="F804" s="786"/>
      <c r="G804" s="795"/>
      <c r="H804" s="93"/>
      <c r="I804" s="810"/>
      <c r="J804" s="810"/>
    </row>
    <row r="805" spans="1:10" x14ac:dyDescent="0.25">
      <c r="A805" s="92"/>
      <c r="F805" s="786"/>
      <c r="G805" s="795"/>
      <c r="H805" s="93"/>
      <c r="I805" s="810"/>
      <c r="J805" s="810"/>
    </row>
    <row r="806" spans="1:10" x14ac:dyDescent="0.25">
      <c r="A806" s="92"/>
      <c r="F806" s="786"/>
      <c r="G806" s="795"/>
      <c r="H806" s="93"/>
      <c r="I806" s="810"/>
      <c r="J806" s="810"/>
    </row>
    <row r="807" spans="1:10" x14ac:dyDescent="0.25">
      <c r="A807" s="92"/>
      <c r="F807" s="786"/>
      <c r="G807" s="795"/>
      <c r="H807" s="93"/>
      <c r="I807" s="810"/>
      <c r="J807" s="810"/>
    </row>
    <row r="808" spans="1:10" x14ac:dyDescent="0.25">
      <c r="A808" s="92"/>
      <c r="F808" s="786"/>
      <c r="G808" s="795"/>
      <c r="H808" s="93"/>
      <c r="I808" s="810"/>
      <c r="J808" s="810"/>
    </row>
    <row r="809" spans="1:10" x14ac:dyDescent="0.25">
      <c r="A809" s="92"/>
      <c r="F809" s="786"/>
      <c r="G809" s="795"/>
      <c r="H809" s="93"/>
      <c r="I809" s="810"/>
      <c r="J809" s="810"/>
    </row>
    <row r="810" spans="1:10" x14ac:dyDescent="0.25">
      <c r="A810" s="92"/>
      <c r="F810" s="786"/>
      <c r="G810" s="795"/>
      <c r="H810" s="93"/>
      <c r="I810" s="810"/>
      <c r="J810" s="810"/>
    </row>
    <row r="811" spans="1:10" x14ac:dyDescent="0.25">
      <c r="A811" s="92"/>
      <c r="F811" s="786"/>
      <c r="G811" s="795"/>
      <c r="H811" s="93"/>
      <c r="I811" s="810"/>
      <c r="J811" s="810"/>
    </row>
    <row r="812" spans="1:10" x14ac:dyDescent="0.25">
      <c r="A812" s="92"/>
      <c r="F812" s="786"/>
      <c r="G812" s="795"/>
      <c r="H812" s="93"/>
      <c r="I812" s="810"/>
      <c r="J812" s="810"/>
    </row>
    <row r="813" spans="1:10" x14ac:dyDescent="0.25">
      <c r="A813" s="92"/>
      <c r="F813" s="786"/>
      <c r="G813" s="795"/>
      <c r="H813" s="93"/>
      <c r="I813" s="810"/>
      <c r="J813" s="810"/>
    </row>
    <row r="814" spans="1:10" x14ac:dyDescent="0.25">
      <c r="A814" s="92"/>
      <c r="F814" s="786"/>
      <c r="G814" s="795"/>
      <c r="H814" s="93"/>
      <c r="I814" s="810"/>
      <c r="J814" s="810"/>
    </row>
    <row r="815" spans="1:10" x14ac:dyDescent="0.25">
      <c r="A815" s="92"/>
      <c r="F815" s="786"/>
      <c r="G815" s="795"/>
      <c r="H815" s="93"/>
      <c r="I815" s="810"/>
      <c r="J815" s="810"/>
    </row>
    <row r="816" spans="1:10" x14ac:dyDescent="0.25">
      <c r="A816" s="92"/>
      <c r="F816" s="786"/>
      <c r="G816" s="795"/>
      <c r="H816" s="93"/>
      <c r="I816" s="810"/>
      <c r="J816" s="810"/>
    </row>
    <row r="817" spans="1:10" x14ac:dyDescent="0.25">
      <c r="A817" s="92"/>
      <c r="F817" s="786"/>
      <c r="G817" s="795"/>
      <c r="H817" s="93"/>
      <c r="I817" s="810"/>
      <c r="J817" s="810"/>
    </row>
    <row r="818" spans="1:10" x14ac:dyDescent="0.25">
      <c r="A818" s="92"/>
      <c r="F818" s="786"/>
      <c r="G818" s="795"/>
      <c r="H818" s="93"/>
      <c r="I818" s="810"/>
      <c r="J818" s="810"/>
    </row>
    <row r="819" spans="1:10" x14ac:dyDescent="0.25">
      <c r="A819" s="92"/>
      <c r="F819" s="786"/>
      <c r="G819" s="795"/>
      <c r="H819" s="93"/>
      <c r="I819" s="810"/>
      <c r="J819" s="810"/>
    </row>
    <row r="820" spans="1:10" x14ac:dyDescent="0.25">
      <c r="A820" s="92"/>
      <c r="F820" s="786"/>
      <c r="G820" s="795"/>
      <c r="H820" s="93"/>
      <c r="I820" s="810"/>
      <c r="J820" s="810"/>
    </row>
    <row r="821" spans="1:10" x14ac:dyDescent="0.25">
      <c r="A821" s="92"/>
      <c r="F821" s="786"/>
      <c r="G821" s="795"/>
      <c r="H821" s="93"/>
      <c r="I821" s="810"/>
      <c r="J821" s="810"/>
    </row>
    <row r="822" spans="1:10" x14ac:dyDescent="0.25">
      <c r="A822" s="92"/>
      <c r="F822" s="786"/>
      <c r="G822" s="795"/>
      <c r="H822" s="93"/>
      <c r="I822" s="810"/>
      <c r="J822" s="810"/>
    </row>
    <row r="823" spans="1:10" x14ac:dyDescent="0.25">
      <c r="A823" s="92"/>
      <c r="F823" s="786"/>
      <c r="G823" s="795"/>
      <c r="H823" s="93"/>
      <c r="I823" s="810"/>
      <c r="J823" s="810"/>
    </row>
    <row r="824" spans="1:10" x14ac:dyDescent="0.25">
      <c r="A824" s="92"/>
      <c r="F824" s="786"/>
      <c r="G824" s="795"/>
      <c r="H824" s="93"/>
      <c r="I824" s="810"/>
      <c r="J824" s="810"/>
    </row>
    <row r="825" spans="1:10" x14ac:dyDescent="0.25">
      <c r="A825" s="92"/>
      <c r="F825" s="786"/>
      <c r="G825" s="795"/>
      <c r="H825" s="93"/>
      <c r="I825" s="810"/>
      <c r="J825" s="810"/>
    </row>
    <row r="826" spans="1:10" x14ac:dyDescent="0.25">
      <c r="A826" s="92"/>
      <c r="F826" s="786"/>
      <c r="G826" s="795"/>
      <c r="H826" s="93"/>
      <c r="I826" s="810"/>
      <c r="J826" s="810"/>
    </row>
    <row r="827" spans="1:10" x14ac:dyDescent="0.25">
      <c r="A827" s="92"/>
      <c r="F827" s="786"/>
      <c r="G827" s="795"/>
      <c r="H827" s="93"/>
      <c r="I827" s="810"/>
      <c r="J827" s="810"/>
    </row>
    <row r="828" spans="1:10" x14ac:dyDescent="0.25">
      <c r="A828" s="92"/>
      <c r="F828" s="786"/>
      <c r="G828" s="795"/>
      <c r="H828" s="93"/>
      <c r="I828" s="810"/>
      <c r="J828" s="810"/>
    </row>
    <row r="829" spans="1:10" x14ac:dyDescent="0.25">
      <c r="A829" s="92"/>
      <c r="F829" s="786"/>
      <c r="G829" s="795"/>
      <c r="H829" s="93"/>
      <c r="I829" s="810"/>
      <c r="J829" s="810"/>
    </row>
    <row r="830" spans="1:10" x14ac:dyDescent="0.25">
      <c r="A830" s="92"/>
      <c r="F830" s="786"/>
      <c r="G830" s="795"/>
      <c r="H830" s="93"/>
      <c r="I830" s="810"/>
      <c r="J830" s="810"/>
    </row>
    <row r="831" spans="1:10" x14ac:dyDescent="0.25">
      <c r="A831" s="92"/>
      <c r="F831" s="786"/>
      <c r="G831" s="795"/>
      <c r="H831" s="93"/>
      <c r="I831" s="810"/>
      <c r="J831" s="810"/>
    </row>
    <row r="832" spans="1:10" x14ac:dyDescent="0.25">
      <c r="A832" s="92"/>
      <c r="F832" s="786"/>
      <c r="G832" s="795"/>
      <c r="H832" s="93"/>
      <c r="I832" s="810"/>
      <c r="J832" s="810"/>
    </row>
    <row r="833" spans="1:10" x14ac:dyDescent="0.25">
      <c r="A833" s="92"/>
      <c r="F833" s="786"/>
      <c r="G833" s="795"/>
      <c r="H833" s="93"/>
      <c r="I833" s="810"/>
      <c r="J833" s="810"/>
    </row>
    <row r="834" spans="1:10" x14ac:dyDescent="0.25">
      <c r="A834" s="92"/>
      <c r="F834" s="786"/>
      <c r="G834" s="795"/>
      <c r="H834" s="93"/>
      <c r="I834" s="810"/>
      <c r="J834" s="810"/>
    </row>
    <row r="835" spans="1:10" x14ac:dyDescent="0.25">
      <c r="A835" s="92"/>
      <c r="F835" s="786"/>
      <c r="G835" s="795"/>
      <c r="H835" s="93"/>
      <c r="I835" s="810"/>
      <c r="J835" s="810"/>
    </row>
    <row r="836" spans="1:10" x14ac:dyDescent="0.25">
      <c r="A836" s="92"/>
      <c r="F836" s="786"/>
      <c r="G836" s="795"/>
      <c r="H836" s="93"/>
      <c r="I836" s="810"/>
      <c r="J836" s="810"/>
    </row>
    <row r="837" spans="1:10" x14ac:dyDescent="0.25">
      <c r="A837" s="92"/>
      <c r="F837" s="786"/>
      <c r="G837" s="795"/>
      <c r="H837" s="93"/>
      <c r="I837" s="810"/>
      <c r="J837" s="810"/>
    </row>
    <row r="838" spans="1:10" x14ac:dyDescent="0.25">
      <c r="A838" s="92"/>
      <c r="F838" s="786"/>
      <c r="G838" s="795"/>
      <c r="H838" s="93"/>
      <c r="I838" s="810"/>
      <c r="J838" s="810"/>
    </row>
    <row r="839" spans="1:10" x14ac:dyDescent="0.25">
      <c r="A839" s="92"/>
      <c r="F839" s="786"/>
      <c r="G839" s="795"/>
      <c r="H839" s="93"/>
      <c r="I839" s="810"/>
      <c r="J839" s="810"/>
    </row>
    <row r="840" spans="1:10" x14ac:dyDescent="0.25">
      <c r="A840" s="92"/>
      <c r="F840" s="786"/>
      <c r="G840" s="795"/>
      <c r="H840" s="93"/>
      <c r="I840" s="810"/>
      <c r="J840" s="810"/>
    </row>
    <row r="841" spans="1:10" x14ac:dyDescent="0.25">
      <c r="A841" s="92"/>
      <c r="F841" s="786"/>
      <c r="G841" s="795"/>
      <c r="H841" s="93"/>
      <c r="I841" s="810"/>
      <c r="J841" s="810"/>
    </row>
    <row r="842" spans="1:10" x14ac:dyDescent="0.25">
      <c r="A842" s="92"/>
      <c r="F842" s="786"/>
      <c r="G842" s="795"/>
      <c r="H842" s="93"/>
      <c r="I842" s="810"/>
      <c r="J842" s="810"/>
    </row>
    <row r="843" spans="1:10" x14ac:dyDescent="0.25">
      <c r="A843" s="92"/>
      <c r="F843" s="786"/>
      <c r="G843" s="795"/>
      <c r="H843" s="93"/>
      <c r="I843" s="810"/>
      <c r="J843" s="810"/>
    </row>
    <row r="844" spans="1:10" x14ac:dyDescent="0.25">
      <c r="A844" s="92"/>
      <c r="F844" s="786"/>
      <c r="G844" s="795"/>
      <c r="H844" s="93"/>
      <c r="I844" s="810"/>
      <c r="J844" s="810"/>
    </row>
    <row r="845" spans="1:10" x14ac:dyDescent="0.25">
      <c r="A845" s="92"/>
      <c r="F845" s="786"/>
      <c r="G845" s="795"/>
      <c r="H845" s="93"/>
      <c r="I845" s="810"/>
      <c r="J845" s="810"/>
    </row>
    <row r="846" spans="1:10" x14ac:dyDescent="0.25">
      <c r="A846" s="92"/>
      <c r="F846" s="786"/>
      <c r="G846" s="795"/>
      <c r="H846" s="93"/>
      <c r="I846" s="810"/>
      <c r="J846" s="810"/>
    </row>
    <row r="847" spans="1:10" x14ac:dyDescent="0.25">
      <c r="A847" s="92"/>
      <c r="F847" s="786"/>
      <c r="G847" s="795"/>
      <c r="H847" s="93"/>
      <c r="I847" s="810"/>
      <c r="J847" s="810"/>
    </row>
    <row r="848" spans="1:10" x14ac:dyDescent="0.25">
      <c r="A848" s="92"/>
      <c r="F848" s="786"/>
      <c r="G848" s="795"/>
      <c r="H848" s="93"/>
      <c r="I848" s="810"/>
      <c r="J848" s="810"/>
    </row>
    <row r="849" spans="1:10" x14ac:dyDescent="0.25">
      <c r="A849" s="92"/>
      <c r="F849" s="786"/>
      <c r="G849" s="795"/>
      <c r="H849" s="93"/>
      <c r="I849" s="810"/>
      <c r="J849" s="810"/>
    </row>
    <row r="850" spans="1:10" x14ac:dyDescent="0.25">
      <c r="A850" s="92"/>
      <c r="F850" s="786"/>
      <c r="G850" s="795"/>
      <c r="H850" s="93"/>
      <c r="I850" s="810"/>
      <c r="J850" s="810"/>
    </row>
    <row r="851" spans="1:10" x14ac:dyDescent="0.25">
      <c r="A851" s="92"/>
      <c r="F851" s="786"/>
      <c r="G851" s="795"/>
      <c r="H851" s="93"/>
      <c r="I851" s="810"/>
      <c r="J851" s="810"/>
    </row>
    <row r="852" spans="1:10" x14ac:dyDescent="0.25">
      <c r="A852" s="92"/>
      <c r="F852" s="786"/>
      <c r="G852" s="795"/>
      <c r="H852" s="93"/>
      <c r="I852" s="810"/>
      <c r="J852" s="810"/>
    </row>
    <row r="853" spans="1:10" x14ac:dyDescent="0.25">
      <c r="A853" s="92"/>
      <c r="F853" s="786"/>
      <c r="G853" s="795"/>
      <c r="H853" s="93"/>
      <c r="I853" s="810"/>
      <c r="J853" s="810"/>
    </row>
    <row r="854" spans="1:10" x14ac:dyDescent="0.25">
      <c r="A854" s="92"/>
      <c r="F854" s="786"/>
      <c r="G854" s="795"/>
      <c r="H854" s="93"/>
      <c r="I854" s="810"/>
      <c r="J854" s="810"/>
    </row>
    <row r="855" spans="1:10" x14ac:dyDescent="0.25">
      <c r="A855" s="92"/>
      <c r="F855" s="786"/>
      <c r="G855" s="795"/>
      <c r="H855" s="93"/>
      <c r="I855" s="810"/>
      <c r="J855" s="810"/>
    </row>
    <row r="856" spans="1:10" x14ac:dyDescent="0.25">
      <c r="A856" s="92"/>
      <c r="F856" s="786"/>
      <c r="G856" s="795"/>
      <c r="H856" s="93"/>
      <c r="I856" s="810"/>
      <c r="J856" s="810"/>
    </row>
    <row r="857" spans="1:10" x14ac:dyDescent="0.25">
      <c r="A857" s="92"/>
      <c r="F857" s="786"/>
      <c r="G857" s="795"/>
      <c r="H857" s="93"/>
      <c r="I857" s="810"/>
      <c r="J857" s="810"/>
    </row>
    <row r="858" spans="1:10" x14ac:dyDescent="0.25">
      <c r="A858" s="92"/>
      <c r="F858" s="786"/>
      <c r="G858" s="795"/>
      <c r="H858" s="93"/>
      <c r="I858" s="810"/>
      <c r="J858" s="810"/>
    </row>
    <row r="859" spans="1:10" x14ac:dyDescent="0.25">
      <c r="A859" s="92"/>
      <c r="F859" s="786"/>
      <c r="G859" s="795"/>
      <c r="H859" s="93"/>
      <c r="I859" s="810"/>
      <c r="J859" s="810"/>
    </row>
    <row r="860" spans="1:10" x14ac:dyDescent="0.25">
      <c r="A860" s="92"/>
      <c r="F860" s="786"/>
      <c r="G860" s="795"/>
      <c r="H860" s="93"/>
      <c r="I860" s="810"/>
      <c r="J860" s="810"/>
    </row>
    <row r="861" spans="1:10" x14ac:dyDescent="0.25">
      <c r="A861" s="92"/>
      <c r="F861" s="786"/>
      <c r="G861" s="795"/>
      <c r="H861" s="93"/>
      <c r="I861" s="810"/>
      <c r="J861" s="810"/>
    </row>
    <row r="862" spans="1:10" x14ac:dyDescent="0.25">
      <c r="A862" s="92"/>
      <c r="F862" s="786"/>
      <c r="G862" s="795"/>
      <c r="H862" s="93"/>
      <c r="I862" s="810"/>
      <c r="J862" s="810"/>
    </row>
    <row r="863" spans="1:10" x14ac:dyDescent="0.25">
      <c r="A863" s="92"/>
      <c r="F863" s="786"/>
      <c r="G863" s="795"/>
      <c r="H863" s="93"/>
      <c r="I863" s="810"/>
      <c r="J863" s="810"/>
    </row>
    <row r="864" spans="1:10" x14ac:dyDescent="0.25">
      <c r="A864" s="92"/>
      <c r="F864" s="786"/>
      <c r="G864" s="795"/>
      <c r="H864" s="93"/>
      <c r="I864" s="810"/>
      <c r="J864" s="810"/>
    </row>
    <row r="865" spans="1:10" x14ac:dyDescent="0.25">
      <c r="A865" s="92"/>
      <c r="F865" s="786"/>
      <c r="G865" s="795"/>
      <c r="H865" s="93"/>
      <c r="I865" s="810"/>
      <c r="J865" s="810"/>
    </row>
    <row r="866" spans="1:10" x14ac:dyDescent="0.25">
      <c r="A866" s="92"/>
      <c r="F866" s="786"/>
      <c r="G866" s="795"/>
      <c r="H866" s="93"/>
      <c r="I866" s="810"/>
      <c r="J866" s="810"/>
    </row>
    <row r="867" spans="1:10" x14ac:dyDescent="0.25">
      <c r="A867" s="92"/>
      <c r="F867" s="786"/>
      <c r="G867" s="795"/>
      <c r="H867" s="93"/>
      <c r="I867" s="810"/>
      <c r="J867" s="810"/>
    </row>
    <row r="868" spans="1:10" x14ac:dyDescent="0.25">
      <c r="A868" s="92"/>
      <c r="F868" s="786"/>
      <c r="G868" s="795"/>
      <c r="H868" s="93"/>
      <c r="I868" s="810"/>
      <c r="J868" s="810"/>
    </row>
    <row r="869" spans="1:10" x14ac:dyDescent="0.25">
      <c r="A869" s="92"/>
      <c r="F869" s="786"/>
      <c r="G869" s="795"/>
      <c r="H869" s="93"/>
      <c r="I869" s="810"/>
      <c r="J869" s="810"/>
    </row>
    <row r="870" spans="1:10" x14ac:dyDescent="0.25">
      <c r="A870" s="92"/>
      <c r="F870" s="786"/>
      <c r="G870" s="795"/>
      <c r="H870" s="93"/>
      <c r="I870" s="810"/>
      <c r="J870" s="810"/>
    </row>
    <row r="871" spans="1:10" x14ac:dyDescent="0.25">
      <c r="A871" s="92"/>
      <c r="F871" s="786"/>
      <c r="G871" s="795"/>
      <c r="H871" s="93"/>
      <c r="I871" s="810"/>
      <c r="J871" s="810"/>
    </row>
    <row r="872" spans="1:10" x14ac:dyDescent="0.25">
      <c r="A872" s="92"/>
      <c r="F872" s="786"/>
      <c r="G872" s="795"/>
      <c r="H872" s="93"/>
      <c r="I872" s="810"/>
      <c r="J872" s="810"/>
    </row>
    <row r="873" spans="1:10" x14ac:dyDescent="0.25">
      <c r="A873" s="92"/>
      <c r="F873" s="786"/>
      <c r="G873" s="795"/>
      <c r="H873" s="93"/>
      <c r="I873" s="810"/>
      <c r="J873" s="810"/>
    </row>
    <row r="874" spans="1:10" x14ac:dyDescent="0.25">
      <c r="A874" s="92"/>
      <c r="F874" s="786"/>
      <c r="G874" s="795"/>
      <c r="H874" s="93"/>
      <c r="I874" s="810"/>
      <c r="J874" s="810"/>
    </row>
    <row r="875" spans="1:10" x14ac:dyDescent="0.25">
      <c r="A875" s="92"/>
      <c r="F875" s="786"/>
      <c r="G875" s="795"/>
      <c r="H875" s="93"/>
      <c r="I875" s="810"/>
      <c r="J875" s="810"/>
    </row>
    <row r="876" spans="1:10" x14ac:dyDescent="0.25">
      <c r="A876" s="92"/>
      <c r="F876" s="786"/>
      <c r="G876" s="795"/>
      <c r="H876" s="93"/>
      <c r="I876" s="810"/>
      <c r="J876" s="810"/>
    </row>
    <row r="877" spans="1:10" x14ac:dyDescent="0.25">
      <c r="A877" s="92"/>
      <c r="F877" s="786"/>
      <c r="G877" s="795"/>
      <c r="H877" s="93"/>
      <c r="I877" s="810"/>
      <c r="J877" s="810"/>
    </row>
    <row r="878" spans="1:10" x14ac:dyDescent="0.25">
      <c r="A878" s="92"/>
      <c r="F878" s="786"/>
      <c r="G878" s="795"/>
      <c r="H878" s="93"/>
      <c r="I878" s="810"/>
      <c r="J878" s="810"/>
    </row>
    <row r="879" spans="1:10" x14ac:dyDescent="0.25">
      <c r="A879" s="92"/>
      <c r="F879" s="786"/>
      <c r="G879" s="795"/>
      <c r="H879" s="93"/>
      <c r="I879" s="810"/>
      <c r="J879" s="810"/>
    </row>
    <row r="880" spans="1:10" x14ac:dyDescent="0.25">
      <c r="A880" s="92"/>
      <c r="F880" s="786"/>
      <c r="G880" s="795"/>
      <c r="H880" s="93"/>
      <c r="I880" s="810"/>
      <c r="J880" s="810"/>
    </row>
    <row r="881" spans="1:10" x14ac:dyDescent="0.25">
      <c r="A881" s="92"/>
      <c r="F881" s="786"/>
      <c r="G881" s="795"/>
      <c r="H881" s="93"/>
      <c r="I881" s="810"/>
      <c r="J881" s="810"/>
    </row>
    <row r="882" spans="1:10" x14ac:dyDescent="0.25">
      <c r="A882" s="92"/>
      <c r="F882" s="786"/>
      <c r="G882" s="795"/>
      <c r="H882" s="93"/>
      <c r="I882" s="810"/>
      <c r="J882" s="810"/>
    </row>
    <row r="883" spans="1:10" x14ac:dyDescent="0.25">
      <c r="A883" s="92"/>
      <c r="F883" s="786"/>
      <c r="G883" s="795"/>
      <c r="H883" s="93"/>
      <c r="I883" s="810"/>
      <c r="J883" s="810"/>
    </row>
    <row r="884" spans="1:10" x14ac:dyDescent="0.25">
      <c r="A884" s="92"/>
      <c r="F884" s="786"/>
      <c r="G884" s="795"/>
      <c r="H884" s="93"/>
      <c r="I884" s="810"/>
      <c r="J884" s="810"/>
    </row>
    <row r="885" spans="1:10" x14ac:dyDescent="0.25">
      <c r="A885" s="92"/>
      <c r="F885" s="786"/>
      <c r="G885" s="795"/>
      <c r="H885" s="93"/>
      <c r="I885" s="810"/>
      <c r="J885" s="810"/>
    </row>
    <row r="886" spans="1:10" x14ac:dyDescent="0.25">
      <c r="A886" s="92"/>
      <c r="F886" s="786"/>
      <c r="G886" s="795"/>
      <c r="H886" s="93"/>
      <c r="I886" s="810"/>
      <c r="J886" s="810"/>
    </row>
    <row r="887" spans="1:10" x14ac:dyDescent="0.25">
      <c r="A887" s="92"/>
      <c r="F887" s="786"/>
      <c r="G887" s="795"/>
      <c r="H887" s="93"/>
      <c r="I887" s="810"/>
      <c r="J887" s="810"/>
    </row>
    <row r="888" spans="1:10" x14ac:dyDescent="0.25">
      <c r="A888" s="92"/>
      <c r="F888" s="786"/>
      <c r="G888" s="795"/>
      <c r="H888" s="93"/>
      <c r="I888" s="810"/>
      <c r="J888" s="810"/>
    </row>
    <row r="889" spans="1:10" x14ac:dyDescent="0.25">
      <c r="A889" s="92"/>
      <c r="F889" s="786"/>
      <c r="G889" s="795"/>
      <c r="H889" s="93"/>
      <c r="I889" s="810"/>
      <c r="J889" s="810"/>
    </row>
    <row r="890" spans="1:10" x14ac:dyDescent="0.25">
      <c r="A890" s="92"/>
      <c r="F890" s="786"/>
      <c r="G890" s="795"/>
      <c r="H890" s="93"/>
      <c r="I890" s="810"/>
      <c r="J890" s="810"/>
    </row>
    <row r="891" spans="1:10" x14ac:dyDescent="0.25">
      <c r="A891" s="92"/>
      <c r="F891" s="786"/>
      <c r="G891" s="795"/>
      <c r="H891" s="93"/>
      <c r="I891" s="810"/>
      <c r="J891" s="810"/>
    </row>
    <row r="892" spans="1:10" x14ac:dyDescent="0.25">
      <c r="A892" s="92"/>
      <c r="F892" s="786"/>
      <c r="G892" s="795"/>
      <c r="H892" s="93"/>
      <c r="I892" s="810"/>
      <c r="J892" s="810"/>
    </row>
    <row r="893" spans="1:10" x14ac:dyDescent="0.25">
      <c r="A893" s="92"/>
      <c r="F893" s="786"/>
      <c r="G893" s="795"/>
      <c r="H893" s="93"/>
      <c r="I893" s="810"/>
      <c r="J893" s="810"/>
    </row>
    <row r="894" spans="1:10" x14ac:dyDescent="0.25">
      <c r="A894" s="92"/>
      <c r="F894" s="786"/>
      <c r="G894" s="795"/>
      <c r="H894" s="93"/>
      <c r="I894" s="810"/>
      <c r="J894" s="810"/>
    </row>
    <row r="895" spans="1:10" x14ac:dyDescent="0.25">
      <c r="A895" s="92"/>
      <c r="F895" s="786"/>
      <c r="G895" s="795"/>
      <c r="H895" s="93"/>
      <c r="I895" s="810"/>
      <c r="J895" s="810"/>
    </row>
    <row r="896" spans="1:10" x14ac:dyDescent="0.25">
      <c r="A896" s="92"/>
      <c r="F896" s="786"/>
      <c r="G896" s="795"/>
      <c r="H896" s="93"/>
      <c r="I896" s="810"/>
      <c r="J896" s="810"/>
    </row>
    <row r="897" spans="1:10" x14ac:dyDescent="0.25">
      <c r="A897" s="92"/>
      <c r="F897" s="786"/>
      <c r="G897" s="795"/>
      <c r="H897" s="93"/>
      <c r="I897" s="810"/>
      <c r="J897" s="810"/>
    </row>
    <row r="898" spans="1:10" x14ac:dyDescent="0.25">
      <c r="A898" s="92"/>
      <c r="F898" s="786"/>
      <c r="G898" s="795"/>
      <c r="H898" s="93"/>
      <c r="I898" s="810"/>
      <c r="J898" s="810"/>
    </row>
    <row r="899" spans="1:10" x14ac:dyDescent="0.25">
      <c r="A899" s="92"/>
      <c r="F899" s="786"/>
      <c r="G899" s="795"/>
      <c r="H899" s="93"/>
      <c r="I899" s="810"/>
      <c r="J899" s="810"/>
    </row>
    <row r="900" spans="1:10" x14ac:dyDescent="0.25">
      <c r="A900" s="92"/>
      <c r="F900" s="786"/>
      <c r="G900" s="795"/>
      <c r="H900" s="93"/>
      <c r="I900" s="810"/>
      <c r="J900" s="810"/>
    </row>
    <row r="901" spans="1:10" x14ac:dyDescent="0.25">
      <c r="A901" s="92"/>
      <c r="F901" s="786"/>
      <c r="G901" s="795"/>
      <c r="H901" s="93"/>
      <c r="I901" s="810"/>
      <c r="J901" s="810"/>
    </row>
    <row r="902" spans="1:10" x14ac:dyDescent="0.25">
      <c r="A902" s="92"/>
      <c r="F902" s="786"/>
      <c r="G902" s="795"/>
      <c r="H902" s="93"/>
      <c r="I902" s="810"/>
      <c r="J902" s="810"/>
    </row>
    <row r="903" spans="1:10" x14ac:dyDescent="0.25">
      <c r="A903" s="92"/>
      <c r="F903" s="786"/>
      <c r="G903" s="795"/>
      <c r="H903" s="93"/>
      <c r="I903" s="810"/>
      <c r="J903" s="810"/>
    </row>
    <row r="904" spans="1:10" x14ac:dyDescent="0.25">
      <c r="A904" s="92"/>
      <c r="F904" s="786"/>
      <c r="G904" s="795"/>
      <c r="H904" s="93"/>
      <c r="I904" s="810"/>
      <c r="J904" s="810"/>
    </row>
    <row r="905" spans="1:10" x14ac:dyDescent="0.25">
      <c r="A905" s="92"/>
      <c r="F905" s="786"/>
      <c r="G905" s="795"/>
      <c r="H905" s="93"/>
      <c r="I905" s="810"/>
      <c r="J905" s="810"/>
    </row>
    <row r="906" spans="1:10" x14ac:dyDescent="0.25">
      <c r="A906" s="92"/>
      <c r="F906" s="786"/>
      <c r="G906" s="795"/>
      <c r="H906" s="93"/>
      <c r="I906" s="810"/>
      <c r="J906" s="810"/>
    </row>
    <row r="907" spans="1:10" x14ac:dyDescent="0.25">
      <c r="A907" s="92"/>
      <c r="F907" s="786"/>
      <c r="G907" s="795"/>
      <c r="H907" s="93"/>
      <c r="I907" s="810"/>
      <c r="J907" s="810"/>
    </row>
    <row r="908" spans="1:10" x14ac:dyDescent="0.25">
      <c r="A908" s="92"/>
      <c r="F908" s="786"/>
      <c r="G908" s="795"/>
      <c r="H908" s="93"/>
      <c r="I908" s="810"/>
      <c r="J908" s="810"/>
    </row>
    <row r="909" spans="1:10" x14ac:dyDescent="0.25">
      <c r="A909" s="92"/>
      <c r="F909" s="786"/>
      <c r="G909" s="795"/>
      <c r="H909" s="93"/>
      <c r="I909" s="810"/>
      <c r="J909" s="810"/>
    </row>
    <row r="910" spans="1:10" x14ac:dyDescent="0.25">
      <c r="A910" s="92"/>
      <c r="F910" s="786"/>
      <c r="G910" s="795"/>
      <c r="H910" s="93"/>
      <c r="I910" s="810"/>
      <c r="J910" s="810"/>
    </row>
    <row r="911" spans="1:10" x14ac:dyDescent="0.25">
      <c r="A911" s="92"/>
      <c r="F911" s="786"/>
      <c r="G911" s="795"/>
      <c r="H911" s="93"/>
      <c r="I911" s="810"/>
      <c r="J911" s="810"/>
    </row>
    <row r="912" spans="1:10" x14ac:dyDescent="0.25">
      <c r="A912" s="92"/>
      <c r="F912" s="786"/>
      <c r="G912" s="795"/>
      <c r="H912" s="93"/>
      <c r="I912" s="810"/>
      <c r="J912" s="810"/>
    </row>
    <row r="913" spans="1:10" x14ac:dyDescent="0.25">
      <c r="A913" s="92"/>
      <c r="F913" s="786"/>
      <c r="G913" s="795"/>
      <c r="H913" s="93"/>
      <c r="I913" s="810"/>
      <c r="J913" s="810"/>
    </row>
    <row r="914" spans="1:10" x14ac:dyDescent="0.25">
      <c r="A914" s="92"/>
      <c r="F914" s="786"/>
      <c r="G914" s="795"/>
      <c r="H914" s="93"/>
      <c r="I914" s="810"/>
      <c r="J914" s="810"/>
    </row>
    <row r="915" spans="1:10" x14ac:dyDescent="0.25">
      <c r="A915" s="92"/>
      <c r="F915" s="786"/>
      <c r="G915" s="795"/>
      <c r="H915" s="93"/>
      <c r="I915" s="810"/>
      <c r="J915" s="810"/>
    </row>
    <row r="916" spans="1:10" x14ac:dyDescent="0.25">
      <c r="A916" s="92"/>
      <c r="F916" s="786"/>
      <c r="G916" s="795"/>
      <c r="H916" s="93"/>
      <c r="I916" s="810"/>
      <c r="J916" s="810"/>
    </row>
    <row r="917" spans="1:10" x14ac:dyDescent="0.25">
      <c r="A917" s="92"/>
      <c r="F917" s="786"/>
      <c r="G917" s="795"/>
      <c r="H917" s="93"/>
      <c r="I917" s="810"/>
      <c r="J917" s="810"/>
    </row>
    <row r="918" spans="1:10" x14ac:dyDescent="0.25">
      <c r="A918" s="92"/>
      <c r="F918" s="786"/>
      <c r="G918" s="795"/>
      <c r="H918" s="93"/>
      <c r="I918" s="810"/>
      <c r="J918" s="810"/>
    </row>
    <row r="919" spans="1:10" x14ac:dyDescent="0.25">
      <c r="A919" s="92"/>
      <c r="F919" s="786"/>
      <c r="G919" s="795"/>
      <c r="H919" s="93"/>
      <c r="I919" s="810"/>
      <c r="J919" s="810"/>
    </row>
    <row r="920" spans="1:10" x14ac:dyDescent="0.25">
      <c r="A920" s="92"/>
      <c r="F920" s="786"/>
      <c r="G920" s="795"/>
      <c r="H920" s="93"/>
      <c r="I920" s="810"/>
      <c r="J920" s="810"/>
    </row>
    <row r="921" spans="1:10" x14ac:dyDescent="0.25">
      <c r="A921" s="92"/>
      <c r="F921" s="786"/>
      <c r="G921" s="795"/>
      <c r="H921" s="93"/>
      <c r="I921" s="810"/>
      <c r="J921" s="810"/>
    </row>
    <row r="922" spans="1:10" x14ac:dyDescent="0.25">
      <c r="A922" s="92"/>
      <c r="F922" s="786"/>
      <c r="G922" s="795"/>
      <c r="H922" s="93"/>
      <c r="I922" s="810"/>
      <c r="J922" s="810"/>
    </row>
    <row r="923" spans="1:10" x14ac:dyDescent="0.25">
      <c r="A923" s="92"/>
      <c r="F923" s="786"/>
      <c r="G923" s="795"/>
      <c r="H923" s="93"/>
      <c r="I923" s="810"/>
      <c r="J923" s="810"/>
    </row>
    <row r="924" spans="1:10" x14ac:dyDescent="0.25">
      <c r="A924" s="92"/>
      <c r="F924" s="786"/>
      <c r="G924" s="795"/>
      <c r="H924" s="93"/>
      <c r="I924" s="810"/>
      <c r="J924" s="810"/>
    </row>
    <row r="925" spans="1:10" x14ac:dyDescent="0.25">
      <c r="A925" s="92"/>
      <c r="F925" s="786"/>
      <c r="G925" s="795"/>
      <c r="H925" s="93"/>
      <c r="I925" s="810"/>
      <c r="J925" s="810"/>
    </row>
    <row r="926" spans="1:10" x14ac:dyDescent="0.25">
      <c r="A926" s="92"/>
      <c r="F926" s="786"/>
      <c r="G926" s="795"/>
      <c r="H926" s="93"/>
      <c r="I926" s="810"/>
      <c r="J926" s="810"/>
    </row>
    <row r="927" spans="1:10" x14ac:dyDescent="0.25">
      <c r="A927" s="92"/>
      <c r="F927" s="786"/>
      <c r="G927" s="795"/>
      <c r="H927" s="93"/>
      <c r="I927" s="810"/>
      <c r="J927" s="810"/>
    </row>
    <row r="928" spans="1:10" x14ac:dyDescent="0.25">
      <c r="A928" s="92"/>
      <c r="F928" s="786"/>
      <c r="G928" s="795"/>
      <c r="H928" s="93"/>
      <c r="I928" s="810"/>
      <c r="J928" s="810"/>
    </row>
    <row r="929" spans="1:10" x14ac:dyDescent="0.25">
      <c r="A929" s="92"/>
      <c r="F929" s="786"/>
      <c r="G929" s="795"/>
      <c r="H929" s="93"/>
      <c r="I929" s="810"/>
      <c r="J929" s="810"/>
    </row>
    <row r="930" spans="1:10" x14ac:dyDescent="0.25">
      <c r="A930" s="92"/>
      <c r="F930" s="786"/>
      <c r="G930" s="795"/>
      <c r="H930" s="93"/>
      <c r="I930" s="810"/>
      <c r="J930" s="810"/>
    </row>
    <row r="931" spans="1:10" x14ac:dyDescent="0.25">
      <c r="A931" s="92"/>
      <c r="F931" s="786"/>
      <c r="G931" s="795"/>
      <c r="H931" s="93"/>
      <c r="I931" s="810"/>
      <c r="J931" s="810"/>
    </row>
    <row r="932" spans="1:10" x14ac:dyDescent="0.25">
      <c r="A932" s="92"/>
      <c r="F932" s="786"/>
      <c r="G932" s="795"/>
      <c r="H932" s="93"/>
      <c r="I932" s="810"/>
      <c r="J932" s="810"/>
    </row>
    <row r="933" spans="1:10" x14ac:dyDescent="0.25">
      <c r="A933" s="92"/>
      <c r="F933" s="786"/>
      <c r="G933" s="795"/>
      <c r="H933" s="93"/>
      <c r="I933" s="810"/>
      <c r="J933" s="810"/>
    </row>
    <row r="934" spans="1:10" x14ac:dyDescent="0.25">
      <c r="A934" s="92"/>
      <c r="F934" s="786"/>
      <c r="G934" s="795"/>
      <c r="H934" s="93"/>
      <c r="I934" s="810"/>
      <c r="J934" s="810"/>
    </row>
    <row r="935" spans="1:10" x14ac:dyDescent="0.25">
      <c r="A935" s="92"/>
      <c r="F935" s="786"/>
      <c r="G935" s="795"/>
      <c r="H935" s="93"/>
      <c r="I935" s="810"/>
      <c r="J935" s="810"/>
    </row>
    <row r="936" spans="1:10" x14ac:dyDescent="0.25">
      <c r="A936" s="92"/>
      <c r="F936" s="786"/>
      <c r="G936" s="795"/>
      <c r="H936" s="93"/>
      <c r="I936" s="810"/>
      <c r="J936" s="810"/>
    </row>
    <row r="937" spans="1:10" x14ac:dyDescent="0.25">
      <c r="A937" s="92"/>
      <c r="F937" s="786"/>
      <c r="G937" s="795"/>
      <c r="H937" s="93"/>
      <c r="I937" s="810"/>
      <c r="J937" s="810"/>
    </row>
    <row r="938" spans="1:10" x14ac:dyDescent="0.25">
      <c r="A938" s="92"/>
      <c r="F938" s="786"/>
      <c r="G938" s="795"/>
      <c r="H938" s="93"/>
      <c r="I938" s="810"/>
      <c r="J938" s="810"/>
    </row>
    <row r="939" spans="1:10" x14ac:dyDescent="0.25">
      <c r="A939" s="92"/>
      <c r="F939" s="786"/>
      <c r="G939" s="795"/>
      <c r="H939" s="93"/>
      <c r="I939" s="810"/>
      <c r="J939" s="810"/>
    </row>
    <row r="940" spans="1:10" x14ac:dyDescent="0.25">
      <c r="A940" s="92"/>
      <c r="F940" s="786"/>
      <c r="G940" s="795"/>
      <c r="H940" s="93"/>
      <c r="I940" s="810"/>
      <c r="J940" s="810"/>
    </row>
    <row r="941" spans="1:10" x14ac:dyDescent="0.25">
      <c r="A941" s="92"/>
      <c r="F941" s="786"/>
      <c r="G941" s="795"/>
      <c r="H941" s="93"/>
      <c r="I941" s="810"/>
      <c r="J941" s="810"/>
    </row>
    <row r="942" spans="1:10" x14ac:dyDescent="0.25">
      <c r="A942" s="92"/>
      <c r="F942" s="786"/>
      <c r="G942" s="795"/>
      <c r="H942" s="93"/>
      <c r="I942" s="810"/>
      <c r="J942" s="810"/>
    </row>
    <row r="943" spans="1:10" x14ac:dyDescent="0.25">
      <c r="A943" s="92"/>
      <c r="F943" s="786"/>
      <c r="G943" s="795"/>
      <c r="H943" s="93"/>
      <c r="I943" s="810"/>
      <c r="J943" s="810"/>
    </row>
    <row r="944" spans="1:10" x14ac:dyDescent="0.25">
      <c r="A944" s="92"/>
      <c r="F944" s="786"/>
      <c r="G944" s="795"/>
      <c r="H944" s="93"/>
      <c r="I944" s="810"/>
      <c r="J944" s="810"/>
    </row>
    <row r="945" spans="1:10" x14ac:dyDescent="0.25">
      <c r="A945" s="92"/>
      <c r="F945" s="786"/>
      <c r="G945" s="795"/>
      <c r="H945" s="93"/>
      <c r="I945" s="810"/>
      <c r="J945" s="810"/>
    </row>
    <row r="946" spans="1:10" x14ac:dyDescent="0.25">
      <c r="A946" s="92"/>
      <c r="F946" s="786"/>
      <c r="G946" s="795"/>
      <c r="H946" s="93"/>
      <c r="I946" s="810"/>
      <c r="J946" s="810"/>
    </row>
    <row r="947" spans="1:10" x14ac:dyDescent="0.25">
      <c r="A947" s="92"/>
      <c r="F947" s="786"/>
      <c r="G947" s="795"/>
      <c r="H947" s="93"/>
      <c r="I947" s="810"/>
      <c r="J947" s="810"/>
    </row>
    <row r="948" spans="1:10" x14ac:dyDescent="0.25">
      <c r="A948" s="92"/>
      <c r="F948" s="786"/>
      <c r="G948" s="795"/>
      <c r="H948" s="93"/>
      <c r="I948" s="810"/>
      <c r="J948" s="810"/>
    </row>
    <row r="949" spans="1:10" x14ac:dyDescent="0.25">
      <c r="A949" s="92"/>
      <c r="F949" s="786"/>
      <c r="G949" s="795"/>
      <c r="H949" s="93"/>
      <c r="I949" s="810"/>
      <c r="J949" s="810"/>
    </row>
    <row r="950" spans="1:10" x14ac:dyDescent="0.25">
      <c r="A950" s="92"/>
      <c r="F950" s="786"/>
      <c r="G950" s="795"/>
      <c r="H950" s="93"/>
      <c r="I950" s="810"/>
      <c r="J950" s="810"/>
    </row>
    <row r="951" spans="1:10" x14ac:dyDescent="0.25">
      <c r="A951" s="92"/>
      <c r="F951" s="786"/>
      <c r="G951" s="795"/>
      <c r="H951" s="93"/>
      <c r="I951" s="810"/>
      <c r="J951" s="810"/>
    </row>
    <row r="952" spans="1:10" x14ac:dyDescent="0.25">
      <c r="A952" s="92"/>
      <c r="F952" s="786"/>
      <c r="G952" s="795"/>
      <c r="H952" s="93"/>
      <c r="I952" s="810"/>
      <c r="J952" s="810"/>
    </row>
    <row r="953" spans="1:10" x14ac:dyDescent="0.25">
      <c r="A953" s="92"/>
      <c r="F953" s="786"/>
      <c r="G953" s="795"/>
      <c r="H953" s="93"/>
      <c r="I953" s="810"/>
      <c r="J953" s="810"/>
    </row>
    <row r="954" spans="1:10" x14ac:dyDescent="0.25">
      <c r="A954" s="92"/>
      <c r="F954" s="786"/>
      <c r="G954" s="795"/>
      <c r="H954" s="93"/>
      <c r="I954" s="810"/>
      <c r="J954" s="810"/>
    </row>
    <row r="955" spans="1:10" x14ac:dyDescent="0.25">
      <c r="A955" s="92"/>
      <c r="F955" s="786"/>
      <c r="G955" s="795"/>
      <c r="H955" s="93"/>
      <c r="I955" s="810"/>
      <c r="J955" s="810"/>
    </row>
    <row r="956" spans="1:10" x14ac:dyDescent="0.25">
      <c r="A956" s="92"/>
      <c r="F956" s="786"/>
      <c r="G956" s="795"/>
      <c r="H956" s="93"/>
      <c r="I956" s="810"/>
      <c r="J956" s="810"/>
    </row>
    <row r="957" spans="1:10" x14ac:dyDescent="0.25">
      <c r="A957" s="92"/>
      <c r="F957" s="786"/>
      <c r="G957" s="795"/>
      <c r="H957" s="93"/>
      <c r="I957" s="810"/>
      <c r="J957" s="810"/>
    </row>
    <row r="958" spans="1:10" x14ac:dyDescent="0.25">
      <c r="A958" s="92"/>
      <c r="F958" s="786"/>
      <c r="G958" s="795"/>
      <c r="H958" s="93"/>
      <c r="I958" s="810"/>
      <c r="J958" s="810"/>
    </row>
    <row r="959" spans="1:10" x14ac:dyDescent="0.25">
      <c r="A959" s="92"/>
      <c r="F959" s="786"/>
      <c r="G959" s="795"/>
      <c r="H959" s="93"/>
      <c r="I959" s="810"/>
      <c r="J959" s="810"/>
    </row>
    <row r="960" spans="1:10" x14ac:dyDescent="0.25">
      <c r="A960" s="92"/>
      <c r="F960" s="786"/>
      <c r="G960" s="795"/>
      <c r="H960" s="93"/>
      <c r="I960" s="810"/>
      <c r="J960" s="810"/>
    </row>
    <row r="961" spans="1:10" x14ac:dyDescent="0.25">
      <c r="A961" s="92"/>
      <c r="F961" s="786"/>
      <c r="G961" s="795"/>
      <c r="H961" s="93"/>
      <c r="I961" s="810"/>
      <c r="J961" s="810"/>
    </row>
    <row r="962" spans="1:10" x14ac:dyDescent="0.25">
      <c r="A962" s="92"/>
      <c r="F962" s="786"/>
      <c r="G962" s="795"/>
      <c r="H962" s="93"/>
      <c r="I962" s="810"/>
      <c r="J962" s="810"/>
    </row>
    <row r="963" spans="1:10" x14ac:dyDescent="0.25">
      <c r="A963" s="92"/>
      <c r="F963" s="786"/>
      <c r="G963" s="795"/>
      <c r="H963" s="93"/>
      <c r="I963" s="810"/>
      <c r="J963" s="810"/>
    </row>
    <row r="964" spans="1:10" x14ac:dyDescent="0.25">
      <c r="A964" s="92"/>
      <c r="F964" s="786"/>
      <c r="G964" s="795"/>
      <c r="H964" s="93"/>
      <c r="I964" s="810"/>
      <c r="J964" s="810"/>
    </row>
    <row r="965" spans="1:10" x14ac:dyDescent="0.25">
      <c r="A965" s="92"/>
      <c r="F965" s="786"/>
      <c r="G965" s="795"/>
      <c r="H965" s="93"/>
      <c r="I965" s="810"/>
      <c r="J965" s="810"/>
    </row>
    <row r="966" spans="1:10" x14ac:dyDescent="0.25">
      <c r="A966" s="92"/>
      <c r="F966" s="786"/>
      <c r="G966" s="795"/>
      <c r="H966" s="93"/>
      <c r="I966" s="810"/>
      <c r="J966" s="810"/>
    </row>
    <row r="967" spans="1:10" x14ac:dyDescent="0.25">
      <c r="A967" s="92"/>
      <c r="F967" s="786"/>
      <c r="G967" s="795"/>
      <c r="H967" s="93"/>
      <c r="I967" s="810"/>
      <c r="J967" s="810"/>
    </row>
    <row r="968" spans="1:10" x14ac:dyDescent="0.25">
      <c r="A968" s="92"/>
      <c r="F968" s="786"/>
      <c r="G968" s="795"/>
      <c r="H968" s="93"/>
      <c r="I968" s="810"/>
      <c r="J968" s="810"/>
    </row>
    <row r="969" spans="1:10" x14ac:dyDescent="0.25">
      <c r="A969" s="92"/>
      <c r="F969" s="786"/>
      <c r="G969" s="795"/>
      <c r="H969" s="93"/>
      <c r="I969" s="810"/>
      <c r="J969" s="810"/>
    </row>
    <row r="970" spans="1:10" x14ac:dyDescent="0.25">
      <c r="A970" s="92"/>
      <c r="F970" s="786"/>
      <c r="G970" s="795"/>
      <c r="H970" s="93"/>
      <c r="I970" s="810"/>
      <c r="J970" s="810"/>
    </row>
    <row r="971" spans="1:10" x14ac:dyDescent="0.25">
      <c r="A971" s="92"/>
      <c r="F971" s="786"/>
      <c r="G971" s="795"/>
      <c r="H971" s="93"/>
      <c r="I971" s="810"/>
      <c r="J971" s="810"/>
    </row>
    <row r="972" spans="1:10" x14ac:dyDescent="0.25">
      <c r="A972" s="92"/>
      <c r="F972" s="786"/>
      <c r="G972" s="795"/>
      <c r="H972" s="93"/>
      <c r="I972" s="810"/>
      <c r="J972" s="810"/>
    </row>
    <row r="973" spans="1:10" x14ac:dyDescent="0.25">
      <c r="A973" s="92"/>
      <c r="F973" s="786"/>
      <c r="G973" s="795"/>
      <c r="H973" s="93"/>
      <c r="I973" s="810"/>
      <c r="J973" s="810"/>
    </row>
    <row r="974" spans="1:10" x14ac:dyDescent="0.25">
      <c r="A974" s="92"/>
      <c r="F974" s="786"/>
      <c r="G974" s="795"/>
      <c r="H974" s="93"/>
      <c r="I974" s="810"/>
      <c r="J974" s="810"/>
    </row>
    <row r="975" spans="1:10" x14ac:dyDescent="0.25">
      <c r="A975" s="92"/>
      <c r="F975" s="786"/>
      <c r="G975" s="795"/>
      <c r="H975" s="93"/>
      <c r="I975" s="810"/>
      <c r="J975" s="810"/>
    </row>
    <row r="976" spans="1:10" x14ac:dyDescent="0.25">
      <c r="A976" s="92"/>
      <c r="F976" s="786"/>
      <c r="G976" s="795"/>
      <c r="H976" s="93"/>
      <c r="I976" s="810"/>
      <c r="J976" s="810"/>
    </row>
    <row r="977" spans="1:10" x14ac:dyDescent="0.25">
      <c r="A977" s="92"/>
      <c r="F977" s="786"/>
      <c r="G977" s="795"/>
      <c r="H977" s="93"/>
      <c r="I977" s="810"/>
      <c r="J977" s="810"/>
    </row>
    <row r="978" spans="1:10" x14ac:dyDescent="0.25">
      <c r="A978" s="92"/>
      <c r="F978" s="786"/>
      <c r="G978" s="795"/>
      <c r="H978" s="93"/>
      <c r="I978" s="810"/>
      <c r="J978" s="810"/>
    </row>
    <row r="979" spans="1:10" x14ac:dyDescent="0.25">
      <c r="A979" s="92"/>
      <c r="F979" s="786"/>
      <c r="G979" s="795"/>
      <c r="H979" s="93"/>
      <c r="I979" s="810"/>
      <c r="J979" s="810"/>
    </row>
    <row r="980" spans="1:10" x14ac:dyDescent="0.25">
      <c r="A980" s="92"/>
      <c r="F980" s="786"/>
      <c r="G980" s="795"/>
      <c r="H980" s="93"/>
      <c r="I980" s="810"/>
      <c r="J980" s="810"/>
    </row>
    <row r="981" spans="1:10" x14ac:dyDescent="0.25">
      <c r="A981" s="92"/>
      <c r="F981" s="786"/>
      <c r="G981" s="795"/>
      <c r="H981" s="93"/>
      <c r="I981" s="810"/>
      <c r="J981" s="810"/>
    </row>
    <row r="982" spans="1:10" x14ac:dyDescent="0.25">
      <c r="A982" s="92"/>
      <c r="F982" s="786"/>
      <c r="G982" s="795"/>
      <c r="H982" s="93"/>
      <c r="I982" s="810"/>
      <c r="J982" s="810"/>
    </row>
    <row r="983" spans="1:10" x14ac:dyDescent="0.25">
      <c r="A983" s="92"/>
      <c r="F983" s="786"/>
      <c r="G983" s="795"/>
      <c r="H983" s="93"/>
      <c r="I983" s="810"/>
      <c r="J983" s="810"/>
    </row>
    <row r="984" spans="1:10" x14ac:dyDescent="0.25">
      <c r="A984" s="92"/>
      <c r="F984" s="786"/>
      <c r="G984" s="795"/>
      <c r="H984" s="93"/>
      <c r="I984" s="810"/>
      <c r="J984" s="810"/>
    </row>
    <row r="985" spans="1:10" x14ac:dyDescent="0.25">
      <c r="A985" s="92"/>
      <c r="F985" s="786"/>
      <c r="G985" s="795"/>
      <c r="H985" s="93"/>
      <c r="I985" s="810"/>
      <c r="J985" s="810"/>
    </row>
    <row r="986" spans="1:10" x14ac:dyDescent="0.25">
      <c r="A986" s="92"/>
      <c r="F986" s="786"/>
      <c r="G986" s="795"/>
      <c r="H986" s="93"/>
      <c r="I986" s="810"/>
      <c r="J986" s="810"/>
    </row>
    <row r="987" spans="1:10" x14ac:dyDescent="0.25">
      <c r="A987" s="92"/>
      <c r="F987" s="786"/>
      <c r="G987" s="795"/>
      <c r="H987" s="93"/>
      <c r="I987" s="810"/>
      <c r="J987" s="810"/>
    </row>
    <row r="988" spans="1:10" x14ac:dyDescent="0.25">
      <c r="A988" s="92"/>
      <c r="F988" s="786"/>
      <c r="G988" s="795"/>
      <c r="H988" s="93"/>
      <c r="I988" s="810"/>
      <c r="J988" s="810"/>
    </row>
    <row r="989" spans="1:10" x14ac:dyDescent="0.25">
      <c r="A989" s="92"/>
      <c r="F989" s="786"/>
      <c r="G989" s="795"/>
      <c r="H989" s="93"/>
      <c r="I989" s="810"/>
      <c r="J989" s="810"/>
    </row>
    <row r="990" spans="1:10" x14ac:dyDescent="0.25">
      <c r="A990" s="92"/>
      <c r="F990" s="786"/>
      <c r="G990" s="795"/>
      <c r="H990" s="93"/>
      <c r="I990" s="810"/>
      <c r="J990" s="810"/>
    </row>
    <row r="991" spans="1:10" x14ac:dyDescent="0.25">
      <c r="A991" s="92"/>
      <c r="F991" s="786"/>
      <c r="G991" s="795"/>
      <c r="H991" s="93"/>
      <c r="I991" s="810"/>
      <c r="J991" s="810"/>
    </row>
    <row r="992" spans="1:10" x14ac:dyDescent="0.25">
      <c r="A992" s="92"/>
      <c r="F992" s="786"/>
      <c r="G992" s="795"/>
      <c r="H992" s="93"/>
      <c r="I992" s="810"/>
      <c r="J992" s="810"/>
    </row>
    <row r="993" spans="1:10" x14ac:dyDescent="0.25">
      <c r="A993" s="92"/>
      <c r="F993" s="786"/>
      <c r="G993" s="795"/>
      <c r="H993" s="93"/>
      <c r="I993" s="810"/>
      <c r="J993" s="810"/>
    </row>
    <row r="994" spans="1:10" x14ac:dyDescent="0.25">
      <c r="A994" s="92"/>
      <c r="F994" s="786"/>
      <c r="G994" s="795"/>
      <c r="H994" s="93"/>
      <c r="I994" s="810"/>
      <c r="J994" s="810"/>
    </row>
    <row r="995" spans="1:10" x14ac:dyDescent="0.25">
      <c r="A995" s="92"/>
      <c r="F995" s="786"/>
      <c r="G995" s="795"/>
      <c r="H995" s="93"/>
      <c r="I995" s="810"/>
      <c r="J995" s="810"/>
    </row>
    <row r="996" spans="1:10" x14ac:dyDescent="0.25">
      <c r="A996" s="92"/>
      <c r="F996" s="786"/>
      <c r="G996" s="795"/>
      <c r="H996" s="93"/>
      <c r="I996" s="810"/>
      <c r="J996" s="810"/>
    </row>
    <row r="997" spans="1:10" x14ac:dyDescent="0.25">
      <c r="A997" s="92"/>
      <c r="F997" s="786"/>
      <c r="G997" s="795"/>
      <c r="H997" s="93"/>
      <c r="I997" s="810"/>
      <c r="J997" s="810"/>
    </row>
    <row r="998" spans="1:10" x14ac:dyDescent="0.25">
      <c r="A998" s="92"/>
      <c r="F998" s="786"/>
      <c r="G998" s="795"/>
      <c r="H998" s="93"/>
      <c r="I998" s="810"/>
      <c r="J998" s="810"/>
    </row>
    <row r="999" spans="1:10" x14ac:dyDescent="0.25">
      <c r="A999" s="92"/>
      <c r="F999" s="786"/>
      <c r="G999" s="795"/>
      <c r="H999" s="93"/>
      <c r="I999" s="810"/>
      <c r="J999" s="810"/>
    </row>
    <row r="1000" spans="1:10" x14ac:dyDescent="0.25">
      <c r="A1000" s="92"/>
      <c r="F1000" s="786"/>
      <c r="G1000" s="795"/>
      <c r="H1000" s="93"/>
      <c r="I1000" s="810"/>
      <c r="J1000" s="810"/>
    </row>
    <row r="1001" spans="1:10" x14ac:dyDescent="0.25">
      <c r="A1001" s="92"/>
      <c r="F1001" s="786"/>
      <c r="G1001" s="795"/>
      <c r="H1001" s="93"/>
      <c r="I1001" s="810"/>
      <c r="J1001" s="810"/>
    </row>
    <row r="1002" spans="1:10" x14ac:dyDescent="0.25">
      <c r="A1002" s="92"/>
      <c r="F1002" s="786"/>
      <c r="G1002" s="795"/>
      <c r="H1002" s="93"/>
      <c r="I1002" s="810"/>
      <c r="J1002" s="810"/>
    </row>
    <row r="1003" spans="1:10" x14ac:dyDescent="0.25">
      <c r="A1003" s="92"/>
      <c r="F1003" s="786"/>
      <c r="G1003" s="795"/>
      <c r="H1003" s="93"/>
      <c r="I1003" s="810"/>
      <c r="J1003" s="810"/>
    </row>
    <row r="1004" spans="1:10" x14ac:dyDescent="0.25">
      <c r="A1004" s="92"/>
      <c r="F1004" s="786"/>
      <c r="G1004" s="795"/>
      <c r="H1004" s="93"/>
      <c r="I1004" s="810"/>
      <c r="J1004" s="810"/>
    </row>
    <row r="1005" spans="1:10" x14ac:dyDescent="0.25">
      <c r="A1005" s="92"/>
      <c r="F1005" s="786"/>
      <c r="G1005" s="795"/>
      <c r="H1005" s="93"/>
      <c r="I1005" s="810"/>
      <c r="J1005" s="810"/>
    </row>
    <row r="1006" spans="1:10" x14ac:dyDescent="0.25">
      <c r="A1006" s="92"/>
      <c r="F1006" s="786"/>
      <c r="G1006" s="795"/>
      <c r="H1006" s="93"/>
      <c r="I1006" s="810"/>
      <c r="J1006" s="810"/>
    </row>
    <row r="1007" spans="1:10" x14ac:dyDescent="0.25">
      <c r="A1007" s="92"/>
      <c r="F1007" s="786"/>
      <c r="G1007" s="795"/>
      <c r="H1007" s="93"/>
      <c r="I1007" s="810"/>
      <c r="J1007" s="810"/>
    </row>
    <row r="1008" spans="1:10" x14ac:dyDescent="0.25">
      <c r="A1008" s="92"/>
      <c r="F1008" s="786"/>
      <c r="G1008" s="795"/>
      <c r="H1008" s="93"/>
      <c r="I1008" s="810"/>
      <c r="J1008" s="810"/>
    </row>
    <row r="1009" spans="1:10" x14ac:dyDescent="0.25">
      <c r="A1009" s="92"/>
      <c r="F1009" s="786"/>
      <c r="G1009" s="795"/>
      <c r="H1009" s="93"/>
      <c r="I1009" s="810"/>
      <c r="J1009" s="810"/>
    </row>
    <row r="1010" spans="1:10" x14ac:dyDescent="0.25">
      <c r="A1010" s="92"/>
      <c r="F1010" s="786"/>
      <c r="G1010" s="795"/>
      <c r="H1010" s="93"/>
      <c r="I1010" s="810"/>
      <c r="J1010" s="810"/>
    </row>
    <row r="1011" spans="1:10" x14ac:dyDescent="0.25">
      <c r="A1011" s="92"/>
      <c r="F1011" s="786"/>
      <c r="G1011" s="795"/>
      <c r="H1011" s="93"/>
      <c r="I1011" s="810"/>
      <c r="J1011" s="810"/>
    </row>
    <row r="1012" spans="1:10" x14ac:dyDescent="0.25">
      <c r="A1012" s="92"/>
      <c r="F1012" s="786"/>
      <c r="G1012" s="795"/>
      <c r="H1012" s="93"/>
      <c r="I1012" s="810"/>
      <c r="J1012" s="810"/>
    </row>
    <row r="1013" spans="1:10" x14ac:dyDescent="0.25">
      <c r="A1013" s="92"/>
      <c r="F1013" s="786"/>
      <c r="G1013" s="795"/>
      <c r="H1013" s="93"/>
      <c r="I1013" s="810"/>
      <c r="J1013" s="810"/>
    </row>
    <row r="1014" spans="1:10" x14ac:dyDescent="0.25">
      <c r="A1014" s="92"/>
      <c r="F1014" s="786"/>
      <c r="G1014" s="795"/>
      <c r="H1014" s="93"/>
      <c r="I1014" s="810"/>
      <c r="J1014" s="810"/>
    </row>
    <row r="1015" spans="1:10" x14ac:dyDescent="0.25">
      <c r="A1015" s="92"/>
      <c r="F1015" s="786"/>
      <c r="G1015" s="795"/>
      <c r="H1015" s="93"/>
      <c r="I1015" s="810"/>
      <c r="J1015" s="810"/>
    </row>
    <row r="1016" spans="1:10" x14ac:dyDescent="0.25">
      <c r="A1016" s="92"/>
      <c r="F1016" s="786"/>
      <c r="G1016" s="795"/>
      <c r="H1016" s="93"/>
      <c r="I1016" s="810"/>
      <c r="J1016" s="810"/>
    </row>
    <row r="1017" spans="1:10" x14ac:dyDescent="0.25">
      <c r="A1017" s="92"/>
      <c r="F1017" s="786"/>
      <c r="G1017" s="795"/>
      <c r="H1017" s="93"/>
      <c r="I1017" s="810"/>
      <c r="J1017" s="810"/>
    </row>
    <row r="1018" spans="1:10" x14ac:dyDescent="0.25">
      <c r="A1018" s="92"/>
      <c r="F1018" s="786"/>
      <c r="G1018" s="795"/>
      <c r="H1018" s="93"/>
      <c r="I1018" s="810"/>
      <c r="J1018" s="810"/>
    </row>
    <row r="1019" spans="1:10" x14ac:dyDescent="0.25">
      <c r="A1019" s="92"/>
      <c r="F1019" s="786"/>
      <c r="G1019" s="795"/>
      <c r="H1019" s="93"/>
      <c r="I1019" s="810"/>
      <c r="J1019" s="810"/>
    </row>
    <row r="1020" spans="1:10" x14ac:dyDescent="0.25">
      <c r="A1020" s="92"/>
      <c r="F1020" s="786"/>
      <c r="G1020" s="795"/>
      <c r="H1020" s="93"/>
      <c r="I1020" s="810"/>
      <c r="J1020" s="810"/>
    </row>
    <row r="1021" spans="1:10" x14ac:dyDescent="0.25">
      <c r="A1021" s="92"/>
      <c r="F1021" s="786"/>
      <c r="G1021" s="795"/>
      <c r="H1021" s="93"/>
      <c r="I1021" s="810"/>
      <c r="J1021" s="810"/>
    </row>
    <row r="1022" spans="1:10" x14ac:dyDescent="0.25">
      <c r="A1022" s="92"/>
      <c r="F1022" s="786"/>
      <c r="G1022" s="795"/>
      <c r="H1022" s="93"/>
      <c r="I1022" s="810"/>
      <c r="J1022" s="810"/>
    </row>
    <row r="1023" spans="1:10" x14ac:dyDescent="0.25">
      <c r="A1023" s="92"/>
      <c r="F1023" s="786"/>
      <c r="G1023" s="795"/>
      <c r="H1023" s="93"/>
      <c r="I1023" s="810"/>
      <c r="J1023" s="810"/>
    </row>
    <row r="1024" spans="1:10" x14ac:dyDescent="0.25">
      <c r="A1024" s="92"/>
      <c r="F1024" s="786"/>
      <c r="G1024" s="795"/>
      <c r="H1024" s="93"/>
      <c r="I1024" s="810"/>
      <c r="J1024" s="810"/>
    </row>
    <row r="1025" spans="1:10" x14ac:dyDescent="0.25">
      <c r="A1025" s="92"/>
      <c r="F1025" s="786"/>
      <c r="G1025" s="795"/>
      <c r="H1025" s="93"/>
      <c r="I1025" s="810"/>
      <c r="J1025" s="810"/>
    </row>
    <row r="1026" spans="1:10" x14ac:dyDescent="0.25">
      <c r="A1026" s="92"/>
      <c r="F1026" s="786"/>
      <c r="G1026" s="795"/>
      <c r="H1026" s="93"/>
      <c r="I1026" s="810"/>
      <c r="J1026" s="810"/>
    </row>
    <row r="1027" spans="1:10" x14ac:dyDescent="0.25">
      <c r="A1027" s="92"/>
      <c r="F1027" s="786"/>
      <c r="G1027" s="795"/>
      <c r="H1027" s="93"/>
      <c r="I1027" s="810"/>
      <c r="J1027" s="810"/>
    </row>
    <row r="1028" spans="1:10" x14ac:dyDescent="0.25">
      <c r="A1028" s="92"/>
      <c r="F1028" s="786"/>
      <c r="G1028" s="795"/>
      <c r="H1028" s="93"/>
      <c r="I1028" s="810"/>
      <c r="J1028" s="810"/>
    </row>
    <row r="1029" spans="1:10" x14ac:dyDescent="0.25">
      <c r="A1029" s="92"/>
      <c r="F1029" s="786"/>
      <c r="G1029" s="795"/>
      <c r="H1029" s="93"/>
      <c r="I1029" s="810"/>
      <c r="J1029" s="810"/>
    </row>
    <row r="1030" spans="1:10" x14ac:dyDescent="0.25">
      <c r="A1030" s="92"/>
      <c r="F1030" s="786"/>
      <c r="G1030" s="795"/>
      <c r="H1030" s="93"/>
      <c r="I1030" s="810"/>
      <c r="J1030" s="810"/>
    </row>
    <row r="1031" spans="1:10" x14ac:dyDescent="0.25">
      <c r="A1031" s="92"/>
      <c r="F1031" s="786"/>
      <c r="G1031" s="795"/>
      <c r="H1031" s="93"/>
      <c r="I1031" s="810"/>
      <c r="J1031" s="810"/>
    </row>
    <row r="1032" spans="1:10" x14ac:dyDescent="0.25">
      <c r="A1032" s="92"/>
      <c r="F1032" s="786"/>
      <c r="G1032" s="795"/>
      <c r="H1032" s="93"/>
      <c r="I1032" s="810"/>
      <c r="J1032" s="810"/>
    </row>
    <row r="1033" spans="1:10" x14ac:dyDescent="0.25">
      <c r="A1033" s="92"/>
      <c r="F1033" s="786"/>
      <c r="G1033" s="795"/>
      <c r="H1033" s="93"/>
      <c r="I1033" s="810"/>
      <c r="J1033" s="810"/>
    </row>
    <row r="1034" spans="1:10" x14ac:dyDescent="0.25">
      <c r="A1034" s="92"/>
      <c r="F1034" s="786"/>
      <c r="G1034" s="795"/>
      <c r="H1034" s="93"/>
      <c r="I1034" s="810"/>
      <c r="J1034" s="810"/>
    </row>
    <row r="1035" spans="1:10" x14ac:dyDescent="0.25">
      <c r="A1035" s="92"/>
      <c r="F1035" s="786"/>
      <c r="G1035" s="795"/>
      <c r="H1035" s="93"/>
      <c r="I1035" s="810"/>
      <c r="J1035" s="810"/>
    </row>
    <row r="1036" spans="1:10" x14ac:dyDescent="0.25">
      <c r="A1036" s="92"/>
      <c r="F1036" s="786"/>
      <c r="G1036" s="795"/>
      <c r="H1036" s="93"/>
      <c r="I1036" s="810"/>
      <c r="J1036" s="810"/>
    </row>
    <row r="1037" spans="1:10" x14ac:dyDescent="0.25">
      <c r="A1037" s="92"/>
      <c r="F1037" s="786"/>
      <c r="G1037" s="795"/>
      <c r="H1037" s="93"/>
      <c r="I1037" s="810"/>
      <c r="J1037" s="810"/>
    </row>
    <row r="1038" spans="1:10" x14ac:dyDescent="0.25">
      <c r="A1038" s="92"/>
      <c r="F1038" s="786"/>
      <c r="G1038" s="795"/>
      <c r="H1038" s="93"/>
      <c r="I1038" s="810"/>
      <c r="J1038" s="810"/>
    </row>
    <row r="1039" spans="1:10" x14ac:dyDescent="0.25">
      <c r="A1039" s="92"/>
      <c r="F1039" s="786"/>
      <c r="G1039" s="795"/>
      <c r="H1039" s="93"/>
      <c r="I1039" s="810"/>
      <c r="J1039" s="810"/>
    </row>
    <row r="1040" spans="1:10" x14ac:dyDescent="0.25">
      <c r="A1040" s="92"/>
      <c r="F1040" s="786"/>
      <c r="G1040" s="795"/>
      <c r="H1040" s="93"/>
      <c r="I1040" s="810"/>
      <c r="J1040" s="810"/>
    </row>
    <row r="1041" spans="1:10" x14ac:dyDescent="0.25">
      <c r="A1041" s="92"/>
      <c r="F1041" s="786"/>
      <c r="G1041" s="795"/>
      <c r="H1041" s="93"/>
      <c r="I1041" s="810"/>
      <c r="J1041" s="810"/>
    </row>
    <row r="1042" spans="1:10" x14ac:dyDescent="0.25">
      <c r="A1042" s="92"/>
      <c r="F1042" s="786"/>
      <c r="G1042" s="795"/>
      <c r="H1042" s="93"/>
      <c r="I1042" s="810"/>
      <c r="J1042" s="810"/>
    </row>
    <row r="1043" spans="1:10" x14ac:dyDescent="0.25">
      <c r="A1043" s="92"/>
      <c r="F1043" s="786"/>
      <c r="G1043" s="795"/>
      <c r="H1043" s="93"/>
      <c r="I1043" s="810"/>
      <c r="J1043" s="810"/>
    </row>
    <row r="1044" spans="1:10" x14ac:dyDescent="0.25">
      <c r="A1044" s="92"/>
      <c r="F1044" s="786"/>
      <c r="G1044" s="795"/>
      <c r="H1044" s="93"/>
      <c r="I1044" s="810"/>
      <c r="J1044" s="810"/>
    </row>
    <row r="1045" spans="1:10" x14ac:dyDescent="0.25">
      <c r="A1045" s="92"/>
      <c r="F1045" s="786"/>
      <c r="G1045" s="795"/>
      <c r="H1045" s="93"/>
      <c r="I1045" s="810"/>
      <c r="J1045" s="810"/>
    </row>
    <row r="1046" spans="1:10" x14ac:dyDescent="0.25">
      <c r="A1046" s="92"/>
      <c r="F1046" s="786"/>
      <c r="G1046" s="795"/>
      <c r="H1046" s="93"/>
      <c r="I1046" s="810"/>
      <c r="J1046" s="810"/>
    </row>
    <row r="1047" spans="1:10" x14ac:dyDescent="0.25">
      <c r="A1047" s="92"/>
      <c r="F1047" s="786"/>
      <c r="G1047" s="795"/>
      <c r="H1047" s="93"/>
      <c r="I1047" s="810"/>
      <c r="J1047" s="810"/>
    </row>
    <row r="1048" spans="1:10" x14ac:dyDescent="0.25">
      <c r="A1048" s="92"/>
      <c r="F1048" s="786"/>
      <c r="G1048" s="795"/>
      <c r="H1048" s="93"/>
      <c r="I1048" s="810"/>
      <c r="J1048" s="810"/>
    </row>
    <row r="1049" spans="1:10" x14ac:dyDescent="0.25">
      <c r="A1049" s="92"/>
      <c r="F1049" s="786"/>
      <c r="G1049" s="795"/>
      <c r="H1049" s="93"/>
      <c r="I1049" s="810"/>
      <c r="J1049" s="810"/>
    </row>
    <row r="1050" spans="1:10" x14ac:dyDescent="0.25">
      <c r="A1050" s="92"/>
      <c r="F1050" s="786"/>
      <c r="G1050" s="795"/>
      <c r="H1050" s="93"/>
      <c r="I1050" s="810"/>
      <c r="J1050" s="810"/>
    </row>
    <row r="1051" spans="1:10" x14ac:dyDescent="0.25">
      <c r="A1051" s="92"/>
      <c r="F1051" s="786"/>
      <c r="G1051" s="795"/>
      <c r="H1051" s="93"/>
      <c r="I1051" s="810"/>
      <c r="J1051" s="810"/>
    </row>
    <row r="1052" spans="1:10" x14ac:dyDescent="0.25">
      <c r="A1052" s="92"/>
      <c r="F1052" s="786"/>
      <c r="G1052" s="795"/>
      <c r="H1052" s="93"/>
      <c r="I1052" s="810"/>
      <c r="J1052" s="810"/>
    </row>
    <row r="1053" spans="1:10" x14ac:dyDescent="0.25">
      <c r="A1053" s="92"/>
      <c r="F1053" s="786"/>
      <c r="G1053" s="795"/>
      <c r="H1053" s="93"/>
      <c r="I1053" s="810"/>
      <c r="J1053" s="810"/>
    </row>
    <row r="1054" spans="1:10" x14ac:dyDescent="0.25">
      <c r="A1054" s="92"/>
      <c r="F1054" s="786"/>
      <c r="G1054" s="795"/>
      <c r="H1054" s="93"/>
      <c r="I1054" s="810"/>
      <c r="J1054" s="810"/>
    </row>
    <row r="1055" spans="1:10" x14ac:dyDescent="0.25">
      <c r="A1055" s="92"/>
      <c r="F1055" s="786"/>
      <c r="G1055" s="795"/>
      <c r="H1055" s="93"/>
      <c r="I1055" s="810"/>
      <c r="J1055" s="810"/>
    </row>
    <row r="1056" spans="1:10" x14ac:dyDescent="0.25">
      <c r="A1056" s="92"/>
      <c r="F1056" s="786"/>
      <c r="G1056" s="795"/>
      <c r="H1056" s="93"/>
      <c r="I1056" s="810"/>
      <c r="J1056" s="810"/>
    </row>
    <row r="1057" spans="1:10" x14ac:dyDescent="0.25">
      <c r="A1057" s="92"/>
      <c r="F1057" s="786"/>
      <c r="G1057" s="795"/>
      <c r="H1057" s="93"/>
      <c r="I1057" s="810"/>
      <c r="J1057" s="810"/>
    </row>
    <row r="1058" spans="1:10" x14ac:dyDescent="0.25">
      <c r="A1058" s="92"/>
      <c r="F1058" s="786"/>
      <c r="G1058" s="795"/>
      <c r="H1058" s="93"/>
      <c r="I1058" s="810"/>
      <c r="J1058" s="810"/>
    </row>
    <row r="1059" spans="1:10" x14ac:dyDescent="0.25">
      <c r="A1059" s="92"/>
      <c r="F1059" s="786"/>
      <c r="G1059" s="795"/>
      <c r="H1059" s="93"/>
      <c r="I1059" s="810"/>
      <c r="J1059" s="810"/>
    </row>
    <row r="1060" spans="1:10" x14ac:dyDescent="0.25">
      <c r="A1060" s="92"/>
      <c r="F1060" s="786"/>
      <c r="G1060" s="795"/>
      <c r="H1060" s="93"/>
      <c r="I1060" s="810"/>
      <c r="J1060" s="810"/>
    </row>
    <row r="1061" spans="1:10" x14ac:dyDescent="0.25">
      <c r="A1061" s="92"/>
      <c r="F1061" s="786"/>
      <c r="G1061" s="795"/>
      <c r="H1061" s="93"/>
      <c r="I1061" s="810"/>
      <c r="J1061" s="810"/>
    </row>
    <row r="1062" spans="1:10" x14ac:dyDescent="0.25">
      <c r="A1062" s="92"/>
      <c r="F1062" s="786"/>
      <c r="G1062" s="795"/>
      <c r="H1062" s="93"/>
      <c r="I1062" s="810"/>
      <c r="J1062" s="810"/>
    </row>
    <row r="1063" spans="1:10" x14ac:dyDescent="0.25">
      <c r="A1063" s="92"/>
      <c r="F1063" s="786"/>
      <c r="G1063" s="795"/>
      <c r="H1063" s="93"/>
      <c r="I1063" s="810"/>
      <c r="J1063" s="810"/>
    </row>
    <row r="1064" spans="1:10" x14ac:dyDescent="0.25">
      <c r="A1064" s="92"/>
      <c r="F1064" s="786"/>
      <c r="G1064" s="795"/>
      <c r="H1064" s="93"/>
      <c r="I1064" s="810"/>
      <c r="J1064" s="810"/>
    </row>
    <row r="1065" spans="1:10" x14ac:dyDescent="0.25">
      <c r="A1065" s="92"/>
      <c r="F1065" s="786"/>
      <c r="G1065" s="795"/>
      <c r="H1065" s="93"/>
      <c r="I1065" s="810"/>
      <c r="J1065" s="810"/>
    </row>
    <row r="1066" spans="1:10" x14ac:dyDescent="0.25">
      <c r="A1066" s="92"/>
      <c r="F1066" s="786"/>
      <c r="G1066" s="795"/>
      <c r="H1066" s="93"/>
      <c r="I1066" s="810"/>
      <c r="J1066" s="810"/>
    </row>
    <row r="1067" spans="1:10" x14ac:dyDescent="0.25">
      <c r="A1067" s="92"/>
      <c r="F1067" s="786"/>
      <c r="G1067" s="795"/>
      <c r="H1067" s="93"/>
      <c r="I1067" s="810"/>
      <c r="J1067" s="810"/>
    </row>
    <row r="1068" spans="1:10" x14ac:dyDescent="0.25">
      <c r="A1068" s="92"/>
      <c r="F1068" s="786"/>
      <c r="G1068" s="795"/>
      <c r="H1068" s="93"/>
      <c r="I1068" s="810"/>
      <c r="J1068" s="810"/>
    </row>
    <row r="1069" spans="1:10" x14ac:dyDescent="0.25">
      <c r="A1069" s="92"/>
      <c r="F1069" s="786"/>
      <c r="G1069" s="795"/>
      <c r="H1069" s="93"/>
      <c r="I1069" s="810"/>
      <c r="J1069" s="810"/>
    </row>
    <row r="1070" spans="1:10" x14ac:dyDescent="0.25">
      <c r="A1070" s="92"/>
      <c r="F1070" s="786"/>
      <c r="G1070" s="795"/>
      <c r="H1070" s="93"/>
      <c r="I1070" s="810"/>
      <c r="J1070" s="810"/>
    </row>
    <row r="1071" spans="1:10" x14ac:dyDescent="0.25">
      <c r="A1071" s="92"/>
      <c r="F1071" s="786"/>
      <c r="G1071" s="795"/>
      <c r="H1071" s="93"/>
      <c r="I1071" s="810"/>
      <c r="J1071" s="810"/>
    </row>
    <row r="1072" spans="1:10" x14ac:dyDescent="0.25">
      <c r="A1072" s="92"/>
      <c r="F1072" s="786"/>
      <c r="G1072" s="795"/>
      <c r="H1072" s="93"/>
      <c r="I1072" s="810"/>
      <c r="J1072" s="810"/>
    </row>
    <row r="1073" spans="1:10" x14ac:dyDescent="0.25">
      <c r="A1073" s="92"/>
      <c r="F1073" s="786"/>
      <c r="G1073" s="795"/>
      <c r="H1073" s="93"/>
      <c r="I1073" s="810"/>
      <c r="J1073" s="810"/>
    </row>
    <row r="1074" spans="1:10" x14ac:dyDescent="0.25">
      <c r="A1074" s="92"/>
      <c r="F1074" s="786"/>
      <c r="G1074" s="795"/>
      <c r="H1074" s="93"/>
      <c r="I1074" s="810"/>
      <c r="J1074" s="810"/>
    </row>
    <row r="1075" spans="1:10" x14ac:dyDescent="0.25">
      <c r="A1075" s="92"/>
      <c r="F1075" s="786"/>
      <c r="G1075" s="795"/>
      <c r="H1075" s="93"/>
      <c r="I1075" s="810"/>
      <c r="J1075" s="810"/>
    </row>
    <row r="1076" spans="1:10" x14ac:dyDescent="0.25">
      <c r="A1076" s="92"/>
      <c r="F1076" s="786"/>
      <c r="G1076" s="795"/>
      <c r="H1076" s="93"/>
      <c r="I1076" s="810"/>
      <c r="J1076" s="810"/>
    </row>
    <row r="1077" spans="1:10" x14ac:dyDescent="0.25">
      <c r="A1077" s="92"/>
      <c r="F1077" s="786"/>
      <c r="G1077" s="795"/>
      <c r="H1077" s="93"/>
      <c r="I1077" s="810"/>
      <c r="J1077" s="810"/>
    </row>
    <row r="1078" spans="1:10" x14ac:dyDescent="0.25">
      <c r="A1078" s="92"/>
      <c r="F1078" s="786"/>
      <c r="G1078" s="795"/>
      <c r="H1078" s="93"/>
      <c r="I1078" s="810"/>
      <c r="J1078" s="810"/>
    </row>
    <row r="1079" spans="1:10" x14ac:dyDescent="0.25">
      <c r="A1079" s="92"/>
      <c r="F1079" s="786"/>
      <c r="G1079" s="795"/>
      <c r="H1079" s="93"/>
      <c r="I1079" s="810"/>
      <c r="J1079" s="810"/>
    </row>
    <row r="1080" spans="1:10" x14ac:dyDescent="0.25">
      <c r="A1080" s="92"/>
      <c r="F1080" s="786"/>
      <c r="G1080" s="795"/>
      <c r="H1080" s="93"/>
      <c r="I1080" s="810"/>
      <c r="J1080" s="810"/>
    </row>
    <row r="1081" spans="1:10" x14ac:dyDescent="0.25">
      <c r="A1081" s="92"/>
      <c r="F1081" s="786"/>
      <c r="G1081" s="795"/>
      <c r="H1081" s="93"/>
      <c r="I1081" s="810"/>
      <c r="J1081" s="810"/>
    </row>
    <row r="1082" spans="1:10" x14ac:dyDescent="0.25">
      <c r="A1082" s="92"/>
      <c r="F1082" s="786"/>
      <c r="G1082" s="795"/>
      <c r="H1082" s="93"/>
      <c r="I1082" s="810"/>
      <c r="J1082" s="810"/>
    </row>
    <row r="1083" spans="1:10" x14ac:dyDescent="0.25">
      <c r="A1083" s="92"/>
      <c r="F1083" s="786"/>
      <c r="G1083" s="795"/>
      <c r="H1083" s="93"/>
      <c r="I1083" s="810"/>
      <c r="J1083" s="810"/>
    </row>
    <row r="1084" spans="1:10" x14ac:dyDescent="0.25">
      <c r="A1084" s="92"/>
      <c r="F1084" s="786"/>
      <c r="G1084" s="795"/>
      <c r="H1084" s="93"/>
      <c r="I1084" s="810"/>
      <c r="J1084" s="810"/>
    </row>
    <row r="1085" spans="1:10" x14ac:dyDescent="0.25">
      <c r="A1085" s="92"/>
      <c r="F1085" s="786"/>
      <c r="G1085" s="795"/>
      <c r="H1085" s="93"/>
      <c r="I1085" s="810"/>
      <c r="J1085" s="810"/>
    </row>
    <row r="1086" spans="1:10" x14ac:dyDescent="0.25">
      <c r="A1086" s="92"/>
      <c r="F1086" s="786"/>
      <c r="G1086" s="795"/>
      <c r="H1086" s="93"/>
      <c r="I1086" s="810"/>
      <c r="J1086" s="810"/>
    </row>
    <row r="1087" spans="1:10" x14ac:dyDescent="0.25">
      <c r="A1087" s="92"/>
      <c r="F1087" s="786"/>
      <c r="G1087" s="795"/>
      <c r="H1087" s="93"/>
      <c r="I1087" s="810"/>
      <c r="J1087" s="810"/>
    </row>
    <row r="1088" spans="1:10" x14ac:dyDescent="0.25">
      <c r="A1088" s="92"/>
      <c r="F1088" s="786"/>
      <c r="G1088" s="795"/>
      <c r="H1088" s="93"/>
      <c r="I1088" s="810"/>
      <c r="J1088" s="810"/>
    </row>
    <row r="1089" spans="1:10" x14ac:dyDescent="0.25">
      <c r="A1089" s="92"/>
      <c r="F1089" s="786"/>
      <c r="G1089" s="795"/>
      <c r="H1089" s="93"/>
      <c r="I1089" s="810"/>
      <c r="J1089" s="810"/>
    </row>
    <row r="1090" spans="1:10" x14ac:dyDescent="0.25">
      <c r="A1090" s="92"/>
      <c r="F1090" s="786"/>
      <c r="G1090" s="795"/>
      <c r="H1090" s="93"/>
      <c r="I1090" s="810"/>
      <c r="J1090" s="810"/>
    </row>
    <row r="1091" spans="1:10" x14ac:dyDescent="0.25">
      <c r="A1091" s="92"/>
      <c r="F1091" s="786"/>
      <c r="G1091" s="795"/>
      <c r="H1091" s="93"/>
      <c r="I1091" s="810"/>
      <c r="J1091" s="810"/>
    </row>
    <row r="1092" spans="1:10" x14ac:dyDescent="0.25">
      <c r="A1092" s="92"/>
      <c r="F1092" s="786"/>
      <c r="G1092" s="795"/>
      <c r="H1092" s="93"/>
      <c r="I1092" s="810"/>
      <c r="J1092" s="810"/>
    </row>
    <row r="1093" spans="1:10" x14ac:dyDescent="0.25">
      <c r="A1093" s="92"/>
      <c r="F1093" s="786"/>
      <c r="G1093" s="795"/>
      <c r="H1093" s="93"/>
      <c r="I1093" s="810"/>
      <c r="J1093" s="810"/>
    </row>
    <row r="1094" spans="1:10" x14ac:dyDescent="0.25">
      <c r="A1094" s="92"/>
      <c r="F1094" s="786"/>
      <c r="G1094" s="795"/>
      <c r="H1094" s="93"/>
      <c r="I1094" s="810"/>
      <c r="J1094" s="810"/>
    </row>
    <row r="1095" spans="1:10" x14ac:dyDescent="0.25">
      <c r="A1095" s="92"/>
      <c r="F1095" s="786"/>
      <c r="G1095" s="795"/>
      <c r="H1095" s="93"/>
      <c r="I1095" s="810"/>
      <c r="J1095" s="810"/>
    </row>
    <row r="1096" spans="1:10" x14ac:dyDescent="0.25">
      <c r="A1096" s="92"/>
      <c r="F1096" s="786"/>
      <c r="G1096" s="795"/>
      <c r="H1096" s="93"/>
      <c r="I1096" s="810"/>
      <c r="J1096" s="810"/>
    </row>
    <row r="1097" spans="1:10" x14ac:dyDescent="0.25">
      <c r="A1097" s="92"/>
      <c r="F1097" s="786"/>
      <c r="G1097" s="795"/>
      <c r="H1097" s="93"/>
      <c r="I1097" s="810"/>
      <c r="J1097" s="810"/>
    </row>
    <row r="1098" spans="1:10" x14ac:dyDescent="0.25">
      <c r="A1098" s="92"/>
      <c r="F1098" s="786"/>
      <c r="G1098" s="795"/>
      <c r="H1098" s="93"/>
      <c r="I1098" s="810"/>
      <c r="J1098" s="810"/>
    </row>
    <row r="1099" spans="1:10" x14ac:dyDescent="0.25">
      <c r="A1099" s="92"/>
      <c r="F1099" s="786"/>
      <c r="G1099" s="795"/>
      <c r="H1099" s="93"/>
      <c r="I1099" s="810"/>
      <c r="J1099" s="810"/>
    </row>
    <row r="1100" spans="1:10" x14ac:dyDescent="0.25">
      <c r="A1100" s="92"/>
      <c r="F1100" s="786"/>
      <c r="G1100" s="795"/>
      <c r="H1100" s="93"/>
      <c r="I1100" s="810"/>
      <c r="J1100" s="810"/>
    </row>
    <row r="1101" spans="1:10" x14ac:dyDescent="0.25">
      <c r="A1101" s="92"/>
      <c r="F1101" s="786"/>
      <c r="G1101" s="795"/>
      <c r="H1101" s="93"/>
      <c r="I1101" s="810"/>
      <c r="J1101" s="810"/>
    </row>
    <row r="1102" spans="1:10" x14ac:dyDescent="0.25">
      <c r="A1102" s="92"/>
      <c r="F1102" s="786"/>
      <c r="G1102" s="795"/>
      <c r="H1102" s="93"/>
      <c r="I1102" s="810"/>
      <c r="J1102" s="810"/>
    </row>
    <row r="1103" spans="1:10" x14ac:dyDescent="0.25">
      <c r="A1103" s="92"/>
      <c r="F1103" s="786"/>
      <c r="G1103" s="795"/>
      <c r="H1103" s="93"/>
      <c r="I1103" s="810"/>
      <c r="J1103" s="810"/>
    </row>
    <row r="1104" spans="1:10" x14ac:dyDescent="0.25">
      <c r="A1104" s="92"/>
      <c r="F1104" s="786"/>
      <c r="G1104" s="795"/>
      <c r="H1104" s="93"/>
      <c r="I1104" s="810"/>
      <c r="J1104" s="810"/>
    </row>
    <row r="1105" spans="1:10" x14ac:dyDescent="0.25">
      <c r="A1105" s="92"/>
      <c r="F1105" s="786"/>
      <c r="G1105" s="795"/>
      <c r="H1105" s="93"/>
      <c r="I1105" s="810"/>
      <c r="J1105" s="810"/>
    </row>
    <row r="1106" spans="1:10" x14ac:dyDescent="0.25">
      <c r="A1106" s="92"/>
      <c r="F1106" s="786"/>
      <c r="G1106" s="795"/>
      <c r="H1106" s="93"/>
      <c r="I1106" s="810"/>
      <c r="J1106" s="810"/>
    </row>
    <row r="1107" spans="1:10" x14ac:dyDescent="0.25">
      <c r="A1107" s="92"/>
      <c r="F1107" s="786"/>
      <c r="G1107" s="795"/>
      <c r="H1107" s="93"/>
      <c r="I1107" s="810"/>
      <c r="J1107" s="810"/>
    </row>
    <row r="1108" spans="1:10" x14ac:dyDescent="0.25">
      <c r="A1108" s="92"/>
      <c r="F1108" s="786"/>
      <c r="G1108" s="795"/>
      <c r="H1108" s="93"/>
      <c r="I1108" s="810"/>
      <c r="J1108" s="810"/>
    </row>
    <row r="1109" spans="1:10" x14ac:dyDescent="0.25">
      <c r="A1109" s="92"/>
      <c r="F1109" s="786"/>
      <c r="G1109" s="795"/>
      <c r="H1109" s="93"/>
      <c r="I1109" s="810"/>
      <c r="J1109" s="810"/>
    </row>
    <row r="1110" spans="1:10" x14ac:dyDescent="0.25">
      <c r="A1110" s="92"/>
      <c r="F1110" s="786"/>
      <c r="G1110" s="795"/>
      <c r="H1110" s="93"/>
      <c r="I1110" s="810"/>
      <c r="J1110" s="810"/>
    </row>
    <row r="1111" spans="1:10" x14ac:dyDescent="0.25">
      <c r="A1111" s="92"/>
      <c r="F1111" s="786"/>
      <c r="G1111" s="795"/>
      <c r="H1111" s="93"/>
      <c r="I1111" s="810"/>
      <c r="J1111" s="810"/>
    </row>
    <row r="1112" spans="1:10" x14ac:dyDescent="0.25">
      <c r="A1112" s="92"/>
      <c r="F1112" s="786"/>
      <c r="G1112" s="795"/>
      <c r="H1112" s="93"/>
      <c r="I1112" s="810"/>
      <c r="J1112" s="810"/>
    </row>
    <row r="1113" spans="1:10" x14ac:dyDescent="0.25">
      <c r="A1113" s="92"/>
      <c r="F1113" s="786"/>
      <c r="G1113" s="795"/>
      <c r="H1113" s="93"/>
      <c r="I1113" s="810"/>
      <c r="J1113" s="810"/>
    </row>
    <row r="1114" spans="1:10" x14ac:dyDescent="0.25">
      <c r="A1114" s="92"/>
      <c r="F1114" s="786"/>
      <c r="G1114" s="795"/>
      <c r="H1114" s="93"/>
      <c r="I1114" s="810"/>
      <c r="J1114" s="810"/>
    </row>
    <row r="1115" spans="1:10" x14ac:dyDescent="0.25">
      <c r="A1115" s="92"/>
      <c r="F1115" s="786"/>
      <c r="G1115" s="795"/>
      <c r="H1115" s="93"/>
      <c r="I1115" s="810"/>
      <c r="J1115" s="810"/>
    </row>
    <row r="1116" spans="1:10" x14ac:dyDescent="0.25">
      <c r="A1116" s="92"/>
      <c r="F1116" s="786"/>
      <c r="G1116" s="795"/>
      <c r="H1116" s="93"/>
      <c r="I1116" s="810"/>
      <c r="J1116" s="810"/>
    </row>
    <row r="1117" spans="1:10" x14ac:dyDescent="0.25">
      <c r="A1117" s="92"/>
      <c r="F1117" s="786"/>
      <c r="G1117" s="795"/>
      <c r="H1117" s="93"/>
      <c r="I1117" s="810"/>
      <c r="J1117" s="810"/>
    </row>
    <row r="1118" spans="1:10" x14ac:dyDescent="0.25">
      <c r="A1118" s="92"/>
      <c r="F1118" s="786"/>
      <c r="G1118" s="795"/>
      <c r="H1118" s="93"/>
      <c r="I1118" s="810"/>
      <c r="J1118" s="810"/>
    </row>
    <row r="1119" spans="1:10" x14ac:dyDescent="0.25">
      <c r="A1119" s="92"/>
      <c r="F1119" s="786"/>
      <c r="G1119" s="795"/>
      <c r="H1119" s="93"/>
      <c r="I1119" s="810"/>
      <c r="J1119" s="810"/>
    </row>
    <row r="1120" spans="1:10" x14ac:dyDescent="0.25">
      <c r="A1120" s="92"/>
      <c r="F1120" s="786"/>
      <c r="G1120" s="795"/>
      <c r="H1120" s="93"/>
      <c r="I1120" s="810"/>
      <c r="J1120" s="810"/>
    </row>
    <row r="1121" spans="1:10" x14ac:dyDescent="0.25">
      <c r="A1121" s="92"/>
      <c r="F1121" s="786"/>
      <c r="G1121" s="795"/>
      <c r="H1121" s="93"/>
      <c r="I1121" s="810"/>
      <c r="J1121" s="810"/>
    </row>
    <row r="1122" spans="1:10" x14ac:dyDescent="0.25">
      <c r="A1122" s="92"/>
      <c r="F1122" s="786"/>
      <c r="G1122" s="795"/>
      <c r="H1122" s="93"/>
      <c r="I1122" s="810"/>
      <c r="J1122" s="810"/>
    </row>
    <row r="1123" spans="1:10" x14ac:dyDescent="0.25">
      <c r="A1123" s="92"/>
      <c r="F1123" s="786"/>
      <c r="G1123" s="795"/>
      <c r="H1123" s="93"/>
      <c r="I1123" s="810"/>
      <c r="J1123" s="810"/>
    </row>
    <row r="1124" spans="1:10" x14ac:dyDescent="0.25">
      <c r="A1124" s="92"/>
      <c r="F1124" s="786"/>
      <c r="G1124" s="795"/>
      <c r="H1124" s="93"/>
      <c r="I1124" s="810"/>
      <c r="J1124" s="810"/>
    </row>
    <row r="1125" spans="1:10" x14ac:dyDescent="0.25">
      <c r="A1125" s="92"/>
      <c r="F1125" s="786"/>
      <c r="G1125" s="795"/>
      <c r="H1125" s="93"/>
      <c r="I1125" s="810"/>
      <c r="J1125" s="810"/>
    </row>
    <row r="1126" spans="1:10" x14ac:dyDescent="0.25">
      <c r="A1126" s="92"/>
      <c r="F1126" s="786"/>
      <c r="G1126" s="795"/>
      <c r="H1126" s="93"/>
      <c r="I1126" s="810"/>
      <c r="J1126" s="810"/>
    </row>
    <row r="1127" spans="1:10" x14ac:dyDescent="0.25">
      <c r="A1127" s="92"/>
      <c r="F1127" s="786"/>
      <c r="G1127" s="795"/>
      <c r="H1127" s="93"/>
      <c r="I1127" s="810"/>
      <c r="J1127" s="810"/>
    </row>
    <row r="1128" spans="1:10" x14ac:dyDescent="0.25">
      <c r="A1128" s="92"/>
      <c r="F1128" s="786"/>
      <c r="G1128" s="795"/>
      <c r="H1128" s="93"/>
      <c r="I1128" s="810"/>
      <c r="J1128" s="810"/>
    </row>
    <row r="1129" spans="1:10" x14ac:dyDescent="0.25">
      <c r="A1129" s="92"/>
      <c r="F1129" s="786"/>
      <c r="G1129" s="795"/>
      <c r="H1129" s="93"/>
      <c r="I1129" s="810"/>
      <c r="J1129" s="810"/>
    </row>
    <row r="1130" spans="1:10" x14ac:dyDescent="0.25">
      <c r="A1130" s="92"/>
      <c r="F1130" s="786"/>
      <c r="G1130" s="795"/>
      <c r="H1130" s="93"/>
      <c r="I1130" s="810"/>
      <c r="J1130" s="810"/>
    </row>
    <row r="1131" spans="1:10" x14ac:dyDescent="0.25">
      <c r="A1131" s="92"/>
      <c r="F1131" s="786"/>
      <c r="G1131" s="795"/>
      <c r="H1131" s="93"/>
      <c r="I1131" s="810"/>
      <c r="J1131" s="810"/>
    </row>
    <row r="1132" spans="1:10" x14ac:dyDescent="0.25">
      <c r="A1132" s="92"/>
      <c r="F1132" s="786"/>
      <c r="G1132" s="795"/>
      <c r="H1132" s="93"/>
      <c r="I1132" s="810"/>
      <c r="J1132" s="810"/>
    </row>
    <row r="1133" spans="1:10" x14ac:dyDescent="0.25">
      <c r="A1133" s="92"/>
      <c r="F1133" s="786"/>
      <c r="G1133" s="795"/>
      <c r="H1133" s="93"/>
      <c r="I1133" s="810"/>
      <c r="J1133" s="810"/>
    </row>
    <row r="1134" spans="1:10" x14ac:dyDescent="0.25">
      <c r="A1134" s="92"/>
      <c r="F1134" s="786"/>
      <c r="G1134" s="795"/>
      <c r="H1134" s="93"/>
      <c r="I1134" s="810"/>
      <c r="J1134" s="810"/>
    </row>
    <row r="1135" spans="1:10" x14ac:dyDescent="0.25">
      <c r="A1135" s="92"/>
      <c r="F1135" s="786"/>
      <c r="G1135" s="795"/>
      <c r="H1135" s="93"/>
      <c r="I1135" s="810"/>
      <c r="J1135" s="810"/>
    </row>
    <row r="1136" spans="1:10" x14ac:dyDescent="0.25">
      <c r="A1136" s="92"/>
      <c r="F1136" s="786"/>
      <c r="G1136" s="795"/>
      <c r="H1136" s="93"/>
      <c r="I1136" s="810"/>
      <c r="J1136" s="810"/>
    </row>
    <row r="1137" spans="1:10" x14ac:dyDescent="0.25">
      <c r="A1137" s="92"/>
      <c r="F1137" s="786"/>
      <c r="G1137" s="795"/>
      <c r="H1137" s="93"/>
      <c r="I1137" s="810"/>
      <c r="J1137" s="810"/>
    </row>
    <row r="1138" spans="1:10" x14ac:dyDescent="0.25">
      <c r="A1138" s="92"/>
      <c r="F1138" s="786"/>
      <c r="G1138" s="795"/>
      <c r="H1138" s="93"/>
      <c r="I1138" s="810"/>
      <c r="J1138" s="810"/>
    </row>
    <row r="1139" spans="1:10" x14ac:dyDescent="0.25">
      <c r="A1139" s="92"/>
      <c r="F1139" s="786"/>
      <c r="G1139" s="795"/>
      <c r="H1139" s="93"/>
      <c r="I1139" s="810"/>
      <c r="J1139" s="810"/>
    </row>
    <row r="1140" spans="1:10" x14ac:dyDescent="0.25">
      <c r="A1140" s="92"/>
      <c r="F1140" s="786"/>
      <c r="G1140" s="795"/>
      <c r="H1140" s="93"/>
      <c r="I1140" s="810"/>
      <c r="J1140" s="810"/>
    </row>
    <row r="1141" spans="1:10" x14ac:dyDescent="0.25">
      <c r="A1141" s="92"/>
      <c r="F1141" s="786"/>
      <c r="G1141" s="795"/>
      <c r="H1141" s="93"/>
      <c r="I1141" s="810"/>
      <c r="J1141" s="810"/>
    </row>
    <row r="1142" spans="1:10" x14ac:dyDescent="0.25">
      <c r="A1142" s="92"/>
      <c r="F1142" s="786"/>
      <c r="G1142" s="795"/>
      <c r="H1142" s="93"/>
      <c r="I1142" s="810"/>
      <c r="J1142" s="810"/>
    </row>
    <row r="1143" spans="1:10" x14ac:dyDescent="0.25">
      <c r="A1143" s="92"/>
      <c r="F1143" s="786"/>
      <c r="G1143" s="795"/>
      <c r="H1143" s="93"/>
      <c r="I1143" s="810"/>
      <c r="J1143" s="810"/>
    </row>
    <row r="1144" spans="1:10" x14ac:dyDescent="0.25">
      <c r="A1144" s="92"/>
      <c r="F1144" s="786"/>
      <c r="G1144" s="795"/>
      <c r="H1144" s="93"/>
      <c r="I1144" s="810"/>
      <c r="J1144" s="810"/>
    </row>
    <row r="1145" spans="1:10" x14ac:dyDescent="0.25">
      <c r="A1145" s="92"/>
      <c r="F1145" s="786"/>
      <c r="G1145" s="795"/>
      <c r="H1145" s="93"/>
      <c r="I1145" s="810"/>
      <c r="J1145" s="810"/>
    </row>
    <row r="1146" spans="1:10" x14ac:dyDescent="0.25">
      <c r="A1146" s="92"/>
      <c r="F1146" s="786"/>
      <c r="G1146" s="795"/>
      <c r="H1146" s="93"/>
      <c r="I1146" s="810"/>
      <c r="J1146" s="810"/>
    </row>
    <row r="1147" spans="1:10" x14ac:dyDescent="0.25">
      <c r="A1147" s="92"/>
      <c r="F1147" s="786"/>
      <c r="G1147" s="795"/>
      <c r="H1147" s="93"/>
      <c r="I1147" s="810"/>
      <c r="J1147" s="810"/>
    </row>
    <row r="1148" spans="1:10" x14ac:dyDescent="0.25">
      <c r="A1148" s="92"/>
      <c r="F1148" s="786"/>
      <c r="G1148" s="795"/>
      <c r="H1148" s="93"/>
      <c r="I1148" s="810"/>
      <c r="J1148" s="810"/>
    </row>
    <row r="1149" spans="1:10" x14ac:dyDescent="0.25">
      <c r="A1149" s="92"/>
      <c r="F1149" s="786"/>
      <c r="G1149" s="795"/>
      <c r="H1149" s="93"/>
      <c r="I1149" s="810"/>
      <c r="J1149" s="810"/>
    </row>
    <row r="1150" spans="1:10" x14ac:dyDescent="0.25">
      <c r="A1150" s="92"/>
      <c r="F1150" s="786"/>
      <c r="G1150" s="795"/>
      <c r="H1150" s="93"/>
      <c r="I1150" s="810"/>
      <c r="J1150" s="810"/>
    </row>
    <row r="1151" spans="1:10" x14ac:dyDescent="0.25">
      <c r="A1151" s="92"/>
      <c r="F1151" s="786"/>
      <c r="G1151" s="795"/>
      <c r="H1151" s="93"/>
      <c r="I1151" s="810"/>
      <c r="J1151" s="810"/>
    </row>
    <row r="1152" spans="1:10" x14ac:dyDescent="0.25">
      <c r="A1152" s="92"/>
      <c r="F1152" s="786"/>
      <c r="G1152" s="795"/>
      <c r="H1152" s="93"/>
      <c r="I1152" s="810"/>
      <c r="J1152" s="810"/>
    </row>
    <row r="1153" spans="1:10" x14ac:dyDescent="0.25">
      <c r="A1153" s="92"/>
      <c r="F1153" s="786"/>
      <c r="G1153" s="795"/>
      <c r="H1153" s="93"/>
      <c r="I1153" s="810"/>
      <c r="J1153" s="810"/>
    </row>
    <row r="1154" spans="1:10" x14ac:dyDescent="0.25">
      <c r="A1154" s="92"/>
      <c r="F1154" s="786"/>
      <c r="G1154" s="795"/>
      <c r="H1154" s="93"/>
      <c r="I1154" s="810"/>
      <c r="J1154" s="810"/>
    </row>
    <row r="1155" spans="1:10" x14ac:dyDescent="0.25">
      <c r="A1155" s="92"/>
      <c r="F1155" s="786"/>
      <c r="G1155" s="795"/>
      <c r="H1155" s="93"/>
      <c r="I1155" s="810"/>
      <c r="J1155" s="810"/>
    </row>
    <row r="1156" spans="1:10" x14ac:dyDescent="0.25">
      <c r="A1156" s="92"/>
      <c r="F1156" s="786"/>
      <c r="G1156" s="795"/>
      <c r="H1156" s="93"/>
      <c r="I1156" s="810"/>
      <c r="J1156" s="810"/>
    </row>
    <row r="1157" spans="1:10" x14ac:dyDescent="0.25">
      <c r="A1157" s="92"/>
      <c r="F1157" s="786"/>
      <c r="G1157" s="795"/>
      <c r="H1157" s="93"/>
      <c r="I1157" s="810"/>
      <c r="J1157" s="810"/>
    </row>
    <row r="1158" spans="1:10" x14ac:dyDescent="0.25">
      <c r="A1158" s="92"/>
      <c r="F1158" s="786"/>
      <c r="G1158" s="795"/>
      <c r="H1158" s="93"/>
      <c r="I1158" s="810"/>
      <c r="J1158" s="810"/>
    </row>
    <row r="1159" spans="1:10" x14ac:dyDescent="0.25">
      <c r="A1159" s="92"/>
      <c r="F1159" s="786"/>
      <c r="G1159" s="795"/>
      <c r="H1159" s="93"/>
      <c r="I1159" s="810"/>
      <c r="J1159" s="810"/>
    </row>
    <row r="1160" spans="1:10" x14ac:dyDescent="0.25">
      <c r="A1160" s="92"/>
      <c r="F1160" s="786"/>
      <c r="G1160" s="795"/>
      <c r="H1160" s="93"/>
      <c r="I1160" s="810"/>
      <c r="J1160" s="810"/>
    </row>
    <row r="1161" spans="1:10" x14ac:dyDescent="0.25">
      <c r="A1161" s="92"/>
      <c r="F1161" s="786"/>
      <c r="G1161" s="795"/>
      <c r="H1161" s="93"/>
      <c r="I1161" s="810"/>
      <c r="J1161" s="810"/>
    </row>
    <row r="1162" spans="1:10" x14ac:dyDescent="0.25">
      <c r="A1162" s="92"/>
      <c r="F1162" s="786"/>
      <c r="G1162" s="795"/>
      <c r="H1162" s="93"/>
      <c r="I1162" s="810"/>
      <c r="J1162" s="810"/>
    </row>
    <row r="1163" spans="1:10" x14ac:dyDescent="0.25">
      <c r="A1163" s="92"/>
      <c r="F1163" s="786"/>
      <c r="G1163" s="795"/>
      <c r="H1163" s="93"/>
      <c r="I1163" s="810"/>
      <c r="J1163" s="810"/>
    </row>
    <row r="1164" spans="1:10" x14ac:dyDescent="0.25">
      <c r="A1164" s="92"/>
      <c r="F1164" s="786"/>
      <c r="G1164" s="795"/>
      <c r="H1164" s="93"/>
      <c r="I1164" s="810"/>
      <c r="J1164" s="810"/>
    </row>
    <row r="1165" spans="1:10" x14ac:dyDescent="0.25">
      <c r="A1165" s="92"/>
      <c r="F1165" s="786"/>
      <c r="G1165" s="795"/>
      <c r="H1165" s="93"/>
      <c r="I1165" s="810"/>
      <c r="J1165" s="810"/>
    </row>
    <row r="1166" spans="1:10" x14ac:dyDescent="0.25">
      <c r="A1166" s="92"/>
      <c r="F1166" s="786"/>
      <c r="G1166" s="795"/>
      <c r="H1166" s="93"/>
      <c r="I1166" s="810"/>
      <c r="J1166" s="810"/>
    </row>
    <row r="1167" spans="1:10" x14ac:dyDescent="0.25">
      <c r="A1167" s="92"/>
      <c r="F1167" s="786"/>
      <c r="G1167" s="795"/>
      <c r="H1167" s="93"/>
      <c r="I1167" s="810"/>
      <c r="J1167" s="810"/>
    </row>
    <row r="1168" spans="1:10" x14ac:dyDescent="0.25">
      <c r="A1168" s="92"/>
      <c r="F1168" s="786"/>
      <c r="G1168" s="795"/>
      <c r="H1168" s="93"/>
      <c r="I1168" s="810"/>
      <c r="J1168" s="810"/>
    </row>
    <row r="1169" spans="1:10" x14ac:dyDescent="0.25">
      <c r="A1169" s="92"/>
      <c r="F1169" s="786"/>
      <c r="G1169" s="795"/>
      <c r="H1169" s="93"/>
      <c r="I1169" s="810"/>
      <c r="J1169" s="810"/>
    </row>
    <row r="1170" spans="1:10" x14ac:dyDescent="0.25">
      <c r="A1170" s="92"/>
      <c r="F1170" s="786"/>
      <c r="G1170" s="795"/>
      <c r="H1170" s="93"/>
      <c r="I1170" s="810"/>
      <c r="J1170" s="810"/>
    </row>
    <row r="1171" spans="1:10" x14ac:dyDescent="0.25">
      <c r="A1171" s="92"/>
      <c r="F1171" s="786"/>
      <c r="G1171" s="795"/>
      <c r="H1171" s="93"/>
      <c r="I1171" s="810"/>
      <c r="J1171" s="810"/>
    </row>
    <row r="1172" spans="1:10" x14ac:dyDescent="0.25">
      <c r="A1172" s="92"/>
      <c r="F1172" s="786"/>
      <c r="G1172" s="795"/>
      <c r="H1172" s="93"/>
      <c r="I1172" s="810"/>
      <c r="J1172" s="810"/>
    </row>
    <row r="1173" spans="1:10" x14ac:dyDescent="0.25">
      <c r="A1173" s="92"/>
      <c r="F1173" s="786"/>
      <c r="G1173" s="795"/>
      <c r="H1173" s="93"/>
      <c r="I1173" s="810"/>
      <c r="J1173" s="810"/>
    </row>
    <row r="1174" spans="1:10" x14ac:dyDescent="0.25">
      <c r="A1174" s="92"/>
      <c r="F1174" s="786"/>
      <c r="G1174" s="795"/>
      <c r="H1174" s="93"/>
      <c r="I1174" s="810"/>
      <c r="J1174" s="810"/>
    </row>
    <row r="1175" spans="1:10" x14ac:dyDescent="0.25">
      <c r="A1175" s="92"/>
      <c r="F1175" s="786"/>
      <c r="G1175" s="795"/>
      <c r="H1175" s="93"/>
      <c r="I1175" s="810"/>
      <c r="J1175" s="810"/>
    </row>
    <row r="1176" spans="1:10" x14ac:dyDescent="0.25">
      <c r="A1176" s="92"/>
      <c r="F1176" s="786"/>
      <c r="G1176" s="795"/>
      <c r="H1176" s="93"/>
      <c r="I1176" s="810"/>
      <c r="J1176" s="810"/>
    </row>
    <row r="1177" spans="1:10" x14ac:dyDescent="0.25">
      <c r="A1177" s="92"/>
      <c r="F1177" s="786"/>
      <c r="G1177" s="795"/>
      <c r="H1177" s="93"/>
      <c r="I1177" s="810"/>
      <c r="J1177" s="810"/>
    </row>
    <row r="1178" spans="1:10" x14ac:dyDescent="0.25">
      <c r="A1178" s="92"/>
      <c r="F1178" s="786"/>
      <c r="G1178" s="795"/>
      <c r="H1178" s="93"/>
      <c r="I1178" s="810"/>
      <c r="J1178" s="810"/>
    </row>
    <row r="1179" spans="1:10" x14ac:dyDescent="0.25">
      <c r="A1179" s="92"/>
      <c r="F1179" s="786"/>
      <c r="G1179" s="795"/>
      <c r="H1179" s="93"/>
      <c r="I1179" s="810"/>
      <c r="J1179" s="810"/>
    </row>
    <row r="1180" spans="1:10" x14ac:dyDescent="0.25">
      <c r="A1180" s="92"/>
      <c r="F1180" s="786"/>
      <c r="G1180" s="795"/>
      <c r="H1180" s="93"/>
      <c r="I1180" s="810"/>
      <c r="J1180" s="810"/>
    </row>
    <row r="1181" spans="1:10" x14ac:dyDescent="0.25">
      <c r="A1181" s="92"/>
      <c r="F1181" s="786"/>
      <c r="G1181" s="795"/>
      <c r="H1181" s="93"/>
      <c r="I1181" s="810"/>
      <c r="J1181" s="810"/>
    </row>
    <row r="1182" spans="1:10" x14ac:dyDescent="0.25">
      <c r="A1182" s="92"/>
      <c r="F1182" s="786"/>
      <c r="G1182" s="795"/>
      <c r="H1182" s="93"/>
      <c r="I1182" s="810"/>
      <c r="J1182" s="810"/>
    </row>
    <row r="1183" spans="1:10" x14ac:dyDescent="0.25">
      <c r="A1183" s="92"/>
      <c r="F1183" s="786"/>
      <c r="G1183" s="795"/>
      <c r="H1183" s="93"/>
      <c r="I1183" s="810"/>
      <c r="J1183" s="810"/>
    </row>
    <row r="1184" spans="1:10" x14ac:dyDescent="0.25">
      <c r="A1184" s="92"/>
      <c r="F1184" s="786"/>
      <c r="G1184" s="795"/>
      <c r="H1184" s="93"/>
      <c r="I1184" s="810"/>
      <c r="J1184" s="810"/>
    </row>
    <row r="1185" spans="1:10" x14ac:dyDescent="0.25">
      <c r="A1185" s="92"/>
      <c r="F1185" s="786"/>
      <c r="G1185" s="795"/>
      <c r="H1185" s="93"/>
      <c r="I1185" s="810"/>
      <c r="J1185" s="810"/>
    </row>
    <row r="1186" spans="1:10" x14ac:dyDescent="0.25">
      <c r="A1186" s="92"/>
      <c r="F1186" s="786"/>
      <c r="G1186" s="795"/>
      <c r="H1186" s="93"/>
      <c r="I1186" s="810"/>
      <c r="J1186" s="810"/>
    </row>
    <row r="1187" spans="1:10" x14ac:dyDescent="0.25">
      <c r="A1187" s="92"/>
      <c r="F1187" s="786"/>
      <c r="G1187" s="795"/>
      <c r="H1187" s="93"/>
      <c r="I1187" s="810"/>
      <c r="J1187" s="810"/>
    </row>
    <row r="1188" spans="1:10" x14ac:dyDescent="0.25">
      <c r="A1188" s="92"/>
      <c r="F1188" s="786"/>
      <c r="G1188" s="795"/>
      <c r="H1188" s="93"/>
      <c r="I1188" s="810"/>
      <c r="J1188" s="810"/>
    </row>
    <row r="1189" spans="1:10" x14ac:dyDescent="0.25">
      <c r="A1189" s="92"/>
      <c r="F1189" s="786"/>
      <c r="G1189" s="795"/>
      <c r="H1189" s="93"/>
      <c r="I1189" s="810"/>
      <c r="J1189" s="810"/>
    </row>
    <row r="1190" spans="1:10" x14ac:dyDescent="0.25">
      <c r="A1190" s="92"/>
      <c r="F1190" s="786"/>
      <c r="G1190" s="795"/>
      <c r="H1190" s="93"/>
      <c r="I1190" s="810"/>
      <c r="J1190" s="810"/>
    </row>
    <row r="1191" spans="1:10" x14ac:dyDescent="0.25">
      <c r="A1191" s="92"/>
      <c r="F1191" s="786"/>
      <c r="G1191" s="795"/>
      <c r="H1191" s="93"/>
      <c r="I1191" s="810"/>
      <c r="J1191" s="810"/>
    </row>
    <row r="1192" spans="1:10" x14ac:dyDescent="0.25">
      <c r="A1192" s="92"/>
      <c r="F1192" s="786"/>
      <c r="G1192" s="795"/>
      <c r="H1192" s="93"/>
      <c r="I1192" s="810"/>
      <c r="J1192" s="810"/>
    </row>
    <row r="1193" spans="1:10" x14ac:dyDescent="0.25">
      <c r="A1193" s="92"/>
      <c r="F1193" s="786"/>
      <c r="G1193" s="795"/>
      <c r="H1193" s="93"/>
      <c r="I1193" s="810"/>
      <c r="J1193" s="810"/>
    </row>
    <row r="1194" spans="1:10" x14ac:dyDescent="0.25">
      <c r="A1194" s="92"/>
      <c r="F1194" s="786"/>
      <c r="G1194" s="795"/>
      <c r="H1194" s="93"/>
      <c r="I1194" s="810"/>
      <c r="J1194" s="810"/>
    </row>
    <row r="1195" spans="1:10" x14ac:dyDescent="0.25">
      <c r="A1195" s="92"/>
      <c r="F1195" s="786"/>
      <c r="G1195" s="795"/>
      <c r="H1195" s="93"/>
      <c r="I1195" s="810"/>
      <c r="J1195" s="810"/>
    </row>
    <row r="1196" spans="1:10" x14ac:dyDescent="0.25">
      <c r="A1196" s="92"/>
      <c r="F1196" s="786"/>
      <c r="G1196" s="795"/>
      <c r="H1196" s="93"/>
      <c r="I1196" s="810"/>
      <c r="J1196" s="810"/>
    </row>
    <row r="1197" spans="1:10" x14ac:dyDescent="0.25">
      <c r="A1197" s="92"/>
      <c r="F1197" s="786"/>
      <c r="G1197" s="795"/>
      <c r="H1197" s="93"/>
      <c r="I1197" s="810"/>
      <c r="J1197" s="810"/>
    </row>
    <row r="1198" spans="1:10" x14ac:dyDescent="0.25">
      <c r="A1198" s="92"/>
      <c r="F1198" s="786"/>
      <c r="G1198" s="795"/>
      <c r="H1198" s="93"/>
      <c r="I1198" s="810"/>
      <c r="J1198" s="810"/>
    </row>
    <row r="1199" spans="1:10" x14ac:dyDescent="0.25">
      <c r="A1199" s="92"/>
      <c r="F1199" s="786"/>
      <c r="G1199" s="795"/>
      <c r="H1199" s="93"/>
      <c r="I1199" s="810"/>
      <c r="J1199" s="810"/>
    </row>
    <row r="1200" spans="1:10" x14ac:dyDescent="0.25">
      <c r="A1200" s="92"/>
      <c r="F1200" s="786"/>
      <c r="G1200" s="795"/>
      <c r="H1200" s="93"/>
      <c r="I1200" s="810"/>
      <c r="J1200" s="810"/>
    </row>
    <row r="1201" spans="1:10" x14ac:dyDescent="0.25">
      <c r="A1201" s="92"/>
      <c r="F1201" s="786"/>
      <c r="G1201" s="795"/>
      <c r="H1201" s="93"/>
      <c r="I1201" s="810"/>
      <c r="J1201" s="810"/>
    </row>
    <row r="1202" spans="1:10" x14ac:dyDescent="0.25">
      <c r="A1202" s="92"/>
      <c r="F1202" s="786"/>
      <c r="G1202" s="795"/>
      <c r="H1202" s="93"/>
      <c r="I1202" s="810"/>
      <c r="J1202" s="810"/>
    </row>
    <row r="1203" spans="1:10" x14ac:dyDescent="0.25">
      <c r="A1203" s="92"/>
      <c r="F1203" s="786"/>
      <c r="G1203" s="795"/>
      <c r="H1203" s="93"/>
      <c r="I1203" s="810"/>
      <c r="J1203" s="810"/>
    </row>
    <row r="1204" spans="1:10" x14ac:dyDescent="0.25">
      <c r="A1204" s="92"/>
      <c r="F1204" s="786"/>
      <c r="G1204" s="795"/>
      <c r="H1204" s="93"/>
      <c r="I1204" s="810"/>
      <c r="J1204" s="810"/>
    </row>
    <row r="1205" spans="1:10" x14ac:dyDescent="0.25">
      <c r="A1205" s="92"/>
      <c r="F1205" s="786"/>
      <c r="G1205" s="795"/>
      <c r="H1205" s="93"/>
      <c r="I1205" s="810"/>
      <c r="J1205" s="810"/>
    </row>
    <row r="1206" spans="1:10" x14ac:dyDescent="0.25">
      <c r="A1206" s="92"/>
      <c r="F1206" s="786"/>
      <c r="G1206" s="795"/>
      <c r="H1206" s="93"/>
      <c r="I1206" s="810"/>
      <c r="J1206" s="810"/>
    </row>
    <row r="1207" spans="1:10" x14ac:dyDescent="0.25">
      <c r="A1207" s="92"/>
      <c r="F1207" s="786"/>
      <c r="G1207" s="795"/>
      <c r="H1207" s="93"/>
      <c r="I1207" s="810"/>
      <c r="J1207" s="810"/>
    </row>
    <row r="1208" spans="1:10" x14ac:dyDescent="0.25">
      <c r="A1208" s="92"/>
      <c r="F1208" s="786"/>
      <c r="G1208" s="795"/>
      <c r="H1208" s="93"/>
      <c r="I1208" s="810"/>
      <c r="J1208" s="810"/>
    </row>
    <row r="1209" spans="1:10" x14ac:dyDescent="0.25">
      <c r="A1209" s="92"/>
      <c r="F1209" s="786"/>
      <c r="G1209" s="795"/>
      <c r="H1209" s="93"/>
      <c r="I1209" s="810"/>
      <c r="J1209" s="810"/>
    </row>
    <row r="1210" spans="1:10" x14ac:dyDescent="0.25">
      <c r="A1210" s="92"/>
      <c r="F1210" s="786"/>
      <c r="G1210" s="795"/>
      <c r="H1210" s="93"/>
      <c r="I1210" s="810"/>
      <c r="J1210" s="810"/>
    </row>
    <row r="1211" spans="1:10" x14ac:dyDescent="0.25">
      <c r="A1211" s="92"/>
      <c r="F1211" s="786"/>
      <c r="G1211" s="795"/>
      <c r="H1211" s="93"/>
      <c r="I1211" s="810"/>
      <c r="J1211" s="810"/>
    </row>
    <row r="1212" spans="1:10" x14ac:dyDescent="0.25">
      <c r="A1212" s="92"/>
      <c r="F1212" s="786"/>
      <c r="G1212" s="795"/>
      <c r="H1212" s="93"/>
      <c r="I1212" s="810"/>
      <c r="J1212" s="810"/>
    </row>
    <row r="1213" spans="1:10" x14ac:dyDescent="0.25">
      <c r="A1213" s="92"/>
      <c r="F1213" s="786"/>
      <c r="G1213" s="795"/>
      <c r="H1213" s="93"/>
      <c r="I1213" s="810"/>
      <c r="J1213" s="810"/>
    </row>
    <row r="1214" spans="1:10" x14ac:dyDescent="0.25">
      <c r="A1214" s="92"/>
      <c r="F1214" s="786"/>
      <c r="G1214" s="795"/>
      <c r="H1214" s="93"/>
      <c r="I1214" s="810"/>
      <c r="J1214" s="810"/>
    </row>
    <row r="1215" spans="1:10" x14ac:dyDescent="0.25">
      <c r="A1215" s="92"/>
      <c r="F1215" s="786"/>
      <c r="G1215" s="795"/>
      <c r="H1215" s="93"/>
      <c r="I1215" s="810"/>
      <c r="J1215" s="810"/>
    </row>
    <row r="1216" spans="1:10" x14ac:dyDescent="0.25">
      <c r="A1216" s="92"/>
      <c r="F1216" s="786"/>
      <c r="G1216" s="795"/>
      <c r="H1216" s="93"/>
      <c r="I1216" s="810"/>
      <c r="J1216" s="810"/>
    </row>
    <row r="1217" spans="1:10" x14ac:dyDescent="0.25">
      <c r="A1217" s="92"/>
      <c r="F1217" s="786"/>
      <c r="G1217" s="795"/>
      <c r="H1217" s="93"/>
      <c r="I1217" s="810"/>
      <c r="J1217" s="810"/>
    </row>
    <row r="1218" spans="1:10" x14ac:dyDescent="0.25">
      <c r="A1218" s="92"/>
      <c r="F1218" s="786"/>
      <c r="G1218" s="795"/>
      <c r="H1218" s="93"/>
      <c r="I1218" s="810"/>
      <c r="J1218" s="810"/>
    </row>
    <row r="1219" spans="1:10" x14ac:dyDescent="0.25">
      <c r="A1219" s="92"/>
      <c r="F1219" s="786"/>
      <c r="G1219" s="795"/>
      <c r="H1219" s="93"/>
      <c r="I1219" s="810"/>
      <c r="J1219" s="810"/>
    </row>
    <row r="1220" spans="1:10" x14ac:dyDescent="0.25">
      <c r="A1220" s="92"/>
      <c r="F1220" s="786"/>
      <c r="G1220" s="795"/>
      <c r="H1220" s="93"/>
      <c r="I1220" s="810"/>
      <c r="J1220" s="810"/>
    </row>
    <row r="1221" spans="1:10" x14ac:dyDescent="0.25">
      <c r="A1221" s="92"/>
      <c r="F1221" s="786"/>
      <c r="G1221" s="795"/>
      <c r="H1221" s="93"/>
      <c r="I1221" s="810"/>
      <c r="J1221" s="810"/>
    </row>
    <row r="1222" spans="1:10" x14ac:dyDescent="0.25">
      <c r="A1222" s="92"/>
      <c r="F1222" s="786"/>
      <c r="G1222" s="795"/>
      <c r="H1222" s="93"/>
      <c r="I1222" s="810"/>
      <c r="J1222" s="810"/>
    </row>
    <row r="1223" spans="1:10" x14ac:dyDescent="0.25">
      <c r="A1223" s="92"/>
      <c r="F1223" s="786"/>
      <c r="G1223" s="795"/>
      <c r="H1223" s="93"/>
      <c r="I1223" s="810"/>
      <c r="J1223" s="810"/>
    </row>
    <row r="1224" spans="1:10" x14ac:dyDescent="0.25">
      <c r="A1224" s="92"/>
      <c r="F1224" s="786"/>
      <c r="G1224" s="795"/>
      <c r="H1224" s="93"/>
      <c r="I1224" s="810"/>
      <c r="J1224" s="810"/>
    </row>
    <row r="1225" spans="1:10" x14ac:dyDescent="0.25">
      <c r="A1225" s="92"/>
      <c r="F1225" s="786"/>
      <c r="G1225" s="795"/>
      <c r="H1225" s="93"/>
      <c r="I1225" s="810"/>
      <c r="J1225" s="810"/>
    </row>
    <row r="1226" spans="1:10" x14ac:dyDescent="0.25">
      <c r="A1226" s="92"/>
      <c r="F1226" s="786"/>
      <c r="G1226" s="795"/>
      <c r="H1226" s="93"/>
      <c r="I1226" s="810"/>
      <c r="J1226" s="810"/>
    </row>
    <row r="1227" spans="1:10" x14ac:dyDescent="0.25">
      <c r="A1227" s="92"/>
      <c r="F1227" s="786"/>
      <c r="G1227" s="795"/>
      <c r="H1227" s="93"/>
      <c r="I1227" s="810"/>
      <c r="J1227" s="810"/>
    </row>
    <row r="1228" spans="1:10" x14ac:dyDescent="0.25">
      <c r="A1228" s="92"/>
      <c r="F1228" s="786"/>
      <c r="G1228" s="795"/>
      <c r="H1228" s="93"/>
      <c r="I1228" s="810"/>
      <c r="J1228" s="810"/>
    </row>
    <row r="1229" spans="1:10" x14ac:dyDescent="0.25">
      <c r="A1229" s="92"/>
      <c r="F1229" s="786"/>
      <c r="G1229" s="795"/>
      <c r="H1229" s="93"/>
      <c r="I1229" s="810"/>
      <c r="J1229" s="810"/>
    </row>
    <row r="1230" spans="1:10" x14ac:dyDescent="0.25">
      <c r="A1230" s="92"/>
      <c r="F1230" s="786"/>
      <c r="G1230" s="795"/>
      <c r="H1230" s="93"/>
      <c r="I1230" s="810"/>
      <c r="J1230" s="810"/>
    </row>
    <row r="1231" spans="1:10" x14ac:dyDescent="0.25">
      <c r="A1231" s="92"/>
      <c r="F1231" s="786"/>
      <c r="G1231" s="795"/>
      <c r="H1231" s="93"/>
      <c r="I1231" s="810"/>
      <c r="J1231" s="810"/>
    </row>
    <row r="1232" spans="1:10" x14ac:dyDescent="0.25">
      <c r="A1232" s="92"/>
      <c r="F1232" s="786"/>
      <c r="G1232" s="795"/>
      <c r="H1232" s="93"/>
      <c r="I1232" s="810"/>
      <c r="J1232" s="810"/>
    </row>
    <row r="1233" spans="1:10" x14ac:dyDescent="0.25">
      <c r="A1233" s="92"/>
      <c r="F1233" s="786"/>
      <c r="G1233" s="795"/>
      <c r="H1233" s="93"/>
      <c r="I1233" s="810"/>
      <c r="J1233" s="810"/>
    </row>
    <row r="1234" spans="1:10" x14ac:dyDescent="0.25">
      <c r="A1234" s="92"/>
      <c r="F1234" s="786"/>
      <c r="G1234" s="795"/>
      <c r="H1234" s="93"/>
      <c r="I1234" s="810"/>
      <c r="J1234" s="810"/>
    </row>
    <row r="1235" spans="1:10" x14ac:dyDescent="0.25">
      <c r="A1235" s="92"/>
      <c r="F1235" s="786"/>
      <c r="G1235" s="795"/>
      <c r="H1235" s="93"/>
      <c r="I1235" s="810"/>
      <c r="J1235" s="810"/>
    </row>
    <row r="1236" spans="1:10" x14ac:dyDescent="0.25">
      <c r="A1236" s="92"/>
      <c r="F1236" s="786"/>
      <c r="G1236" s="795"/>
      <c r="H1236" s="93"/>
      <c r="I1236" s="810"/>
      <c r="J1236" s="810"/>
    </row>
    <row r="1237" spans="1:10" x14ac:dyDescent="0.25">
      <c r="A1237" s="92"/>
      <c r="F1237" s="786"/>
      <c r="G1237" s="795"/>
      <c r="H1237" s="93"/>
      <c r="I1237" s="810"/>
      <c r="J1237" s="810"/>
    </row>
    <row r="1238" spans="1:10" x14ac:dyDescent="0.25">
      <c r="A1238" s="92"/>
      <c r="F1238" s="786"/>
      <c r="G1238" s="795"/>
      <c r="H1238" s="93"/>
      <c r="I1238" s="810"/>
      <c r="J1238" s="810"/>
    </row>
    <row r="1239" spans="1:10" x14ac:dyDescent="0.25">
      <c r="A1239" s="92"/>
      <c r="F1239" s="786"/>
      <c r="G1239" s="795"/>
      <c r="H1239" s="93"/>
      <c r="I1239" s="810"/>
      <c r="J1239" s="810"/>
    </row>
    <row r="1240" spans="1:10" x14ac:dyDescent="0.25">
      <c r="A1240" s="92"/>
      <c r="F1240" s="786"/>
      <c r="G1240" s="795"/>
      <c r="H1240" s="93"/>
      <c r="I1240" s="810"/>
      <c r="J1240" s="810"/>
    </row>
    <row r="1241" spans="1:10" x14ac:dyDescent="0.25">
      <c r="A1241" s="92"/>
      <c r="F1241" s="786"/>
      <c r="G1241" s="795"/>
      <c r="H1241" s="93"/>
      <c r="I1241" s="810"/>
      <c r="J1241" s="810"/>
    </row>
    <row r="1242" spans="1:10" x14ac:dyDescent="0.25">
      <c r="A1242" s="92"/>
      <c r="F1242" s="786"/>
      <c r="G1242" s="795"/>
      <c r="H1242" s="93"/>
      <c r="I1242" s="810"/>
      <c r="J1242" s="810"/>
    </row>
    <row r="1243" spans="1:10" x14ac:dyDescent="0.25">
      <c r="A1243" s="92"/>
      <c r="F1243" s="786"/>
      <c r="G1243" s="795"/>
      <c r="H1243" s="93"/>
      <c r="I1243" s="810"/>
      <c r="J1243" s="810"/>
    </row>
    <row r="1244" spans="1:10" x14ac:dyDescent="0.25">
      <c r="A1244" s="92"/>
      <c r="F1244" s="786"/>
      <c r="G1244" s="795"/>
      <c r="H1244" s="93"/>
      <c r="I1244" s="810"/>
      <c r="J1244" s="810"/>
    </row>
    <row r="1245" spans="1:10" x14ac:dyDescent="0.25">
      <c r="A1245" s="92"/>
      <c r="F1245" s="786"/>
      <c r="G1245" s="795"/>
      <c r="H1245" s="93"/>
      <c r="I1245" s="810"/>
      <c r="J1245" s="810"/>
    </row>
    <row r="1246" spans="1:10" x14ac:dyDescent="0.25">
      <c r="A1246" s="92"/>
      <c r="F1246" s="786"/>
      <c r="G1246" s="795"/>
      <c r="H1246" s="93"/>
      <c r="I1246" s="810"/>
      <c r="J1246" s="810"/>
    </row>
    <row r="1247" spans="1:10" x14ac:dyDescent="0.25">
      <c r="A1247" s="92"/>
      <c r="F1247" s="786"/>
      <c r="G1247" s="795"/>
      <c r="H1247" s="93"/>
      <c r="I1247" s="810"/>
      <c r="J1247" s="810"/>
    </row>
    <row r="1248" spans="1:10" x14ac:dyDescent="0.25">
      <c r="A1248" s="92"/>
      <c r="F1248" s="786"/>
      <c r="G1248" s="795"/>
      <c r="H1248" s="93"/>
      <c r="I1248" s="810"/>
      <c r="J1248" s="810"/>
    </row>
    <row r="1249" spans="1:10" x14ac:dyDescent="0.25">
      <c r="A1249" s="92"/>
      <c r="F1249" s="786"/>
      <c r="G1249" s="795"/>
      <c r="H1249" s="93"/>
      <c r="I1249" s="810"/>
      <c r="J1249" s="810"/>
    </row>
    <row r="1250" spans="1:10" x14ac:dyDescent="0.25">
      <c r="A1250" s="92"/>
      <c r="F1250" s="786"/>
      <c r="G1250" s="795"/>
      <c r="H1250" s="93"/>
      <c r="I1250" s="810"/>
      <c r="J1250" s="810"/>
    </row>
    <row r="1251" spans="1:10" x14ac:dyDescent="0.25">
      <c r="A1251" s="92"/>
      <c r="F1251" s="786"/>
      <c r="G1251" s="795"/>
      <c r="H1251" s="93"/>
      <c r="I1251" s="810"/>
      <c r="J1251" s="810"/>
    </row>
    <row r="1252" spans="1:10" x14ac:dyDescent="0.25">
      <c r="A1252" s="92"/>
      <c r="F1252" s="786"/>
      <c r="G1252" s="795"/>
      <c r="H1252" s="93"/>
      <c r="I1252" s="810"/>
      <c r="J1252" s="810"/>
    </row>
    <row r="1253" spans="1:10" x14ac:dyDescent="0.25">
      <c r="A1253" s="92"/>
      <c r="F1253" s="786"/>
      <c r="G1253" s="795"/>
      <c r="H1253" s="93"/>
      <c r="I1253" s="810"/>
      <c r="J1253" s="810"/>
    </row>
    <row r="1254" spans="1:10" x14ac:dyDescent="0.25">
      <c r="A1254" s="92"/>
      <c r="F1254" s="786"/>
      <c r="G1254" s="795"/>
      <c r="H1254" s="93"/>
      <c r="I1254" s="810"/>
      <c r="J1254" s="810"/>
    </row>
    <row r="1255" spans="1:10" x14ac:dyDescent="0.25">
      <c r="A1255" s="92"/>
      <c r="F1255" s="786"/>
      <c r="G1255" s="795"/>
      <c r="H1255" s="93"/>
      <c r="I1255" s="810"/>
      <c r="J1255" s="810"/>
    </row>
    <row r="1256" spans="1:10" x14ac:dyDescent="0.25">
      <c r="A1256" s="92"/>
      <c r="F1256" s="786"/>
      <c r="G1256" s="795"/>
      <c r="H1256" s="93"/>
      <c r="I1256" s="810"/>
      <c r="J1256" s="810"/>
    </row>
    <row r="1257" spans="1:10" x14ac:dyDescent="0.25">
      <c r="A1257" s="92"/>
      <c r="F1257" s="786"/>
      <c r="G1257" s="795"/>
      <c r="H1257" s="93"/>
      <c r="I1257" s="810"/>
      <c r="J1257" s="810"/>
    </row>
    <row r="1258" spans="1:10" x14ac:dyDescent="0.25">
      <c r="A1258" s="92"/>
      <c r="F1258" s="786"/>
      <c r="G1258" s="795"/>
      <c r="H1258" s="93"/>
      <c r="I1258" s="810"/>
      <c r="J1258" s="810"/>
    </row>
    <row r="1259" spans="1:10" x14ac:dyDescent="0.25">
      <c r="A1259" s="92"/>
      <c r="F1259" s="786"/>
      <c r="G1259" s="795"/>
      <c r="H1259" s="93"/>
      <c r="I1259" s="810"/>
      <c r="J1259" s="810"/>
    </row>
    <row r="1260" spans="1:10" x14ac:dyDescent="0.25">
      <c r="A1260" s="92"/>
      <c r="F1260" s="786"/>
      <c r="G1260" s="795"/>
      <c r="H1260" s="93"/>
      <c r="I1260" s="810"/>
      <c r="J1260" s="810"/>
    </row>
    <row r="1261" spans="1:10" x14ac:dyDescent="0.25">
      <c r="A1261" s="92"/>
      <c r="F1261" s="786"/>
      <c r="G1261" s="795"/>
      <c r="H1261" s="93"/>
      <c r="I1261" s="810"/>
      <c r="J1261" s="810"/>
    </row>
    <row r="1262" spans="1:10" x14ac:dyDescent="0.25">
      <c r="A1262" s="92"/>
      <c r="F1262" s="786"/>
      <c r="G1262" s="795"/>
      <c r="H1262" s="93"/>
      <c r="I1262" s="810"/>
      <c r="J1262" s="810"/>
    </row>
    <row r="1263" spans="1:10" x14ac:dyDescent="0.25">
      <c r="A1263" s="92"/>
      <c r="F1263" s="786"/>
      <c r="G1263" s="795"/>
      <c r="H1263" s="93"/>
      <c r="I1263" s="810"/>
      <c r="J1263" s="810"/>
    </row>
    <row r="1264" spans="1:10" x14ac:dyDescent="0.25">
      <c r="A1264" s="92"/>
      <c r="F1264" s="786"/>
      <c r="G1264" s="795"/>
      <c r="H1264" s="93"/>
      <c r="I1264" s="810"/>
      <c r="J1264" s="810"/>
    </row>
    <row r="1265" spans="1:10" x14ac:dyDescent="0.25">
      <c r="A1265" s="92"/>
      <c r="F1265" s="786"/>
      <c r="G1265" s="795"/>
      <c r="H1265" s="93"/>
      <c r="I1265" s="810"/>
      <c r="J1265" s="810"/>
    </row>
    <row r="1266" spans="1:10" x14ac:dyDescent="0.25">
      <c r="A1266" s="92"/>
      <c r="F1266" s="786"/>
      <c r="G1266" s="795"/>
      <c r="H1266" s="93"/>
      <c r="I1266" s="810"/>
      <c r="J1266" s="810"/>
    </row>
    <row r="1267" spans="1:10" x14ac:dyDescent="0.25">
      <c r="A1267" s="92"/>
      <c r="F1267" s="786"/>
      <c r="G1267" s="795"/>
      <c r="H1267" s="93"/>
      <c r="I1267" s="810"/>
      <c r="J1267" s="810"/>
    </row>
    <row r="1268" spans="1:10" x14ac:dyDescent="0.25">
      <c r="A1268" s="92"/>
      <c r="F1268" s="786"/>
      <c r="G1268" s="795"/>
      <c r="H1268" s="93"/>
      <c r="I1268" s="810"/>
      <c r="J1268" s="810"/>
    </row>
    <row r="1269" spans="1:10" x14ac:dyDescent="0.25">
      <c r="A1269" s="92"/>
      <c r="F1269" s="786"/>
      <c r="G1269" s="795"/>
      <c r="H1269" s="93"/>
      <c r="I1269" s="810"/>
      <c r="J1269" s="810"/>
    </row>
    <row r="1270" spans="1:10" x14ac:dyDescent="0.25">
      <c r="A1270" s="92"/>
      <c r="F1270" s="786"/>
      <c r="G1270" s="795"/>
      <c r="H1270" s="93"/>
      <c r="I1270" s="810"/>
      <c r="J1270" s="810"/>
    </row>
    <row r="1271" spans="1:10" x14ac:dyDescent="0.25">
      <c r="A1271" s="92"/>
      <c r="F1271" s="786"/>
      <c r="G1271" s="795"/>
      <c r="H1271" s="93"/>
      <c r="I1271" s="810"/>
      <c r="J1271" s="810"/>
    </row>
    <row r="1272" spans="1:10" x14ac:dyDescent="0.25">
      <c r="A1272" s="92"/>
      <c r="F1272" s="786"/>
      <c r="G1272" s="795"/>
      <c r="H1272" s="93"/>
      <c r="I1272" s="810"/>
      <c r="J1272" s="810"/>
    </row>
    <row r="1273" spans="1:10" x14ac:dyDescent="0.25">
      <c r="A1273" s="92"/>
      <c r="F1273" s="786"/>
      <c r="G1273" s="795"/>
      <c r="H1273" s="93"/>
      <c r="I1273" s="810"/>
      <c r="J1273" s="810"/>
    </row>
    <row r="1274" spans="1:10" x14ac:dyDescent="0.25">
      <c r="A1274" s="92"/>
      <c r="F1274" s="786"/>
      <c r="G1274" s="795"/>
      <c r="H1274" s="93"/>
      <c r="I1274" s="810"/>
      <c r="J1274" s="810"/>
    </row>
    <row r="1275" spans="1:10" x14ac:dyDescent="0.25">
      <c r="A1275" s="92"/>
      <c r="F1275" s="786"/>
      <c r="G1275" s="795"/>
      <c r="H1275" s="93"/>
      <c r="I1275" s="810"/>
      <c r="J1275" s="810"/>
    </row>
    <row r="1276" spans="1:10" x14ac:dyDescent="0.25">
      <c r="A1276" s="92"/>
      <c r="F1276" s="786"/>
      <c r="G1276" s="795"/>
      <c r="H1276" s="93"/>
      <c r="I1276" s="810"/>
      <c r="J1276" s="810"/>
    </row>
    <row r="1277" spans="1:10" x14ac:dyDescent="0.25">
      <c r="A1277" s="92"/>
      <c r="F1277" s="786"/>
      <c r="G1277" s="795"/>
      <c r="H1277" s="93"/>
      <c r="I1277" s="810"/>
      <c r="J1277" s="810"/>
    </row>
    <row r="1278" spans="1:10" x14ac:dyDescent="0.25">
      <c r="A1278" s="92"/>
      <c r="F1278" s="786"/>
      <c r="G1278" s="795"/>
      <c r="H1278" s="93"/>
      <c r="I1278" s="810"/>
      <c r="J1278" s="810"/>
    </row>
    <row r="1279" spans="1:10" x14ac:dyDescent="0.25">
      <c r="A1279" s="92"/>
      <c r="F1279" s="786"/>
      <c r="G1279" s="795"/>
      <c r="H1279" s="93"/>
      <c r="I1279" s="810"/>
      <c r="J1279" s="810"/>
    </row>
    <row r="1280" spans="1:10" x14ac:dyDescent="0.25">
      <c r="A1280" s="92"/>
      <c r="F1280" s="786"/>
      <c r="G1280" s="795"/>
      <c r="H1280" s="93"/>
      <c r="I1280" s="810"/>
      <c r="J1280" s="810"/>
    </row>
    <row r="1281" spans="1:10" x14ac:dyDescent="0.25">
      <c r="A1281" s="92"/>
      <c r="F1281" s="786"/>
      <c r="G1281" s="795"/>
      <c r="H1281" s="93"/>
      <c r="I1281" s="810"/>
      <c r="J1281" s="810"/>
    </row>
    <row r="1282" spans="1:10" x14ac:dyDescent="0.25">
      <c r="A1282" s="92"/>
      <c r="F1282" s="786"/>
      <c r="G1282" s="795"/>
      <c r="H1282" s="93"/>
      <c r="I1282" s="810"/>
      <c r="J1282" s="810"/>
    </row>
    <row r="1283" spans="1:10" x14ac:dyDescent="0.25">
      <c r="A1283" s="92"/>
      <c r="F1283" s="786"/>
      <c r="G1283" s="795"/>
      <c r="H1283" s="93"/>
      <c r="I1283" s="810"/>
      <c r="J1283" s="810"/>
    </row>
    <row r="1284" spans="1:10" x14ac:dyDescent="0.25">
      <c r="A1284" s="92"/>
      <c r="F1284" s="786"/>
      <c r="G1284" s="795"/>
      <c r="H1284" s="93"/>
      <c r="I1284" s="810"/>
      <c r="J1284" s="810"/>
    </row>
    <row r="1285" spans="1:10" x14ac:dyDescent="0.25">
      <c r="A1285" s="92"/>
      <c r="F1285" s="786"/>
      <c r="G1285" s="795"/>
      <c r="H1285" s="93"/>
      <c r="I1285" s="810"/>
      <c r="J1285" s="810"/>
    </row>
    <row r="1286" spans="1:10" x14ac:dyDescent="0.25">
      <c r="A1286" s="92"/>
      <c r="F1286" s="786"/>
      <c r="G1286" s="795"/>
      <c r="H1286" s="93"/>
      <c r="I1286" s="810"/>
      <c r="J1286" s="810"/>
    </row>
    <row r="1287" spans="1:10" x14ac:dyDescent="0.25">
      <c r="A1287" s="92"/>
      <c r="F1287" s="786"/>
      <c r="G1287" s="795"/>
      <c r="H1287" s="93"/>
      <c r="I1287" s="810"/>
      <c r="J1287" s="810"/>
    </row>
    <row r="1288" spans="1:10" x14ac:dyDescent="0.25">
      <c r="A1288" s="92"/>
      <c r="F1288" s="786"/>
      <c r="G1288" s="795"/>
      <c r="H1288" s="93"/>
      <c r="I1288" s="810"/>
      <c r="J1288" s="810"/>
    </row>
    <row r="1289" spans="1:10" x14ac:dyDescent="0.25">
      <c r="A1289" s="92"/>
      <c r="F1289" s="786"/>
      <c r="G1289" s="795"/>
      <c r="H1289" s="93"/>
      <c r="I1289" s="810"/>
      <c r="J1289" s="810"/>
    </row>
    <row r="1290" spans="1:10" x14ac:dyDescent="0.25">
      <c r="A1290" s="92"/>
      <c r="F1290" s="786"/>
      <c r="G1290" s="795"/>
      <c r="H1290" s="93"/>
      <c r="I1290" s="810"/>
      <c r="J1290" s="810"/>
    </row>
    <row r="1291" spans="1:10" x14ac:dyDescent="0.25">
      <c r="A1291" s="92"/>
      <c r="F1291" s="786"/>
      <c r="G1291" s="795"/>
      <c r="H1291" s="93"/>
      <c r="I1291" s="810"/>
      <c r="J1291" s="810"/>
    </row>
    <row r="1292" spans="1:10" x14ac:dyDescent="0.25">
      <c r="A1292" s="92"/>
      <c r="F1292" s="786"/>
      <c r="G1292" s="795"/>
      <c r="H1292" s="93"/>
      <c r="I1292" s="810"/>
      <c r="J1292" s="810"/>
    </row>
    <row r="1293" spans="1:10" x14ac:dyDescent="0.25">
      <c r="A1293" s="92"/>
      <c r="F1293" s="786"/>
      <c r="G1293" s="795"/>
      <c r="H1293" s="93"/>
      <c r="I1293" s="810"/>
      <c r="J1293" s="810"/>
    </row>
    <row r="1294" spans="1:10" x14ac:dyDescent="0.25">
      <c r="A1294" s="92"/>
      <c r="F1294" s="786"/>
      <c r="G1294" s="795"/>
      <c r="H1294" s="93"/>
      <c r="I1294" s="810"/>
      <c r="J1294" s="810"/>
    </row>
    <row r="1295" spans="1:10" x14ac:dyDescent="0.25">
      <c r="A1295" s="92"/>
      <c r="F1295" s="786"/>
      <c r="G1295" s="795"/>
      <c r="H1295" s="93"/>
      <c r="I1295" s="810"/>
      <c r="J1295" s="810"/>
    </row>
    <row r="1296" spans="1:10" x14ac:dyDescent="0.25">
      <c r="A1296" s="92"/>
      <c r="F1296" s="786"/>
      <c r="G1296" s="795"/>
      <c r="H1296" s="93"/>
      <c r="I1296" s="810"/>
      <c r="J1296" s="810"/>
    </row>
    <row r="1297" spans="1:10" x14ac:dyDescent="0.25">
      <c r="A1297" s="92"/>
      <c r="F1297" s="786"/>
      <c r="G1297" s="795"/>
      <c r="H1297" s="93"/>
      <c r="I1297" s="810"/>
      <c r="J1297" s="810"/>
    </row>
    <row r="1298" spans="1:10" x14ac:dyDescent="0.25">
      <c r="A1298" s="92"/>
      <c r="F1298" s="786"/>
      <c r="G1298" s="795"/>
      <c r="H1298" s="93"/>
      <c r="I1298" s="810"/>
      <c r="J1298" s="810"/>
    </row>
    <row r="1299" spans="1:10" x14ac:dyDescent="0.25">
      <c r="A1299" s="92"/>
      <c r="F1299" s="786"/>
      <c r="G1299" s="795"/>
      <c r="H1299" s="93"/>
      <c r="I1299" s="810"/>
      <c r="J1299" s="810"/>
    </row>
    <row r="1300" spans="1:10" x14ac:dyDescent="0.25">
      <c r="A1300" s="92"/>
      <c r="F1300" s="786"/>
      <c r="G1300" s="795"/>
      <c r="H1300" s="93"/>
      <c r="I1300" s="810"/>
      <c r="J1300" s="810"/>
    </row>
    <row r="1301" spans="1:10" x14ac:dyDescent="0.25">
      <c r="A1301" s="92"/>
      <c r="F1301" s="786"/>
      <c r="G1301" s="795"/>
      <c r="H1301" s="93"/>
      <c r="I1301" s="810"/>
      <c r="J1301" s="810"/>
    </row>
    <row r="1302" spans="1:10" x14ac:dyDescent="0.25">
      <c r="A1302" s="92"/>
      <c r="F1302" s="786"/>
      <c r="G1302" s="795"/>
      <c r="H1302" s="93"/>
      <c r="I1302" s="810"/>
      <c r="J1302" s="810"/>
    </row>
    <row r="1303" spans="1:10" x14ac:dyDescent="0.25">
      <c r="A1303" s="92"/>
      <c r="F1303" s="786"/>
      <c r="G1303" s="795"/>
      <c r="H1303" s="93"/>
      <c r="I1303" s="810"/>
      <c r="J1303" s="810"/>
    </row>
    <row r="1304" spans="1:10" x14ac:dyDescent="0.25">
      <c r="A1304" s="92"/>
      <c r="F1304" s="786"/>
      <c r="G1304" s="795"/>
      <c r="H1304" s="93"/>
      <c r="I1304" s="810"/>
      <c r="J1304" s="810"/>
    </row>
    <row r="1305" spans="1:10" x14ac:dyDescent="0.25">
      <c r="A1305" s="92"/>
      <c r="F1305" s="786"/>
      <c r="G1305" s="795"/>
      <c r="H1305" s="93"/>
      <c r="I1305" s="810"/>
      <c r="J1305" s="810"/>
    </row>
    <row r="1306" spans="1:10" x14ac:dyDescent="0.25">
      <c r="A1306" s="92"/>
      <c r="F1306" s="786"/>
      <c r="G1306" s="795"/>
      <c r="H1306" s="93"/>
      <c r="I1306" s="810"/>
      <c r="J1306" s="810"/>
    </row>
    <row r="1307" spans="1:10" x14ac:dyDescent="0.25">
      <c r="A1307" s="92"/>
      <c r="F1307" s="786"/>
      <c r="G1307" s="795"/>
      <c r="H1307" s="93"/>
      <c r="I1307" s="810"/>
      <c r="J1307" s="810"/>
    </row>
    <row r="1308" spans="1:10" x14ac:dyDescent="0.25">
      <c r="A1308" s="92"/>
      <c r="F1308" s="786"/>
      <c r="G1308" s="795"/>
      <c r="H1308" s="93"/>
      <c r="I1308" s="810"/>
      <c r="J1308" s="810"/>
    </row>
    <row r="1309" spans="1:10" x14ac:dyDescent="0.25">
      <c r="A1309" s="92"/>
      <c r="F1309" s="786"/>
      <c r="G1309" s="795"/>
      <c r="H1309" s="93"/>
      <c r="I1309" s="810"/>
      <c r="J1309" s="810"/>
    </row>
    <row r="1310" spans="1:10" x14ac:dyDescent="0.25">
      <c r="A1310" s="92"/>
      <c r="F1310" s="786"/>
      <c r="G1310" s="795"/>
      <c r="H1310" s="93"/>
      <c r="I1310" s="810"/>
      <c r="J1310" s="810"/>
    </row>
    <row r="1311" spans="1:10" x14ac:dyDescent="0.25">
      <c r="A1311" s="92"/>
      <c r="F1311" s="786"/>
      <c r="G1311" s="795"/>
      <c r="H1311" s="93"/>
      <c r="I1311" s="810"/>
      <c r="J1311" s="810"/>
    </row>
    <row r="1312" spans="1:10" x14ac:dyDescent="0.25">
      <c r="A1312" s="92"/>
      <c r="F1312" s="786"/>
      <c r="G1312" s="795"/>
      <c r="H1312" s="93"/>
      <c r="I1312" s="810"/>
      <c r="J1312" s="810"/>
    </row>
    <row r="1313" spans="1:10" x14ac:dyDescent="0.25">
      <c r="A1313" s="92"/>
      <c r="F1313" s="786"/>
      <c r="G1313" s="795"/>
      <c r="H1313" s="93"/>
      <c r="I1313" s="810"/>
      <c r="J1313" s="810"/>
    </row>
    <row r="1314" spans="1:10" x14ac:dyDescent="0.25">
      <c r="A1314" s="92"/>
      <c r="F1314" s="786"/>
      <c r="G1314" s="795"/>
      <c r="H1314" s="93"/>
      <c r="I1314" s="810"/>
      <c r="J1314" s="810"/>
    </row>
    <row r="1315" spans="1:10" x14ac:dyDescent="0.25">
      <c r="A1315" s="92"/>
      <c r="F1315" s="786"/>
      <c r="G1315" s="795"/>
      <c r="H1315" s="93"/>
      <c r="I1315" s="810"/>
      <c r="J1315" s="810"/>
    </row>
    <row r="1316" spans="1:10" x14ac:dyDescent="0.25">
      <c r="A1316" s="92"/>
      <c r="F1316" s="786"/>
      <c r="G1316" s="795"/>
      <c r="H1316" s="93"/>
      <c r="I1316" s="810"/>
      <c r="J1316" s="810"/>
    </row>
    <row r="1317" spans="1:10" x14ac:dyDescent="0.25">
      <c r="A1317" s="92"/>
      <c r="F1317" s="786"/>
      <c r="G1317" s="795"/>
      <c r="H1317" s="93"/>
      <c r="I1317" s="810"/>
      <c r="J1317" s="810"/>
    </row>
    <row r="1318" spans="1:10" x14ac:dyDescent="0.25">
      <c r="A1318" s="92"/>
      <c r="F1318" s="786"/>
      <c r="G1318" s="795"/>
      <c r="H1318" s="93"/>
      <c r="I1318" s="810"/>
      <c r="J1318" s="810"/>
    </row>
    <row r="1319" spans="1:10" x14ac:dyDescent="0.25">
      <c r="A1319" s="92"/>
      <c r="F1319" s="786"/>
      <c r="G1319" s="795"/>
      <c r="H1319" s="93"/>
      <c r="I1319" s="810"/>
      <c r="J1319" s="810"/>
    </row>
    <row r="1320" spans="1:10" x14ac:dyDescent="0.25">
      <c r="A1320" s="92"/>
      <c r="F1320" s="786"/>
      <c r="G1320" s="795"/>
      <c r="H1320" s="93"/>
      <c r="I1320" s="810"/>
      <c r="J1320" s="810"/>
    </row>
    <row r="1321" spans="1:10" x14ac:dyDescent="0.25">
      <c r="A1321" s="92"/>
      <c r="F1321" s="786"/>
      <c r="G1321" s="795"/>
      <c r="H1321" s="93"/>
      <c r="I1321" s="810"/>
      <c r="J1321" s="810"/>
    </row>
    <row r="1322" spans="1:10" x14ac:dyDescent="0.25">
      <c r="A1322" s="92"/>
      <c r="F1322" s="786"/>
      <c r="G1322" s="795"/>
      <c r="H1322" s="93"/>
      <c r="I1322" s="810"/>
      <c r="J1322" s="810"/>
    </row>
    <row r="1323" spans="1:10" x14ac:dyDescent="0.25">
      <c r="A1323" s="92"/>
      <c r="F1323" s="786"/>
      <c r="G1323" s="795"/>
      <c r="H1323" s="93"/>
      <c r="I1323" s="810"/>
      <c r="J1323" s="810"/>
    </row>
    <row r="1324" spans="1:10" x14ac:dyDescent="0.25">
      <c r="A1324" s="92"/>
      <c r="F1324" s="786"/>
      <c r="G1324" s="795"/>
      <c r="H1324" s="93"/>
      <c r="I1324" s="810"/>
      <c r="J1324" s="810"/>
    </row>
    <row r="1325" spans="1:10" x14ac:dyDescent="0.25">
      <c r="A1325" s="92"/>
      <c r="F1325" s="786"/>
      <c r="G1325" s="795"/>
      <c r="H1325" s="93"/>
      <c r="I1325" s="810"/>
      <c r="J1325" s="810"/>
    </row>
    <row r="1326" spans="1:10" x14ac:dyDescent="0.25">
      <c r="A1326" s="92"/>
      <c r="F1326" s="786"/>
      <c r="G1326" s="795"/>
      <c r="H1326" s="93"/>
      <c r="I1326" s="810"/>
      <c r="J1326" s="810"/>
    </row>
    <row r="1327" spans="1:10" x14ac:dyDescent="0.25">
      <c r="A1327" s="92"/>
      <c r="F1327" s="786"/>
      <c r="G1327" s="795"/>
      <c r="H1327" s="93"/>
      <c r="I1327" s="810"/>
      <c r="J1327" s="810"/>
    </row>
    <row r="1328" spans="1:10" x14ac:dyDescent="0.25">
      <c r="A1328" s="92"/>
      <c r="F1328" s="786"/>
      <c r="G1328" s="795"/>
      <c r="H1328" s="93"/>
      <c r="I1328" s="810"/>
      <c r="J1328" s="810"/>
    </row>
    <row r="1329" spans="1:10" x14ac:dyDescent="0.25">
      <c r="A1329" s="92"/>
      <c r="F1329" s="786"/>
      <c r="G1329" s="795"/>
      <c r="H1329" s="93"/>
      <c r="I1329" s="810"/>
      <c r="J1329" s="810"/>
    </row>
    <row r="1330" spans="1:10" x14ac:dyDescent="0.25">
      <c r="A1330" s="92"/>
      <c r="F1330" s="786"/>
      <c r="G1330" s="795"/>
      <c r="H1330" s="93"/>
      <c r="I1330" s="810"/>
      <c r="J1330" s="810"/>
    </row>
    <row r="1331" spans="1:10" x14ac:dyDescent="0.25">
      <c r="A1331" s="92"/>
      <c r="F1331" s="786"/>
      <c r="G1331" s="795"/>
      <c r="H1331" s="93"/>
      <c r="I1331" s="810"/>
      <c r="J1331" s="810"/>
    </row>
    <row r="1332" spans="1:10" x14ac:dyDescent="0.25">
      <c r="A1332" s="92"/>
      <c r="F1332" s="786"/>
      <c r="G1332" s="795"/>
      <c r="H1332" s="93"/>
      <c r="I1332" s="810"/>
      <c r="J1332" s="810"/>
    </row>
    <row r="1333" spans="1:10" x14ac:dyDescent="0.25">
      <c r="A1333" s="92"/>
      <c r="F1333" s="786"/>
      <c r="G1333" s="795"/>
      <c r="H1333" s="93"/>
      <c r="I1333" s="810"/>
      <c r="J1333" s="810"/>
    </row>
    <row r="1334" spans="1:10" x14ac:dyDescent="0.25">
      <c r="A1334" s="92"/>
      <c r="F1334" s="786"/>
      <c r="G1334" s="795"/>
      <c r="H1334" s="93"/>
      <c r="I1334" s="810"/>
      <c r="J1334" s="810"/>
    </row>
    <row r="1335" spans="1:10" x14ac:dyDescent="0.25">
      <c r="A1335" s="92"/>
      <c r="F1335" s="786"/>
      <c r="G1335" s="795"/>
      <c r="H1335" s="93"/>
      <c r="I1335" s="810"/>
      <c r="J1335" s="810"/>
    </row>
    <row r="1336" spans="1:10" x14ac:dyDescent="0.25">
      <c r="A1336" s="92"/>
      <c r="F1336" s="786"/>
      <c r="G1336" s="795"/>
      <c r="H1336" s="93"/>
      <c r="I1336" s="810"/>
      <c r="J1336" s="810"/>
    </row>
    <row r="1337" spans="1:10" x14ac:dyDescent="0.25">
      <c r="A1337" s="92"/>
      <c r="F1337" s="786"/>
      <c r="G1337" s="795"/>
      <c r="H1337" s="93"/>
      <c r="I1337" s="810"/>
      <c r="J1337" s="810"/>
    </row>
    <row r="1338" spans="1:10" x14ac:dyDescent="0.25">
      <c r="A1338" s="92"/>
      <c r="F1338" s="786"/>
      <c r="G1338" s="795"/>
      <c r="H1338" s="93"/>
      <c r="I1338" s="810"/>
      <c r="J1338" s="810"/>
    </row>
    <row r="1339" spans="1:10" x14ac:dyDescent="0.25">
      <c r="A1339" s="92"/>
      <c r="F1339" s="786"/>
      <c r="G1339" s="795"/>
      <c r="H1339" s="93"/>
      <c r="I1339" s="810"/>
      <c r="J1339" s="810"/>
    </row>
    <row r="1340" spans="1:10" x14ac:dyDescent="0.25">
      <c r="A1340" s="92"/>
      <c r="F1340" s="786"/>
      <c r="G1340" s="795"/>
      <c r="H1340" s="93"/>
      <c r="I1340" s="810"/>
      <c r="J1340" s="810"/>
    </row>
    <row r="1341" spans="1:10" x14ac:dyDescent="0.25">
      <c r="A1341" s="92"/>
      <c r="F1341" s="786"/>
      <c r="G1341" s="795"/>
      <c r="H1341" s="93"/>
      <c r="I1341" s="810"/>
      <c r="J1341" s="810"/>
    </row>
    <row r="1342" spans="1:10" x14ac:dyDescent="0.25">
      <c r="A1342" s="92"/>
      <c r="F1342" s="786"/>
      <c r="G1342" s="795"/>
      <c r="H1342" s="93"/>
      <c r="I1342" s="810"/>
      <c r="J1342" s="810"/>
    </row>
    <row r="1343" spans="1:10" x14ac:dyDescent="0.25">
      <c r="A1343" s="92"/>
      <c r="F1343" s="786"/>
      <c r="G1343" s="795"/>
      <c r="H1343" s="93"/>
      <c r="I1343" s="810"/>
      <c r="J1343" s="810"/>
    </row>
    <row r="1344" spans="1:10" x14ac:dyDescent="0.25">
      <c r="A1344" s="92"/>
      <c r="F1344" s="786"/>
      <c r="G1344" s="795"/>
      <c r="H1344" s="93"/>
      <c r="I1344" s="810"/>
      <c r="J1344" s="810"/>
    </row>
    <row r="1345" spans="1:10" x14ac:dyDescent="0.25">
      <c r="A1345" s="92"/>
      <c r="F1345" s="786"/>
      <c r="G1345" s="795"/>
      <c r="H1345" s="93"/>
      <c r="I1345" s="810"/>
      <c r="J1345" s="810"/>
    </row>
    <row r="1346" spans="1:10" x14ac:dyDescent="0.25">
      <c r="A1346" s="92"/>
      <c r="F1346" s="786"/>
      <c r="G1346" s="795"/>
      <c r="H1346" s="93"/>
      <c r="I1346" s="810"/>
      <c r="J1346" s="810"/>
    </row>
    <row r="1347" spans="1:10" x14ac:dyDescent="0.25">
      <c r="A1347" s="92"/>
      <c r="F1347" s="786"/>
      <c r="G1347" s="795"/>
      <c r="H1347" s="93"/>
      <c r="I1347" s="810"/>
      <c r="J1347" s="810"/>
    </row>
    <row r="1348" spans="1:10" x14ac:dyDescent="0.25">
      <c r="A1348" s="92"/>
      <c r="F1348" s="786"/>
      <c r="G1348" s="795"/>
      <c r="H1348" s="93"/>
      <c r="I1348" s="810"/>
      <c r="J1348" s="810"/>
    </row>
    <row r="1349" spans="1:10" x14ac:dyDescent="0.25">
      <c r="A1349" s="92"/>
      <c r="F1349" s="786"/>
      <c r="G1349" s="795"/>
      <c r="H1349" s="93"/>
      <c r="I1349" s="810"/>
      <c r="J1349" s="810"/>
    </row>
    <row r="1350" spans="1:10" x14ac:dyDescent="0.25">
      <c r="A1350" s="92"/>
      <c r="F1350" s="786"/>
      <c r="G1350" s="795"/>
      <c r="H1350" s="93"/>
      <c r="I1350" s="810"/>
      <c r="J1350" s="810"/>
    </row>
    <row r="1351" spans="1:10" x14ac:dyDescent="0.25">
      <c r="A1351" s="92"/>
      <c r="F1351" s="786"/>
      <c r="G1351" s="795"/>
      <c r="H1351" s="93"/>
      <c r="I1351" s="810"/>
      <c r="J1351" s="810"/>
    </row>
    <row r="1352" spans="1:10" x14ac:dyDescent="0.25">
      <c r="A1352" s="92"/>
      <c r="F1352" s="786"/>
      <c r="G1352" s="795"/>
      <c r="H1352" s="93"/>
      <c r="I1352" s="810"/>
      <c r="J1352" s="810"/>
    </row>
    <row r="1353" spans="1:10" x14ac:dyDescent="0.25">
      <c r="A1353" s="92"/>
      <c r="F1353" s="786"/>
      <c r="G1353" s="795"/>
      <c r="H1353" s="93"/>
      <c r="I1353" s="810"/>
      <c r="J1353" s="810"/>
    </row>
    <row r="1354" spans="1:10" x14ac:dyDescent="0.25">
      <c r="A1354" s="92"/>
      <c r="F1354" s="786"/>
      <c r="G1354" s="795"/>
      <c r="H1354" s="93"/>
      <c r="I1354" s="810"/>
      <c r="J1354" s="810"/>
    </row>
    <row r="1355" spans="1:10" x14ac:dyDescent="0.25">
      <c r="A1355" s="92"/>
      <c r="F1355" s="786"/>
      <c r="G1355" s="795"/>
      <c r="H1355" s="93"/>
      <c r="I1355" s="810"/>
      <c r="J1355" s="810"/>
    </row>
    <row r="1356" spans="1:10" x14ac:dyDescent="0.25">
      <c r="A1356" s="92"/>
      <c r="F1356" s="786"/>
      <c r="G1356" s="795"/>
      <c r="H1356" s="93"/>
      <c r="I1356" s="810"/>
      <c r="J1356" s="810"/>
    </row>
    <row r="1357" spans="1:10" x14ac:dyDescent="0.25">
      <c r="A1357" s="92"/>
      <c r="F1357" s="786"/>
      <c r="G1357" s="795"/>
      <c r="H1357" s="93"/>
      <c r="I1357" s="810"/>
      <c r="J1357" s="810"/>
    </row>
    <row r="1358" spans="1:10" x14ac:dyDescent="0.25">
      <c r="A1358" s="92"/>
      <c r="F1358" s="786"/>
      <c r="G1358" s="795"/>
      <c r="H1358" s="93"/>
      <c r="I1358" s="810"/>
      <c r="J1358" s="810"/>
    </row>
    <row r="1359" spans="1:10" x14ac:dyDescent="0.25">
      <c r="A1359" s="92"/>
      <c r="F1359" s="786"/>
      <c r="G1359" s="795"/>
      <c r="H1359" s="93"/>
      <c r="I1359" s="810"/>
      <c r="J1359" s="810"/>
    </row>
    <row r="1360" spans="1:10" x14ac:dyDescent="0.25">
      <c r="A1360" s="92"/>
      <c r="F1360" s="786"/>
      <c r="G1360" s="795"/>
      <c r="H1360" s="93"/>
      <c r="I1360" s="810"/>
      <c r="J1360" s="810"/>
    </row>
    <row r="1361" spans="1:10" x14ac:dyDescent="0.25">
      <c r="A1361" s="92"/>
      <c r="F1361" s="786"/>
      <c r="G1361" s="795"/>
      <c r="H1361" s="93"/>
      <c r="I1361" s="810"/>
      <c r="J1361" s="810"/>
    </row>
    <row r="1362" spans="1:10" x14ac:dyDescent="0.25">
      <c r="A1362" s="92"/>
      <c r="F1362" s="786"/>
      <c r="G1362" s="795"/>
      <c r="H1362" s="93"/>
      <c r="I1362" s="810"/>
      <c r="J1362" s="810"/>
    </row>
    <row r="1363" spans="1:10" x14ac:dyDescent="0.25">
      <c r="A1363" s="92"/>
      <c r="F1363" s="786"/>
      <c r="G1363" s="795"/>
      <c r="H1363" s="93"/>
      <c r="I1363" s="810"/>
      <c r="J1363" s="810"/>
    </row>
    <row r="1364" spans="1:10" x14ac:dyDescent="0.25">
      <c r="A1364" s="92"/>
      <c r="F1364" s="786"/>
      <c r="G1364" s="795"/>
      <c r="H1364" s="93"/>
      <c r="I1364" s="810"/>
      <c r="J1364" s="810"/>
    </row>
    <row r="1365" spans="1:10" x14ac:dyDescent="0.25">
      <c r="A1365" s="92"/>
      <c r="F1365" s="786"/>
      <c r="G1365" s="795"/>
      <c r="H1365" s="93"/>
      <c r="I1365" s="810"/>
      <c r="J1365" s="810"/>
    </row>
    <row r="1366" spans="1:10" x14ac:dyDescent="0.25">
      <c r="A1366" s="92"/>
      <c r="F1366" s="786"/>
      <c r="G1366" s="795"/>
      <c r="H1366" s="93"/>
      <c r="I1366" s="810"/>
      <c r="J1366" s="810"/>
    </row>
    <row r="1367" spans="1:10" x14ac:dyDescent="0.25">
      <c r="A1367" s="92"/>
      <c r="F1367" s="786"/>
      <c r="G1367" s="795"/>
      <c r="H1367" s="93"/>
      <c r="I1367" s="810"/>
      <c r="J1367" s="810"/>
    </row>
    <row r="1368" spans="1:10" x14ac:dyDescent="0.25">
      <c r="A1368" s="92"/>
      <c r="F1368" s="786"/>
      <c r="G1368" s="795"/>
      <c r="H1368" s="93"/>
      <c r="I1368" s="810"/>
      <c r="J1368" s="810"/>
    </row>
    <row r="1369" spans="1:10" x14ac:dyDescent="0.25">
      <c r="A1369" s="92"/>
      <c r="F1369" s="786"/>
      <c r="G1369" s="795"/>
      <c r="H1369" s="93"/>
      <c r="I1369" s="810"/>
      <c r="J1369" s="810"/>
    </row>
    <row r="1370" spans="1:10" x14ac:dyDescent="0.25">
      <c r="A1370" s="92"/>
      <c r="F1370" s="786"/>
      <c r="G1370" s="795"/>
      <c r="H1370" s="93"/>
      <c r="I1370" s="810"/>
      <c r="J1370" s="810"/>
    </row>
    <row r="1371" spans="1:10" x14ac:dyDescent="0.25">
      <c r="A1371" s="92"/>
      <c r="F1371" s="786"/>
      <c r="G1371" s="795"/>
      <c r="H1371" s="93"/>
      <c r="I1371" s="810"/>
      <c r="J1371" s="810"/>
    </row>
    <row r="1372" spans="1:10" x14ac:dyDescent="0.25">
      <c r="A1372" s="92"/>
      <c r="F1372" s="786"/>
      <c r="G1372" s="795"/>
      <c r="H1372" s="93"/>
      <c r="I1372" s="810"/>
      <c r="J1372" s="810"/>
    </row>
    <row r="1373" spans="1:10" x14ac:dyDescent="0.25">
      <c r="A1373" s="92"/>
      <c r="F1373" s="786"/>
      <c r="G1373" s="795"/>
      <c r="H1373" s="93"/>
      <c r="I1373" s="810"/>
      <c r="J1373" s="810"/>
    </row>
    <row r="1374" spans="1:10" x14ac:dyDescent="0.25">
      <c r="A1374" s="92"/>
      <c r="F1374" s="786"/>
      <c r="G1374" s="795"/>
      <c r="H1374" s="93"/>
      <c r="I1374" s="810"/>
      <c r="J1374" s="810"/>
    </row>
    <row r="1375" spans="1:10" x14ac:dyDescent="0.25">
      <c r="A1375" s="92"/>
      <c r="F1375" s="786"/>
      <c r="G1375" s="795"/>
      <c r="H1375" s="93"/>
      <c r="I1375" s="810"/>
      <c r="J1375" s="810"/>
    </row>
    <row r="1376" spans="1:10" x14ac:dyDescent="0.25">
      <c r="A1376" s="92"/>
      <c r="F1376" s="786"/>
      <c r="G1376" s="795"/>
      <c r="H1376" s="93"/>
      <c r="I1376" s="810"/>
      <c r="J1376" s="810"/>
    </row>
    <row r="1377" spans="1:10" x14ac:dyDescent="0.25">
      <c r="A1377" s="92"/>
      <c r="F1377" s="786"/>
      <c r="G1377" s="795"/>
      <c r="H1377" s="93"/>
      <c r="I1377" s="810"/>
      <c r="J1377" s="810"/>
    </row>
    <row r="1378" spans="1:10" x14ac:dyDescent="0.25">
      <c r="A1378" s="92"/>
      <c r="F1378" s="786"/>
      <c r="G1378" s="795"/>
      <c r="H1378" s="93"/>
      <c r="I1378" s="810"/>
      <c r="J1378" s="810"/>
    </row>
    <row r="1379" spans="1:10" x14ac:dyDescent="0.25">
      <c r="A1379" s="92"/>
      <c r="F1379" s="786"/>
      <c r="G1379" s="795"/>
      <c r="H1379" s="93"/>
      <c r="I1379" s="810"/>
      <c r="J1379" s="810"/>
    </row>
    <row r="1380" spans="1:10" x14ac:dyDescent="0.25">
      <c r="A1380" s="92"/>
      <c r="F1380" s="786"/>
      <c r="G1380" s="795"/>
      <c r="H1380" s="93"/>
      <c r="I1380" s="810"/>
      <c r="J1380" s="810"/>
    </row>
    <row r="1381" spans="1:10" x14ac:dyDescent="0.25">
      <c r="A1381" s="92"/>
      <c r="F1381" s="786"/>
      <c r="G1381" s="795"/>
      <c r="H1381" s="93"/>
      <c r="I1381" s="810"/>
      <c r="J1381" s="810"/>
    </row>
    <row r="1382" spans="1:10" x14ac:dyDescent="0.25">
      <c r="A1382" s="92"/>
      <c r="F1382" s="786"/>
      <c r="G1382" s="795"/>
      <c r="H1382" s="93"/>
      <c r="I1382" s="810"/>
      <c r="J1382" s="810"/>
    </row>
    <row r="1383" spans="1:10" x14ac:dyDescent="0.25">
      <c r="A1383" s="92"/>
      <c r="F1383" s="786"/>
      <c r="G1383" s="795"/>
      <c r="H1383" s="93"/>
      <c r="I1383" s="810"/>
      <c r="J1383" s="810"/>
    </row>
    <row r="1384" spans="1:10" x14ac:dyDescent="0.25">
      <c r="A1384" s="92"/>
      <c r="F1384" s="786"/>
      <c r="G1384" s="795"/>
      <c r="H1384" s="93"/>
      <c r="I1384" s="810"/>
      <c r="J1384" s="810"/>
    </row>
    <row r="1385" spans="1:10" x14ac:dyDescent="0.25">
      <c r="A1385" s="92"/>
      <c r="F1385" s="786"/>
      <c r="G1385" s="795"/>
      <c r="H1385" s="93"/>
      <c r="I1385" s="810"/>
      <c r="J1385" s="810"/>
    </row>
    <row r="1386" spans="1:10" x14ac:dyDescent="0.25">
      <c r="A1386" s="92"/>
      <c r="F1386" s="786"/>
      <c r="G1386" s="795"/>
      <c r="H1386" s="93"/>
      <c r="I1386" s="810"/>
      <c r="J1386" s="810"/>
    </row>
    <row r="1387" spans="1:10" x14ac:dyDescent="0.25">
      <c r="A1387" s="92"/>
      <c r="F1387" s="786"/>
      <c r="G1387" s="795"/>
      <c r="H1387" s="93"/>
      <c r="I1387" s="810"/>
      <c r="J1387" s="810"/>
    </row>
    <row r="1388" spans="1:10" x14ac:dyDescent="0.25">
      <c r="A1388" s="92"/>
      <c r="F1388" s="786"/>
      <c r="G1388" s="795"/>
      <c r="H1388" s="93"/>
      <c r="I1388" s="810"/>
      <c r="J1388" s="810"/>
    </row>
    <row r="1389" spans="1:10" x14ac:dyDescent="0.25">
      <c r="A1389" s="92"/>
      <c r="F1389" s="786"/>
      <c r="G1389" s="795"/>
      <c r="H1389" s="93"/>
      <c r="I1389" s="810"/>
      <c r="J1389" s="810"/>
    </row>
    <row r="1390" spans="1:10" x14ac:dyDescent="0.25">
      <c r="A1390" s="92"/>
      <c r="F1390" s="786"/>
      <c r="G1390" s="795"/>
      <c r="H1390" s="93"/>
      <c r="I1390" s="810"/>
      <c r="J1390" s="810"/>
    </row>
    <row r="1391" spans="1:10" x14ac:dyDescent="0.25">
      <c r="A1391" s="92"/>
      <c r="F1391" s="786"/>
      <c r="G1391" s="795"/>
      <c r="H1391" s="93"/>
      <c r="I1391" s="810"/>
      <c r="J1391" s="810"/>
    </row>
    <row r="1392" spans="1:10" x14ac:dyDescent="0.25">
      <c r="A1392" s="92"/>
      <c r="F1392" s="786"/>
      <c r="G1392" s="795"/>
      <c r="H1392" s="93"/>
      <c r="I1392" s="810"/>
      <c r="J1392" s="810"/>
    </row>
    <row r="1393" spans="1:10" x14ac:dyDescent="0.25">
      <c r="A1393" s="92"/>
      <c r="F1393" s="786"/>
      <c r="G1393" s="795"/>
      <c r="H1393" s="93"/>
      <c r="I1393" s="810"/>
      <c r="J1393" s="810"/>
    </row>
    <row r="1394" spans="1:10" x14ac:dyDescent="0.25">
      <c r="A1394" s="92"/>
      <c r="F1394" s="786"/>
      <c r="G1394" s="795"/>
      <c r="H1394" s="93"/>
      <c r="I1394" s="810"/>
      <c r="J1394" s="810"/>
    </row>
    <row r="1395" spans="1:10" x14ac:dyDescent="0.25">
      <c r="A1395" s="92"/>
      <c r="F1395" s="786"/>
      <c r="G1395" s="795"/>
      <c r="H1395" s="93"/>
      <c r="I1395" s="810"/>
      <c r="J1395" s="810"/>
    </row>
    <row r="1396" spans="1:10" x14ac:dyDescent="0.25">
      <c r="A1396" s="92"/>
      <c r="F1396" s="786"/>
      <c r="G1396" s="795"/>
      <c r="H1396" s="93"/>
      <c r="I1396" s="810"/>
      <c r="J1396" s="810"/>
    </row>
    <row r="1397" spans="1:10" x14ac:dyDescent="0.25">
      <c r="A1397" s="92"/>
      <c r="F1397" s="786"/>
      <c r="G1397" s="795"/>
      <c r="H1397" s="93"/>
      <c r="I1397" s="810"/>
      <c r="J1397" s="810"/>
    </row>
    <row r="1398" spans="1:10" x14ac:dyDescent="0.25">
      <c r="A1398" s="92"/>
      <c r="F1398" s="786"/>
      <c r="G1398" s="795"/>
      <c r="H1398" s="93"/>
      <c r="I1398" s="810"/>
      <c r="J1398" s="810"/>
    </row>
    <row r="1399" spans="1:10" x14ac:dyDescent="0.25">
      <c r="A1399" s="92"/>
      <c r="F1399" s="786"/>
      <c r="G1399" s="795"/>
      <c r="H1399" s="93"/>
      <c r="I1399" s="810"/>
      <c r="J1399" s="810"/>
    </row>
    <row r="1400" spans="1:10" x14ac:dyDescent="0.25">
      <c r="A1400" s="92"/>
      <c r="F1400" s="786"/>
      <c r="G1400" s="795"/>
      <c r="H1400" s="93"/>
      <c r="I1400" s="810"/>
      <c r="J1400" s="810"/>
    </row>
    <row r="1401" spans="1:10" x14ac:dyDescent="0.25">
      <c r="A1401" s="92"/>
      <c r="F1401" s="786"/>
      <c r="G1401" s="795"/>
      <c r="H1401" s="93"/>
      <c r="I1401" s="810"/>
      <c r="J1401" s="810"/>
    </row>
    <row r="1402" spans="1:10" x14ac:dyDescent="0.25">
      <c r="A1402" s="92"/>
      <c r="F1402" s="786"/>
      <c r="G1402" s="795"/>
      <c r="H1402" s="93"/>
      <c r="I1402" s="810"/>
      <c r="J1402" s="810"/>
    </row>
    <row r="1403" spans="1:10" x14ac:dyDescent="0.25">
      <c r="A1403" s="92"/>
      <c r="F1403" s="786"/>
      <c r="G1403" s="795"/>
      <c r="H1403" s="93"/>
      <c r="I1403" s="810"/>
      <c r="J1403" s="810"/>
    </row>
    <row r="1404" spans="1:10" x14ac:dyDescent="0.25">
      <c r="A1404" s="92"/>
      <c r="F1404" s="786"/>
      <c r="G1404" s="795"/>
      <c r="H1404" s="93"/>
      <c r="I1404" s="810"/>
      <c r="J1404" s="810"/>
    </row>
    <row r="1405" spans="1:10" x14ac:dyDescent="0.25">
      <c r="A1405" s="92"/>
      <c r="F1405" s="786"/>
      <c r="G1405" s="795"/>
      <c r="H1405" s="93"/>
      <c r="I1405" s="810"/>
      <c r="J1405" s="810"/>
    </row>
    <row r="1406" spans="1:10" x14ac:dyDescent="0.25">
      <c r="A1406" s="92"/>
      <c r="F1406" s="786"/>
      <c r="G1406" s="795"/>
      <c r="H1406" s="93"/>
      <c r="I1406" s="810"/>
      <c r="J1406" s="810"/>
    </row>
    <row r="1407" spans="1:10" x14ac:dyDescent="0.25">
      <c r="A1407" s="92"/>
      <c r="F1407" s="786"/>
      <c r="G1407" s="795"/>
      <c r="H1407" s="93"/>
      <c r="I1407" s="810"/>
      <c r="J1407" s="810"/>
    </row>
    <row r="1408" spans="1:10" x14ac:dyDescent="0.25">
      <c r="A1408" s="92"/>
      <c r="F1408" s="786"/>
      <c r="G1408" s="795"/>
      <c r="H1408" s="93"/>
      <c r="I1408" s="810"/>
      <c r="J1408" s="810"/>
    </row>
    <row r="1409" spans="1:10" x14ac:dyDescent="0.25">
      <c r="A1409" s="92"/>
      <c r="F1409" s="786"/>
      <c r="G1409" s="795"/>
      <c r="H1409" s="93"/>
      <c r="I1409" s="810"/>
      <c r="J1409" s="810"/>
    </row>
    <row r="1410" spans="1:10" x14ac:dyDescent="0.25">
      <c r="A1410" s="92"/>
      <c r="F1410" s="786"/>
      <c r="G1410" s="795"/>
      <c r="H1410" s="93"/>
      <c r="I1410" s="810"/>
      <c r="J1410" s="810"/>
    </row>
    <row r="1411" spans="1:10" x14ac:dyDescent="0.25">
      <c r="A1411" s="92"/>
      <c r="F1411" s="786"/>
      <c r="G1411" s="795"/>
      <c r="H1411" s="93"/>
      <c r="I1411" s="810"/>
      <c r="J1411" s="810"/>
    </row>
    <row r="1412" spans="1:10" x14ac:dyDescent="0.25">
      <c r="A1412" s="92"/>
      <c r="F1412" s="786"/>
      <c r="G1412" s="795"/>
      <c r="H1412" s="93"/>
      <c r="I1412" s="810"/>
      <c r="J1412" s="810"/>
    </row>
    <row r="1413" spans="1:10" x14ac:dyDescent="0.25">
      <c r="A1413" s="92"/>
      <c r="F1413" s="786"/>
      <c r="G1413" s="795"/>
      <c r="H1413" s="93"/>
      <c r="I1413" s="810"/>
      <c r="J1413" s="810"/>
    </row>
    <row r="1414" spans="1:10" x14ac:dyDescent="0.25">
      <c r="A1414" s="92"/>
      <c r="F1414" s="786"/>
      <c r="G1414" s="795"/>
      <c r="H1414" s="93"/>
      <c r="I1414" s="810"/>
      <c r="J1414" s="810"/>
    </row>
    <row r="1415" spans="1:10" x14ac:dyDescent="0.25">
      <c r="A1415" s="92"/>
      <c r="F1415" s="786"/>
      <c r="G1415" s="795"/>
      <c r="H1415" s="93"/>
      <c r="I1415" s="810"/>
      <c r="J1415" s="810"/>
    </row>
    <row r="1416" spans="1:10" x14ac:dyDescent="0.25">
      <c r="A1416" s="92"/>
      <c r="F1416" s="786"/>
      <c r="G1416" s="795"/>
      <c r="H1416" s="93"/>
      <c r="I1416" s="810"/>
      <c r="J1416" s="810"/>
    </row>
    <row r="1417" spans="1:10" x14ac:dyDescent="0.25">
      <c r="A1417" s="92"/>
      <c r="F1417" s="786"/>
      <c r="G1417" s="795"/>
      <c r="H1417" s="93"/>
      <c r="I1417" s="810"/>
      <c r="J1417" s="810"/>
    </row>
    <row r="1418" spans="1:10" x14ac:dyDescent="0.25">
      <c r="A1418" s="92"/>
      <c r="F1418" s="786"/>
      <c r="G1418" s="795"/>
      <c r="H1418" s="93"/>
      <c r="I1418" s="810"/>
      <c r="J1418" s="810"/>
    </row>
    <row r="1419" spans="1:10" x14ac:dyDescent="0.25">
      <c r="A1419" s="92"/>
      <c r="F1419" s="786"/>
      <c r="G1419" s="795"/>
      <c r="H1419" s="93"/>
      <c r="I1419" s="810"/>
      <c r="J1419" s="810"/>
    </row>
    <row r="1420" spans="1:10" x14ac:dyDescent="0.25">
      <c r="A1420" s="92"/>
      <c r="F1420" s="786"/>
      <c r="G1420" s="795"/>
      <c r="H1420" s="93"/>
      <c r="I1420" s="810"/>
      <c r="J1420" s="810"/>
    </row>
    <row r="1421" spans="1:10" x14ac:dyDescent="0.25">
      <c r="A1421" s="92"/>
      <c r="F1421" s="786"/>
      <c r="G1421" s="795"/>
      <c r="H1421" s="93"/>
      <c r="I1421" s="810"/>
      <c r="J1421" s="810"/>
    </row>
    <row r="1422" spans="1:10" x14ac:dyDescent="0.25">
      <c r="A1422" s="92"/>
      <c r="F1422" s="786"/>
      <c r="G1422" s="795"/>
      <c r="H1422" s="93"/>
      <c r="I1422" s="810"/>
      <c r="J1422" s="810"/>
    </row>
    <row r="1423" spans="1:10" x14ac:dyDescent="0.25">
      <c r="A1423" s="92"/>
      <c r="F1423" s="786"/>
      <c r="G1423" s="795"/>
      <c r="H1423" s="93"/>
      <c r="I1423" s="810"/>
      <c r="J1423" s="810"/>
    </row>
    <row r="1424" spans="1:10" x14ac:dyDescent="0.25">
      <c r="A1424" s="92"/>
      <c r="F1424" s="786"/>
      <c r="G1424" s="795"/>
      <c r="H1424" s="93"/>
      <c r="I1424" s="810"/>
      <c r="J1424" s="810"/>
    </row>
    <row r="1425" spans="1:10" x14ac:dyDescent="0.25">
      <c r="A1425" s="92"/>
      <c r="F1425" s="786"/>
      <c r="G1425" s="795"/>
      <c r="H1425" s="93"/>
      <c r="I1425" s="810"/>
      <c r="J1425" s="810"/>
    </row>
    <row r="1426" spans="1:10" x14ac:dyDescent="0.25">
      <c r="A1426" s="92"/>
      <c r="F1426" s="786"/>
      <c r="G1426" s="795"/>
      <c r="H1426" s="93"/>
      <c r="I1426" s="810"/>
      <c r="J1426" s="810"/>
    </row>
    <row r="1427" spans="1:10" x14ac:dyDescent="0.25">
      <c r="A1427" s="92"/>
      <c r="F1427" s="786"/>
      <c r="G1427" s="795"/>
      <c r="H1427" s="93"/>
      <c r="I1427" s="810"/>
      <c r="J1427" s="810"/>
    </row>
    <row r="1428" spans="1:10" x14ac:dyDescent="0.25">
      <c r="A1428" s="92"/>
      <c r="F1428" s="786"/>
      <c r="G1428" s="795"/>
      <c r="H1428" s="93"/>
      <c r="I1428" s="810"/>
      <c r="J1428" s="810"/>
    </row>
    <row r="1429" spans="1:10" x14ac:dyDescent="0.25">
      <c r="A1429" s="92"/>
      <c r="F1429" s="786"/>
      <c r="G1429" s="795"/>
      <c r="H1429" s="93"/>
      <c r="I1429" s="810"/>
      <c r="J1429" s="810"/>
    </row>
    <row r="1430" spans="1:10" x14ac:dyDescent="0.25">
      <c r="A1430" s="92"/>
      <c r="F1430" s="786"/>
      <c r="G1430" s="795"/>
      <c r="H1430" s="93"/>
      <c r="I1430" s="810"/>
      <c r="J1430" s="810"/>
    </row>
    <row r="1431" spans="1:10" x14ac:dyDescent="0.25">
      <c r="A1431" s="92"/>
      <c r="F1431" s="786"/>
      <c r="G1431" s="795"/>
      <c r="H1431" s="93"/>
      <c r="I1431" s="810"/>
      <c r="J1431" s="810"/>
    </row>
    <row r="1432" spans="1:10" x14ac:dyDescent="0.25">
      <c r="A1432" s="92"/>
      <c r="F1432" s="786"/>
      <c r="G1432" s="795"/>
      <c r="H1432" s="93"/>
      <c r="I1432" s="810"/>
      <c r="J1432" s="810"/>
    </row>
    <row r="1433" spans="1:10" x14ac:dyDescent="0.25">
      <c r="A1433" s="92"/>
      <c r="F1433" s="786"/>
      <c r="G1433" s="795"/>
      <c r="H1433" s="93"/>
      <c r="I1433" s="810"/>
      <c r="J1433" s="810"/>
    </row>
    <row r="1434" spans="1:10" x14ac:dyDescent="0.25">
      <c r="A1434" s="92"/>
      <c r="F1434" s="786"/>
      <c r="G1434" s="795"/>
      <c r="H1434" s="93"/>
      <c r="I1434" s="810"/>
      <c r="J1434" s="810"/>
    </row>
    <row r="1435" spans="1:10" x14ac:dyDescent="0.25">
      <c r="A1435" s="92"/>
      <c r="F1435" s="786"/>
      <c r="G1435" s="795"/>
      <c r="H1435" s="93"/>
      <c r="I1435" s="810"/>
      <c r="J1435" s="810"/>
    </row>
    <row r="1436" spans="1:10" x14ac:dyDescent="0.25">
      <c r="A1436" s="92"/>
      <c r="F1436" s="786"/>
      <c r="G1436" s="795"/>
      <c r="H1436" s="93"/>
      <c r="I1436" s="810"/>
      <c r="J1436" s="810"/>
    </row>
    <row r="1437" spans="1:10" x14ac:dyDescent="0.25">
      <c r="A1437" s="92"/>
      <c r="F1437" s="786"/>
      <c r="G1437" s="795"/>
      <c r="H1437" s="93"/>
      <c r="I1437" s="810"/>
      <c r="J1437" s="810"/>
    </row>
    <row r="1438" spans="1:10" x14ac:dyDescent="0.25">
      <c r="A1438" s="92"/>
      <c r="F1438" s="786"/>
      <c r="G1438" s="795"/>
      <c r="H1438" s="93"/>
      <c r="I1438" s="810"/>
      <c r="J1438" s="810"/>
    </row>
    <row r="1439" spans="1:10" x14ac:dyDescent="0.25">
      <c r="A1439" s="92"/>
      <c r="F1439" s="786"/>
      <c r="G1439" s="795"/>
      <c r="H1439" s="93"/>
      <c r="I1439" s="810"/>
      <c r="J1439" s="810"/>
    </row>
    <row r="1440" spans="1:10" x14ac:dyDescent="0.25">
      <c r="A1440" s="92"/>
      <c r="F1440" s="786"/>
      <c r="G1440" s="795"/>
      <c r="H1440" s="93"/>
      <c r="I1440" s="810"/>
      <c r="J1440" s="810"/>
    </row>
    <row r="1441" spans="1:10" x14ac:dyDescent="0.25">
      <c r="A1441" s="92"/>
      <c r="F1441" s="786"/>
      <c r="G1441" s="795"/>
      <c r="H1441" s="93"/>
      <c r="I1441" s="810"/>
      <c r="J1441" s="810"/>
    </row>
    <row r="1442" spans="1:10" x14ac:dyDescent="0.25">
      <c r="A1442" s="92"/>
      <c r="F1442" s="786"/>
      <c r="G1442" s="795"/>
      <c r="H1442" s="93"/>
      <c r="I1442" s="810"/>
      <c r="J1442" s="810"/>
    </row>
    <row r="1443" spans="1:10" x14ac:dyDescent="0.25">
      <c r="A1443" s="92"/>
      <c r="F1443" s="786"/>
      <c r="G1443" s="795"/>
      <c r="H1443" s="93"/>
      <c r="I1443" s="810"/>
      <c r="J1443" s="810"/>
    </row>
    <row r="1444" spans="1:10" x14ac:dyDescent="0.25">
      <c r="A1444" s="92"/>
      <c r="F1444" s="786"/>
      <c r="G1444" s="795"/>
      <c r="H1444" s="93"/>
      <c r="I1444" s="810"/>
      <c r="J1444" s="810"/>
    </row>
    <row r="1445" spans="1:10" x14ac:dyDescent="0.25">
      <c r="A1445" s="92"/>
      <c r="F1445" s="786"/>
      <c r="G1445" s="795"/>
      <c r="H1445" s="93"/>
      <c r="I1445" s="810"/>
      <c r="J1445" s="810"/>
    </row>
    <row r="1446" spans="1:10" x14ac:dyDescent="0.25">
      <c r="A1446" s="92"/>
      <c r="F1446" s="786"/>
      <c r="G1446" s="795"/>
      <c r="H1446" s="93"/>
      <c r="I1446" s="810"/>
      <c r="J1446" s="810"/>
    </row>
    <row r="1447" spans="1:10" x14ac:dyDescent="0.25">
      <c r="A1447" s="92"/>
      <c r="F1447" s="786"/>
      <c r="G1447" s="795"/>
      <c r="H1447" s="93"/>
      <c r="I1447" s="810"/>
      <c r="J1447" s="810"/>
    </row>
    <row r="1448" spans="1:10" x14ac:dyDescent="0.25">
      <c r="A1448" s="92"/>
      <c r="F1448" s="786"/>
      <c r="G1448" s="795"/>
      <c r="H1448" s="93"/>
      <c r="I1448" s="810"/>
      <c r="J1448" s="810"/>
    </row>
    <row r="1449" spans="1:10" x14ac:dyDescent="0.25">
      <c r="A1449" s="92"/>
      <c r="F1449" s="786"/>
      <c r="G1449" s="795"/>
      <c r="H1449" s="93"/>
      <c r="I1449" s="810"/>
      <c r="J1449" s="810"/>
    </row>
    <row r="1450" spans="1:10" x14ac:dyDescent="0.25">
      <c r="A1450" s="92"/>
      <c r="F1450" s="786"/>
      <c r="G1450" s="795"/>
      <c r="H1450" s="93"/>
      <c r="I1450" s="810"/>
      <c r="J1450" s="810"/>
    </row>
    <row r="1451" spans="1:10" x14ac:dyDescent="0.25">
      <c r="A1451" s="92"/>
      <c r="F1451" s="786"/>
      <c r="G1451" s="795"/>
      <c r="H1451" s="93"/>
      <c r="I1451" s="810"/>
      <c r="J1451" s="810"/>
    </row>
    <row r="1452" spans="1:10" x14ac:dyDescent="0.25">
      <c r="A1452" s="92"/>
      <c r="F1452" s="786"/>
      <c r="G1452" s="795"/>
      <c r="H1452" s="93"/>
      <c r="I1452" s="810"/>
      <c r="J1452" s="810"/>
    </row>
    <row r="1453" spans="1:10" x14ac:dyDescent="0.25">
      <c r="A1453" s="92"/>
      <c r="F1453" s="786"/>
      <c r="G1453" s="795"/>
      <c r="H1453" s="93"/>
      <c r="I1453" s="810"/>
      <c r="J1453" s="810"/>
    </row>
    <row r="1454" spans="1:10" x14ac:dyDescent="0.25">
      <c r="A1454" s="92"/>
      <c r="F1454" s="786"/>
      <c r="G1454" s="795"/>
      <c r="H1454" s="93"/>
      <c r="I1454" s="810"/>
      <c r="J1454" s="810"/>
    </row>
    <row r="1455" spans="1:10" x14ac:dyDescent="0.25">
      <c r="A1455" s="92"/>
      <c r="F1455" s="786"/>
      <c r="G1455" s="795"/>
      <c r="H1455" s="93"/>
      <c r="I1455" s="810"/>
      <c r="J1455" s="810"/>
    </row>
    <row r="1456" spans="1:10" x14ac:dyDescent="0.25">
      <c r="A1456" s="92"/>
      <c r="F1456" s="786"/>
      <c r="G1456" s="795"/>
      <c r="H1456" s="93"/>
      <c r="I1456" s="810"/>
      <c r="J1456" s="810"/>
    </row>
    <row r="1457" spans="1:10" x14ac:dyDescent="0.25">
      <c r="A1457" s="92"/>
      <c r="F1457" s="786"/>
      <c r="G1457" s="795"/>
      <c r="H1457" s="93"/>
      <c r="I1457" s="810"/>
      <c r="J1457" s="810"/>
    </row>
    <row r="1458" spans="1:10" x14ac:dyDescent="0.25">
      <c r="A1458" s="92"/>
      <c r="F1458" s="786"/>
      <c r="G1458" s="795"/>
      <c r="H1458" s="93"/>
      <c r="I1458" s="810"/>
      <c r="J1458" s="810"/>
    </row>
    <row r="1459" spans="1:10" x14ac:dyDescent="0.25">
      <c r="A1459" s="92"/>
      <c r="F1459" s="786"/>
      <c r="G1459" s="795"/>
      <c r="H1459" s="93"/>
      <c r="I1459" s="810"/>
      <c r="J1459" s="810"/>
    </row>
    <row r="1460" spans="1:10" x14ac:dyDescent="0.25">
      <c r="A1460" s="92"/>
      <c r="F1460" s="786"/>
      <c r="G1460" s="795"/>
      <c r="H1460" s="93"/>
      <c r="I1460" s="810"/>
      <c r="J1460" s="810"/>
    </row>
    <row r="1461" spans="1:10" x14ac:dyDescent="0.25">
      <c r="A1461" s="92"/>
      <c r="F1461" s="786"/>
      <c r="G1461" s="795"/>
      <c r="H1461" s="93"/>
      <c r="I1461" s="810"/>
      <c r="J1461" s="810"/>
    </row>
    <row r="1462" spans="1:10" x14ac:dyDescent="0.25">
      <c r="A1462" s="92"/>
      <c r="F1462" s="786"/>
      <c r="G1462" s="795"/>
      <c r="H1462" s="93"/>
      <c r="I1462" s="810"/>
      <c r="J1462" s="810"/>
    </row>
    <row r="1463" spans="1:10" x14ac:dyDescent="0.25">
      <c r="A1463" s="92"/>
      <c r="F1463" s="786"/>
      <c r="G1463" s="795"/>
      <c r="H1463" s="93"/>
      <c r="I1463" s="810"/>
      <c r="J1463" s="810"/>
    </row>
    <row r="1464" spans="1:10" x14ac:dyDescent="0.25">
      <c r="A1464" s="92"/>
      <c r="F1464" s="786"/>
      <c r="G1464" s="795"/>
      <c r="H1464" s="93"/>
      <c r="I1464" s="810"/>
      <c r="J1464" s="810"/>
    </row>
    <row r="1465" spans="1:10" x14ac:dyDescent="0.25">
      <c r="A1465" s="92"/>
      <c r="F1465" s="786"/>
      <c r="G1465" s="795"/>
      <c r="H1465" s="93"/>
      <c r="I1465" s="810"/>
      <c r="J1465" s="810"/>
    </row>
    <row r="1466" spans="1:10" x14ac:dyDescent="0.25">
      <c r="A1466" s="92"/>
      <c r="F1466" s="786"/>
      <c r="G1466" s="795"/>
      <c r="H1466" s="93"/>
      <c r="I1466" s="810"/>
      <c r="J1466" s="810"/>
    </row>
    <row r="1467" spans="1:10" x14ac:dyDescent="0.25">
      <c r="A1467" s="92"/>
      <c r="F1467" s="786"/>
      <c r="G1467" s="795"/>
      <c r="H1467" s="93"/>
      <c r="I1467" s="810"/>
      <c r="J1467" s="810"/>
    </row>
    <row r="1468" spans="1:10" x14ac:dyDescent="0.25">
      <c r="A1468" s="92"/>
      <c r="F1468" s="786"/>
      <c r="G1468" s="795"/>
      <c r="H1468" s="93"/>
      <c r="I1468" s="810"/>
      <c r="J1468" s="810"/>
    </row>
    <row r="1469" spans="1:10" x14ac:dyDescent="0.25">
      <c r="A1469" s="92"/>
      <c r="F1469" s="786"/>
      <c r="G1469" s="795"/>
      <c r="H1469" s="93"/>
      <c r="I1469" s="810"/>
      <c r="J1469" s="810"/>
    </row>
    <row r="1470" spans="1:10" x14ac:dyDescent="0.25">
      <c r="A1470" s="92"/>
      <c r="F1470" s="786"/>
      <c r="G1470" s="795"/>
      <c r="H1470" s="93"/>
      <c r="I1470" s="810"/>
      <c r="J1470" s="810"/>
    </row>
    <row r="1471" spans="1:10" x14ac:dyDescent="0.25">
      <c r="A1471" s="92"/>
      <c r="F1471" s="786"/>
      <c r="G1471" s="795"/>
      <c r="H1471" s="93"/>
      <c r="I1471" s="810"/>
      <c r="J1471" s="810"/>
    </row>
    <row r="1472" spans="1:10" x14ac:dyDescent="0.25">
      <c r="A1472" s="92"/>
      <c r="F1472" s="786"/>
      <c r="G1472" s="795"/>
      <c r="H1472" s="93"/>
      <c r="I1472" s="810"/>
      <c r="J1472" s="810"/>
    </row>
    <row r="1473" spans="1:10" x14ac:dyDescent="0.25">
      <c r="A1473" s="92"/>
      <c r="F1473" s="786"/>
      <c r="G1473" s="795"/>
      <c r="H1473" s="93"/>
      <c r="I1473" s="810"/>
      <c r="J1473" s="810"/>
    </row>
    <row r="1474" spans="1:10" x14ac:dyDescent="0.25">
      <c r="A1474" s="92"/>
      <c r="F1474" s="786"/>
      <c r="G1474" s="795"/>
      <c r="H1474" s="93"/>
      <c r="I1474" s="810"/>
      <c r="J1474" s="810"/>
    </row>
    <row r="1475" spans="1:10" x14ac:dyDescent="0.25">
      <c r="A1475" s="92"/>
      <c r="F1475" s="786"/>
      <c r="G1475" s="795"/>
      <c r="H1475" s="93"/>
      <c r="I1475" s="810"/>
      <c r="J1475" s="810"/>
    </row>
    <row r="1476" spans="1:10" x14ac:dyDescent="0.25">
      <c r="A1476" s="92"/>
      <c r="F1476" s="786"/>
      <c r="G1476" s="795"/>
      <c r="H1476" s="93"/>
      <c r="I1476" s="810"/>
      <c r="J1476" s="810"/>
    </row>
    <row r="1477" spans="1:10" x14ac:dyDescent="0.25">
      <c r="A1477" s="92"/>
      <c r="F1477" s="786"/>
      <c r="G1477" s="795"/>
      <c r="H1477" s="93"/>
      <c r="I1477" s="810"/>
      <c r="J1477" s="810"/>
    </row>
    <row r="1478" spans="1:10" x14ac:dyDescent="0.25">
      <c r="A1478" s="92"/>
      <c r="F1478" s="786"/>
      <c r="G1478" s="795"/>
      <c r="H1478" s="93"/>
      <c r="I1478" s="810"/>
      <c r="J1478" s="810"/>
    </row>
    <row r="1479" spans="1:10" x14ac:dyDescent="0.25">
      <c r="A1479" s="92"/>
      <c r="F1479" s="786"/>
      <c r="G1479" s="795"/>
      <c r="H1479" s="93"/>
      <c r="I1479" s="810"/>
      <c r="J1479" s="810"/>
    </row>
    <row r="1480" spans="1:10" x14ac:dyDescent="0.25">
      <c r="A1480" s="92"/>
      <c r="F1480" s="786"/>
      <c r="G1480" s="795"/>
      <c r="H1480" s="93"/>
      <c r="I1480" s="810"/>
      <c r="J1480" s="810"/>
    </row>
    <row r="1481" spans="1:10" x14ac:dyDescent="0.25">
      <c r="A1481" s="92"/>
      <c r="F1481" s="786"/>
      <c r="G1481" s="795"/>
      <c r="H1481" s="93"/>
      <c r="I1481" s="810"/>
      <c r="J1481" s="810"/>
    </row>
    <row r="1482" spans="1:10" x14ac:dyDescent="0.25">
      <c r="A1482" s="92"/>
      <c r="F1482" s="786"/>
      <c r="G1482" s="795"/>
      <c r="H1482" s="93"/>
      <c r="I1482" s="810"/>
      <c r="J1482" s="810"/>
    </row>
    <row r="1483" spans="1:10" x14ac:dyDescent="0.25">
      <c r="A1483" s="92"/>
      <c r="F1483" s="786"/>
      <c r="G1483" s="795"/>
      <c r="H1483" s="93"/>
      <c r="I1483" s="810"/>
      <c r="J1483" s="810"/>
    </row>
    <row r="1484" spans="1:10" x14ac:dyDescent="0.25">
      <c r="A1484" s="92"/>
      <c r="F1484" s="786"/>
      <c r="G1484" s="795"/>
      <c r="H1484" s="93"/>
      <c r="I1484" s="810"/>
      <c r="J1484" s="810"/>
    </row>
    <row r="1485" spans="1:10" x14ac:dyDescent="0.25">
      <c r="A1485" s="92"/>
      <c r="F1485" s="786"/>
      <c r="G1485" s="795"/>
      <c r="H1485" s="93"/>
      <c r="I1485" s="810"/>
      <c r="J1485" s="810"/>
    </row>
    <row r="1486" spans="1:10" x14ac:dyDescent="0.25">
      <c r="A1486" s="92"/>
      <c r="F1486" s="786"/>
      <c r="G1486" s="795"/>
      <c r="H1486" s="93"/>
      <c r="I1486" s="810"/>
      <c r="J1486" s="810"/>
    </row>
    <row r="1487" spans="1:10" x14ac:dyDescent="0.25">
      <c r="A1487" s="92"/>
      <c r="F1487" s="786"/>
      <c r="G1487" s="795"/>
      <c r="H1487" s="93"/>
      <c r="I1487" s="810"/>
      <c r="J1487" s="810"/>
    </row>
    <row r="1488" spans="1:10" x14ac:dyDescent="0.25">
      <c r="A1488" s="92"/>
      <c r="F1488" s="786"/>
      <c r="G1488" s="795"/>
      <c r="H1488" s="93"/>
      <c r="I1488" s="810"/>
      <c r="J1488" s="810"/>
    </row>
    <row r="1489" spans="1:10" x14ac:dyDescent="0.25">
      <c r="A1489" s="92"/>
      <c r="F1489" s="786"/>
      <c r="G1489" s="795"/>
      <c r="H1489" s="93"/>
      <c r="I1489" s="810"/>
      <c r="J1489" s="810"/>
    </row>
    <row r="1490" spans="1:10" x14ac:dyDescent="0.25">
      <c r="A1490" s="92"/>
      <c r="F1490" s="786"/>
      <c r="G1490" s="795"/>
      <c r="H1490" s="93"/>
      <c r="I1490" s="810"/>
      <c r="J1490" s="810"/>
    </row>
    <row r="1491" spans="1:10" x14ac:dyDescent="0.25">
      <c r="A1491" s="92"/>
      <c r="F1491" s="786"/>
      <c r="G1491" s="795"/>
      <c r="H1491" s="93"/>
      <c r="I1491" s="810"/>
      <c r="J1491" s="810"/>
    </row>
    <row r="1492" spans="1:10" x14ac:dyDescent="0.25">
      <c r="A1492" s="92"/>
      <c r="F1492" s="786"/>
      <c r="G1492" s="795"/>
      <c r="H1492" s="93"/>
      <c r="I1492" s="810"/>
      <c r="J1492" s="810"/>
    </row>
    <row r="1493" spans="1:10" x14ac:dyDescent="0.25">
      <c r="A1493" s="92"/>
      <c r="F1493" s="786"/>
      <c r="G1493" s="795"/>
      <c r="H1493" s="93"/>
      <c r="I1493" s="810"/>
      <c r="J1493" s="810"/>
    </row>
    <row r="1494" spans="1:10" x14ac:dyDescent="0.25">
      <c r="A1494" s="92"/>
      <c r="F1494" s="786"/>
      <c r="G1494" s="795"/>
      <c r="H1494" s="93"/>
      <c r="I1494" s="810"/>
      <c r="J1494" s="810"/>
    </row>
    <row r="1495" spans="1:10" x14ac:dyDescent="0.25">
      <c r="A1495" s="92"/>
      <c r="F1495" s="786"/>
      <c r="G1495" s="795"/>
      <c r="H1495" s="93"/>
      <c r="I1495" s="810"/>
      <c r="J1495" s="810"/>
    </row>
    <row r="1496" spans="1:10" x14ac:dyDescent="0.25">
      <c r="A1496" s="92"/>
      <c r="F1496" s="786"/>
      <c r="G1496" s="795"/>
      <c r="H1496" s="93"/>
      <c r="I1496" s="810"/>
      <c r="J1496" s="810"/>
    </row>
    <row r="1497" spans="1:10" x14ac:dyDescent="0.25">
      <c r="A1497" s="92"/>
      <c r="F1497" s="786"/>
      <c r="G1497" s="795"/>
      <c r="H1497" s="93"/>
      <c r="I1497" s="810"/>
      <c r="J1497" s="810"/>
    </row>
    <row r="1498" spans="1:10" x14ac:dyDescent="0.25">
      <c r="A1498" s="92"/>
      <c r="F1498" s="786"/>
      <c r="G1498" s="795"/>
      <c r="H1498" s="93"/>
      <c r="I1498" s="810"/>
      <c r="J1498" s="810"/>
    </row>
    <row r="1499" spans="1:10" x14ac:dyDescent="0.25">
      <c r="A1499" s="92"/>
      <c r="F1499" s="786"/>
      <c r="G1499" s="795"/>
      <c r="H1499" s="93"/>
      <c r="I1499" s="810"/>
      <c r="J1499" s="810"/>
    </row>
    <row r="1500" spans="1:10" x14ac:dyDescent="0.25">
      <c r="A1500" s="92"/>
      <c r="F1500" s="786"/>
      <c r="G1500" s="795"/>
      <c r="H1500" s="93"/>
      <c r="I1500" s="810"/>
      <c r="J1500" s="810"/>
    </row>
    <row r="1501" spans="1:10" x14ac:dyDescent="0.25">
      <c r="A1501" s="92"/>
      <c r="F1501" s="786"/>
      <c r="G1501" s="795"/>
      <c r="H1501" s="93"/>
      <c r="I1501" s="810"/>
      <c r="J1501" s="810"/>
    </row>
    <row r="1502" spans="1:10" x14ac:dyDescent="0.25">
      <c r="A1502" s="92"/>
      <c r="F1502" s="786"/>
      <c r="G1502" s="795"/>
      <c r="H1502" s="93"/>
      <c r="I1502" s="810"/>
      <c r="J1502" s="810"/>
    </row>
    <row r="1503" spans="1:10" x14ac:dyDescent="0.25">
      <c r="A1503" s="92"/>
      <c r="F1503" s="786"/>
      <c r="G1503" s="795"/>
      <c r="H1503" s="93"/>
      <c r="I1503" s="810"/>
      <c r="J1503" s="810"/>
    </row>
    <row r="1504" spans="1:10" x14ac:dyDescent="0.25">
      <c r="A1504" s="92"/>
      <c r="F1504" s="786"/>
      <c r="G1504" s="795"/>
      <c r="H1504" s="93"/>
      <c r="I1504" s="810"/>
      <c r="J1504" s="810"/>
    </row>
    <row r="1505" spans="1:10" x14ac:dyDescent="0.25">
      <c r="A1505" s="92"/>
      <c r="F1505" s="786"/>
      <c r="G1505" s="795"/>
      <c r="H1505" s="93"/>
      <c r="I1505" s="810"/>
      <c r="J1505" s="810"/>
    </row>
    <row r="1506" spans="1:10" x14ac:dyDescent="0.25">
      <c r="A1506" s="92"/>
      <c r="F1506" s="786"/>
      <c r="G1506" s="795"/>
      <c r="H1506" s="93"/>
      <c r="I1506" s="810"/>
      <c r="J1506" s="810"/>
    </row>
    <row r="1507" spans="1:10" x14ac:dyDescent="0.25">
      <c r="A1507" s="92"/>
      <c r="F1507" s="786"/>
      <c r="G1507" s="795"/>
      <c r="H1507" s="93"/>
      <c r="I1507" s="810"/>
      <c r="J1507" s="810"/>
    </row>
    <row r="1508" spans="1:10" x14ac:dyDescent="0.25">
      <c r="A1508" s="92"/>
      <c r="F1508" s="786"/>
      <c r="G1508" s="795"/>
      <c r="H1508" s="93"/>
      <c r="I1508" s="810"/>
      <c r="J1508" s="810"/>
    </row>
    <row r="1509" spans="1:10" x14ac:dyDescent="0.25">
      <c r="A1509" s="92"/>
      <c r="F1509" s="786"/>
      <c r="G1509" s="795"/>
      <c r="H1509" s="93"/>
      <c r="I1509" s="810"/>
      <c r="J1509" s="810"/>
    </row>
    <row r="1510" spans="1:10" x14ac:dyDescent="0.25">
      <c r="A1510" s="92"/>
      <c r="F1510" s="786"/>
      <c r="G1510" s="795"/>
      <c r="H1510" s="93"/>
      <c r="I1510" s="810"/>
      <c r="J1510" s="810"/>
    </row>
    <row r="1511" spans="1:10" x14ac:dyDescent="0.25">
      <c r="A1511" s="92"/>
      <c r="F1511" s="786"/>
      <c r="G1511" s="795"/>
      <c r="H1511" s="93"/>
      <c r="I1511" s="810"/>
      <c r="J1511" s="810"/>
    </row>
    <row r="1512" spans="1:10" x14ac:dyDescent="0.25">
      <c r="A1512" s="92"/>
      <c r="F1512" s="786"/>
      <c r="G1512" s="795"/>
      <c r="H1512" s="93"/>
      <c r="I1512" s="810"/>
      <c r="J1512" s="810"/>
    </row>
    <row r="1513" spans="1:10" x14ac:dyDescent="0.25">
      <c r="A1513" s="92"/>
      <c r="F1513" s="786"/>
      <c r="G1513" s="795"/>
      <c r="H1513" s="93"/>
      <c r="I1513" s="810"/>
      <c r="J1513" s="810"/>
    </row>
    <row r="1514" spans="1:10" x14ac:dyDescent="0.25">
      <c r="A1514" s="92"/>
      <c r="F1514" s="786"/>
      <c r="G1514" s="795"/>
      <c r="H1514" s="93"/>
      <c r="I1514" s="810"/>
      <c r="J1514" s="810"/>
    </row>
    <row r="1515" spans="1:10" x14ac:dyDescent="0.25">
      <c r="A1515" s="92"/>
      <c r="F1515" s="786"/>
      <c r="G1515" s="795"/>
      <c r="H1515" s="93"/>
      <c r="I1515" s="810"/>
      <c r="J1515" s="810"/>
    </row>
    <row r="1516" spans="1:10" x14ac:dyDescent="0.25">
      <c r="A1516" s="92"/>
      <c r="F1516" s="786"/>
      <c r="G1516" s="795"/>
      <c r="H1516" s="93"/>
      <c r="I1516" s="810"/>
      <c r="J1516" s="810"/>
    </row>
    <row r="1517" spans="1:10" x14ac:dyDescent="0.25">
      <c r="A1517" s="92"/>
      <c r="F1517" s="786"/>
      <c r="G1517" s="795"/>
      <c r="H1517" s="93"/>
      <c r="I1517" s="810"/>
      <c r="J1517" s="810"/>
    </row>
    <row r="1518" spans="1:10" x14ac:dyDescent="0.25">
      <c r="A1518" s="92"/>
      <c r="F1518" s="786"/>
      <c r="G1518" s="795"/>
      <c r="H1518" s="93"/>
      <c r="I1518" s="810"/>
      <c r="J1518" s="810"/>
    </row>
    <row r="1519" spans="1:10" x14ac:dyDescent="0.25">
      <c r="A1519" s="92"/>
      <c r="F1519" s="786"/>
      <c r="G1519" s="795"/>
      <c r="H1519" s="93"/>
      <c r="I1519" s="810"/>
      <c r="J1519" s="810"/>
    </row>
    <row r="1520" spans="1:10" x14ac:dyDescent="0.25">
      <c r="A1520" s="92"/>
      <c r="F1520" s="786"/>
      <c r="G1520" s="795"/>
      <c r="H1520" s="93"/>
      <c r="I1520" s="810"/>
      <c r="J1520" s="810"/>
    </row>
    <row r="1521" spans="1:10" x14ac:dyDescent="0.25">
      <c r="A1521" s="92"/>
      <c r="F1521" s="786"/>
      <c r="G1521" s="795"/>
      <c r="H1521" s="93"/>
      <c r="I1521" s="810"/>
      <c r="J1521" s="810"/>
    </row>
    <row r="1522" spans="1:10" x14ac:dyDescent="0.25">
      <c r="A1522" s="92"/>
      <c r="F1522" s="786"/>
      <c r="G1522" s="795"/>
      <c r="H1522" s="93"/>
      <c r="I1522" s="810"/>
      <c r="J1522" s="810"/>
    </row>
    <row r="1523" spans="1:10" x14ac:dyDescent="0.25">
      <c r="A1523" s="92"/>
      <c r="F1523" s="786"/>
      <c r="G1523" s="795"/>
      <c r="H1523" s="93"/>
      <c r="I1523" s="810"/>
      <c r="J1523" s="810"/>
    </row>
    <row r="1524" spans="1:10" x14ac:dyDescent="0.25">
      <c r="A1524" s="92"/>
      <c r="F1524" s="786"/>
      <c r="G1524" s="795"/>
      <c r="H1524" s="93"/>
      <c r="I1524" s="810"/>
      <c r="J1524" s="810"/>
    </row>
    <row r="1525" spans="1:10" x14ac:dyDescent="0.25">
      <c r="A1525" s="92"/>
      <c r="F1525" s="786"/>
      <c r="G1525" s="795"/>
      <c r="H1525" s="93"/>
      <c r="I1525" s="810"/>
      <c r="J1525" s="810"/>
    </row>
    <row r="1526" spans="1:10" x14ac:dyDescent="0.25">
      <c r="A1526" s="92"/>
      <c r="F1526" s="786"/>
      <c r="G1526" s="795"/>
      <c r="H1526" s="93"/>
      <c r="I1526" s="810"/>
      <c r="J1526" s="810"/>
    </row>
    <row r="1527" spans="1:10" x14ac:dyDescent="0.25">
      <c r="A1527" s="92"/>
      <c r="F1527" s="786"/>
      <c r="G1527" s="795"/>
      <c r="H1527" s="93"/>
      <c r="I1527" s="810"/>
      <c r="J1527" s="810"/>
    </row>
    <row r="1528" spans="1:10" x14ac:dyDescent="0.25">
      <c r="A1528" s="92"/>
      <c r="F1528" s="786"/>
      <c r="G1528" s="795"/>
      <c r="H1528" s="93"/>
      <c r="I1528" s="810"/>
      <c r="J1528" s="810"/>
    </row>
    <row r="1529" spans="1:10" x14ac:dyDescent="0.25">
      <c r="A1529" s="92"/>
      <c r="F1529" s="786"/>
      <c r="G1529" s="795"/>
      <c r="H1529" s="93"/>
      <c r="I1529" s="810"/>
      <c r="J1529" s="810"/>
    </row>
    <row r="1530" spans="1:10" x14ac:dyDescent="0.25">
      <c r="A1530" s="92"/>
      <c r="F1530" s="786"/>
      <c r="G1530" s="795"/>
      <c r="H1530" s="93"/>
      <c r="I1530" s="810"/>
      <c r="J1530" s="810"/>
    </row>
    <row r="1531" spans="1:10" x14ac:dyDescent="0.25">
      <c r="A1531" s="92"/>
      <c r="F1531" s="786"/>
      <c r="G1531" s="795"/>
      <c r="H1531" s="93"/>
      <c r="I1531" s="810"/>
      <c r="J1531" s="810"/>
    </row>
    <row r="1532" spans="1:10" x14ac:dyDescent="0.25">
      <c r="A1532" s="92"/>
      <c r="F1532" s="786"/>
      <c r="G1532" s="795"/>
      <c r="H1532" s="93"/>
      <c r="I1532" s="810"/>
      <c r="J1532" s="810"/>
    </row>
    <row r="1533" spans="1:10" x14ac:dyDescent="0.25">
      <c r="A1533" s="92"/>
      <c r="F1533" s="786"/>
      <c r="G1533" s="795"/>
      <c r="H1533" s="93"/>
      <c r="I1533" s="810"/>
      <c r="J1533" s="810"/>
    </row>
    <row r="1534" spans="1:10" x14ac:dyDescent="0.25">
      <c r="A1534" s="92"/>
      <c r="F1534" s="786"/>
      <c r="G1534" s="795"/>
      <c r="H1534" s="93"/>
      <c r="I1534" s="810"/>
      <c r="J1534" s="810"/>
    </row>
    <row r="1535" spans="1:10" x14ac:dyDescent="0.25">
      <c r="A1535" s="92"/>
      <c r="F1535" s="786"/>
      <c r="G1535" s="795"/>
      <c r="H1535" s="93"/>
      <c r="I1535" s="810"/>
      <c r="J1535" s="810"/>
    </row>
    <row r="1536" spans="1:10" x14ac:dyDescent="0.25">
      <c r="A1536" s="92"/>
      <c r="F1536" s="786"/>
      <c r="G1536" s="795"/>
      <c r="H1536" s="93"/>
      <c r="I1536" s="810"/>
      <c r="J1536" s="810"/>
    </row>
    <row r="1537" spans="1:10" x14ac:dyDescent="0.25">
      <c r="A1537" s="92"/>
      <c r="F1537" s="786"/>
      <c r="G1537" s="795"/>
      <c r="H1537" s="93"/>
      <c r="I1537" s="810"/>
      <c r="J1537" s="810"/>
    </row>
    <row r="1538" spans="1:10" x14ac:dyDescent="0.25">
      <c r="A1538" s="92"/>
      <c r="F1538" s="786"/>
      <c r="G1538" s="795"/>
      <c r="H1538" s="93"/>
      <c r="I1538" s="810"/>
      <c r="J1538" s="810"/>
    </row>
    <row r="1539" spans="1:10" x14ac:dyDescent="0.25">
      <c r="A1539" s="92"/>
      <c r="F1539" s="786"/>
      <c r="G1539" s="795"/>
      <c r="H1539" s="93"/>
      <c r="I1539" s="810"/>
      <c r="J1539" s="810"/>
    </row>
    <row r="1540" spans="1:10" x14ac:dyDescent="0.25">
      <c r="A1540" s="92"/>
      <c r="F1540" s="786"/>
      <c r="G1540" s="795"/>
      <c r="H1540" s="93"/>
      <c r="I1540" s="810"/>
      <c r="J1540" s="810"/>
    </row>
    <row r="1541" spans="1:10" x14ac:dyDescent="0.25">
      <c r="A1541" s="92"/>
      <c r="F1541" s="786"/>
      <c r="G1541" s="795"/>
      <c r="H1541" s="93"/>
      <c r="I1541" s="810"/>
      <c r="J1541" s="810"/>
    </row>
    <row r="1542" spans="1:10" x14ac:dyDescent="0.25">
      <c r="A1542" s="92"/>
      <c r="F1542" s="786"/>
      <c r="G1542" s="795"/>
      <c r="H1542" s="93"/>
      <c r="I1542" s="810"/>
      <c r="J1542" s="810"/>
    </row>
    <row r="1543" spans="1:10" x14ac:dyDescent="0.25">
      <c r="A1543" s="92"/>
      <c r="F1543" s="786"/>
      <c r="G1543" s="795"/>
      <c r="H1543" s="93"/>
      <c r="I1543" s="810"/>
      <c r="J1543" s="810"/>
    </row>
    <row r="1544" spans="1:10" x14ac:dyDescent="0.25">
      <c r="A1544" s="92"/>
      <c r="F1544" s="786"/>
      <c r="G1544" s="795"/>
      <c r="H1544" s="93"/>
      <c r="I1544" s="810"/>
      <c r="J1544" s="810"/>
    </row>
    <row r="1545" spans="1:10" x14ac:dyDescent="0.25">
      <c r="A1545" s="92"/>
      <c r="F1545" s="786"/>
      <c r="G1545" s="795"/>
      <c r="H1545" s="93"/>
      <c r="I1545" s="810"/>
      <c r="J1545" s="810"/>
    </row>
    <row r="1546" spans="1:10" x14ac:dyDescent="0.25">
      <c r="A1546" s="92"/>
      <c r="F1546" s="786"/>
      <c r="G1546" s="795"/>
      <c r="H1546" s="93"/>
      <c r="I1546" s="810"/>
      <c r="J1546" s="810"/>
    </row>
    <row r="1547" spans="1:10" x14ac:dyDescent="0.25">
      <c r="A1547" s="92"/>
      <c r="F1547" s="786"/>
      <c r="G1547" s="795"/>
      <c r="H1547" s="93"/>
      <c r="I1547" s="810"/>
      <c r="J1547" s="810"/>
    </row>
    <row r="1548" spans="1:10" x14ac:dyDescent="0.25">
      <c r="A1548" s="92"/>
      <c r="F1548" s="786"/>
      <c r="G1548" s="795"/>
      <c r="H1548" s="93"/>
      <c r="I1548" s="810"/>
      <c r="J1548" s="810"/>
    </row>
    <row r="1549" spans="1:10" x14ac:dyDescent="0.25">
      <c r="A1549" s="92"/>
      <c r="F1549" s="786"/>
      <c r="G1549" s="795"/>
      <c r="H1549" s="93"/>
      <c r="I1549" s="810"/>
      <c r="J1549" s="810"/>
    </row>
    <row r="1550" spans="1:10" x14ac:dyDescent="0.25">
      <c r="A1550" s="92"/>
      <c r="F1550" s="786"/>
      <c r="G1550" s="795"/>
      <c r="H1550" s="93"/>
      <c r="I1550" s="810"/>
      <c r="J1550" s="810"/>
    </row>
    <row r="1551" spans="1:10" x14ac:dyDescent="0.25">
      <c r="A1551" s="92"/>
      <c r="F1551" s="786"/>
      <c r="G1551" s="795"/>
      <c r="H1551" s="93"/>
      <c r="I1551" s="810"/>
      <c r="J1551" s="810"/>
    </row>
    <row r="1552" spans="1:10" x14ac:dyDescent="0.25">
      <c r="A1552" s="92"/>
      <c r="F1552" s="786"/>
      <c r="G1552" s="795"/>
      <c r="H1552" s="93"/>
      <c r="I1552" s="810"/>
      <c r="J1552" s="810"/>
    </row>
    <row r="1553" spans="1:10" x14ac:dyDescent="0.25">
      <c r="A1553" s="92"/>
      <c r="F1553" s="786"/>
      <c r="G1553" s="795"/>
      <c r="H1553" s="93"/>
      <c r="I1553" s="810"/>
      <c r="J1553" s="810"/>
    </row>
    <row r="1554" spans="1:10" x14ac:dyDescent="0.25">
      <c r="A1554" s="92"/>
      <c r="F1554" s="786"/>
      <c r="G1554" s="795"/>
      <c r="H1554" s="93"/>
      <c r="I1554" s="810"/>
      <c r="J1554" s="810"/>
    </row>
    <row r="1555" spans="1:10" x14ac:dyDescent="0.25">
      <c r="A1555" s="92"/>
      <c r="F1555" s="786"/>
      <c r="G1555" s="795"/>
      <c r="H1555" s="93"/>
      <c r="I1555" s="810"/>
      <c r="J1555" s="810"/>
    </row>
    <row r="1556" spans="1:10" x14ac:dyDescent="0.25">
      <c r="A1556" s="92"/>
      <c r="F1556" s="786"/>
      <c r="G1556" s="795"/>
      <c r="H1556" s="93"/>
      <c r="I1556" s="810"/>
      <c r="J1556" s="810"/>
    </row>
    <row r="1557" spans="1:10" x14ac:dyDescent="0.25">
      <c r="A1557" s="92"/>
      <c r="F1557" s="786"/>
      <c r="G1557" s="795"/>
      <c r="H1557" s="93"/>
      <c r="I1557" s="810"/>
      <c r="J1557" s="810"/>
    </row>
    <row r="1558" spans="1:10" x14ac:dyDescent="0.25">
      <c r="A1558" s="92"/>
      <c r="F1558" s="786"/>
      <c r="G1558" s="795"/>
      <c r="H1558" s="93"/>
      <c r="I1558" s="810"/>
      <c r="J1558" s="810"/>
    </row>
    <row r="1559" spans="1:10" x14ac:dyDescent="0.25">
      <c r="A1559" s="92"/>
      <c r="F1559" s="786"/>
      <c r="G1559" s="795"/>
      <c r="H1559" s="93"/>
      <c r="I1559" s="810"/>
      <c r="J1559" s="810"/>
    </row>
    <row r="1560" spans="1:10" x14ac:dyDescent="0.25">
      <c r="A1560" s="92"/>
      <c r="F1560" s="786"/>
      <c r="G1560" s="795"/>
      <c r="H1560" s="93"/>
      <c r="I1560" s="810"/>
      <c r="J1560" s="810"/>
    </row>
    <row r="1561" spans="1:10" x14ac:dyDescent="0.25">
      <c r="A1561" s="92"/>
      <c r="F1561" s="786"/>
      <c r="G1561" s="795"/>
      <c r="H1561" s="93"/>
      <c r="I1561" s="810"/>
      <c r="J1561" s="810"/>
    </row>
    <row r="1562" spans="1:10" x14ac:dyDescent="0.25">
      <c r="A1562" s="92"/>
      <c r="F1562" s="786"/>
      <c r="G1562" s="795"/>
      <c r="H1562" s="93"/>
      <c r="I1562" s="810"/>
      <c r="J1562" s="810"/>
    </row>
    <row r="1563" spans="1:10" x14ac:dyDescent="0.25">
      <c r="A1563" s="92"/>
      <c r="F1563" s="786"/>
      <c r="G1563" s="795"/>
      <c r="H1563" s="93"/>
      <c r="I1563" s="810"/>
      <c r="J1563" s="810"/>
    </row>
    <row r="1564" spans="1:10" x14ac:dyDescent="0.25">
      <c r="A1564" s="92"/>
      <c r="F1564" s="786"/>
      <c r="G1564" s="795"/>
      <c r="H1564" s="93"/>
      <c r="I1564" s="810"/>
      <c r="J1564" s="810"/>
    </row>
    <row r="1565" spans="1:10" x14ac:dyDescent="0.25">
      <c r="A1565" s="92"/>
      <c r="F1565" s="786"/>
      <c r="G1565" s="795"/>
      <c r="H1565" s="93"/>
      <c r="I1565" s="810"/>
      <c r="J1565" s="810"/>
    </row>
    <row r="1566" spans="1:10" x14ac:dyDescent="0.25">
      <c r="A1566" s="92"/>
      <c r="F1566" s="786"/>
      <c r="G1566" s="795"/>
      <c r="H1566" s="93"/>
      <c r="I1566" s="810"/>
      <c r="J1566" s="810"/>
    </row>
    <row r="1567" spans="1:10" x14ac:dyDescent="0.25">
      <c r="A1567" s="92"/>
      <c r="F1567" s="786"/>
      <c r="G1567" s="795"/>
      <c r="H1567" s="93"/>
      <c r="I1567" s="810"/>
      <c r="J1567" s="810"/>
    </row>
    <row r="1568" spans="1:10" x14ac:dyDescent="0.25">
      <c r="A1568" s="92"/>
      <c r="F1568" s="786"/>
      <c r="G1568" s="795"/>
      <c r="H1568" s="93"/>
      <c r="I1568" s="810"/>
      <c r="J1568" s="810"/>
    </row>
    <row r="1569" spans="1:10" x14ac:dyDescent="0.25">
      <c r="A1569" s="92"/>
      <c r="F1569" s="786"/>
      <c r="G1569" s="795"/>
      <c r="H1569" s="93"/>
      <c r="I1569" s="810"/>
      <c r="J1569" s="810"/>
    </row>
    <row r="1570" spans="1:10" x14ac:dyDescent="0.25">
      <c r="A1570" s="92"/>
      <c r="F1570" s="786"/>
      <c r="G1570" s="795"/>
      <c r="H1570" s="93"/>
      <c r="I1570" s="810"/>
      <c r="J1570" s="810"/>
    </row>
    <row r="1571" spans="1:10" x14ac:dyDescent="0.25">
      <c r="A1571" s="92"/>
      <c r="F1571" s="786"/>
      <c r="G1571" s="795"/>
      <c r="H1571" s="93"/>
      <c r="I1571" s="810"/>
      <c r="J1571" s="810"/>
    </row>
    <row r="1572" spans="1:10" x14ac:dyDescent="0.25">
      <c r="A1572" s="92"/>
      <c r="F1572" s="786"/>
      <c r="G1572" s="795"/>
      <c r="H1572" s="93"/>
      <c r="I1572" s="810"/>
      <c r="J1572" s="810"/>
    </row>
    <row r="1573" spans="1:10" x14ac:dyDescent="0.25">
      <c r="A1573" s="92"/>
      <c r="F1573" s="786"/>
      <c r="G1573" s="795"/>
      <c r="H1573" s="93"/>
      <c r="I1573" s="810"/>
      <c r="J1573" s="810"/>
    </row>
    <row r="1574" spans="1:10" x14ac:dyDescent="0.25">
      <c r="A1574" s="92"/>
      <c r="F1574" s="786"/>
      <c r="G1574" s="795"/>
      <c r="H1574" s="93"/>
      <c r="I1574" s="810"/>
      <c r="J1574" s="810"/>
    </row>
    <row r="1575" spans="1:10" x14ac:dyDescent="0.25">
      <c r="A1575" s="92"/>
      <c r="F1575" s="786"/>
      <c r="G1575" s="795"/>
      <c r="H1575" s="93"/>
      <c r="I1575" s="810"/>
      <c r="J1575" s="810"/>
    </row>
    <row r="1576" spans="1:10" x14ac:dyDescent="0.25">
      <c r="A1576" s="92"/>
      <c r="F1576" s="786"/>
      <c r="G1576" s="795"/>
      <c r="H1576" s="93"/>
      <c r="I1576" s="810"/>
      <c r="J1576" s="810"/>
    </row>
    <row r="1577" spans="1:10" x14ac:dyDescent="0.25">
      <c r="A1577" s="92"/>
      <c r="F1577" s="786"/>
      <c r="G1577" s="795"/>
      <c r="H1577" s="93"/>
      <c r="I1577" s="810"/>
      <c r="J1577" s="810"/>
    </row>
    <row r="1578" spans="1:10" x14ac:dyDescent="0.25">
      <c r="A1578" s="92"/>
      <c r="F1578" s="786"/>
      <c r="G1578" s="795"/>
      <c r="H1578" s="93"/>
      <c r="I1578" s="810"/>
      <c r="J1578" s="810"/>
    </row>
    <row r="1579" spans="1:10" x14ac:dyDescent="0.25">
      <c r="A1579" s="92"/>
      <c r="F1579" s="786"/>
      <c r="G1579" s="795"/>
      <c r="H1579" s="93"/>
      <c r="I1579" s="810"/>
      <c r="J1579" s="810"/>
    </row>
    <row r="1580" spans="1:10" x14ac:dyDescent="0.25">
      <c r="A1580" s="92"/>
      <c r="F1580" s="786"/>
      <c r="G1580" s="795"/>
      <c r="H1580" s="93"/>
      <c r="I1580" s="810"/>
      <c r="J1580" s="810"/>
    </row>
    <row r="1581" spans="1:10" x14ac:dyDescent="0.25">
      <c r="A1581" s="92"/>
      <c r="F1581" s="786"/>
      <c r="G1581" s="795"/>
      <c r="H1581" s="93"/>
      <c r="I1581" s="810"/>
      <c r="J1581" s="810"/>
    </row>
    <row r="1582" spans="1:10" x14ac:dyDescent="0.25">
      <c r="A1582" s="92"/>
      <c r="F1582" s="786"/>
      <c r="G1582" s="795"/>
      <c r="H1582" s="93"/>
      <c r="I1582" s="810"/>
      <c r="J1582" s="810"/>
    </row>
    <row r="1583" spans="1:10" x14ac:dyDescent="0.25">
      <c r="A1583" s="92"/>
      <c r="F1583" s="786"/>
      <c r="G1583" s="795"/>
      <c r="H1583" s="93"/>
      <c r="I1583" s="810"/>
      <c r="J1583" s="810"/>
    </row>
    <row r="1584" spans="1:10" x14ac:dyDescent="0.25">
      <c r="A1584" s="92"/>
      <c r="F1584" s="786"/>
      <c r="G1584" s="795"/>
      <c r="H1584" s="93"/>
      <c r="I1584" s="810"/>
      <c r="J1584" s="810"/>
    </row>
    <row r="1585" spans="1:10" x14ac:dyDescent="0.25">
      <c r="A1585" s="92"/>
      <c r="F1585" s="786"/>
      <c r="G1585" s="795"/>
      <c r="H1585" s="93"/>
      <c r="I1585" s="810"/>
      <c r="J1585" s="810"/>
    </row>
    <row r="1586" spans="1:10" x14ac:dyDescent="0.25">
      <c r="A1586" s="92"/>
      <c r="F1586" s="786"/>
      <c r="G1586" s="795"/>
      <c r="H1586" s="93"/>
      <c r="I1586" s="810"/>
      <c r="J1586" s="810"/>
    </row>
    <row r="1587" spans="1:10" x14ac:dyDescent="0.25">
      <c r="A1587" s="92"/>
      <c r="F1587" s="786"/>
      <c r="G1587" s="795"/>
      <c r="H1587" s="93"/>
      <c r="I1587" s="810"/>
      <c r="J1587" s="810"/>
    </row>
    <row r="1588" spans="1:10" x14ac:dyDescent="0.25">
      <c r="A1588" s="92"/>
      <c r="F1588" s="786"/>
      <c r="G1588" s="795"/>
      <c r="H1588" s="93"/>
      <c r="I1588" s="810"/>
      <c r="J1588" s="810"/>
    </row>
    <row r="1589" spans="1:10" x14ac:dyDescent="0.25">
      <c r="A1589" s="92"/>
      <c r="F1589" s="786"/>
      <c r="G1589" s="795"/>
      <c r="H1589" s="93"/>
      <c r="I1589" s="810"/>
      <c r="J1589" s="810"/>
    </row>
    <row r="1590" spans="1:10" x14ac:dyDescent="0.25">
      <c r="A1590" s="92"/>
      <c r="F1590" s="786"/>
      <c r="G1590" s="795"/>
      <c r="H1590" s="93"/>
      <c r="I1590" s="810"/>
      <c r="J1590" s="810"/>
    </row>
    <row r="1591" spans="1:10" x14ac:dyDescent="0.25">
      <c r="A1591" s="92"/>
      <c r="F1591" s="786"/>
      <c r="G1591" s="795"/>
      <c r="H1591" s="93"/>
      <c r="I1591" s="810"/>
      <c r="J1591" s="810"/>
    </row>
    <row r="1592" spans="1:10" x14ac:dyDescent="0.25">
      <c r="A1592" s="92"/>
      <c r="F1592" s="786"/>
      <c r="G1592" s="795"/>
      <c r="H1592" s="93"/>
      <c r="I1592" s="810"/>
      <c r="J1592" s="810"/>
    </row>
    <row r="1593" spans="1:10" x14ac:dyDescent="0.25">
      <c r="A1593" s="92"/>
      <c r="F1593" s="786"/>
      <c r="G1593" s="795"/>
      <c r="H1593" s="93"/>
      <c r="I1593" s="810"/>
      <c r="J1593" s="810"/>
    </row>
    <row r="1594" spans="1:10" x14ac:dyDescent="0.25">
      <c r="A1594" s="92"/>
      <c r="F1594" s="786"/>
      <c r="G1594" s="795"/>
      <c r="H1594" s="93"/>
      <c r="I1594" s="810"/>
      <c r="J1594" s="810"/>
    </row>
    <row r="1595" spans="1:10" x14ac:dyDescent="0.25">
      <c r="A1595" s="92"/>
      <c r="F1595" s="786"/>
      <c r="G1595" s="795"/>
      <c r="H1595" s="93"/>
      <c r="I1595" s="810"/>
      <c r="J1595" s="810"/>
    </row>
    <row r="1596" spans="1:10" x14ac:dyDescent="0.25">
      <c r="A1596" s="92"/>
      <c r="F1596" s="786"/>
      <c r="G1596" s="795"/>
      <c r="H1596" s="93"/>
      <c r="I1596" s="810"/>
      <c r="J1596" s="810"/>
    </row>
    <row r="1597" spans="1:10" x14ac:dyDescent="0.25">
      <c r="A1597" s="92"/>
      <c r="F1597" s="786"/>
      <c r="G1597" s="795"/>
      <c r="H1597" s="93"/>
      <c r="I1597" s="810"/>
      <c r="J1597" s="810"/>
    </row>
    <row r="1598" spans="1:10" x14ac:dyDescent="0.25">
      <c r="A1598" s="92"/>
      <c r="F1598" s="786"/>
      <c r="G1598" s="795"/>
      <c r="H1598" s="93"/>
      <c r="I1598" s="810"/>
      <c r="J1598" s="810"/>
    </row>
    <row r="1599" spans="1:10" x14ac:dyDescent="0.25">
      <c r="A1599" s="92"/>
      <c r="F1599" s="786"/>
      <c r="G1599" s="795"/>
      <c r="H1599" s="93"/>
      <c r="I1599" s="810"/>
      <c r="J1599" s="810"/>
    </row>
    <row r="1600" spans="1:10" x14ac:dyDescent="0.25">
      <c r="A1600" s="92"/>
      <c r="F1600" s="786"/>
      <c r="G1600" s="795"/>
      <c r="H1600" s="93"/>
      <c r="I1600" s="810"/>
      <c r="J1600" s="810"/>
    </row>
    <row r="1601" spans="1:10" x14ac:dyDescent="0.25">
      <c r="A1601" s="92"/>
      <c r="F1601" s="786"/>
      <c r="G1601" s="795"/>
      <c r="H1601" s="93"/>
      <c r="I1601" s="810"/>
      <c r="J1601" s="810"/>
    </row>
    <row r="1602" spans="1:10" x14ac:dyDescent="0.25">
      <c r="A1602" s="92"/>
      <c r="F1602" s="786"/>
      <c r="G1602" s="795"/>
      <c r="H1602" s="93"/>
      <c r="I1602" s="810"/>
      <c r="J1602" s="810"/>
    </row>
    <row r="1603" spans="1:10" x14ac:dyDescent="0.25">
      <c r="A1603" s="92"/>
      <c r="F1603" s="786"/>
      <c r="G1603" s="795"/>
      <c r="H1603" s="93"/>
      <c r="I1603" s="810"/>
      <c r="J1603" s="810"/>
    </row>
    <row r="1604" spans="1:10" x14ac:dyDescent="0.25">
      <c r="A1604" s="92"/>
      <c r="F1604" s="786"/>
      <c r="G1604" s="795"/>
      <c r="H1604" s="93"/>
      <c r="I1604" s="810"/>
      <c r="J1604" s="810"/>
    </row>
    <row r="1605" spans="1:10" x14ac:dyDescent="0.25">
      <c r="A1605" s="92"/>
      <c r="F1605" s="786"/>
      <c r="G1605" s="795"/>
      <c r="H1605" s="93"/>
      <c r="I1605" s="810"/>
      <c r="J1605" s="810"/>
    </row>
    <row r="1606" spans="1:10" x14ac:dyDescent="0.25">
      <c r="A1606" s="92"/>
      <c r="F1606" s="786"/>
      <c r="G1606" s="795"/>
      <c r="H1606" s="93"/>
      <c r="I1606" s="810"/>
      <c r="J1606" s="810"/>
    </row>
    <row r="1607" spans="1:10" x14ac:dyDescent="0.25">
      <c r="A1607" s="92"/>
      <c r="F1607" s="786"/>
      <c r="G1607" s="795"/>
      <c r="H1607" s="93"/>
      <c r="I1607" s="810"/>
      <c r="J1607" s="810"/>
    </row>
    <row r="1608" spans="1:10" x14ac:dyDescent="0.25">
      <c r="A1608" s="92"/>
      <c r="F1608" s="786"/>
      <c r="G1608" s="795"/>
      <c r="H1608" s="93"/>
      <c r="I1608" s="810"/>
      <c r="J1608" s="810"/>
    </row>
    <row r="1609" spans="1:10" x14ac:dyDescent="0.25">
      <c r="A1609" s="92"/>
      <c r="F1609" s="786"/>
      <c r="G1609" s="795"/>
      <c r="H1609" s="93"/>
      <c r="I1609" s="810"/>
      <c r="J1609" s="810"/>
    </row>
    <row r="1610" spans="1:10" x14ac:dyDescent="0.25">
      <c r="A1610" s="92"/>
      <c r="F1610" s="786"/>
      <c r="G1610" s="795"/>
      <c r="H1610" s="93"/>
      <c r="I1610" s="810"/>
      <c r="J1610" s="810"/>
    </row>
    <row r="1611" spans="1:10" x14ac:dyDescent="0.25">
      <c r="A1611" s="92"/>
      <c r="F1611" s="786"/>
      <c r="G1611" s="795"/>
      <c r="H1611" s="93"/>
      <c r="I1611" s="810"/>
      <c r="J1611" s="810"/>
    </row>
    <row r="1612" spans="1:10" x14ac:dyDescent="0.25">
      <c r="A1612" s="92"/>
      <c r="F1612" s="786"/>
      <c r="G1612" s="795"/>
      <c r="H1612" s="93"/>
      <c r="I1612" s="810"/>
      <c r="J1612" s="810"/>
    </row>
    <row r="1613" spans="1:10" x14ac:dyDescent="0.25">
      <c r="A1613" s="92"/>
      <c r="F1613" s="786"/>
      <c r="G1613" s="795"/>
      <c r="H1613" s="93"/>
      <c r="I1613" s="810"/>
      <c r="J1613" s="810"/>
    </row>
    <row r="1614" spans="1:10" x14ac:dyDescent="0.25">
      <c r="A1614" s="92"/>
      <c r="F1614" s="786"/>
      <c r="G1614" s="795"/>
      <c r="H1614" s="93"/>
      <c r="I1614" s="810"/>
      <c r="J1614" s="810"/>
    </row>
    <row r="1615" spans="1:10" x14ac:dyDescent="0.25">
      <c r="A1615" s="92"/>
      <c r="F1615" s="786"/>
      <c r="G1615" s="795"/>
      <c r="H1615" s="93"/>
      <c r="I1615" s="810"/>
      <c r="J1615" s="810"/>
    </row>
    <row r="1616" spans="1:10" x14ac:dyDescent="0.25">
      <c r="A1616" s="92"/>
      <c r="F1616" s="786"/>
      <c r="G1616" s="795"/>
      <c r="H1616" s="93"/>
      <c r="I1616" s="810"/>
      <c r="J1616" s="810"/>
    </row>
    <row r="1617" spans="1:10" x14ac:dyDescent="0.25">
      <c r="A1617" s="92"/>
      <c r="F1617" s="786"/>
      <c r="G1617" s="795"/>
      <c r="H1617" s="93"/>
      <c r="I1617" s="810"/>
      <c r="J1617" s="810"/>
    </row>
    <row r="1618" spans="1:10" x14ac:dyDescent="0.25">
      <c r="A1618" s="92"/>
      <c r="F1618" s="786"/>
      <c r="G1618" s="795"/>
      <c r="H1618" s="93"/>
      <c r="I1618" s="810"/>
      <c r="J1618" s="810"/>
    </row>
    <row r="1619" spans="1:10" x14ac:dyDescent="0.25">
      <c r="A1619" s="92"/>
      <c r="F1619" s="786"/>
      <c r="G1619" s="795"/>
      <c r="H1619" s="93"/>
      <c r="I1619" s="810"/>
      <c r="J1619" s="810"/>
    </row>
    <row r="1620" spans="1:10" x14ac:dyDescent="0.25">
      <c r="A1620" s="92"/>
      <c r="F1620" s="786"/>
      <c r="G1620" s="795"/>
      <c r="H1620" s="93"/>
      <c r="I1620" s="810"/>
      <c r="J1620" s="810"/>
    </row>
    <row r="1621" spans="1:10" x14ac:dyDescent="0.25">
      <c r="A1621" s="92"/>
      <c r="F1621" s="786"/>
      <c r="G1621" s="795"/>
      <c r="H1621" s="93"/>
      <c r="I1621" s="810"/>
      <c r="J1621" s="810"/>
    </row>
    <row r="1622" spans="1:10" x14ac:dyDescent="0.25">
      <c r="A1622" s="92"/>
      <c r="F1622" s="786"/>
      <c r="G1622" s="795"/>
      <c r="H1622" s="93"/>
      <c r="I1622" s="810"/>
      <c r="J1622" s="810"/>
    </row>
    <row r="1623" spans="1:10" x14ac:dyDescent="0.25">
      <c r="A1623" s="92"/>
      <c r="F1623" s="786"/>
      <c r="G1623" s="795"/>
      <c r="H1623" s="93"/>
      <c r="I1623" s="810"/>
      <c r="J1623" s="810"/>
    </row>
    <row r="1624" spans="1:10" x14ac:dyDescent="0.25">
      <c r="A1624" s="92"/>
      <c r="F1624" s="786"/>
      <c r="G1624" s="795"/>
      <c r="H1624" s="93"/>
      <c r="I1624" s="810"/>
      <c r="J1624" s="810"/>
    </row>
    <row r="1625" spans="1:10" x14ac:dyDescent="0.25">
      <c r="A1625" s="92"/>
      <c r="F1625" s="786"/>
      <c r="G1625" s="795"/>
      <c r="H1625" s="93"/>
      <c r="I1625" s="810"/>
      <c r="J1625" s="810"/>
    </row>
    <row r="1626" spans="1:10" x14ac:dyDescent="0.25">
      <c r="A1626" s="92"/>
      <c r="F1626" s="786"/>
      <c r="G1626" s="795"/>
      <c r="H1626" s="93"/>
      <c r="I1626" s="810"/>
      <c r="J1626" s="810"/>
    </row>
    <row r="1627" spans="1:10" x14ac:dyDescent="0.25">
      <c r="A1627" s="92"/>
      <c r="F1627" s="786"/>
      <c r="G1627" s="795"/>
      <c r="H1627" s="93"/>
      <c r="I1627" s="810"/>
      <c r="J1627" s="810"/>
    </row>
    <row r="1628" spans="1:10" x14ac:dyDescent="0.25">
      <c r="A1628" s="92"/>
      <c r="F1628" s="786"/>
      <c r="G1628" s="795"/>
      <c r="H1628" s="93"/>
      <c r="I1628" s="810"/>
      <c r="J1628" s="810"/>
    </row>
    <row r="1629" spans="1:10" x14ac:dyDescent="0.25">
      <c r="A1629" s="92"/>
      <c r="F1629" s="786"/>
      <c r="G1629" s="795"/>
      <c r="H1629" s="93"/>
      <c r="I1629" s="810"/>
      <c r="J1629" s="810"/>
    </row>
    <row r="1630" spans="1:10" x14ac:dyDescent="0.25">
      <c r="A1630" s="92"/>
      <c r="F1630" s="786"/>
      <c r="G1630" s="795"/>
      <c r="H1630" s="93"/>
      <c r="I1630" s="810"/>
      <c r="J1630" s="810"/>
    </row>
    <row r="1631" spans="1:10" x14ac:dyDescent="0.25">
      <c r="A1631" s="92"/>
      <c r="F1631" s="786"/>
      <c r="G1631" s="795"/>
      <c r="H1631" s="93"/>
      <c r="I1631" s="810"/>
      <c r="J1631" s="810"/>
    </row>
    <row r="1632" spans="1:10" x14ac:dyDescent="0.25">
      <c r="A1632" s="92"/>
      <c r="F1632" s="786"/>
      <c r="G1632" s="795"/>
      <c r="H1632" s="93"/>
      <c r="I1632" s="810"/>
      <c r="J1632" s="810"/>
    </row>
    <row r="1633" spans="1:10" x14ac:dyDescent="0.25">
      <c r="A1633" s="92"/>
      <c r="F1633" s="786"/>
      <c r="G1633" s="795"/>
      <c r="H1633" s="93"/>
      <c r="I1633" s="810"/>
      <c r="J1633" s="810"/>
    </row>
    <row r="1634" spans="1:10" x14ac:dyDescent="0.25">
      <c r="A1634" s="92"/>
      <c r="F1634" s="786"/>
      <c r="G1634" s="795"/>
      <c r="H1634" s="93"/>
      <c r="I1634" s="810"/>
      <c r="J1634" s="810"/>
    </row>
    <row r="1635" spans="1:10" x14ac:dyDescent="0.25">
      <c r="A1635" s="92"/>
      <c r="F1635" s="786"/>
      <c r="G1635" s="795"/>
      <c r="H1635" s="93"/>
      <c r="I1635" s="810"/>
      <c r="J1635" s="810"/>
    </row>
    <row r="1636" spans="1:10" x14ac:dyDescent="0.25">
      <c r="A1636" s="92"/>
      <c r="F1636" s="786"/>
      <c r="G1636" s="795"/>
      <c r="H1636" s="93"/>
      <c r="I1636" s="810"/>
      <c r="J1636" s="810"/>
    </row>
    <row r="1637" spans="1:10" x14ac:dyDescent="0.25">
      <c r="A1637" s="92"/>
      <c r="F1637" s="786"/>
      <c r="G1637" s="795"/>
      <c r="H1637" s="93"/>
      <c r="I1637" s="810"/>
      <c r="J1637" s="810"/>
    </row>
    <row r="1638" spans="1:10" x14ac:dyDescent="0.25">
      <c r="A1638" s="92"/>
      <c r="F1638" s="786"/>
      <c r="G1638" s="795"/>
      <c r="H1638" s="93"/>
      <c r="I1638" s="810"/>
      <c r="J1638" s="810"/>
    </row>
    <row r="1639" spans="1:10" x14ac:dyDescent="0.25">
      <c r="A1639" s="92"/>
      <c r="F1639" s="786"/>
      <c r="G1639" s="795"/>
      <c r="H1639" s="93"/>
      <c r="I1639" s="810"/>
      <c r="J1639" s="810"/>
    </row>
    <row r="1640" spans="1:10" x14ac:dyDescent="0.25">
      <c r="A1640" s="92"/>
      <c r="F1640" s="786"/>
      <c r="G1640" s="795"/>
      <c r="H1640" s="93"/>
      <c r="I1640" s="810"/>
      <c r="J1640" s="810"/>
    </row>
    <row r="1641" spans="1:10" x14ac:dyDescent="0.25">
      <c r="A1641" s="92"/>
      <c r="F1641" s="786"/>
      <c r="G1641" s="795"/>
      <c r="H1641" s="93"/>
      <c r="I1641" s="810"/>
      <c r="J1641" s="810"/>
    </row>
    <row r="1642" spans="1:10" x14ac:dyDescent="0.25">
      <c r="A1642" s="92"/>
      <c r="F1642" s="786"/>
      <c r="G1642" s="795"/>
      <c r="H1642" s="93"/>
      <c r="I1642" s="810"/>
      <c r="J1642" s="810"/>
    </row>
    <row r="1643" spans="1:10" x14ac:dyDescent="0.25">
      <c r="A1643" s="92"/>
      <c r="F1643" s="786"/>
      <c r="G1643" s="795"/>
      <c r="H1643" s="93"/>
      <c r="I1643" s="810"/>
      <c r="J1643" s="810"/>
    </row>
    <row r="1644" spans="1:10" x14ac:dyDescent="0.25">
      <c r="A1644" s="92"/>
      <c r="F1644" s="786"/>
      <c r="G1644" s="795"/>
      <c r="H1644" s="93"/>
      <c r="I1644" s="810"/>
      <c r="J1644" s="810"/>
    </row>
    <row r="1645" spans="1:10" x14ac:dyDescent="0.25">
      <c r="A1645" s="92"/>
      <c r="F1645" s="786"/>
      <c r="G1645" s="795"/>
      <c r="H1645" s="93"/>
      <c r="I1645" s="810"/>
      <c r="J1645" s="810"/>
    </row>
    <row r="1646" spans="1:10" x14ac:dyDescent="0.25">
      <c r="A1646" s="92"/>
      <c r="F1646" s="786"/>
      <c r="G1646" s="795"/>
      <c r="H1646" s="93"/>
      <c r="I1646" s="810"/>
      <c r="J1646" s="810"/>
    </row>
    <row r="1647" spans="1:10" x14ac:dyDescent="0.25">
      <c r="A1647" s="92"/>
      <c r="F1647" s="786"/>
      <c r="G1647" s="795"/>
      <c r="H1647" s="93"/>
      <c r="I1647" s="810"/>
      <c r="J1647" s="810"/>
    </row>
    <row r="1648" spans="1:10" x14ac:dyDescent="0.25">
      <c r="A1648" s="92"/>
      <c r="F1648" s="786"/>
      <c r="G1648" s="795"/>
      <c r="H1648" s="93"/>
      <c r="I1648" s="810"/>
      <c r="J1648" s="810"/>
    </row>
    <row r="1649" spans="1:10" x14ac:dyDescent="0.25">
      <c r="A1649" s="92"/>
      <c r="F1649" s="786"/>
      <c r="G1649" s="795"/>
      <c r="H1649" s="93"/>
      <c r="I1649" s="810"/>
      <c r="J1649" s="810"/>
    </row>
    <row r="1650" spans="1:10" x14ac:dyDescent="0.25">
      <c r="A1650" s="92"/>
      <c r="F1650" s="786"/>
      <c r="G1650" s="795"/>
      <c r="H1650" s="93"/>
      <c r="I1650" s="810"/>
      <c r="J1650" s="810"/>
    </row>
    <row r="1651" spans="1:10" x14ac:dyDescent="0.25">
      <c r="A1651" s="92"/>
      <c r="F1651" s="786"/>
      <c r="G1651" s="795"/>
      <c r="H1651" s="93"/>
      <c r="I1651" s="810"/>
      <c r="J1651" s="810"/>
    </row>
    <row r="1652" spans="1:10" x14ac:dyDescent="0.25">
      <c r="A1652" s="92"/>
      <c r="F1652" s="786"/>
      <c r="G1652" s="795"/>
      <c r="H1652" s="93"/>
      <c r="I1652" s="810"/>
      <c r="J1652" s="810"/>
    </row>
    <row r="1653" spans="1:10" x14ac:dyDescent="0.25">
      <c r="A1653" s="92"/>
      <c r="F1653" s="786"/>
      <c r="G1653" s="795"/>
      <c r="H1653" s="93"/>
      <c r="I1653" s="810"/>
      <c r="J1653" s="810"/>
    </row>
    <row r="1654" spans="1:10" x14ac:dyDescent="0.25">
      <c r="A1654" s="92"/>
      <c r="F1654" s="786"/>
      <c r="G1654" s="795"/>
      <c r="H1654" s="93"/>
      <c r="I1654" s="810"/>
      <c r="J1654" s="810"/>
    </row>
    <row r="1655" spans="1:10" x14ac:dyDescent="0.25">
      <c r="A1655" s="92"/>
      <c r="F1655" s="786"/>
      <c r="G1655" s="795"/>
      <c r="H1655" s="93"/>
      <c r="I1655" s="810"/>
      <c r="J1655" s="810"/>
    </row>
    <row r="1656" spans="1:10" x14ac:dyDescent="0.25">
      <c r="A1656" s="92"/>
      <c r="F1656" s="786"/>
      <c r="G1656" s="795"/>
      <c r="H1656" s="93"/>
      <c r="I1656" s="810"/>
      <c r="J1656" s="810"/>
    </row>
    <row r="1657" spans="1:10" x14ac:dyDescent="0.25">
      <c r="A1657" s="92"/>
      <c r="F1657" s="786"/>
      <c r="G1657" s="795"/>
      <c r="H1657" s="93"/>
      <c r="I1657" s="810"/>
      <c r="J1657" s="810"/>
    </row>
    <row r="1658" spans="1:10" x14ac:dyDescent="0.25">
      <c r="A1658" s="92"/>
      <c r="F1658" s="786"/>
      <c r="G1658" s="795"/>
      <c r="H1658" s="93"/>
      <c r="I1658" s="810"/>
      <c r="J1658" s="810"/>
    </row>
    <row r="1659" spans="1:10" x14ac:dyDescent="0.25">
      <c r="A1659" s="92"/>
      <c r="F1659" s="786"/>
      <c r="G1659" s="795"/>
      <c r="H1659" s="93"/>
      <c r="I1659" s="810"/>
      <c r="J1659" s="810"/>
    </row>
    <row r="1660" spans="1:10" x14ac:dyDescent="0.25">
      <c r="A1660" s="92"/>
      <c r="F1660" s="786"/>
      <c r="G1660" s="795"/>
      <c r="H1660" s="93"/>
      <c r="I1660" s="810"/>
      <c r="J1660" s="810"/>
    </row>
    <row r="1661" spans="1:10" x14ac:dyDescent="0.25">
      <c r="A1661" s="92"/>
      <c r="F1661" s="786"/>
      <c r="G1661" s="795"/>
      <c r="H1661" s="93"/>
      <c r="I1661" s="810"/>
      <c r="J1661" s="810"/>
    </row>
    <row r="1662" spans="1:10" x14ac:dyDescent="0.25">
      <c r="A1662" s="92"/>
      <c r="F1662" s="786"/>
      <c r="G1662" s="795"/>
      <c r="H1662" s="93"/>
      <c r="I1662" s="810"/>
      <c r="J1662" s="810"/>
    </row>
    <row r="1663" spans="1:10" x14ac:dyDescent="0.25">
      <c r="A1663" s="92"/>
      <c r="F1663" s="786"/>
      <c r="G1663" s="795"/>
      <c r="H1663" s="93"/>
      <c r="I1663" s="810"/>
      <c r="J1663" s="810"/>
    </row>
    <row r="1664" spans="1:10" x14ac:dyDescent="0.25">
      <c r="A1664" s="92"/>
      <c r="F1664" s="786"/>
      <c r="G1664" s="795"/>
      <c r="H1664" s="93"/>
      <c r="I1664" s="810"/>
      <c r="J1664" s="810"/>
    </row>
    <row r="1665" spans="1:10" x14ac:dyDescent="0.25">
      <c r="A1665" s="92"/>
      <c r="F1665" s="786"/>
      <c r="G1665" s="795"/>
      <c r="H1665" s="93"/>
      <c r="I1665" s="810"/>
      <c r="J1665" s="810"/>
    </row>
    <row r="1666" spans="1:10" x14ac:dyDescent="0.25">
      <c r="A1666" s="92"/>
      <c r="F1666" s="786"/>
      <c r="G1666" s="795"/>
      <c r="H1666" s="93"/>
      <c r="I1666" s="810"/>
      <c r="J1666" s="810"/>
    </row>
    <row r="1667" spans="1:10" x14ac:dyDescent="0.25">
      <c r="A1667" s="92"/>
      <c r="F1667" s="786"/>
      <c r="G1667" s="795"/>
      <c r="H1667" s="93"/>
      <c r="I1667" s="810"/>
      <c r="J1667" s="810"/>
    </row>
    <row r="1668" spans="1:10" x14ac:dyDescent="0.25">
      <c r="A1668" s="92"/>
      <c r="F1668" s="786"/>
      <c r="G1668" s="795"/>
      <c r="H1668" s="93"/>
      <c r="I1668" s="810"/>
      <c r="J1668" s="810"/>
    </row>
    <row r="1669" spans="1:10" x14ac:dyDescent="0.25">
      <c r="A1669" s="92"/>
      <c r="F1669" s="786"/>
      <c r="G1669" s="795"/>
      <c r="H1669" s="93"/>
      <c r="I1669" s="810"/>
      <c r="J1669" s="810"/>
    </row>
    <row r="1670" spans="1:10" x14ac:dyDescent="0.25">
      <c r="A1670" s="92"/>
      <c r="F1670" s="786"/>
      <c r="G1670" s="795"/>
      <c r="H1670" s="93"/>
      <c r="I1670" s="810"/>
      <c r="J1670" s="810"/>
    </row>
    <row r="1671" spans="1:10" x14ac:dyDescent="0.25">
      <c r="A1671" s="92"/>
      <c r="F1671" s="786"/>
      <c r="G1671" s="795"/>
      <c r="H1671" s="93"/>
      <c r="I1671" s="810"/>
      <c r="J1671" s="810"/>
    </row>
    <row r="1672" spans="1:10" x14ac:dyDescent="0.25">
      <c r="A1672" s="92"/>
      <c r="F1672" s="786"/>
      <c r="G1672" s="795"/>
      <c r="H1672" s="93"/>
      <c r="I1672" s="810"/>
      <c r="J1672" s="810"/>
    </row>
    <row r="1673" spans="1:10" x14ac:dyDescent="0.25">
      <c r="A1673" s="92"/>
      <c r="F1673" s="786"/>
      <c r="G1673" s="795"/>
      <c r="H1673" s="93"/>
      <c r="I1673" s="810"/>
      <c r="J1673" s="810"/>
    </row>
    <row r="1674" spans="1:10" x14ac:dyDescent="0.25">
      <c r="A1674" s="92"/>
      <c r="F1674" s="786"/>
      <c r="G1674" s="795"/>
      <c r="H1674" s="93"/>
      <c r="I1674" s="810"/>
      <c r="J1674" s="810"/>
    </row>
    <row r="1675" spans="1:10" x14ac:dyDescent="0.25">
      <c r="A1675" s="92"/>
      <c r="F1675" s="786"/>
      <c r="G1675" s="795"/>
      <c r="H1675" s="93"/>
      <c r="I1675" s="810"/>
      <c r="J1675" s="810"/>
    </row>
    <row r="1676" spans="1:10" x14ac:dyDescent="0.25">
      <c r="A1676" s="92"/>
      <c r="F1676" s="786"/>
      <c r="G1676" s="795"/>
      <c r="H1676" s="93"/>
      <c r="I1676" s="810"/>
      <c r="J1676" s="810"/>
    </row>
    <row r="1677" spans="1:10" x14ac:dyDescent="0.25">
      <c r="A1677" s="92"/>
      <c r="F1677" s="786"/>
      <c r="G1677" s="795"/>
      <c r="H1677" s="93"/>
      <c r="I1677" s="810"/>
      <c r="J1677" s="810"/>
    </row>
    <row r="1678" spans="1:10" x14ac:dyDescent="0.25">
      <c r="A1678" s="92"/>
      <c r="F1678" s="786"/>
      <c r="G1678" s="795"/>
      <c r="H1678" s="93"/>
      <c r="I1678" s="810"/>
      <c r="J1678" s="810"/>
    </row>
    <row r="1679" spans="1:10" x14ac:dyDescent="0.25">
      <c r="A1679" s="92"/>
      <c r="F1679" s="786"/>
      <c r="G1679" s="795"/>
      <c r="H1679" s="93"/>
      <c r="I1679" s="810"/>
      <c r="J1679" s="810"/>
    </row>
    <row r="1680" spans="1:10" x14ac:dyDescent="0.25">
      <c r="A1680" s="92"/>
      <c r="F1680" s="786"/>
      <c r="G1680" s="795"/>
      <c r="H1680" s="93"/>
      <c r="I1680" s="810"/>
      <c r="J1680" s="810"/>
    </row>
    <row r="1681" spans="1:10" x14ac:dyDescent="0.25">
      <c r="A1681" s="92"/>
      <c r="F1681" s="786"/>
      <c r="G1681" s="795"/>
      <c r="H1681" s="93"/>
      <c r="I1681" s="810"/>
      <c r="J1681" s="810"/>
    </row>
    <row r="1682" spans="1:10" x14ac:dyDescent="0.25">
      <c r="A1682" s="92"/>
      <c r="F1682" s="786"/>
      <c r="G1682" s="795"/>
      <c r="H1682" s="93"/>
      <c r="I1682" s="810"/>
      <c r="J1682" s="810"/>
    </row>
    <row r="1683" spans="1:10" x14ac:dyDescent="0.25">
      <c r="A1683" s="92"/>
      <c r="F1683" s="786"/>
      <c r="G1683" s="795"/>
      <c r="H1683" s="93"/>
      <c r="I1683" s="810"/>
      <c r="J1683" s="810"/>
    </row>
    <row r="1684" spans="1:10" x14ac:dyDescent="0.25">
      <c r="A1684" s="92"/>
      <c r="F1684" s="786"/>
      <c r="G1684" s="795"/>
      <c r="H1684" s="93"/>
      <c r="I1684" s="810"/>
      <c r="J1684" s="810"/>
    </row>
    <row r="1685" spans="1:10" x14ac:dyDescent="0.25">
      <c r="A1685" s="92"/>
      <c r="F1685" s="786"/>
      <c r="G1685" s="795"/>
      <c r="H1685" s="93"/>
      <c r="I1685" s="810"/>
      <c r="J1685" s="810"/>
    </row>
    <row r="1686" spans="1:10" x14ac:dyDescent="0.25">
      <c r="A1686" s="92"/>
      <c r="F1686" s="786"/>
      <c r="G1686" s="795"/>
      <c r="H1686" s="93"/>
      <c r="I1686" s="810"/>
      <c r="J1686" s="810"/>
    </row>
    <row r="1687" spans="1:10" x14ac:dyDescent="0.25">
      <c r="A1687" s="92"/>
      <c r="F1687" s="786"/>
      <c r="G1687" s="795"/>
      <c r="H1687" s="93"/>
      <c r="I1687" s="810"/>
      <c r="J1687" s="810"/>
    </row>
    <row r="1688" spans="1:10" x14ac:dyDescent="0.25">
      <c r="A1688" s="92"/>
      <c r="F1688" s="786"/>
      <c r="G1688" s="795"/>
      <c r="H1688" s="93"/>
      <c r="I1688" s="810"/>
      <c r="J1688" s="810"/>
    </row>
    <row r="1689" spans="1:10" x14ac:dyDescent="0.25">
      <c r="A1689" s="92"/>
      <c r="F1689" s="786"/>
      <c r="G1689" s="795"/>
      <c r="H1689" s="93"/>
      <c r="I1689" s="810"/>
      <c r="J1689" s="810"/>
    </row>
    <row r="1690" spans="1:10" x14ac:dyDescent="0.25">
      <c r="A1690" s="92"/>
      <c r="F1690" s="786"/>
      <c r="G1690" s="795"/>
      <c r="H1690" s="93"/>
      <c r="I1690" s="810"/>
      <c r="J1690" s="810"/>
    </row>
    <row r="1691" spans="1:10" x14ac:dyDescent="0.25">
      <c r="A1691" s="92"/>
      <c r="F1691" s="786"/>
      <c r="G1691" s="795"/>
      <c r="H1691" s="93"/>
      <c r="I1691" s="810"/>
      <c r="J1691" s="810"/>
    </row>
    <row r="1692" spans="1:10" x14ac:dyDescent="0.25">
      <c r="A1692" s="92"/>
      <c r="F1692" s="786"/>
      <c r="G1692" s="795"/>
      <c r="H1692" s="93"/>
      <c r="I1692" s="810"/>
      <c r="J1692" s="810"/>
    </row>
    <row r="1693" spans="1:10" x14ac:dyDescent="0.25">
      <c r="A1693" s="92"/>
      <c r="F1693" s="786"/>
      <c r="G1693" s="795"/>
      <c r="H1693" s="93"/>
      <c r="I1693" s="810"/>
      <c r="J1693" s="810"/>
    </row>
    <row r="1694" spans="1:10" x14ac:dyDescent="0.25">
      <c r="A1694" s="92"/>
      <c r="F1694" s="786"/>
      <c r="G1694" s="795"/>
      <c r="H1694" s="93"/>
      <c r="I1694" s="810"/>
      <c r="J1694" s="810"/>
    </row>
    <row r="1695" spans="1:10" x14ac:dyDescent="0.25">
      <c r="A1695" s="92"/>
      <c r="F1695" s="786"/>
      <c r="G1695" s="795"/>
      <c r="H1695" s="93"/>
      <c r="I1695" s="810"/>
      <c r="J1695" s="810"/>
    </row>
    <row r="1696" spans="1:10" x14ac:dyDescent="0.25">
      <c r="A1696" s="92"/>
      <c r="F1696" s="786"/>
      <c r="G1696" s="795"/>
      <c r="H1696" s="93"/>
      <c r="I1696" s="810"/>
      <c r="J1696" s="810"/>
    </row>
    <row r="1697" spans="1:10" x14ac:dyDescent="0.25">
      <c r="A1697" s="92"/>
      <c r="F1697" s="786"/>
      <c r="G1697" s="795"/>
      <c r="H1697" s="93"/>
      <c r="I1697" s="810"/>
      <c r="J1697" s="810"/>
    </row>
    <row r="1698" spans="1:10" x14ac:dyDescent="0.25">
      <c r="A1698" s="92"/>
      <c r="F1698" s="786"/>
      <c r="G1698" s="795"/>
      <c r="H1698" s="93"/>
      <c r="I1698" s="810"/>
      <c r="J1698" s="810"/>
    </row>
    <row r="1699" spans="1:10" x14ac:dyDescent="0.25">
      <c r="A1699" s="92"/>
      <c r="F1699" s="786"/>
      <c r="G1699" s="795"/>
      <c r="H1699" s="93"/>
      <c r="I1699" s="810"/>
      <c r="J1699" s="810"/>
    </row>
    <row r="1700" spans="1:10" x14ac:dyDescent="0.25">
      <c r="A1700" s="92"/>
      <c r="F1700" s="786"/>
      <c r="G1700" s="795"/>
      <c r="H1700" s="93"/>
      <c r="I1700" s="810"/>
      <c r="J1700" s="810"/>
    </row>
    <row r="1701" spans="1:10" x14ac:dyDescent="0.25">
      <c r="A1701" s="92"/>
      <c r="F1701" s="786"/>
      <c r="G1701" s="795"/>
      <c r="H1701" s="93"/>
      <c r="I1701" s="810"/>
      <c r="J1701" s="810"/>
    </row>
    <row r="1702" spans="1:10" x14ac:dyDescent="0.25">
      <c r="A1702" s="92"/>
      <c r="F1702" s="786"/>
      <c r="G1702" s="795"/>
      <c r="H1702" s="93"/>
      <c r="I1702" s="810"/>
      <c r="J1702" s="810"/>
    </row>
    <row r="1703" spans="1:10" x14ac:dyDescent="0.25">
      <c r="A1703" s="92"/>
      <c r="F1703" s="786"/>
      <c r="G1703" s="795"/>
      <c r="H1703" s="93"/>
      <c r="I1703" s="810"/>
      <c r="J1703" s="810"/>
    </row>
    <row r="1704" spans="1:10" x14ac:dyDescent="0.25">
      <c r="A1704" s="92"/>
      <c r="F1704" s="786"/>
      <c r="G1704" s="795"/>
      <c r="H1704" s="93"/>
      <c r="I1704" s="810"/>
      <c r="J1704" s="810"/>
    </row>
    <row r="1705" spans="1:10" x14ac:dyDescent="0.25">
      <c r="A1705" s="92"/>
      <c r="F1705" s="786"/>
      <c r="G1705" s="795"/>
      <c r="H1705" s="93"/>
      <c r="I1705" s="810"/>
      <c r="J1705" s="810"/>
    </row>
    <row r="1706" spans="1:10" x14ac:dyDescent="0.25">
      <c r="A1706" s="92"/>
      <c r="F1706" s="786"/>
      <c r="G1706" s="795"/>
      <c r="H1706" s="93"/>
      <c r="I1706" s="810"/>
      <c r="J1706" s="810"/>
    </row>
    <row r="1707" spans="1:10" x14ac:dyDescent="0.25">
      <c r="A1707" s="92"/>
      <c r="F1707" s="786"/>
      <c r="G1707" s="795"/>
      <c r="H1707" s="93"/>
      <c r="I1707" s="810"/>
      <c r="J1707" s="810"/>
    </row>
    <row r="1708" spans="1:10" x14ac:dyDescent="0.25">
      <c r="A1708" s="92"/>
      <c r="F1708" s="786"/>
      <c r="G1708" s="795"/>
      <c r="H1708" s="93"/>
      <c r="I1708" s="810"/>
      <c r="J1708" s="810"/>
    </row>
    <row r="1709" spans="1:10" x14ac:dyDescent="0.25">
      <c r="A1709" s="92"/>
      <c r="F1709" s="786"/>
      <c r="G1709" s="795"/>
      <c r="H1709" s="93"/>
      <c r="I1709" s="810"/>
      <c r="J1709" s="810"/>
    </row>
    <row r="1710" spans="1:10" x14ac:dyDescent="0.25">
      <c r="A1710" s="92"/>
      <c r="F1710" s="786"/>
      <c r="G1710" s="795"/>
      <c r="H1710" s="93"/>
      <c r="I1710" s="810"/>
      <c r="J1710" s="810"/>
    </row>
    <row r="1711" spans="1:10" x14ac:dyDescent="0.25">
      <c r="A1711" s="92"/>
      <c r="F1711" s="786"/>
      <c r="G1711" s="795"/>
      <c r="H1711" s="93"/>
      <c r="I1711" s="810"/>
      <c r="J1711" s="810"/>
    </row>
    <row r="1712" spans="1:10" x14ac:dyDescent="0.25">
      <c r="A1712" s="92"/>
      <c r="F1712" s="786"/>
      <c r="G1712" s="795"/>
      <c r="H1712" s="93"/>
      <c r="I1712" s="810"/>
      <c r="J1712" s="810"/>
    </row>
    <row r="1713" spans="1:10" x14ac:dyDescent="0.25">
      <c r="A1713" s="92"/>
      <c r="F1713" s="786"/>
      <c r="G1713" s="795"/>
      <c r="H1713" s="93"/>
      <c r="I1713" s="810"/>
      <c r="J1713" s="810"/>
    </row>
    <row r="1714" spans="1:10" x14ac:dyDescent="0.25">
      <c r="A1714" s="92"/>
      <c r="F1714" s="786"/>
      <c r="G1714" s="795"/>
      <c r="H1714" s="93"/>
      <c r="I1714" s="810"/>
      <c r="J1714" s="810"/>
    </row>
    <row r="1715" spans="1:10" x14ac:dyDescent="0.25">
      <c r="A1715" s="92"/>
      <c r="F1715" s="786"/>
      <c r="G1715" s="795"/>
      <c r="H1715" s="93"/>
      <c r="I1715" s="810"/>
      <c r="J1715" s="810"/>
    </row>
    <row r="1716" spans="1:10" x14ac:dyDescent="0.25">
      <c r="A1716" s="92"/>
      <c r="F1716" s="786"/>
      <c r="G1716" s="795"/>
      <c r="H1716" s="93"/>
      <c r="I1716" s="810"/>
      <c r="J1716" s="810"/>
    </row>
    <row r="1717" spans="1:10" x14ac:dyDescent="0.25">
      <c r="A1717" s="92"/>
      <c r="F1717" s="786"/>
      <c r="G1717" s="795"/>
      <c r="H1717" s="93"/>
      <c r="I1717" s="810"/>
      <c r="J1717" s="810"/>
    </row>
    <row r="1718" spans="1:10" x14ac:dyDescent="0.25">
      <c r="A1718" s="92"/>
      <c r="F1718" s="786"/>
      <c r="G1718" s="795"/>
      <c r="H1718" s="93"/>
      <c r="I1718" s="810"/>
      <c r="J1718" s="810"/>
    </row>
    <row r="1719" spans="1:10" x14ac:dyDescent="0.25">
      <c r="A1719" s="92"/>
      <c r="F1719" s="786"/>
      <c r="G1719" s="795"/>
      <c r="H1719" s="93"/>
      <c r="I1719" s="810"/>
      <c r="J1719" s="810"/>
    </row>
    <row r="1720" spans="1:10" x14ac:dyDescent="0.25">
      <c r="A1720" s="92"/>
      <c r="F1720" s="786"/>
      <c r="G1720" s="795"/>
      <c r="H1720" s="93"/>
      <c r="I1720" s="810"/>
      <c r="J1720" s="810"/>
    </row>
    <row r="1721" spans="1:10" x14ac:dyDescent="0.25">
      <c r="A1721" s="92"/>
      <c r="F1721" s="786"/>
      <c r="G1721" s="795"/>
      <c r="H1721" s="93"/>
      <c r="I1721" s="810"/>
      <c r="J1721" s="810"/>
    </row>
    <row r="1722" spans="1:10" x14ac:dyDescent="0.25">
      <c r="A1722" s="92"/>
      <c r="F1722" s="786"/>
      <c r="G1722" s="795"/>
      <c r="H1722" s="93"/>
      <c r="I1722" s="810"/>
      <c r="J1722" s="810"/>
    </row>
    <row r="1723" spans="1:10" x14ac:dyDescent="0.25">
      <c r="A1723" s="92"/>
      <c r="F1723" s="786"/>
      <c r="G1723" s="795"/>
      <c r="H1723" s="93"/>
      <c r="I1723" s="810"/>
      <c r="J1723" s="810"/>
    </row>
    <row r="1724" spans="1:10" x14ac:dyDescent="0.25">
      <c r="A1724" s="92"/>
      <c r="F1724" s="786"/>
      <c r="G1724" s="795"/>
      <c r="H1724" s="93"/>
      <c r="I1724" s="810"/>
      <c r="J1724" s="810"/>
    </row>
    <row r="1725" spans="1:10" x14ac:dyDescent="0.25">
      <c r="A1725" s="92"/>
      <c r="F1725" s="786"/>
      <c r="G1725" s="795"/>
      <c r="H1725" s="93"/>
      <c r="I1725" s="810"/>
      <c r="J1725" s="810"/>
    </row>
    <row r="1726" spans="1:10" x14ac:dyDescent="0.25">
      <c r="A1726" s="92"/>
      <c r="F1726" s="786"/>
      <c r="G1726" s="795"/>
      <c r="H1726" s="93"/>
      <c r="I1726" s="810"/>
      <c r="J1726" s="810"/>
    </row>
    <row r="1727" spans="1:10" x14ac:dyDescent="0.25">
      <c r="A1727" s="92"/>
      <c r="F1727" s="786"/>
      <c r="G1727" s="795"/>
      <c r="H1727" s="93"/>
      <c r="I1727" s="810"/>
      <c r="J1727" s="810"/>
    </row>
    <row r="1728" spans="1:10" x14ac:dyDescent="0.25">
      <c r="A1728" s="92"/>
      <c r="F1728" s="786"/>
      <c r="G1728" s="795"/>
      <c r="H1728" s="93"/>
      <c r="I1728" s="810"/>
      <c r="J1728" s="810"/>
    </row>
    <row r="1729" spans="1:10" x14ac:dyDescent="0.25">
      <c r="A1729" s="92"/>
      <c r="F1729" s="786"/>
      <c r="G1729" s="795"/>
      <c r="H1729" s="93"/>
      <c r="I1729" s="810"/>
      <c r="J1729" s="810"/>
    </row>
    <row r="1730" spans="1:10" x14ac:dyDescent="0.25">
      <c r="A1730" s="92"/>
      <c r="F1730" s="786"/>
      <c r="G1730" s="795"/>
      <c r="H1730" s="93"/>
      <c r="I1730" s="810"/>
      <c r="J1730" s="810"/>
    </row>
    <row r="1731" spans="1:10" x14ac:dyDescent="0.25">
      <c r="A1731" s="92"/>
      <c r="F1731" s="786"/>
      <c r="G1731" s="795"/>
      <c r="H1731" s="93"/>
      <c r="I1731" s="810"/>
      <c r="J1731" s="810"/>
    </row>
    <row r="1732" spans="1:10" x14ac:dyDescent="0.25">
      <c r="A1732" s="92"/>
      <c r="F1732" s="786"/>
      <c r="G1732" s="795"/>
      <c r="H1732" s="93"/>
      <c r="I1732" s="810"/>
      <c r="J1732" s="810"/>
    </row>
    <row r="1733" spans="1:10" x14ac:dyDescent="0.25">
      <c r="A1733" s="92"/>
      <c r="F1733" s="786"/>
      <c r="G1733" s="795"/>
      <c r="H1733" s="93"/>
      <c r="I1733" s="810"/>
      <c r="J1733" s="810"/>
    </row>
    <row r="1734" spans="1:10" x14ac:dyDescent="0.25">
      <c r="A1734" s="92"/>
      <c r="F1734" s="786"/>
      <c r="G1734" s="795"/>
      <c r="H1734" s="93"/>
      <c r="I1734" s="810"/>
      <c r="J1734" s="810"/>
    </row>
    <row r="1735" spans="1:10" x14ac:dyDescent="0.25">
      <c r="A1735" s="92"/>
      <c r="F1735" s="786"/>
      <c r="G1735" s="795"/>
      <c r="H1735" s="93"/>
      <c r="I1735" s="810"/>
      <c r="J1735" s="810"/>
    </row>
    <row r="1736" spans="1:10" x14ac:dyDescent="0.25">
      <c r="A1736" s="92"/>
      <c r="F1736" s="786"/>
      <c r="G1736" s="795"/>
      <c r="H1736" s="93"/>
      <c r="I1736" s="810"/>
      <c r="J1736" s="810"/>
    </row>
    <row r="1737" spans="1:10" x14ac:dyDescent="0.25">
      <c r="A1737" s="92"/>
      <c r="F1737" s="786"/>
      <c r="G1737" s="795"/>
      <c r="H1737" s="93"/>
      <c r="I1737" s="810"/>
      <c r="J1737" s="810"/>
    </row>
    <row r="1738" spans="1:10" x14ac:dyDescent="0.25">
      <c r="A1738" s="92"/>
      <c r="F1738" s="786"/>
      <c r="G1738" s="795"/>
      <c r="H1738" s="93"/>
      <c r="I1738" s="810"/>
      <c r="J1738" s="810"/>
    </row>
    <row r="1739" spans="1:10" x14ac:dyDescent="0.25">
      <c r="A1739" s="92"/>
      <c r="F1739" s="786"/>
      <c r="G1739" s="795"/>
      <c r="H1739" s="93"/>
      <c r="I1739" s="810"/>
      <c r="J1739" s="810"/>
    </row>
    <row r="1740" spans="1:10" x14ac:dyDescent="0.25">
      <c r="A1740" s="92"/>
      <c r="F1740" s="786"/>
      <c r="G1740" s="795"/>
      <c r="H1740" s="93"/>
      <c r="I1740" s="810"/>
      <c r="J1740" s="810"/>
    </row>
    <row r="1741" spans="1:10" x14ac:dyDescent="0.25">
      <c r="A1741" s="92"/>
      <c r="F1741" s="786"/>
      <c r="G1741" s="795"/>
      <c r="H1741" s="93"/>
      <c r="I1741" s="810"/>
      <c r="J1741" s="810"/>
    </row>
    <row r="1742" spans="1:10" x14ac:dyDescent="0.25">
      <c r="A1742" s="92"/>
      <c r="F1742" s="786"/>
      <c r="G1742" s="795"/>
      <c r="H1742" s="93"/>
      <c r="I1742" s="810"/>
      <c r="J1742" s="810"/>
    </row>
    <row r="1743" spans="1:10" x14ac:dyDescent="0.25">
      <c r="A1743" s="92"/>
      <c r="F1743" s="786"/>
      <c r="G1743" s="795"/>
      <c r="H1743" s="93"/>
      <c r="I1743" s="810"/>
      <c r="J1743" s="810"/>
    </row>
    <row r="1744" spans="1:10" x14ac:dyDescent="0.25">
      <c r="A1744" s="92"/>
      <c r="F1744" s="786"/>
      <c r="G1744" s="795"/>
      <c r="H1744" s="93"/>
      <c r="I1744" s="810"/>
      <c r="J1744" s="810"/>
    </row>
    <row r="1745" spans="1:10" x14ac:dyDescent="0.25">
      <c r="A1745" s="92"/>
      <c r="F1745" s="786"/>
      <c r="G1745" s="795"/>
      <c r="H1745" s="93"/>
      <c r="I1745" s="810"/>
      <c r="J1745" s="810"/>
    </row>
    <row r="1746" spans="1:10" x14ac:dyDescent="0.25">
      <c r="A1746" s="92"/>
      <c r="F1746" s="786"/>
      <c r="G1746" s="795"/>
      <c r="H1746" s="93"/>
      <c r="I1746" s="810"/>
      <c r="J1746" s="810"/>
    </row>
    <row r="1747" spans="1:10" x14ac:dyDescent="0.25">
      <c r="A1747" s="92"/>
      <c r="F1747" s="786"/>
      <c r="G1747" s="795"/>
      <c r="H1747" s="93"/>
      <c r="I1747" s="810"/>
      <c r="J1747" s="810"/>
    </row>
    <row r="1748" spans="1:10" x14ac:dyDescent="0.25">
      <c r="A1748" s="92"/>
      <c r="F1748" s="786"/>
      <c r="G1748" s="795"/>
      <c r="H1748" s="93"/>
      <c r="I1748" s="810"/>
      <c r="J1748" s="810"/>
    </row>
    <row r="1749" spans="1:10" x14ac:dyDescent="0.25">
      <c r="A1749" s="92"/>
      <c r="F1749" s="786"/>
      <c r="G1749" s="795"/>
      <c r="H1749" s="93"/>
      <c r="I1749" s="810"/>
      <c r="J1749" s="810"/>
    </row>
    <row r="1750" spans="1:10" x14ac:dyDescent="0.25">
      <c r="A1750" s="92"/>
      <c r="F1750" s="786"/>
      <c r="G1750" s="795"/>
      <c r="H1750" s="93"/>
      <c r="I1750" s="810"/>
      <c r="J1750" s="810"/>
    </row>
    <row r="1751" spans="1:10" x14ac:dyDescent="0.25">
      <c r="A1751" s="92"/>
      <c r="F1751" s="786"/>
      <c r="G1751" s="795"/>
      <c r="H1751" s="93"/>
      <c r="I1751" s="810"/>
      <c r="J1751" s="810"/>
    </row>
    <row r="1752" spans="1:10" x14ac:dyDescent="0.25">
      <c r="A1752" s="92"/>
      <c r="F1752" s="786"/>
      <c r="G1752" s="795"/>
      <c r="H1752" s="93"/>
      <c r="I1752" s="810"/>
      <c r="J1752" s="810"/>
    </row>
    <row r="1753" spans="1:10" x14ac:dyDescent="0.25">
      <c r="A1753" s="92"/>
      <c r="F1753" s="786"/>
      <c r="G1753" s="795"/>
      <c r="H1753" s="93"/>
      <c r="I1753" s="810"/>
      <c r="J1753" s="810"/>
    </row>
    <row r="1754" spans="1:10" x14ac:dyDescent="0.25">
      <c r="A1754" s="92"/>
      <c r="F1754" s="786"/>
      <c r="G1754" s="795"/>
      <c r="H1754" s="93"/>
      <c r="I1754" s="810"/>
      <c r="J1754" s="810"/>
    </row>
    <row r="1755" spans="1:10" x14ac:dyDescent="0.25">
      <c r="A1755" s="92"/>
      <c r="F1755" s="786"/>
      <c r="G1755" s="795"/>
      <c r="H1755" s="93"/>
      <c r="I1755" s="810"/>
      <c r="J1755" s="810"/>
    </row>
    <row r="1756" spans="1:10" x14ac:dyDescent="0.25">
      <c r="A1756" s="92"/>
      <c r="F1756" s="786"/>
      <c r="G1756" s="795"/>
      <c r="H1756" s="93"/>
      <c r="I1756" s="810"/>
      <c r="J1756" s="810"/>
    </row>
    <row r="1757" spans="1:10" x14ac:dyDescent="0.25">
      <c r="A1757" s="92"/>
      <c r="F1757" s="786"/>
      <c r="G1757" s="795"/>
      <c r="H1757" s="93"/>
      <c r="I1757" s="810"/>
      <c r="J1757" s="810"/>
    </row>
    <row r="1758" spans="1:10" x14ac:dyDescent="0.25">
      <c r="A1758" s="92"/>
      <c r="F1758" s="786"/>
      <c r="G1758" s="795"/>
      <c r="H1758" s="93"/>
      <c r="I1758" s="810"/>
      <c r="J1758" s="810"/>
    </row>
    <row r="1759" spans="1:10" x14ac:dyDescent="0.25">
      <c r="A1759" s="92"/>
      <c r="F1759" s="786"/>
      <c r="G1759" s="795"/>
      <c r="H1759" s="93"/>
      <c r="I1759" s="810"/>
      <c r="J1759" s="810"/>
    </row>
    <row r="1760" spans="1:10" x14ac:dyDescent="0.25">
      <c r="A1760" s="92"/>
      <c r="F1760" s="786"/>
      <c r="G1760" s="795"/>
      <c r="H1760" s="93"/>
      <c r="I1760" s="810"/>
      <c r="J1760" s="810"/>
    </row>
    <row r="1761" spans="1:10" x14ac:dyDescent="0.25">
      <c r="A1761" s="92"/>
      <c r="F1761" s="786"/>
      <c r="G1761" s="795"/>
      <c r="H1761" s="93"/>
      <c r="I1761" s="810"/>
      <c r="J1761" s="810"/>
    </row>
    <row r="1762" spans="1:10" x14ac:dyDescent="0.25">
      <c r="A1762" s="92"/>
      <c r="F1762" s="786"/>
      <c r="G1762" s="795"/>
      <c r="H1762" s="93"/>
      <c r="I1762" s="810"/>
      <c r="J1762" s="810"/>
    </row>
    <row r="1763" spans="1:10" x14ac:dyDescent="0.25">
      <c r="A1763" s="92"/>
      <c r="F1763" s="786"/>
      <c r="G1763" s="795"/>
      <c r="H1763" s="93"/>
      <c r="I1763" s="810"/>
      <c r="J1763" s="810"/>
    </row>
    <row r="1764" spans="1:10" x14ac:dyDescent="0.25">
      <c r="A1764" s="92"/>
      <c r="F1764" s="786"/>
      <c r="G1764" s="795"/>
      <c r="H1764" s="93"/>
      <c r="I1764" s="810"/>
      <c r="J1764" s="810"/>
    </row>
    <row r="1765" spans="1:10" x14ac:dyDescent="0.25">
      <c r="A1765" s="92"/>
      <c r="F1765" s="786"/>
      <c r="G1765" s="795"/>
      <c r="H1765" s="93"/>
      <c r="I1765" s="810"/>
      <c r="J1765" s="810"/>
    </row>
    <row r="1766" spans="1:10" x14ac:dyDescent="0.25">
      <c r="A1766" s="92"/>
      <c r="F1766" s="786"/>
      <c r="G1766" s="795"/>
      <c r="H1766" s="93"/>
      <c r="I1766" s="810"/>
      <c r="J1766" s="810"/>
    </row>
    <row r="1767" spans="1:10" x14ac:dyDescent="0.25">
      <c r="A1767" s="92"/>
      <c r="F1767" s="786"/>
      <c r="G1767" s="795"/>
      <c r="H1767" s="93"/>
      <c r="I1767" s="810"/>
      <c r="J1767" s="810"/>
    </row>
    <row r="1768" spans="1:10" x14ac:dyDescent="0.25">
      <c r="A1768" s="92"/>
      <c r="F1768" s="786"/>
      <c r="G1768" s="795"/>
      <c r="H1768" s="93"/>
      <c r="I1768" s="810"/>
      <c r="J1768" s="810"/>
    </row>
    <row r="1769" spans="1:10" x14ac:dyDescent="0.25">
      <c r="A1769" s="92"/>
      <c r="F1769" s="786"/>
      <c r="G1769" s="795"/>
      <c r="H1769" s="93"/>
      <c r="I1769" s="810"/>
      <c r="J1769" s="810"/>
    </row>
    <row r="1770" spans="1:10" x14ac:dyDescent="0.25">
      <c r="A1770" s="92"/>
      <c r="F1770" s="786"/>
      <c r="G1770" s="795"/>
      <c r="H1770" s="93"/>
      <c r="I1770" s="810"/>
      <c r="J1770" s="810"/>
    </row>
    <row r="1771" spans="1:10" x14ac:dyDescent="0.25">
      <c r="A1771" s="92"/>
      <c r="F1771" s="786"/>
      <c r="G1771" s="795"/>
      <c r="H1771" s="93"/>
      <c r="I1771" s="810"/>
      <c r="J1771" s="810"/>
    </row>
    <row r="1772" spans="1:10" x14ac:dyDescent="0.25">
      <c r="A1772" s="92"/>
      <c r="F1772" s="786"/>
      <c r="G1772" s="795"/>
      <c r="H1772" s="93"/>
      <c r="I1772" s="810"/>
      <c r="J1772" s="810"/>
    </row>
    <row r="1773" spans="1:10" x14ac:dyDescent="0.25">
      <c r="A1773" s="92"/>
      <c r="F1773" s="786"/>
      <c r="G1773" s="795"/>
      <c r="H1773" s="93"/>
      <c r="I1773" s="810"/>
      <c r="J1773" s="810"/>
    </row>
    <row r="1774" spans="1:10" x14ac:dyDescent="0.25">
      <c r="A1774" s="92"/>
      <c r="F1774" s="786"/>
      <c r="G1774" s="795"/>
      <c r="H1774" s="93"/>
      <c r="I1774" s="810"/>
      <c r="J1774" s="810"/>
    </row>
    <row r="1775" spans="1:10" x14ac:dyDescent="0.25">
      <c r="A1775" s="92"/>
      <c r="F1775" s="786"/>
      <c r="G1775" s="795"/>
      <c r="H1775" s="93"/>
      <c r="I1775" s="810"/>
      <c r="J1775" s="810"/>
    </row>
    <row r="1776" spans="1:10" x14ac:dyDescent="0.25">
      <c r="A1776" s="92"/>
      <c r="F1776" s="786"/>
      <c r="G1776" s="795"/>
      <c r="H1776" s="93"/>
      <c r="I1776" s="810"/>
      <c r="J1776" s="810"/>
    </row>
    <row r="1777" spans="1:10" x14ac:dyDescent="0.25">
      <c r="A1777" s="92"/>
      <c r="F1777" s="786"/>
      <c r="G1777" s="795"/>
      <c r="H1777" s="93"/>
      <c r="I1777" s="810"/>
      <c r="J1777" s="810"/>
    </row>
    <row r="1778" spans="1:10" x14ac:dyDescent="0.25">
      <c r="A1778" s="92"/>
      <c r="F1778" s="786"/>
      <c r="G1778" s="795"/>
      <c r="H1778" s="93"/>
      <c r="I1778" s="810"/>
      <c r="J1778" s="810"/>
    </row>
    <row r="1779" spans="1:10" x14ac:dyDescent="0.25">
      <c r="A1779" s="92"/>
      <c r="F1779" s="786"/>
      <c r="G1779" s="795"/>
      <c r="H1779" s="93"/>
      <c r="I1779" s="810"/>
      <c r="J1779" s="810"/>
    </row>
    <row r="1780" spans="1:10" x14ac:dyDescent="0.25">
      <c r="A1780" s="92"/>
      <c r="F1780" s="786"/>
      <c r="G1780" s="795"/>
      <c r="H1780" s="93"/>
      <c r="I1780" s="810"/>
      <c r="J1780" s="810"/>
    </row>
    <row r="1781" spans="1:10" x14ac:dyDescent="0.25">
      <c r="A1781" s="92"/>
      <c r="F1781" s="786"/>
      <c r="G1781" s="795"/>
      <c r="H1781" s="93"/>
      <c r="I1781" s="810"/>
      <c r="J1781" s="810"/>
    </row>
    <row r="1782" spans="1:10" x14ac:dyDescent="0.25">
      <c r="A1782" s="92"/>
      <c r="F1782" s="786"/>
      <c r="G1782" s="795"/>
      <c r="H1782" s="93"/>
      <c r="I1782" s="810"/>
      <c r="J1782" s="810"/>
    </row>
    <row r="1783" spans="1:10" x14ac:dyDescent="0.25">
      <c r="A1783" s="92"/>
      <c r="F1783" s="786"/>
      <c r="G1783" s="795"/>
      <c r="H1783" s="93"/>
      <c r="I1783" s="810"/>
      <c r="J1783" s="810"/>
    </row>
    <row r="1784" spans="1:10" x14ac:dyDescent="0.25">
      <c r="A1784" s="92"/>
      <c r="F1784" s="786"/>
      <c r="G1784" s="795"/>
      <c r="H1784" s="93"/>
      <c r="I1784" s="810"/>
      <c r="J1784" s="810"/>
    </row>
    <row r="1785" spans="1:10" x14ac:dyDescent="0.25">
      <c r="A1785" s="92"/>
      <c r="F1785" s="786"/>
      <c r="G1785" s="795"/>
      <c r="H1785" s="93"/>
      <c r="I1785" s="810"/>
      <c r="J1785" s="810"/>
    </row>
    <row r="1786" spans="1:10" x14ac:dyDescent="0.25">
      <c r="A1786" s="92"/>
      <c r="F1786" s="786"/>
      <c r="G1786" s="795"/>
      <c r="H1786" s="93"/>
      <c r="I1786" s="810"/>
      <c r="J1786" s="810"/>
    </row>
    <row r="1787" spans="1:10" x14ac:dyDescent="0.25">
      <c r="H1787" s="93"/>
      <c r="I1787" s="810"/>
      <c r="J1787" s="810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workbookViewId="0">
      <pane ySplit="5" topLeftCell="A90" activePane="bottomLeft" state="frozen"/>
      <selection pane="bottomLeft" activeCell="J106" sqref="J106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76" customWidth="1"/>
    <col min="5" max="5" width="13.7109375" style="776" customWidth="1"/>
    <col min="6" max="6" width="17.42578125" style="785" customWidth="1"/>
    <col min="7" max="7" width="15.7109375" style="793" bestFit="1" customWidth="1"/>
    <col min="8" max="8" width="16.28515625" style="10" customWidth="1"/>
    <col min="9" max="9" width="18.7109375" style="799" customWidth="1"/>
    <col min="10" max="10" width="13.7109375" style="799" customWidth="1"/>
    <col min="11" max="11" width="14.5703125" style="672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76">
        <f ca="1">TODAY()</f>
        <v>44440</v>
      </c>
      <c r="C1" s="1177"/>
      <c r="D1" s="769" t="s">
        <v>0</v>
      </c>
      <c r="E1" s="777">
        <f>COUNTA(B7:B84)</f>
        <v>66</v>
      </c>
      <c r="F1" s="781" t="s">
        <v>1</v>
      </c>
      <c r="G1" s="787" t="s">
        <v>206</v>
      </c>
      <c r="H1" s="187"/>
      <c r="I1" s="796"/>
      <c r="J1" s="811"/>
      <c r="K1" s="692"/>
    </row>
    <row r="2" spans="1:12" s="3" customFormat="1" x14ac:dyDescent="0.2">
      <c r="A2" s="189"/>
      <c r="B2" s="190"/>
      <c r="C2" s="632"/>
      <c r="D2" s="770"/>
      <c r="E2" s="778"/>
      <c r="F2" s="782" t="s">
        <v>796</v>
      </c>
      <c r="G2" s="788"/>
      <c r="H2" s="196"/>
      <c r="I2" s="797"/>
      <c r="J2" s="812"/>
      <c r="K2" s="693"/>
      <c r="L2" s="42"/>
    </row>
    <row r="3" spans="1:12" s="3" customFormat="1" x14ac:dyDescent="0.2">
      <c r="A3" s="189"/>
      <c r="B3" s="190"/>
      <c r="C3" s="632"/>
      <c r="D3" s="771"/>
      <c r="E3" s="779"/>
      <c r="F3" s="782"/>
      <c r="G3" s="788"/>
      <c r="H3" s="196"/>
      <c r="I3" s="797"/>
      <c r="J3" s="812"/>
      <c r="K3" s="693"/>
      <c r="L3" s="42"/>
    </row>
    <row r="4" spans="1:12" s="3" customFormat="1" x14ac:dyDescent="0.25">
      <c r="A4" s="183"/>
      <c r="B4" s="198"/>
      <c r="C4" s="241"/>
      <c r="D4" s="772"/>
      <c r="E4" s="778"/>
      <c r="F4" s="782" t="s">
        <v>751</v>
      </c>
      <c r="G4" s="789">
        <f ca="1">+resume!C28</f>
        <v>2060848.5899999999</v>
      </c>
      <c r="H4" s="200"/>
      <c r="I4" s="796"/>
      <c r="J4" s="813"/>
      <c r="K4" s="694"/>
      <c r="L4" s="42"/>
    </row>
    <row r="5" spans="1:12" s="3" customFormat="1" x14ac:dyDescent="0.25">
      <c r="A5" s="183"/>
      <c r="B5" s="202" t="s">
        <v>7</v>
      </c>
      <c r="C5" s="203" t="s">
        <v>8</v>
      </c>
      <c r="D5" s="773" t="s">
        <v>9</v>
      </c>
      <c r="E5" s="780" t="s">
        <v>64</v>
      </c>
      <c r="F5" s="783" t="s">
        <v>10</v>
      </c>
      <c r="G5" s="789">
        <f ca="1">+G2+G4+G3</f>
        <v>2060848.5899999999</v>
      </c>
      <c r="H5" s="200"/>
      <c r="I5" s="798"/>
      <c r="J5" s="807"/>
      <c r="K5" s="693"/>
      <c r="L5" s="42"/>
    </row>
    <row r="6" spans="1:12" x14ac:dyDescent="0.25">
      <c r="A6" s="715" t="s">
        <v>11</v>
      </c>
      <c r="B6" s="716">
        <v>43831</v>
      </c>
      <c r="C6" s="715" t="s">
        <v>12</v>
      </c>
      <c r="D6" s="774">
        <v>0</v>
      </c>
      <c r="E6" s="774"/>
      <c r="F6" s="784"/>
      <c r="G6" s="790"/>
    </row>
    <row r="7" spans="1:12" x14ac:dyDescent="0.25">
      <c r="A7" s="715"/>
      <c r="B7" s="716">
        <v>43809</v>
      </c>
      <c r="C7" s="715" t="s">
        <v>13</v>
      </c>
      <c r="D7" s="774">
        <v>36500</v>
      </c>
      <c r="E7" s="774"/>
      <c r="F7" s="784"/>
      <c r="G7" s="791"/>
      <c r="H7" s="11"/>
      <c r="I7" s="800"/>
    </row>
    <row r="8" spans="1:12" x14ac:dyDescent="0.25">
      <c r="A8" s="715"/>
      <c r="B8" s="716">
        <v>43840</v>
      </c>
      <c r="C8" s="715" t="s">
        <v>181</v>
      </c>
      <c r="D8" s="774"/>
      <c r="E8" s="774">
        <v>4500</v>
      </c>
      <c r="F8" s="784"/>
      <c r="G8" s="791"/>
      <c r="H8" s="11"/>
      <c r="I8" s="800"/>
      <c r="K8" s="261"/>
    </row>
    <row r="9" spans="1:12" x14ac:dyDescent="0.25">
      <c r="A9" s="715"/>
      <c r="B9" s="716">
        <v>43837</v>
      </c>
      <c r="C9" s="715" t="s">
        <v>207</v>
      </c>
      <c r="D9" s="774"/>
      <c r="E9" s="774">
        <v>7000</v>
      </c>
      <c r="F9" s="784"/>
      <c r="G9" s="791"/>
      <c r="H9" s="11"/>
      <c r="I9" s="800"/>
      <c r="K9" s="261"/>
    </row>
    <row r="10" spans="1:12" x14ac:dyDescent="0.25">
      <c r="A10" s="715"/>
      <c r="B10" s="716">
        <v>43850</v>
      </c>
      <c r="C10" s="715" t="s">
        <v>172</v>
      </c>
      <c r="D10" s="774"/>
      <c r="E10" s="774">
        <f>3400+6100</f>
        <v>9500</v>
      </c>
      <c r="F10" s="784"/>
      <c r="G10" s="791"/>
      <c r="H10" s="11"/>
      <c r="I10" s="800"/>
      <c r="K10" s="261"/>
    </row>
    <row r="11" spans="1:12" x14ac:dyDescent="0.25">
      <c r="A11" s="715"/>
      <c r="B11" s="716">
        <v>43835</v>
      </c>
      <c r="C11" s="715" t="s">
        <v>243</v>
      </c>
      <c r="D11" s="774"/>
      <c r="E11" s="774">
        <v>800</v>
      </c>
      <c r="F11" s="784"/>
      <c r="G11" s="791"/>
      <c r="H11" s="11"/>
      <c r="I11" s="800"/>
      <c r="K11" s="261"/>
    </row>
    <row r="12" spans="1:12" x14ac:dyDescent="0.25">
      <c r="A12" s="715"/>
      <c r="B12" s="716">
        <v>43840</v>
      </c>
      <c r="C12" s="715" t="s">
        <v>248</v>
      </c>
      <c r="D12" s="774"/>
      <c r="E12" s="774">
        <v>4000</v>
      </c>
      <c r="F12" s="784"/>
      <c r="G12" s="791"/>
      <c r="H12" s="11"/>
      <c r="I12" s="800"/>
      <c r="K12" s="261"/>
    </row>
    <row r="13" spans="1:12" x14ac:dyDescent="0.25">
      <c r="A13" s="715"/>
      <c r="B13" s="716"/>
      <c r="C13" s="715"/>
      <c r="D13" s="774"/>
      <c r="E13" s="774"/>
      <c r="F13" s="784">
        <f>SUM(D6:D13)-SUM(E6:E13)</f>
        <v>10700</v>
      </c>
      <c r="G13" s="792">
        <v>395781.52279999998</v>
      </c>
      <c r="H13" s="485"/>
      <c r="I13" s="800"/>
      <c r="K13" s="261"/>
    </row>
    <row r="14" spans="1:12" x14ac:dyDescent="0.25">
      <c r="A14" s="715" t="s">
        <v>16</v>
      </c>
      <c r="B14" s="716">
        <v>43845</v>
      </c>
      <c r="C14" s="715" t="s">
        <v>13</v>
      </c>
      <c r="D14" s="774">
        <v>36500</v>
      </c>
      <c r="E14" s="774"/>
      <c r="F14" s="784"/>
      <c r="G14" s="792"/>
      <c r="H14" s="11"/>
      <c r="I14" s="800"/>
      <c r="K14" s="261"/>
    </row>
    <row r="15" spans="1:12" x14ac:dyDescent="0.25">
      <c r="A15" s="715"/>
      <c r="B15" s="716">
        <v>43871</v>
      </c>
      <c r="C15" s="715" t="s">
        <v>181</v>
      </c>
      <c r="D15" s="774"/>
      <c r="E15" s="774">
        <v>4500</v>
      </c>
      <c r="F15" s="784"/>
      <c r="G15" s="792"/>
      <c r="H15" s="11"/>
      <c r="I15" s="800"/>
      <c r="K15" s="261"/>
    </row>
    <row r="16" spans="1:12" x14ac:dyDescent="0.25">
      <c r="A16" s="715"/>
      <c r="B16" s="716">
        <v>43872</v>
      </c>
      <c r="C16" s="715" t="s">
        <v>207</v>
      </c>
      <c r="D16" s="774"/>
      <c r="E16" s="774">
        <v>8400</v>
      </c>
      <c r="F16" s="784"/>
      <c r="G16" s="792"/>
      <c r="H16" s="11"/>
      <c r="I16" s="800"/>
      <c r="K16" s="261"/>
    </row>
    <row r="17" spans="1:11" x14ac:dyDescent="0.25">
      <c r="A17" s="715"/>
      <c r="B17" s="716">
        <v>43878</v>
      </c>
      <c r="C17" s="715" t="s">
        <v>172</v>
      </c>
      <c r="D17" s="774"/>
      <c r="E17" s="774">
        <f>3400</f>
        <v>3400</v>
      </c>
      <c r="F17" s="784"/>
      <c r="G17" s="792"/>
      <c r="H17" s="11"/>
      <c r="I17" s="800"/>
      <c r="K17" s="261"/>
    </row>
    <row r="18" spans="1:11" x14ac:dyDescent="0.25">
      <c r="A18" s="715"/>
      <c r="B18" s="716">
        <v>43890</v>
      </c>
      <c r="C18" s="715" t="s">
        <v>39</v>
      </c>
      <c r="D18" s="774"/>
      <c r="E18" s="774">
        <v>600</v>
      </c>
      <c r="F18" s="784"/>
      <c r="G18" s="792"/>
      <c r="H18" s="11"/>
      <c r="I18" s="800"/>
    </row>
    <row r="19" spans="1:11" x14ac:dyDescent="0.25">
      <c r="A19" s="715"/>
      <c r="B19" s="716">
        <v>43890</v>
      </c>
      <c r="C19" s="715" t="s">
        <v>186</v>
      </c>
      <c r="D19" s="774"/>
      <c r="E19" s="774">
        <v>2700</v>
      </c>
      <c r="F19" s="784"/>
      <c r="G19" s="792"/>
      <c r="H19" s="11"/>
      <c r="I19" s="800"/>
    </row>
    <row r="20" spans="1:11" x14ac:dyDescent="0.25">
      <c r="A20" s="715"/>
      <c r="B20" s="716">
        <v>43871</v>
      </c>
      <c r="C20" s="715" t="s">
        <v>248</v>
      </c>
      <c r="D20" s="774"/>
      <c r="E20" s="774">
        <v>5000</v>
      </c>
      <c r="F20" s="784"/>
      <c r="G20" s="792"/>
      <c r="H20" s="11"/>
      <c r="I20" s="800"/>
    </row>
    <row r="21" spans="1:11" x14ac:dyDescent="0.25">
      <c r="A21" s="715"/>
      <c r="B21" s="716"/>
      <c r="C21" s="715"/>
      <c r="D21" s="774"/>
      <c r="E21" s="774"/>
      <c r="F21" s="784">
        <f>SUM(D14:D21)-SUM(E14:E21)</f>
        <v>11900</v>
      </c>
      <c r="G21" s="792">
        <v>417678.73879999999</v>
      </c>
      <c r="H21" s="485"/>
      <c r="I21" s="800"/>
      <c r="K21" s="695"/>
    </row>
    <row r="22" spans="1:11" x14ac:dyDescent="0.25">
      <c r="A22" s="715" t="s">
        <v>17</v>
      </c>
      <c r="B22" s="716">
        <v>43873</v>
      </c>
      <c r="C22" s="715" t="s">
        <v>13</v>
      </c>
      <c r="D22" s="774">
        <v>43200</v>
      </c>
      <c r="E22" s="774"/>
      <c r="F22" s="784"/>
      <c r="G22" s="792"/>
      <c r="H22" s="627"/>
      <c r="I22" s="800"/>
    </row>
    <row r="23" spans="1:11" x14ac:dyDescent="0.25">
      <c r="A23" s="715"/>
      <c r="B23" s="716">
        <v>43900</v>
      </c>
      <c r="C23" s="715" t="s">
        <v>181</v>
      </c>
      <c r="D23" s="774"/>
      <c r="E23" s="774">
        <v>4500</v>
      </c>
      <c r="F23" s="784"/>
      <c r="G23" s="792"/>
      <c r="H23" s="627"/>
      <c r="I23" s="800"/>
    </row>
    <row r="24" spans="1:11" x14ac:dyDescent="0.25">
      <c r="A24" s="715"/>
      <c r="B24" s="716">
        <v>43900</v>
      </c>
      <c r="C24" s="715" t="s">
        <v>207</v>
      </c>
      <c r="D24" s="774"/>
      <c r="E24" s="774">
        <v>12050</v>
      </c>
      <c r="F24" s="784"/>
      <c r="G24" s="792"/>
      <c r="H24" s="627"/>
      <c r="I24" s="800"/>
    </row>
    <row r="25" spans="1:11" x14ac:dyDescent="0.25">
      <c r="A25" s="715"/>
      <c r="B25" s="716">
        <v>43906</v>
      </c>
      <c r="C25" s="715" t="s">
        <v>172</v>
      </c>
      <c r="D25" s="774"/>
      <c r="E25" s="774">
        <f>1900</f>
        <v>1900</v>
      </c>
      <c r="F25" s="784"/>
      <c r="G25" s="792"/>
      <c r="H25" s="627"/>
      <c r="I25" s="800"/>
    </row>
    <row r="26" spans="1:11" x14ac:dyDescent="0.25">
      <c r="A26" s="715"/>
      <c r="B26" s="716">
        <v>43921</v>
      </c>
      <c r="C26" s="715" t="s">
        <v>39</v>
      </c>
      <c r="D26" s="774"/>
      <c r="E26" s="774">
        <v>600</v>
      </c>
      <c r="F26" s="784"/>
      <c r="G26" s="792"/>
      <c r="H26" s="627"/>
      <c r="I26" s="800"/>
    </row>
    <row r="27" spans="1:11" x14ac:dyDescent="0.25">
      <c r="A27" s="715"/>
      <c r="B27" s="716">
        <v>43921</v>
      </c>
      <c r="C27" s="715" t="s">
        <v>186</v>
      </c>
      <c r="D27" s="774"/>
      <c r="E27" s="774">
        <v>3800</v>
      </c>
      <c r="F27" s="784"/>
      <c r="G27" s="792"/>
      <c r="H27" s="627"/>
      <c r="I27" s="800"/>
    </row>
    <row r="28" spans="1:11" x14ac:dyDescent="0.25">
      <c r="A28" s="715"/>
      <c r="B28" s="716">
        <v>43900</v>
      </c>
      <c r="C28" s="715" t="s">
        <v>248</v>
      </c>
      <c r="D28" s="774"/>
      <c r="E28" s="774">
        <v>6000</v>
      </c>
      <c r="F28" s="784"/>
      <c r="G28" s="792"/>
      <c r="H28" s="627"/>
      <c r="I28" s="800"/>
    </row>
    <row r="29" spans="1:11" x14ac:dyDescent="0.25">
      <c r="A29" s="715"/>
      <c r="B29" s="716"/>
      <c r="C29" s="715"/>
      <c r="D29" s="774"/>
      <c r="E29" s="774"/>
      <c r="F29" s="784">
        <f>SUM(D22:D29)-SUM(E22:E29)</f>
        <v>14350</v>
      </c>
      <c r="G29" s="792">
        <v>420244.70899999997</v>
      </c>
      <c r="H29" s="485"/>
      <c r="I29" s="800"/>
    </row>
    <row r="30" spans="1:11" x14ac:dyDescent="0.25">
      <c r="A30" s="715" t="s">
        <v>18</v>
      </c>
      <c r="B30" s="716">
        <v>43906</v>
      </c>
      <c r="C30" s="715" t="s">
        <v>13</v>
      </c>
      <c r="D30" s="774">
        <v>43800</v>
      </c>
      <c r="E30" s="774"/>
      <c r="F30" s="784"/>
      <c r="G30" s="792"/>
      <c r="H30" s="485"/>
      <c r="I30" s="800"/>
    </row>
    <row r="31" spans="1:11" x14ac:dyDescent="0.25">
      <c r="A31" s="715"/>
      <c r="B31" s="716">
        <v>43923</v>
      </c>
      <c r="C31" s="715" t="s">
        <v>181</v>
      </c>
      <c r="D31" s="774"/>
      <c r="E31" s="774">
        <v>4500</v>
      </c>
      <c r="F31" s="784"/>
      <c r="G31" s="792"/>
      <c r="H31" s="485"/>
      <c r="I31" s="800"/>
    </row>
    <row r="32" spans="1:11" x14ac:dyDescent="0.25">
      <c r="A32" s="715"/>
      <c r="B32" s="716">
        <v>43928</v>
      </c>
      <c r="C32" s="715" t="s">
        <v>207</v>
      </c>
      <c r="D32" s="774"/>
      <c r="E32" s="774">
        <v>13000</v>
      </c>
      <c r="F32" s="784"/>
      <c r="G32" s="792"/>
      <c r="H32" s="485"/>
      <c r="I32" s="800"/>
    </row>
    <row r="33" spans="1:16" x14ac:dyDescent="0.25">
      <c r="A33" s="715"/>
      <c r="B33" s="716">
        <v>43941</v>
      </c>
      <c r="C33" s="715" t="s">
        <v>172</v>
      </c>
      <c r="D33" s="774"/>
      <c r="E33" s="774">
        <f>1400</f>
        <v>1400</v>
      </c>
      <c r="F33" s="784"/>
      <c r="G33" s="792"/>
      <c r="H33" s="485"/>
      <c r="I33" s="800"/>
      <c r="L33" s="28"/>
    </row>
    <row r="34" spans="1:16" x14ac:dyDescent="0.25">
      <c r="A34" s="715"/>
      <c r="B34" s="716">
        <v>43951</v>
      </c>
      <c r="C34" s="715" t="s">
        <v>39</v>
      </c>
      <c r="D34" s="774"/>
      <c r="E34" s="774">
        <v>400</v>
      </c>
      <c r="F34" s="784"/>
      <c r="G34" s="792"/>
      <c r="H34" s="485"/>
      <c r="I34" s="800"/>
    </row>
    <row r="35" spans="1:16" x14ac:dyDescent="0.25">
      <c r="A35" s="715"/>
      <c r="B35" s="716">
        <v>43951</v>
      </c>
      <c r="C35" s="715" t="s">
        <v>186</v>
      </c>
      <c r="D35" s="774"/>
      <c r="E35" s="774">
        <v>3800</v>
      </c>
      <c r="F35" s="784"/>
      <c r="G35" s="792"/>
      <c r="H35" s="485"/>
      <c r="I35" s="800"/>
    </row>
    <row r="36" spans="1:16" x14ac:dyDescent="0.25">
      <c r="A36" s="715"/>
      <c r="B36" s="716">
        <v>43924</v>
      </c>
      <c r="C36" s="715" t="s">
        <v>753</v>
      </c>
      <c r="D36" s="774"/>
      <c r="E36" s="774">
        <v>1100</v>
      </c>
      <c r="F36" s="784"/>
      <c r="G36" s="792"/>
      <c r="H36" s="485"/>
      <c r="I36" s="800"/>
    </row>
    <row r="37" spans="1:16" x14ac:dyDescent="0.25">
      <c r="A37" s="715"/>
      <c r="B37" s="716">
        <v>43931</v>
      </c>
      <c r="C37" s="715" t="s">
        <v>248</v>
      </c>
      <c r="D37" s="774"/>
      <c r="E37" s="774">
        <v>6000</v>
      </c>
      <c r="F37" s="784"/>
      <c r="G37" s="792"/>
      <c r="H37" s="485"/>
      <c r="I37" s="800"/>
    </row>
    <row r="38" spans="1:16" x14ac:dyDescent="0.25">
      <c r="A38" s="715"/>
      <c r="B38" s="716"/>
      <c r="C38" s="715"/>
      <c r="D38" s="774"/>
      <c r="E38" s="774"/>
      <c r="F38" s="784">
        <f>SUM(D30:D38)-SUM(E30:E38)</f>
        <v>13600</v>
      </c>
      <c r="G38" s="792">
        <v>390069.81</v>
      </c>
      <c r="H38" s="11"/>
      <c r="I38" s="800"/>
      <c r="N38" s="77"/>
      <c r="O38" s="77"/>
      <c r="P38" s="77"/>
    </row>
    <row r="39" spans="1:16" x14ac:dyDescent="0.25">
      <c r="A39" s="715" t="s">
        <v>20</v>
      </c>
      <c r="B39" s="716">
        <v>43907</v>
      </c>
      <c r="C39" s="715" t="s">
        <v>13</v>
      </c>
      <c r="D39" s="774">
        <v>43800</v>
      </c>
      <c r="E39" s="774"/>
      <c r="F39" s="784"/>
      <c r="G39" s="792"/>
      <c r="H39" s="485"/>
      <c r="I39" s="800"/>
      <c r="N39" s="77"/>
      <c r="O39" s="77"/>
      <c r="P39" s="77"/>
    </row>
    <row r="40" spans="1:16" x14ac:dyDescent="0.25">
      <c r="A40" s="715"/>
      <c r="B40" s="716">
        <v>43961</v>
      </c>
      <c r="C40" s="715" t="s">
        <v>181</v>
      </c>
      <c r="D40" s="774"/>
      <c r="E40" s="774">
        <v>4500</v>
      </c>
      <c r="F40" s="784"/>
      <c r="G40" s="792"/>
      <c r="H40" s="485"/>
      <c r="I40" s="800"/>
      <c r="N40" s="77"/>
      <c r="O40" s="77"/>
      <c r="P40" s="77"/>
    </row>
    <row r="41" spans="1:16" x14ac:dyDescent="0.25">
      <c r="A41" s="715"/>
      <c r="B41" s="716">
        <v>43963</v>
      </c>
      <c r="C41" s="715" t="s">
        <v>207</v>
      </c>
      <c r="D41" s="774"/>
      <c r="E41" s="774">
        <v>10000</v>
      </c>
      <c r="F41" s="784"/>
      <c r="G41" s="792"/>
      <c r="H41" s="76"/>
      <c r="I41" s="800"/>
      <c r="N41" s="77"/>
      <c r="O41" s="77"/>
      <c r="P41" s="77"/>
    </row>
    <row r="42" spans="1:16" x14ac:dyDescent="0.25">
      <c r="A42" s="715"/>
      <c r="B42" s="716">
        <v>43969</v>
      </c>
      <c r="C42" s="715" t="s">
        <v>172</v>
      </c>
      <c r="D42" s="774"/>
      <c r="E42" s="774">
        <f>1400</f>
        <v>1400</v>
      </c>
      <c r="F42" s="784"/>
      <c r="G42" s="792"/>
      <c r="H42" s="76"/>
      <c r="I42" s="800"/>
      <c r="N42" s="77"/>
      <c r="O42" s="77"/>
      <c r="P42" s="77"/>
    </row>
    <row r="43" spans="1:16" x14ac:dyDescent="0.25">
      <c r="A43" s="715"/>
      <c r="B43" s="716">
        <v>43982</v>
      </c>
      <c r="C43" s="715" t="s">
        <v>186</v>
      </c>
      <c r="D43" s="774"/>
      <c r="E43" s="774">
        <v>1300</v>
      </c>
      <c r="F43" s="784"/>
      <c r="G43" s="792"/>
      <c r="H43" s="76"/>
      <c r="I43" s="800"/>
      <c r="N43" s="77"/>
      <c r="O43" s="77"/>
      <c r="P43" s="77"/>
    </row>
    <row r="44" spans="1:16" x14ac:dyDescent="0.25">
      <c r="A44" s="715"/>
      <c r="B44" s="716">
        <v>43961</v>
      </c>
      <c r="C44" s="715" t="s">
        <v>248</v>
      </c>
      <c r="D44" s="774"/>
      <c r="E44" s="774">
        <v>6000</v>
      </c>
      <c r="F44" s="784"/>
      <c r="G44" s="792"/>
      <c r="H44" s="76"/>
      <c r="I44" s="800"/>
      <c r="N44" s="77"/>
      <c r="O44" s="77"/>
      <c r="P44" s="77"/>
    </row>
    <row r="45" spans="1:16" x14ac:dyDescent="0.25">
      <c r="A45" s="715"/>
      <c r="B45" s="716"/>
      <c r="C45" s="715"/>
      <c r="D45" s="774"/>
      <c r="E45" s="774"/>
      <c r="F45" s="784">
        <f>SUM(D39:D45)-SUM(E39:E45)</f>
        <v>20600</v>
      </c>
      <c r="G45" s="792">
        <v>448701.10550000001</v>
      </c>
      <c r="H45" s="76"/>
      <c r="I45" s="800"/>
    </row>
    <row r="46" spans="1:16" x14ac:dyDescent="0.25">
      <c r="A46" s="715" t="s">
        <v>21</v>
      </c>
      <c r="B46" s="716">
        <v>43963</v>
      </c>
      <c r="C46" s="715" t="s">
        <v>13</v>
      </c>
      <c r="D46" s="774">
        <v>43800</v>
      </c>
      <c r="E46" s="774"/>
      <c r="F46" s="784"/>
      <c r="G46" s="792"/>
      <c r="H46" s="485"/>
      <c r="I46" s="800"/>
    </row>
    <row r="47" spans="1:16" x14ac:dyDescent="0.25">
      <c r="A47" s="715"/>
      <c r="B47" s="716">
        <v>43992</v>
      </c>
      <c r="C47" s="715" t="s">
        <v>181</v>
      </c>
      <c r="D47" s="774"/>
      <c r="E47" s="774">
        <v>4500</v>
      </c>
      <c r="F47" s="784"/>
      <c r="G47" s="792"/>
      <c r="H47" s="485"/>
      <c r="I47" s="800"/>
      <c r="J47" s="800"/>
      <c r="L47" s="644"/>
    </row>
    <row r="48" spans="1:16" x14ac:dyDescent="0.25">
      <c r="A48" s="715"/>
      <c r="B48" s="716">
        <v>43991</v>
      </c>
      <c r="C48" s="715" t="s">
        <v>207</v>
      </c>
      <c r="D48" s="774"/>
      <c r="E48" s="774">
        <v>7800</v>
      </c>
      <c r="F48" s="784"/>
      <c r="G48" s="792"/>
      <c r="H48" s="485"/>
      <c r="I48" s="800"/>
      <c r="J48" s="800"/>
      <c r="L48" s="644"/>
    </row>
    <row r="49" spans="1:13" x14ac:dyDescent="0.25">
      <c r="A49" s="715"/>
      <c r="B49" s="716">
        <v>43997</v>
      </c>
      <c r="C49" s="715" t="s">
        <v>172</v>
      </c>
      <c r="D49" s="774"/>
      <c r="E49" s="774">
        <v>1400</v>
      </c>
      <c r="F49" s="784"/>
      <c r="G49" s="792"/>
      <c r="H49" s="485"/>
      <c r="I49" s="800"/>
      <c r="J49" s="800"/>
      <c r="L49" s="644"/>
    </row>
    <row r="50" spans="1:13" x14ac:dyDescent="0.25">
      <c r="A50" s="715"/>
      <c r="B50" s="716">
        <v>44012</v>
      </c>
      <c r="C50" s="715" t="s">
        <v>186</v>
      </c>
      <c r="D50" s="774"/>
      <c r="E50" s="774">
        <v>1300</v>
      </c>
      <c r="F50" s="784"/>
      <c r="G50" s="792"/>
      <c r="H50" s="485"/>
      <c r="I50" s="800"/>
      <c r="J50" s="800"/>
    </row>
    <row r="51" spans="1:13" x14ac:dyDescent="0.25">
      <c r="A51" s="715"/>
      <c r="B51" s="716">
        <v>44012</v>
      </c>
      <c r="C51" s="715" t="s">
        <v>248</v>
      </c>
      <c r="D51" s="774"/>
      <c r="E51" s="774">
        <v>7000</v>
      </c>
      <c r="F51" s="784"/>
      <c r="G51" s="792"/>
      <c r="H51" s="485"/>
      <c r="I51" s="800"/>
      <c r="J51" s="800"/>
    </row>
    <row r="52" spans="1:13" x14ac:dyDescent="0.25">
      <c r="A52" s="715"/>
      <c r="B52" s="716"/>
      <c r="C52" s="715"/>
      <c r="D52" s="774"/>
      <c r="E52" s="774"/>
      <c r="F52" s="784">
        <f>SUM(D46:D52)-SUM(E46:E52)</f>
        <v>21800</v>
      </c>
      <c r="G52" s="792">
        <v>477297.54269999999</v>
      </c>
      <c r="H52" s="11"/>
      <c r="I52" s="801"/>
      <c r="J52" s="801"/>
      <c r="K52" s="696"/>
      <c r="L52" s="648"/>
      <c r="M52" s="648"/>
    </row>
    <row r="53" spans="1:13" x14ac:dyDescent="0.25">
      <c r="A53" s="715" t="s">
        <v>22</v>
      </c>
      <c r="B53" s="716">
        <v>43999</v>
      </c>
      <c r="C53" s="715" t="s">
        <v>13</v>
      </c>
      <c r="D53" s="774">
        <v>43800</v>
      </c>
      <c r="E53" s="774"/>
      <c r="F53" s="784"/>
      <c r="G53" s="792"/>
      <c r="H53" s="485"/>
      <c r="I53" s="801"/>
      <c r="J53" s="801"/>
      <c r="K53" s="696"/>
      <c r="L53" s="648"/>
      <c r="M53" s="648"/>
    </row>
    <row r="54" spans="1:13" x14ac:dyDescent="0.25">
      <c r="A54" s="715"/>
      <c r="B54" s="716">
        <v>44022</v>
      </c>
      <c r="C54" s="715" t="s">
        <v>181</v>
      </c>
      <c r="D54" s="774"/>
      <c r="E54" s="774">
        <v>4500</v>
      </c>
      <c r="F54" s="784"/>
      <c r="G54" s="792"/>
      <c r="H54" s="485"/>
      <c r="I54" s="801"/>
      <c r="J54" s="801"/>
      <c r="K54" s="696"/>
      <c r="L54" s="648"/>
      <c r="M54" s="648"/>
    </row>
    <row r="55" spans="1:13" x14ac:dyDescent="0.25">
      <c r="A55" s="715"/>
      <c r="B55" s="716">
        <v>44026</v>
      </c>
      <c r="C55" s="715" t="s">
        <v>207</v>
      </c>
      <c r="D55" s="774"/>
      <c r="E55" s="774">
        <v>6000</v>
      </c>
      <c r="F55" s="784"/>
      <c r="G55" s="792"/>
      <c r="H55" s="485"/>
      <c r="I55" s="802"/>
      <c r="J55" s="802"/>
      <c r="K55" s="696"/>
      <c r="L55" s="648"/>
      <c r="M55" s="648"/>
    </row>
    <row r="56" spans="1:13" x14ac:dyDescent="0.25">
      <c r="A56" s="715"/>
      <c r="B56" s="716">
        <v>44032</v>
      </c>
      <c r="C56" s="715" t="s">
        <v>172</v>
      </c>
      <c r="D56" s="774"/>
      <c r="E56" s="774">
        <v>1400</v>
      </c>
      <c r="F56" s="784"/>
      <c r="G56" s="792"/>
      <c r="H56" s="485"/>
      <c r="I56" s="803"/>
      <c r="J56" s="803"/>
      <c r="K56" s="696"/>
      <c r="L56" s="648"/>
      <c r="M56" s="648"/>
    </row>
    <row r="57" spans="1:13" x14ac:dyDescent="0.25">
      <c r="A57" s="715"/>
      <c r="B57" s="716">
        <v>44023</v>
      </c>
      <c r="C57" s="715" t="s">
        <v>186</v>
      </c>
      <c r="D57" s="774"/>
      <c r="E57" s="774">
        <v>2200</v>
      </c>
      <c r="F57" s="784"/>
      <c r="G57" s="792"/>
      <c r="H57" s="485"/>
      <c r="I57" s="802"/>
      <c r="J57" s="802"/>
      <c r="K57" s="696"/>
      <c r="L57" s="648"/>
      <c r="M57" s="648"/>
    </row>
    <row r="58" spans="1:13" x14ac:dyDescent="0.25">
      <c r="A58" s="715"/>
      <c r="B58" s="716">
        <v>44043</v>
      </c>
      <c r="C58" s="715" t="s">
        <v>248</v>
      </c>
      <c r="D58" s="774"/>
      <c r="E58" s="774">
        <v>7000</v>
      </c>
      <c r="F58" s="784"/>
      <c r="G58" s="792"/>
      <c r="H58" s="485"/>
      <c r="I58" s="803"/>
      <c r="J58" s="802"/>
      <c r="K58" s="696"/>
      <c r="L58" s="648"/>
      <c r="M58" s="648"/>
    </row>
    <row r="59" spans="1:13" x14ac:dyDescent="0.25">
      <c r="A59" s="715"/>
      <c r="B59" s="716"/>
      <c r="C59" s="715"/>
      <c r="D59" s="774"/>
      <c r="E59" s="774"/>
      <c r="F59" s="784">
        <f>SUM(D53:D59)-SUM(E53:E59)</f>
        <v>22700</v>
      </c>
      <c r="G59" s="792">
        <v>551878.5183</v>
      </c>
      <c r="H59" s="11"/>
      <c r="I59" s="801"/>
      <c r="J59" s="814"/>
      <c r="K59" s="697"/>
      <c r="L59" s="648"/>
      <c r="M59" s="648"/>
    </row>
    <row r="60" spans="1:13" x14ac:dyDescent="0.25">
      <c r="A60" s="715" t="s">
        <v>23</v>
      </c>
      <c r="B60" s="716">
        <v>44026</v>
      </c>
      <c r="C60" s="715" t="s">
        <v>13</v>
      </c>
      <c r="D60" s="774">
        <v>43800</v>
      </c>
      <c r="E60" s="774"/>
      <c r="F60" s="784"/>
      <c r="G60" s="792"/>
      <c r="J60" s="785"/>
      <c r="K60" s="698"/>
      <c r="L60" s="646"/>
      <c r="M60" s="646"/>
    </row>
    <row r="61" spans="1:13" x14ac:dyDescent="0.25">
      <c r="A61" s="715"/>
      <c r="B61" s="716">
        <v>44060</v>
      </c>
      <c r="C61" s="715" t="s">
        <v>172</v>
      </c>
      <c r="D61" s="774"/>
      <c r="E61" s="774">
        <v>1400</v>
      </c>
      <c r="F61" s="784"/>
      <c r="G61" s="792"/>
      <c r="H61" s="485"/>
      <c r="I61" s="800"/>
      <c r="J61" s="806"/>
      <c r="K61" s="699"/>
    </row>
    <row r="62" spans="1:13" x14ac:dyDescent="0.25">
      <c r="A62" s="715"/>
      <c r="B62" s="716">
        <v>44054</v>
      </c>
      <c r="C62" s="715" t="s">
        <v>186</v>
      </c>
      <c r="D62" s="774"/>
      <c r="E62" s="774">
        <v>1900</v>
      </c>
      <c r="F62" s="784"/>
      <c r="G62" s="792"/>
      <c r="H62" s="11"/>
      <c r="I62" s="800"/>
      <c r="J62" s="806"/>
      <c r="K62" s="699"/>
    </row>
    <row r="63" spans="1:13" x14ac:dyDescent="0.25">
      <c r="A63" s="715"/>
      <c r="B63" s="716">
        <v>44053</v>
      </c>
      <c r="C63" s="715" t="s">
        <v>248</v>
      </c>
      <c r="D63" s="774"/>
      <c r="E63" s="774">
        <v>7000</v>
      </c>
      <c r="F63" s="784"/>
      <c r="G63" s="792"/>
      <c r="H63" s="11"/>
      <c r="I63" s="800"/>
      <c r="J63" s="806"/>
      <c r="K63" s="699"/>
    </row>
    <row r="64" spans="1:13" x14ac:dyDescent="0.25">
      <c r="A64" s="715"/>
      <c r="B64" s="716"/>
      <c r="C64" s="715"/>
      <c r="D64" s="774"/>
      <c r="E64" s="774"/>
      <c r="F64" s="784">
        <f>SUM(D60:D64)-SUM(E60:E64)</f>
        <v>33500</v>
      </c>
      <c r="G64" s="792">
        <v>596759.15110000002</v>
      </c>
      <c r="H64" s="11"/>
      <c r="I64" s="800"/>
      <c r="J64" s="806"/>
      <c r="K64" s="699"/>
    </row>
    <row r="65" spans="1:13" x14ac:dyDescent="0.25">
      <c r="A65" s="715" t="s">
        <v>24</v>
      </c>
      <c r="B65" s="716">
        <v>44054</v>
      </c>
      <c r="C65" s="715" t="s">
        <v>13</v>
      </c>
      <c r="D65" s="774">
        <v>43800</v>
      </c>
      <c r="E65" s="774"/>
      <c r="F65" s="784"/>
      <c r="G65" s="792"/>
      <c r="H65" s="11"/>
      <c r="I65" s="800"/>
      <c r="J65" s="806"/>
      <c r="K65" s="699"/>
    </row>
    <row r="66" spans="1:13" x14ac:dyDescent="0.25">
      <c r="A66" s="715"/>
      <c r="B66" s="716">
        <v>44095</v>
      </c>
      <c r="C66" s="715" t="s">
        <v>172</v>
      </c>
      <c r="D66" s="774"/>
      <c r="E66" s="774">
        <v>1400</v>
      </c>
      <c r="F66" s="784"/>
      <c r="G66" s="792"/>
      <c r="H66" s="11"/>
      <c r="I66" s="800"/>
    </row>
    <row r="67" spans="1:13" x14ac:dyDescent="0.25">
      <c r="A67" s="715"/>
      <c r="B67" s="716">
        <v>44085</v>
      </c>
      <c r="C67" s="715" t="s">
        <v>186</v>
      </c>
      <c r="D67" s="774"/>
      <c r="E67" s="774">
        <v>1900</v>
      </c>
      <c r="F67" s="784"/>
      <c r="G67" s="792"/>
      <c r="H67" s="11"/>
      <c r="I67" s="800"/>
      <c r="L67" s="644"/>
    </row>
    <row r="68" spans="1:13" x14ac:dyDescent="0.25">
      <c r="A68" s="715"/>
      <c r="B68" s="716">
        <v>44084</v>
      </c>
      <c r="C68" s="715" t="s">
        <v>248</v>
      </c>
      <c r="D68" s="774"/>
      <c r="E68" s="774">
        <v>7000</v>
      </c>
      <c r="F68" s="784"/>
      <c r="G68" s="792"/>
      <c r="H68" s="11"/>
      <c r="I68" s="800"/>
      <c r="K68" s="699"/>
      <c r="L68" s="644"/>
    </row>
    <row r="69" spans="1:13" x14ac:dyDescent="0.25">
      <c r="A69" s="715"/>
      <c r="B69" s="716"/>
      <c r="C69" s="715"/>
      <c r="D69" s="774"/>
      <c r="E69" s="774"/>
      <c r="F69" s="784">
        <f>SUM(D65:D69)-SUM(E65:E69)</f>
        <v>33500</v>
      </c>
      <c r="G69" s="792">
        <v>617314.29429999995</v>
      </c>
      <c r="H69" s="11"/>
      <c r="I69" s="800"/>
      <c r="J69" s="806"/>
      <c r="K69" s="699"/>
    </row>
    <row r="70" spans="1:13" x14ac:dyDescent="0.25">
      <c r="A70" s="715" t="s">
        <v>25</v>
      </c>
      <c r="B70" s="716">
        <v>44089</v>
      </c>
      <c r="C70" s="715" t="s">
        <v>13</v>
      </c>
      <c r="D70" s="774">
        <v>43800</v>
      </c>
      <c r="E70" s="774"/>
      <c r="F70" s="784"/>
      <c r="G70" s="792"/>
      <c r="K70" s="699"/>
      <c r="L70" s="644"/>
    </row>
    <row r="71" spans="1:13" x14ac:dyDescent="0.25">
      <c r="A71" s="715"/>
      <c r="B71" s="716">
        <v>44123</v>
      </c>
      <c r="C71" s="715" t="s">
        <v>172</v>
      </c>
      <c r="D71" s="774"/>
      <c r="E71" s="774">
        <v>1400</v>
      </c>
      <c r="F71" s="784"/>
      <c r="G71" s="792"/>
      <c r="H71" s="11"/>
      <c r="I71" s="800"/>
      <c r="L71" s="644"/>
    </row>
    <row r="72" spans="1:13" x14ac:dyDescent="0.25">
      <c r="A72" s="715"/>
      <c r="B72" s="716">
        <v>44115</v>
      </c>
      <c r="C72" s="715" t="s">
        <v>186</v>
      </c>
      <c r="D72" s="774"/>
      <c r="E72" s="774">
        <v>1900</v>
      </c>
      <c r="F72" s="784"/>
      <c r="G72" s="792"/>
      <c r="H72" s="11"/>
      <c r="I72" s="800"/>
      <c r="L72" s="644"/>
      <c r="M72" s="644"/>
    </row>
    <row r="73" spans="1:13" x14ac:dyDescent="0.25">
      <c r="A73" s="715"/>
      <c r="B73" s="716">
        <v>44114</v>
      </c>
      <c r="C73" s="715" t="s">
        <v>248</v>
      </c>
      <c r="D73" s="774"/>
      <c r="E73" s="774">
        <v>7000</v>
      </c>
      <c r="F73" s="784"/>
      <c r="G73" s="792"/>
      <c r="H73" s="11"/>
      <c r="I73" s="800"/>
      <c r="J73" s="806"/>
      <c r="K73" s="699"/>
      <c r="L73" s="644"/>
      <c r="M73" s="644"/>
    </row>
    <row r="74" spans="1:13" x14ac:dyDescent="0.25">
      <c r="A74" s="715"/>
      <c r="B74" s="716"/>
      <c r="C74" s="715"/>
      <c r="D74" s="774"/>
      <c r="E74" s="774"/>
      <c r="F74" s="784">
        <f>SUM(D70:D74)-SUM(E70:E74)</f>
        <v>33500</v>
      </c>
      <c r="G74" s="792">
        <v>691222.61</v>
      </c>
      <c r="H74" s="485"/>
      <c r="I74" s="800"/>
      <c r="J74" s="806"/>
      <c r="K74" s="699"/>
      <c r="M74" s="644"/>
    </row>
    <row r="75" spans="1:13" x14ac:dyDescent="0.25">
      <c r="A75" s="715" t="s">
        <v>26</v>
      </c>
      <c r="B75" s="716">
        <v>44118</v>
      </c>
      <c r="C75" s="715" t="s">
        <v>13</v>
      </c>
      <c r="D75" s="774">
        <v>52600</v>
      </c>
      <c r="E75" s="774"/>
      <c r="F75" s="784"/>
      <c r="G75" s="792"/>
      <c r="H75" s="11"/>
      <c r="I75" s="800"/>
      <c r="J75" s="806"/>
      <c r="K75" s="699"/>
      <c r="L75" s="88"/>
      <c r="M75" s="644"/>
    </row>
    <row r="76" spans="1:13" x14ac:dyDescent="0.25">
      <c r="A76" s="715"/>
      <c r="B76" s="716">
        <v>44151</v>
      </c>
      <c r="C76" s="715" t="s">
        <v>172</v>
      </c>
      <c r="D76" s="774"/>
      <c r="E76" s="774">
        <v>1400</v>
      </c>
      <c r="F76" s="784"/>
      <c r="G76" s="792"/>
      <c r="H76" s="11"/>
      <c r="I76" s="800"/>
      <c r="L76" s="88"/>
      <c r="M76" s="644"/>
    </row>
    <row r="77" spans="1:13" x14ac:dyDescent="0.25">
      <c r="A77" s="715"/>
      <c r="B77" s="716">
        <v>44146</v>
      </c>
      <c r="C77" s="715" t="s">
        <v>186</v>
      </c>
      <c r="D77" s="774"/>
      <c r="E77" s="774">
        <v>2100</v>
      </c>
      <c r="F77" s="784"/>
      <c r="G77" s="792"/>
      <c r="H77" s="11"/>
      <c r="I77" s="800"/>
      <c r="M77" s="644"/>
    </row>
    <row r="78" spans="1:13" x14ac:dyDescent="0.25">
      <c r="A78" s="715"/>
      <c r="B78" s="716">
        <v>44145</v>
      </c>
      <c r="C78" s="715" t="s">
        <v>248</v>
      </c>
      <c r="D78" s="774"/>
      <c r="E78" s="774">
        <v>7000</v>
      </c>
      <c r="F78" s="784"/>
      <c r="M78" s="644"/>
    </row>
    <row r="79" spans="1:13" x14ac:dyDescent="0.25">
      <c r="A79" s="715"/>
      <c r="B79" s="716"/>
      <c r="C79" s="715"/>
      <c r="D79" s="774"/>
      <c r="E79" s="774"/>
      <c r="F79" s="784">
        <f>SUM(D75:D79)-SUM(E75:E79)</f>
        <v>42100</v>
      </c>
      <c r="G79" s="792">
        <v>828065.11899999995</v>
      </c>
      <c r="H79" s="485"/>
      <c r="I79" s="800"/>
      <c r="J79" s="806"/>
      <c r="K79" s="699"/>
    </row>
    <row r="80" spans="1:13" x14ac:dyDescent="0.25">
      <c r="A80" s="715" t="s">
        <v>27</v>
      </c>
      <c r="B80" s="716">
        <v>44146</v>
      </c>
      <c r="C80" s="715" t="s">
        <v>13</v>
      </c>
      <c r="D80" s="774">
        <v>52600</v>
      </c>
      <c r="E80" s="774"/>
      <c r="F80" s="784"/>
      <c r="G80" s="792"/>
      <c r="H80" s="11"/>
      <c r="I80" s="800"/>
      <c r="J80" s="806"/>
      <c r="K80" s="699"/>
    </row>
    <row r="81" spans="1:13" x14ac:dyDescent="0.25">
      <c r="A81" s="715"/>
      <c r="B81" s="716">
        <v>44186</v>
      </c>
      <c r="C81" s="715" t="s">
        <v>172</v>
      </c>
      <c r="D81" s="774"/>
      <c r="E81" s="774">
        <v>1400</v>
      </c>
      <c r="F81" s="784"/>
      <c r="G81" s="792"/>
      <c r="H81" s="11"/>
      <c r="I81" s="800"/>
    </row>
    <row r="82" spans="1:13" x14ac:dyDescent="0.25">
      <c r="A82" s="715"/>
      <c r="B82" s="716">
        <v>44176</v>
      </c>
      <c r="C82" s="715" t="s">
        <v>186</v>
      </c>
      <c r="D82" s="774"/>
      <c r="E82" s="774">
        <v>1600</v>
      </c>
      <c r="F82" s="784"/>
      <c r="G82" s="792"/>
      <c r="H82" s="11"/>
      <c r="I82" s="800"/>
      <c r="M82" s="644"/>
    </row>
    <row r="83" spans="1:13" x14ac:dyDescent="0.25">
      <c r="A83" s="715"/>
      <c r="B83" s="716">
        <v>44145</v>
      </c>
      <c r="C83" s="715" t="s">
        <v>248</v>
      </c>
      <c r="D83" s="774"/>
      <c r="E83" s="774">
        <v>8000</v>
      </c>
      <c r="F83" s="784"/>
      <c r="G83" s="792"/>
      <c r="H83" s="485"/>
      <c r="I83" s="804"/>
      <c r="J83" s="806"/>
      <c r="M83" s="644"/>
    </row>
    <row r="84" spans="1:13" x14ac:dyDescent="0.25">
      <c r="A84" s="715"/>
      <c r="B84" s="716"/>
      <c r="C84" s="715"/>
      <c r="D84" s="774"/>
      <c r="E84" s="774"/>
      <c r="F84" s="784">
        <f>SUM(D80:D84)-SUM(E80:E84)</f>
        <v>41600</v>
      </c>
      <c r="G84" s="792">
        <v>985667.14</v>
      </c>
      <c r="H84" s="485"/>
      <c r="I84" s="767"/>
      <c r="J84" s="767"/>
      <c r="K84" s="691"/>
      <c r="L84" s="666"/>
    </row>
    <row r="85" spans="1:13" x14ac:dyDescent="0.25">
      <c r="A85" s="19"/>
      <c r="D85" s="775"/>
      <c r="E85" s="775"/>
      <c r="H85" s="485"/>
      <c r="I85" s="800"/>
    </row>
    <row r="86" spans="1:13" x14ac:dyDescent="0.25">
      <c r="A86" s="19"/>
      <c r="D86" s="775"/>
      <c r="E86" s="775"/>
    </row>
    <row r="87" spans="1:13" x14ac:dyDescent="0.25">
      <c r="A87" s="19"/>
      <c r="D87" s="775"/>
      <c r="E87" s="775"/>
    </row>
    <row r="88" spans="1:13" x14ac:dyDescent="0.25">
      <c r="A88" s="19"/>
      <c r="D88" s="775"/>
      <c r="E88" s="775"/>
    </row>
    <row r="89" spans="1:13" x14ac:dyDescent="0.25">
      <c r="A89" s="19"/>
      <c r="D89" s="775"/>
      <c r="E89" s="775"/>
      <c r="I89" s="805" t="s">
        <v>28</v>
      </c>
      <c r="J89" s="805">
        <f>+J90/36</f>
        <v>10363.452144444445</v>
      </c>
      <c r="K89" s="700"/>
    </row>
    <row r="90" spans="1:13" x14ac:dyDescent="0.25">
      <c r="A90" s="19"/>
      <c r="D90" s="775"/>
      <c r="E90" s="775"/>
      <c r="I90" s="805"/>
      <c r="J90" s="805">
        <v>373084.27720000001</v>
      </c>
      <c r="K90" s="700"/>
    </row>
    <row r="91" spans="1:13" x14ac:dyDescent="0.25">
      <c r="A91" s="19"/>
      <c r="D91" s="775"/>
      <c r="E91" s="775"/>
      <c r="I91" s="805" t="s">
        <v>144</v>
      </c>
      <c r="J91" s="805" t="s">
        <v>145</v>
      </c>
      <c r="K91" s="700" t="s">
        <v>146</v>
      </c>
    </row>
    <row r="92" spans="1:13" x14ac:dyDescent="0.25">
      <c r="A92" s="19"/>
      <c r="D92" s="775"/>
      <c r="E92" s="775"/>
      <c r="I92" s="805">
        <f>_ENE20v</f>
        <v>395781.52279999998</v>
      </c>
      <c r="J92" s="805">
        <f>+I92-J90</f>
        <v>22697.245599999966</v>
      </c>
      <c r="K92" s="719">
        <f>(+J92*100/J90)/100</f>
        <v>6.083677867730837E-2</v>
      </c>
    </row>
    <row r="93" spans="1:13" x14ac:dyDescent="0.25">
      <c r="A93" s="19"/>
      <c r="D93" s="775"/>
      <c r="E93" s="775"/>
      <c r="I93" s="805">
        <f>_FEB20v</f>
        <v>417678.73879999999</v>
      </c>
      <c r="J93" s="805">
        <f t="shared" ref="J93:J101" si="0">+I93-I92</f>
        <v>21897.216000000015</v>
      </c>
      <c r="K93" s="719">
        <f t="shared" ref="K93:K101" si="1">(+J93*100/I92)/100</f>
        <v>5.53265242022562E-2</v>
      </c>
    </row>
    <row r="94" spans="1:13" x14ac:dyDescent="0.25">
      <c r="A94" s="19"/>
      <c r="D94" s="775"/>
      <c r="E94" s="775"/>
      <c r="I94" s="805">
        <f>_MAR20v</f>
        <v>420244.70899999997</v>
      </c>
      <c r="J94" s="805">
        <f t="shared" si="0"/>
        <v>2565.9701999999816</v>
      </c>
      <c r="K94" s="719">
        <f t="shared" si="1"/>
        <v>6.1434063112048012E-3</v>
      </c>
    </row>
    <row r="95" spans="1:13" x14ac:dyDescent="0.25">
      <c r="A95" s="19"/>
      <c r="D95" s="775"/>
      <c r="E95" s="775"/>
      <c r="I95" s="805">
        <f>_ABR20v</f>
        <v>390069.81</v>
      </c>
      <c r="J95" s="805">
        <f t="shared" si="0"/>
        <v>-30174.898999999976</v>
      </c>
      <c r="K95" s="719">
        <f t="shared" si="1"/>
        <v>-7.1803162190436948E-2</v>
      </c>
    </row>
    <row r="96" spans="1:13" x14ac:dyDescent="0.25">
      <c r="A96" s="19"/>
      <c r="D96" s="775"/>
      <c r="E96" s="775"/>
      <c r="I96" s="805">
        <f>_MAY20v</f>
        <v>448701.10550000001</v>
      </c>
      <c r="J96" s="805">
        <f t="shared" si="0"/>
        <v>58631.295500000007</v>
      </c>
      <c r="K96" s="719">
        <f t="shared" si="1"/>
        <v>0.15030974968301189</v>
      </c>
    </row>
    <row r="97" spans="1:15" x14ac:dyDescent="0.25">
      <c r="A97" s="19"/>
      <c r="D97" s="775"/>
      <c r="E97" s="775"/>
      <c r="I97" s="805">
        <f>_JUN20v</f>
        <v>477297.54269999999</v>
      </c>
      <c r="J97" s="805">
        <f t="shared" si="0"/>
        <v>28596.437199999986</v>
      </c>
      <c r="K97" s="719">
        <f t="shared" si="1"/>
        <v>6.3731595152042672E-2</v>
      </c>
    </row>
    <row r="98" spans="1:15" x14ac:dyDescent="0.25">
      <c r="A98" s="19"/>
      <c r="D98" s="775"/>
      <c r="E98" s="775"/>
      <c r="I98" s="805">
        <f>_JUL20v</f>
        <v>551878.5183</v>
      </c>
      <c r="J98" s="805">
        <f t="shared" si="0"/>
        <v>74580.975600000005</v>
      </c>
      <c r="K98" s="719">
        <f t="shared" si="1"/>
        <v>0.15625677680657377</v>
      </c>
    </row>
    <row r="99" spans="1:15" x14ac:dyDescent="0.25">
      <c r="A99" s="19"/>
      <c r="D99" s="775"/>
      <c r="E99" s="775"/>
      <c r="I99" s="805">
        <f>_AGO20v</f>
        <v>596759.15110000002</v>
      </c>
      <c r="J99" s="805">
        <f t="shared" si="0"/>
        <v>44880.632800000021</v>
      </c>
      <c r="K99" s="719">
        <f t="shared" si="1"/>
        <v>8.1323391492478803E-2</v>
      </c>
    </row>
    <row r="100" spans="1:15" x14ac:dyDescent="0.25">
      <c r="A100" s="19"/>
      <c r="D100" s="775"/>
      <c r="E100" s="775"/>
      <c r="I100" s="805">
        <f>_SEP20v</f>
        <v>617314.29429999995</v>
      </c>
      <c r="J100" s="805">
        <f t="shared" si="0"/>
        <v>20555.143199999933</v>
      </c>
      <c r="K100" s="719">
        <f t="shared" si="1"/>
        <v>3.4444621690527658E-2</v>
      </c>
    </row>
    <row r="101" spans="1:15" x14ac:dyDescent="0.25">
      <c r="A101" s="19"/>
      <c r="D101" s="775"/>
      <c r="E101" s="775"/>
      <c r="I101" s="805">
        <f>_OCT20v</f>
        <v>691222.61</v>
      </c>
      <c r="J101" s="805">
        <f t="shared" si="0"/>
        <v>73908.315700000036</v>
      </c>
      <c r="K101" s="719">
        <f t="shared" si="1"/>
        <v>0.11972558611137937</v>
      </c>
    </row>
    <row r="102" spans="1:15" x14ac:dyDescent="0.25">
      <c r="A102" s="19"/>
      <c r="D102" s="775"/>
      <c r="E102" s="775"/>
      <c r="I102" s="805">
        <f>_NOV20v</f>
        <v>828065.11899999995</v>
      </c>
      <c r="J102" s="805">
        <f>+I102-I101</f>
        <v>136842.50899999996</v>
      </c>
      <c r="K102" s="719">
        <f>(+J102*100/I101)/100</f>
        <v>0.19797169105912199</v>
      </c>
    </row>
    <row r="103" spans="1:15" x14ac:dyDescent="0.25">
      <c r="A103" s="19"/>
      <c r="D103" s="775"/>
      <c r="E103" s="775"/>
      <c r="I103" s="805">
        <f>_DIC20v</f>
        <v>985667.14</v>
      </c>
      <c r="J103" s="805">
        <f>+I103-I102</f>
        <v>157602.02100000007</v>
      </c>
      <c r="K103" s="719">
        <f>(+J103*100/I102)/100</f>
        <v>0.19032563669669567</v>
      </c>
    </row>
    <row r="104" spans="1:15" x14ac:dyDescent="0.25">
      <c r="A104" s="19"/>
      <c r="D104" s="775"/>
      <c r="E104" s="775"/>
      <c r="I104" s="805"/>
      <c r="J104" s="805">
        <f>SUM(J92:J103)</f>
        <v>612582.8628</v>
      </c>
      <c r="K104" s="719">
        <f>SUM(K92:K103)</f>
        <v>1.0445925956921642</v>
      </c>
      <c r="L104" s="28"/>
    </row>
    <row r="105" spans="1:15" x14ac:dyDescent="0.25">
      <c r="A105" s="19"/>
      <c r="D105" s="775"/>
      <c r="E105" s="775"/>
      <c r="G105" s="794"/>
      <c r="I105" s="805" t="s">
        <v>944</v>
      </c>
      <c r="J105" s="805">
        <f>SUM(D6:D135)-SUM(E6:E135)</f>
        <v>299850</v>
      </c>
      <c r="K105" s="719"/>
      <c r="M105" s="644"/>
    </row>
    <row r="106" spans="1:15" x14ac:dyDescent="0.25">
      <c r="A106" s="92"/>
      <c r="F106" s="786"/>
      <c r="G106" s="794"/>
      <c r="I106" s="805" t="s">
        <v>945</v>
      </c>
      <c r="J106" s="805">
        <f>+J104-J105</f>
        <v>312732.8628</v>
      </c>
      <c r="K106" s="719"/>
      <c r="L106" s="32"/>
      <c r="M106" s="33"/>
      <c r="N106" s="33"/>
    </row>
    <row r="107" spans="1:15" x14ac:dyDescent="0.25">
      <c r="A107" s="92"/>
      <c r="F107" s="786"/>
      <c r="G107" s="794"/>
      <c r="H107" s="30"/>
      <c r="I107" s="808"/>
      <c r="J107" s="815"/>
      <c r="K107" s="701"/>
      <c r="L107" s="33"/>
      <c r="M107" s="33"/>
      <c r="N107" s="33"/>
    </row>
    <row r="108" spans="1:15" x14ac:dyDescent="0.25">
      <c r="A108" s="92"/>
      <c r="D108" s="775"/>
      <c r="E108" s="775"/>
      <c r="F108" s="786"/>
      <c r="G108" s="795"/>
      <c r="H108" s="34"/>
      <c r="I108" s="808"/>
      <c r="J108" s="800"/>
      <c r="K108" s="701"/>
      <c r="L108" s="33"/>
      <c r="M108" s="33"/>
      <c r="N108" s="33"/>
    </row>
    <row r="109" spans="1:15" x14ac:dyDescent="0.25">
      <c r="A109" s="92"/>
      <c r="F109" s="786"/>
      <c r="G109" s="795"/>
      <c r="H109" s="34"/>
      <c r="I109" s="800"/>
      <c r="J109" s="800"/>
    </row>
    <row r="110" spans="1:15" x14ac:dyDescent="0.25">
      <c r="A110" s="92"/>
      <c r="F110" s="786"/>
      <c r="G110" s="795"/>
      <c r="H110" s="93"/>
      <c r="I110" s="809"/>
      <c r="J110" s="809"/>
      <c r="L110" s="644"/>
      <c r="M110" s="644"/>
      <c r="O110" s="644"/>
    </row>
    <row r="111" spans="1:15" x14ac:dyDescent="0.25">
      <c r="A111" s="92"/>
      <c r="F111" s="786"/>
      <c r="G111" s="795"/>
      <c r="H111" s="93"/>
      <c r="I111" s="809"/>
      <c r="J111" s="809"/>
      <c r="L111" s="644"/>
      <c r="M111" s="644"/>
      <c r="O111" s="644"/>
    </row>
    <row r="112" spans="1:15" x14ac:dyDescent="0.25">
      <c r="A112" s="92"/>
      <c r="F112" s="786"/>
      <c r="G112" s="795"/>
      <c r="H112" s="93"/>
      <c r="I112" s="809"/>
      <c r="J112" s="809"/>
      <c r="L112" s="644"/>
      <c r="M112" s="644"/>
      <c r="O112" s="644"/>
    </row>
    <row r="113" spans="1:15" x14ac:dyDescent="0.25">
      <c r="A113" s="92"/>
      <c r="F113" s="786"/>
      <c r="G113" s="795"/>
      <c r="H113" s="93"/>
      <c r="I113" s="809"/>
      <c r="J113" s="809"/>
      <c r="L113" s="644"/>
      <c r="M113" s="644"/>
      <c r="O113" s="644"/>
    </row>
    <row r="114" spans="1:15" x14ac:dyDescent="0.25">
      <c r="A114" s="92"/>
      <c r="F114" s="786"/>
      <c r="G114" s="795"/>
      <c r="H114" s="93"/>
      <c r="I114" s="809"/>
      <c r="J114" s="809"/>
    </row>
    <row r="115" spans="1:15" x14ac:dyDescent="0.25">
      <c r="A115" s="92"/>
      <c r="F115" s="786"/>
      <c r="G115" s="795"/>
      <c r="H115" s="93"/>
      <c r="I115" s="810"/>
      <c r="J115" s="810"/>
    </row>
    <row r="116" spans="1:15" x14ac:dyDescent="0.25">
      <c r="A116" s="92"/>
      <c r="F116" s="786"/>
      <c r="G116" s="795"/>
      <c r="H116" s="93"/>
      <c r="I116" s="810"/>
      <c r="J116" s="810"/>
    </row>
    <row r="117" spans="1:15" x14ac:dyDescent="0.25">
      <c r="A117" s="92"/>
      <c r="F117" s="786"/>
      <c r="G117" s="795"/>
      <c r="H117" s="93"/>
      <c r="I117" s="810"/>
      <c r="J117" s="810"/>
    </row>
    <row r="118" spans="1:15" x14ac:dyDescent="0.25">
      <c r="A118" s="92"/>
      <c r="F118" s="786"/>
      <c r="G118" s="795"/>
      <c r="H118" s="93"/>
      <c r="I118" s="810"/>
      <c r="J118" s="810"/>
    </row>
    <row r="119" spans="1:15" x14ac:dyDescent="0.25">
      <c r="A119" s="92"/>
      <c r="F119" s="786"/>
      <c r="G119" s="795"/>
      <c r="H119" s="93"/>
      <c r="I119" s="810"/>
      <c r="J119" s="810"/>
    </row>
    <row r="120" spans="1:15" x14ac:dyDescent="0.25">
      <c r="A120" s="92"/>
      <c r="F120" s="786"/>
      <c r="G120" s="795"/>
      <c r="H120" s="93"/>
      <c r="I120" s="810"/>
      <c r="J120" s="810"/>
    </row>
    <row r="121" spans="1:15" x14ac:dyDescent="0.25">
      <c r="A121" s="92"/>
      <c r="F121" s="786"/>
      <c r="G121" s="795"/>
      <c r="H121" s="93"/>
      <c r="I121" s="810"/>
      <c r="J121" s="810"/>
    </row>
    <row r="122" spans="1:15" x14ac:dyDescent="0.25">
      <c r="A122" s="92"/>
      <c r="F122" s="786"/>
      <c r="G122" s="795"/>
      <c r="H122" s="93"/>
      <c r="I122" s="810"/>
      <c r="J122" s="810"/>
    </row>
    <row r="123" spans="1:15" x14ac:dyDescent="0.25">
      <c r="A123" s="92"/>
      <c r="F123" s="786"/>
      <c r="G123" s="795"/>
      <c r="H123" s="93"/>
      <c r="I123" s="810"/>
      <c r="J123" s="810"/>
    </row>
    <row r="124" spans="1:15" x14ac:dyDescent="0.25">
      <c r="A124" s="92"/>
      <c r="F124" s="786"/>
      <c r="G124" s="795"/>
      <c r="H124" s="93"/>
      <c r="I124" s="810"/>
      <c r="J124" s="810"/>
    </row>
    <row r="125" spans="1:15" x14ac:dyDescent="0.25">
      <c r="A125" s="92"/>
      <c r="F125" s="786"/>
      <c r="G125" s="795"/>
      <c r="H125" s="93"/>
      <c r="I125" s="810"/>
      <c r="J125" s="810"/>
    </row>
    <row r="126" spans="1:15" x14ac:dyDescent="0.25">
      <c r="A126" s="92"/>
      <c r="F126" s="786"/>
      <c r="G126" s="795"/>
      <c r="H126" s="93"/>
      <c r="I126" s="810"/>
      <c r="J126" s="810"/>
    </row>
    <row r="127" spans="1:15" x14ac:dyDescent="0.25">
      <c r="A127" s="92"/>
      <c r="F127" s="786"/>
      <c r="G127" s="795"/>
      <c r="H127" s="93"/>
      <c r="I127" s="810"/>
      <c r="J127" s="810"/>
    </row>
    <row r="128" spans="1:15" x14ac:dyDescent="0.25">
      <c r="A128" s="92"/>
      <c r="B128" s="391" t="s">
        <v>32</v>
      </c>
      <c r="C128" s="391" t="s">
        <v>33</v>
      </c>
      <c r="F128" s="786"/>
      <c r="G128" s="795"/>
      <c r="H128" s="93"/>
      <c r="I128" s="810"/>
      <c r="J128" s="810"/>
    </row>
    <row r="129" spans="1:10" x14ac:dyDescent="0.25">
      <c r="A129" s="92"/>
      <c r="B129" s="391">
        <f>SUM(D6:D106)</f>
        <v>528000</v>
      </c>
      <c r="C129" s="391">
        <f>SUM(E6:E106)</f>
        <v>228150</v>
      </c>
      <c r="F129" s="786"/>
      <c r="G129" s="795"/>
      <c r="H129" s="93"/>
      <c r="I129" s="810"/>
      <c r="J129" s="810"/>
    </row>
    <row r="130" spans="1:10" x14ac:dyDescent="0.25">
      <c r="A130" s="92"/>
      <c r="B130" s="530">
        <f>+B129-C129</f>
        <v>299850</v>
      </c>
      <c r="F130" s="786"/>
      <c r="G130" s="795"/>
      <c r="H130" s="93"/>
      <c r="I130" s="810"/>
      <c r="J130" s="810"/>
    </row>
    <row r="131" spans="1:10" x14ac:dyDescent="0.25">
      <c r="A131" s="92"/>
      <c r="F131" s="786"/>
      <c r="G131" s="795"/>
      <c r="H131" s="93"/>
      <c r="I131" s="810"/>
      <c r="J131" s="810"/>
    </row>
    <row r="132" spans="1:10" x14ac:dyDescent="0.25">
      <c r="A132" s="92"/>
      <c r="F132" s="786"/>
      <c r="G132" s="795"/>
      <c r="H132" s="93"/>
      <c r="I132" s="810"/>
      <c r="J132" s="810"/>
    </row>
    <row r="133" spans="1:10" x14ac:dyDescent="0.25">
      <c r="A133" s="92"/>
      <c r="F133" s="786"/>
      <c r="G133" s="795"/>
      <c r="H133" s="93"/>
      <c r="I133" s="810"/>
      <c r="J133" s="810"/>
    </row>
    <row r="134" spans="1:10" x14ac:dyDescent="0.25">
      <c r="A134" s="92"/>
      <c r="F134" s="786"/>
      <c r="G134" s="795"/>
      <c r="H134" s="93"/>
      <c r="I134" s="810"/>
      <c r="J134" s="810"/>
    </row>
    <row r="135" spans="1:10" x14ac:dyDescent="0.25">
      <c r="A135" s="92"/>
      <c r="F135" s="786"/>
      <c r="G135" s="795"/>
      <c r="H135" s="93"/>
      <c r="I135" s="810"/>
      <c r="J135" s="810"/>
    </row>
    <row r="136" spans="1:10" x14ac:dyDescent="0.25">
      <c r="A136" s="92"/>
      <c r="F136" s="786"/>
      <c r="G136" s="795"/>
      <c r="H136" s="93"/>
      <c r="I136" s="810"/>
      <c r="J136" s="810"/>
    </row>
    <row r="137" spans="1:10" x14ac:dyDescent="0.25">
      <c r="A137" s="92"/>
      <c r="F137" s="786"/>
      <c r="G137" s="795"/>
      <c r="H137" s="93"/>
      <c r="I137" s="810"/>
      <c r="J137" s="810"/>
    </row>
    <row r="138" spans="1:10" x14ac:dyDescent="0.25">
      <c r="A138" s="92"/>
      <c r="F138" s="786"/>
      <c r="G138" s="795"/>
      <c r="H138" s="93"/>
      <c r="I138" s="810"/>
      <c r="J138" s="810"/>
    </row>
    <row r="139" spans="1:10" x14ac:dyDescent="0.25">
      <c r="A139" s="92"/>
      <c r="F139" s="786"/>
      <c r="G139" s="795"/>
      <c r="H139" s="93"/>
      <c r="I139" s="810"/>
      <c r="J139" s="810"/>
    </row>
    <row r="140" spans="1:10" x14ac:dyDescent="0.25">
      <c r="A140" s="92"/>
      <c r="F140" s="786"/>
      <c r="G140" s="795"/>
      <c r="H140" s="93"/>
      <c r="I140" s="810"/>
      <c r="J140" s="810"/>
    </row>
    <row r="141" spans="1:10" x14ac:dyDescent="0.25">
      <c r="A141" s="92"/>
      <c r="F141" s="786"/>
      <c r="G141" s="795"/>
      <c r="H141" s="93"/>
      <c r="I141" s="810"/>
      <c r="J141" s="810"/>
    </row>
    <row r="142" spans="1:10" x14ac:dyDescent="0.25">
      <c r="A142" s="92"/>
      <c r="F142" s="786"/>
      <c r="G142" s="795"/>
      <c r="H142" s="93"/>
      <c r="I142" s="810"/>
      <c r="J142" s="810"/>
    </row>
    <row r="143" spans="1:10" x14ac:dyDescent="0.25">
      <c r="A143" s="92"/>
      <c r="F143" s="786"/>
      <c r="G143" s="795"/>
      <c r="H143" s="93"/>
      <c r="I143" s="810"/>
      <c r="J143" s="810"/>
    </row>
    <row r="144" spans="1:10" x14ac:dyDescent="0.25">
      <c r="A144" s="92"/>
      <c r="F144" s="786"/>
      <c r="G144" s="795"/>
      <c r="H144" s="93"/>
      <c r="I144" s="810"/>
      <c r="J144" s="810"/>
    </row>
    <row r="145" spans="1:10" x14ac:dyDescent="0.25">
      <c r="A145" s="92"/>
      <c r="F145" s="786"/>
      <c r="G145" s="795"/>
      <c r="H145" s="93"/>
      <c r="I145" s="810"/>
      <c r="J145" s="810"/>
    </row>
    <row r="146" spans="1:10" x14ac:dyDescent="0.25">
      <c r="A146" s="92"/>
      <c r="F146" s="786"/>
      <c r="G146" s="795"/>
      <c r="H146" s="93"/>
      <c r="I146" s="810"/>
      <c r="J146" s="810"/>
    </row>
    <row r="147" spans="1:10" x14ac:dyDescent="0.25">
      <c r="A147" s="92"/>
      <c r="F147" s="786"/>
      <c r="G147" s="795"/>
      <c r="H147" s="93"/>
      <c r="I147" s="810"/>
      <c r="J147" s="810"/>
    </row>
    <row r="148" spans="1:10" x14ac:dyDescent="0.25">
      <c r="A148" s="92"/>
      <c r="F148" s="786"/>
      <c r="G148" s="795"/>
      <c r="H148" s="93"/>
      <c r="I148" s="810"/>
      <c r="J148" s="810"/>
    </row>
    <row r="149" spans="1:10" x14ac:dyDescent="0.25">
      <c r="A149" s="92"/>
      <c r="F149" s="786"/>
      <c r="G149" s="795"/>
      <c r="H149" s="93"/>
      <c r="I149" s="810"/>
      <c r="J149" s="810"/>
    </row>
    <row r="150" spans="1:10" x14ac:dyDescent="0.25">
      <c r="A150" s="92"/>
      <c r="F150" s="786"/>
      <c r="G150" s="795"/>
      <c r="H150" s="93"/>
      <c r="I150" s="810"/>
      <c r="J150" s="810"/>
    </row>
    <row r="151" spans="1:10" x14ac:dyDescent="0.25">
      <c r="A151" s="92"/>
      <c r="F151" s="786"/>
      <c r="G151" s="795"/>
      <c r="H151" s="93"/>
      <c r="I151" s="810"/>
      <c r="J151" s="810"/>
    </row>
    <row r="152" spans="1:10" x14ac:dyDescent="0.25">
      <c r="A152" s="92"/>
      <c r="F152" s="786"/>
      <c r="G152" s="795"/>
      <c r="H152" s="93"/>
      <c r="I152" s="810"/>
      <c r="J152" s="810"/>
    </row>
    <row r="153" spans="1:10" x14ac:dyDescent="0.25">
      <c r="A153" s="92"/>
      <c r="F153" s="786"/>
      <c r="G153" s="795"/>
      <c r="H153" s="93"/>
      <c r="I153" s="810"/>
      <c r="J153" s="810"/>
    </row>
    <row r="154" spans="1:10" x14ac:dyDescent="0.25">
      <c r="A154" s="92"/>
      <c r="F154" s="786"/>
      <c r="G154" s="795"/>
      <c r="H154" s="93"/>
      <c r="I154" s="810"/>
      <c r="J154" s="810"/>
    </row>
    <row r="155" spans="1:10" x14ac:dyDescent="0.25">
      <c r="A155" s="92"/>
      <c r="F155" s="786"/>
      <c r="G155" s="795"/>
      <c r="H155" s="93"/>
      <c r="I155" s="810"/>
      <c r="J155" s="810"/>
    </row>
    <row r="156" spans="1:10" x14ac:dyDescent="0.25">
      <c r="A156" s="92"/>
      <c r="F156" s="786"/>
      <c r="G156" s="795"/>
      <c r="H156" s="93"/>
      <c r="I156" s="810"/>
      <c r="J156" s="810"/>
    </row>
    <row r="157" spans="1:10" x14ac:dyDescent="0.25">
      <c r="A157" s="92"/>
      <c r="F157" s="786"/>
      <c r="G157" s="795"/>
      <c r="H157" s="93"/>
      <c r="I157" s="810"/>
      <c r="J157" s="810"/>
    </row>
    <row r="158" spans="1:10" x14ac:dyDescent="0.25">
      <c r="A158" s="92"/>
      <c r="F158" s="786"/>
      <c r="G158" s="795"/>
      <c r="H158" s="93"/>
      <c r="I158" s="810"/>
      <c r="J158" s="810"/>
    </row>
    <row r="159" spans="1:10" x14ac:dyDescent="0.25">
      <c r="A159" s="92"/>
      <c r="F159" s="786"/>
      <c r="G159" s="795"/>
      <c r="H159" s="93"/>
      <c r="I159" s="810"/>
      <c r="J159" s="810"/>
    </row>
    <row r="160" spans="1:10" x14ac:dyDescent="0.25">
      <c r="A160" s="92"/>
      <c r="F160" s="786"/>
      <c r="G160" s="795"/>
      <c r="H160" s="93"/>
      <c r="I160" s="810"/>
      <c r="J160" s="810"/>
    </row>
    <row r="161" spans="1:10" x14ac:dyDescent="0.25">
      <c r="A161" s="92"/>
      <c r="F161" s="786"/>
      <c r="G161" s="795"/>
      <c r="H161" s="93"/>
      <c r="I161" s="810"/>
      <c r="J161" s="810"/>
    </row>
    <row r="162" spans="1:10" x14ac:dyDescent="0.25">
      <c r="A162" s="92"/>
      <c r="F162" s="786"/>
      <c r="G162" s="795"/>
      <c r="H162" s="93"/>
      <c r="I162" s="810"/>
      <c r="J162" s="810"/>
    </row>
    <row r="163" spans="1:10" x14ac:dyDescent="0.25">
      <c r="A163" s="92"/>
      <c r="F163" s="786"/>
      <c r="G163" s="795"/>
      <c r="H163" s="93"/>
      <c r="I163" s="810"/>
      <c r="J163" s="810"/>
    </row>
    <row r="164" spans="1:10" x14ac:dyDescent="0.25">
      <c r="A164" s="92"/>
      <c r="F164" s="786"/>
      <c r="G164" s="795"/>
      <c r="H164" s="93"/>
      <c r="I164" s="810"/>
      <c r="J164" s="810"/>
    </row>
    <row r="165" spans="1:10" x14ac:dyDescent="0.25">
      <c r="A165" s="92"/>
      <c r="F165" s="786"/>
      <c r="G165" s="795"/>
      <c r="H165" s="93"/>
      <c r="I165" s="810"/>
      <c r="J165" s="810"/>
    </row>
    <row r="166" spans="1:10" x14ac:dyDescent="0.25">
      <c r="A166" s="92"/>
      <c r="F166" s="786"/>
      <c r="G166" s="795"/>
      <c r="H166" s="93"/>
      <c r="I166" s="810"/>
      <c r="J166" s="810"/>
    </row>
    <row r="167" spans="1:10" x14ac:dyDescent="0.25">
      <c r="A167" s="92"/>
      <c r="F167" s="786"/>
      <c r="G167" s="795"/>
      <c r="H167" s="93"/>
      <c r="I167" s="810"/>
      <c r="J167" s="810"/>
    </row>
    <row r="168" spans="1:10" x14ac:dyDescent="0.25">
      <c r="A168" s="92"/>
      <c r="F168" s="786"/>
      <c r="G168" s="795"/>
      <c r="H168" s="93"/>
      <c r="I168" s="810"/>
      <c r="J168" s="810"/>
    </row>
    <row r="169" spans="1:10" x14ac:dyDescent="0.25">
      <c r="A169" s="92"/>
      <c r="F169" s="786"/>
      <c r="G169" s="795"/>
      <c r="H169" s="93"/>
      <c r="I169" s="810"/>
      <c r="J169" s="810"/>
    </row>
    <row r="170" spans="1:10" x14ac:dyDescent="0.25">
      <c r="A170" s="92"/>
      <c r="F170" s="786"/>
      <c r="G170" s="795"/>
      <c r="H170" s="93"/>
      <c r="I170" s="810"/>
      <c r="J170" s="810"/>
    </row>
    <row r="171" spans="1:10" x14ac:dyDescent="0.25">
      <c r="A171" s="92"/>
      <c r="F171" s="786"/>
      <c r="G171" s="795"/>
      <c r="H171" s="93"/>
      <c r="I171" s="810"/>
      <c r="J171" s="810"/>
    </row>
    <row r="172" spans="1:10" x14ac:dyDescent="0.25">
      <c r="A172" s="92"/>
      <c r="F172" s="786"/>
      <c r="G172" s="795"/>
      <c r="H172" s="93"/>
      <c r="I172" s="810"/>
      <c r="J172" s="810"/>
    </row>
    <row r="173" spans="1:10" x14ac:dyDescent="0.25">
      <c r="A173" s="92"/>
      <c r="F173" s="786"/>
      <c r="G173" s="795"/>
      <c r="H173" s="93"/>
      <c r="I173" s="810"/>
      <c r="J173" s="810"/>
    </row>
    <row r="174" spans="1:10" x14ac:dyDescent="0.25">
      <c r="A174" s="92"/>
      <c r="F174" s="786"/>
      <c r="G174" s="795"/>
      <c r="H174" s="93"/>
      <c r="I174" s="810"/>
      <c r="J174" s="810"/>
    </row>
    <row r="175" spans="1:10" x14ac:dyDescent="0.25">
      <c r="A175" s="92"/>
      <c r="F175" s="786"/>
      <c r="G175" s="795"/>
      <c r="H175" s="93"/>
      <c r="I175" s="810"/>
      <c r="J175" s="810"/>
    </row>
    <row r="176" spans="1:10" x14ac:dyDescent="0.25">
      <c r="A176" s="92"/>
      <c r="F176" s="786"/>
      <c r="G176" s="795"/>
      <c r="H176" s="93"/>
      <c r="I176" s="810"/>
      <c r="J176" s="810"/>
    </row>
    <row r="177" spans="1:10" x14ac:dyDescent="0.25">
      <c r="A177" s="92"/>
      <c r="F177" s="786"/>
      <c r="G177" s="795"/>
      <c r="H177" s="93"/>
      <c r="I177" s="810"/>
      <c r="J177" s="810"/>
    </row>
    <row r="178" spans="1:10" x14ac:dyDescent="0.25">
      <c r="A178" s="92"/>
      <c r="F178" s="786"/>
      <c r="G178" s="795"/>
      <c r="H178" s="93"/>
      <c r="I178" s="810"/>
      <c r="J178" s="810"/>
    </row>
    <row r="179" spans="1:10" x14ac:dyDescent="0.25">
      <c r="A179" s="92"/>
      <c r="F179" s="786"/>
      <c r="G179" s="795"/>
      <c r="H179" s="93"/>
      <c r="I179" s="810"/>
      <c r="J179" s="810"/>
    </row>
    <row r="180" spans="1:10" x14ac:dyDescent="0.25">
      <c r="A180" s="92"/>
      <c r="F180" s="786"/>
      <c r="G180" s="795"/>
      <c r="H180" s="93"/>
      <c r="I180" s="810"/>
      <c r="J180" s="810"/>
    </row>
    <row r="181" spans="1:10" x14ac:dyDescent="0.25">
      <c r="A181" s="92"/>
      <c r="F181" s="786"/>
      <c r="G181" s="795"/>
      <c r="H181" s="93"/>
      <c r="I181" s="810"/>
      <c r="J181" s="810"/>
    </row>
    <row r="182" spans="1:10" x14ac:dyDescent="0.25">
      <c r="A182" s="92"/>
      <c r="F182" s="786"/>
      <c r="G182" s="795"/>
      <c r="H182" s="93"/>
      <c r="I182" s="810"/>
      <c r="J182" s="810"/>
    </row>
    <row r="183" spans="1:10" x14ac:dyDescent="0.25">
      <c r="A183" s="92"/>
      <c r="F183" s="786"/>
      <c r="G183" s="795"/>
      <c r="H183" s="93"/>
      <c r="I183" s="810"/>
      <c r="J183" s="810"/>
    </row>
    <row r="184" spans="1:10" x14ac:dyDescent="0.25">
      <c r="A184" s="92"/>
      <c r="F184" s="786"/>
      <c r="G184" s="795"/>
      <c r="H184" s="93"/>
      <c r="I184" s="810"/>
      <c r="J184" s="810"/>
    </row>
    <row r="185" spans="1:10" x14ac:dyDescent="0.25">
      <c r="A185" s="92"/>
      <c r="F185" s="786"/>
      <c r="G185" s="795"/>
      <c r="H185" s="93"/>
      <c r="I185" s="810"/>
      <c r="J185" s="810"/>
    </row>
    <row r="186" spans="1:10" x14ac:dyDescent="0.25">
      <c r="A186" s="92"/>
      <c r="F186" s="786"/>
      <c r="G186" s="795"/>
      <c r="H186" s="93"/>
      <c r="I186" s="810"/>
      <c r="J186" s="810"/>
    </row>
    <row r="187" spans="1:10" x14ac:dyDescent="0.25">
      <c r="A187" s="92"/>
      <c r="F187" s="786"/>
      <c r="G187" s="795"/>
      <c r="H187" s="93"/>
      <c r="I187" s="810"/>
      <c r="J187" s="810"/>
    </row>
    <row r="188" spans="1:10" x14ac:dyDescent="0.25">
      <c r="A188" s="92"/>
      <c r="F188" s="786"/>
      <c r="G188" s="795"/>
      <c r="H188" s="93"/>
      <c r="I188" s="810"/>
      <c r="J188" s="810"/>
    </row>
    <row r="189" spans="1:10" x14ac:dyDescent="0.25">
      <c r="A189" s="92"/>
      <c r="F189" s="786"/>
      <c r="G189" s="795"/>
      <c r="H189" s="93"/>
      <c r="I189" s="810"/>
      <c r="J189" s="810"/>
    </row>
    <row r="190" spans="1:10" x14ac:dyDescent="0.25">
      <c r="A190" s="92"/>
      <c r="F190" s="786"/>
      <c r="G190" s="795"/>
      <c r="H190" s="93"/>
      <c r="I190" s="810"/>
      <c r="J190" s="810"/>
    </row>
    <row r="191" spans="1:10" x14ac:dyDescent="0.25">
      <c r="A191" s="92"/>
      <c r="F191" s="786"/>
      <c r="G191" s="795"/>
      <c r="H191" s="93"/>
      <c r="I191" s="810"/>
      <c r="J191" s="810"/>
    </row>
    <row r="192" spans="1:10" x14ac:dyDescent="0.25">
      <c r="A192" s="92"/>
      <c r="F192" s="786"/>
      <c r="G192" s="795"/>
      <c r="H192" s="93"/>
      <c r="I192" s="810"/>
      <c r="J192" s="810"/>
    </row>
    <row r="193" spans="1:10" x14ac:dyDescent="0.25">
      <c r="A193" s="92"/>
      <c r="F193" s="786"/>
      <c r="G193" s="795"/>
      <c r="H193" s="93"/>
      <c r="I193" s="810"/>
      <c r="J193" s="810"/>
    </row>
    <row r="194" spans="1:10" x14ac:dyDescent="0.25">
      <c r="A194" s="92"/>
      <c r="F194" s="786"/>
      <c r="G194" s="795"/>
      <c r="H194" s="93"/>
      <c r="I194" s="810"/>
      <c r="J194" s="810"/>
    </row>
    <row r="195" spans="1:10" x14ac:dyDescent="0.25">
      <c r="A195" s="92"/>
      <c r="F195" s="786"/>
      <c r="G195" s="795"/>
      <c r="H195" s="93"/>
      <c r="I195" s="810"/>
      <c r="J195" s="810"/>
    </row>
    <row r="196" spans="1:10" x14ac:dyDescent="0.25">
      <c r="A196" s="92"/>
      <c r="F196" s="786"/>
      <c r="G196" s="795"/>
      <c r="H196" s="93"/>
      <c r="I196" s="810"/>
      <c r="J196" s="810"/>
    </row>
    <row r="197" spans="1:10" x14ac:dyDescent="0.25">
      <c r="A197" s="92"/>
      <c r="F197" s="786"/>
      <c r="G197" s="795"/>
      <c r="H197" s="93"/>
      <c r="I197" s="810"/>
      <c r="J197" s="810"/>
    </row>
    <row r="198" spans="1:10" x14ac:dyDescent="0.25">
      <c r="A198" s="92"/>
      <c r="F198" s="786"/>
      <c r="G198" s="795"/>
      <c r="H198" s="93"/>
      <c r="I198" s="810"/>
      <c r="J198" s="810"/>
    </row>
    <row r="199" spans="1:10" x14ac:dyDescent="0.25">
      <c r="A199" s="92"/>
      <c r="F199" s="786"/>
      <c r="G199" s="795"/>
      <c r="H199" s="93"/>
      <c r="I199" s="810"/>
      <c r="J199" s="810"/>
    </row>
    <row r="200" spans="1:10" x14ac:dyDescent="0.25">
      <c r="A200" s="92"/>
      <c r="F200" s="786"/>
      <c r="G200" s="795"/>
      <c r="H200" s="93"/>
      <c r="I200" s="810"/>
      <c r="J200" s="810"/>
    </row>
    <row r="201" spans="1:10" x14ac:dyDescent="0.25">
      <c r="A201" s="92"/>
      <c r="F201" s="786"/>
      <c r="G201" s="795"/>
      <c r="H201" s="93"/>
      <c r="I201" s="810"/>
      <c r="J201" s="810"/>
    </row>
    <row r="202" spans="1:10" x14ac:dyDescent="0.25">
      <c r="A202" s="92"/>
      <c r="F202" s="786"/>
      <c r="G202" s="795"/>
      <c r="H202" s="93"/>
      <c r="I202" s="810"/>
      <c r="J202" s="810"/>
    </row>
    <row r="203" spans="1:10" x14ac:dyDescent="0.25">
      <c r="A203" s="92"/>
      <c r="F203" s="786"/>
      <c r="G203" s="795"/>
      <c r="H203" s="93"/>
      <c r="I203" s="810"/>
      <c r="J203" s="810"/>
    </row>
    <row r="204" spans="1:10" x14ac:dyDescent="0.25">
      <c r="A204" s="92"/>
      <c r="F204" s="786"/>
      <c r="G204" s="795"/>
      <c r="H204" s="93"/>
      <c r="I204" s="810"/>
      <c r="J204" s="810"/>
    </row>
    <row r="205" spans="1:10" x14ac:dyDescent="0.25">
      <c r="A205" s="92"/>
      <c r="F205" s="786"/>
      <c r="G205" s="795"/>
      <c r="H205" s="93"/>
      <c r="I205" s="810"/>
      <c r="J205" s="810"/>
    </row>
    <row r="206" spans="1:10" x14ac:dyDescent="0.25">
      <c r="A206" s="92"/>
      <c r="F206" s="786"/>
      <c r="G206" s="795"/>
      <c r="H206" s="93"/>
      <c r="I206" s="810"/>
      <c r="J206" s="810"/>
    </row>
    <row r="207" spans="1:10" x14ac:dyDescent="0.25">
      <c r="A207" s="92"/>
      <c r="F207" s="786"/>
      <c r="G207" s="795"/>
      <c r="H207" s="93"/>
      <c r="I207" s="810"/>
      <c r="J207" s="810"/>
    </row>
    <row r="208" spans="1:10" x14ac:dyDescent="0.25">
      <c r="A208" s="92"/>
      <c r="F208" s="786"/>
      <c r="G208" s="795"/>
      <c r="H208" s="93"/>
      <c r="I208" s="810"/>
      <c r="J208" s="810"/>
    </row>
    <row r="209" spans="1:10" x14ac:dyDescent="0.25">
      <c r="A209" s="92"/>
      <c r="F209" s="786"/>
      <c r="G209" s="795"/>
      <c r="H209" s="93"/>
      <c r="I209" s="810"/>
      <c r="J209" s="810"/>
    </row>
    <row r="210" spans="1:10" x14ac:dyDescent="0.25">
      <c r="A210" s="92"/>
      <c r="F210" s="786"/>
      <c r="G210" s="795"/>
      <c r="H210" s="93"/>
      <c r="I210" s="810"/>
      <c r="J210" s="810"/>
    </row>
    <row r="211" spans="1:10" x14ac:dyDescent="0.25">
      <c r="A211" s="92"/>
      <c r="F211" s="786"/>
      <c r="G211" s="795"/>
      <c r="H211" s="93"/>
      <c r="I211" s="810"/>
      <c r="J211" s="810"/>
    </row>
    <row r="212" spans="1:10" x14ac:dyDescent="0.25">
      <c r="A212" s="92"/>
      <c r="F212" s="786"/>
      <c r="G212" s="795"/>
      <c r="H212" s="93"/>
      <c r="I212" s="810"/>
      <c r="J212" s="810"/>
    </row>
    <row r="213" spans="1:10" x14ac:dyDescent="0.25">
      <c r="A213" s="92"/>
      <c r="F213" s="786"/>
      <c r="G213" s="795"/>
      <c r="H213" s="93"/>
      <c r="I213" s="810"/>
      <c r="J213" s="810"/>
    </row>
    <row r="214" spans="1:10" x14ac:dyDescent="0.25">
      <c r="A214" s="92"/>
      <c r="F214" s="786"/>
      <c r="G214" s="795"/>
      <c r="H214" s="93"/>
      <c r="I214" s="810"/>
      <c r="J214" s="810"/>
    </row>
    <row r="215" spans="1:10" x14ac:dyDescent="0.25">
      <c r="A215" s="92"/>
      <c r="F215" s="786"/>
      <c r="G215" s="795"/>
      <c r="H215" s="93"/>
      <c r="I215" s="810"/>
      <c r="J215" s="810"/>
    </row>
    <row r="216" spans="1:10" x14ac:dyDescent="0.25">
      <c r="A216" s="92"/>
      <c r="F216" s="786"/>
      <c r="G216" s="795"/>
      <c r="H216" s="93"/>
      <c r="I216" s="810"/>
      <c r="J216" s="810"/>
    </row>
    <row r="217" spans="1:10" x14ac:dyDescent="0.25">
      <c r="A217" s="92"/>
      <c r="F217" s="786"/>
      <c r="G217" s="795"/>
      <c r="H217" s="93"/>
      <c r="I217" s="810"/>
      <c r="J217" s="810"/>
    </row>
    <row r="218" spans="1:10" x14ac:dyDescent="0.25">
      <c r="A218" s="92"/>
      <c r="F218" s="786"/>
      <c r="G218" s="795"/>
      <c r="H218" s="93"/>
      <c r="I218" s="810"/>
      <c r="J218" s="810"/>
    </row>
    <row r="219" spans="1:10" x14ac:dyDescent="0.25">
      <c r="A219" s="92"/>
      <c r="F219" s="786"/>
      <c r="G219" s="795"/>
      <c r="H219" s="93"/>
      <c r="I219" s="810"/>
      <c r="J219" s="810"/>
    </row>
    <row r="220" spans="1:10" x14ac:dyDescent="0.25">
      <c r="A220" s="92"/>
      <c r="F220" s="786"/>
      <c r="G220" s="795"/>
      <c r="H220" s="93"/>
      <c r="I220" s="810"/>
      <c r="J220" s="810"/>
    </row>
    <row r="221" spans="1:10" x14ac:dyDescent="0.25">
      <c r="A221" s="92"/>
      <c r="F221" s="786"/>
      <c r="G221" s="795"/>
      <c r="H221" s="93"/>
      <c r="I221" s="810"/>
      <c r="J221" s="810"/>
    </row>
    <row r="222" spans="1:10" x14ac:dyDescent="0.25">
      <c r="A222" s="92"/>
      <c r="F222" s="786"/>
      <c r="G222" s="795"/>
      <c r="H222" s="93"/>
      <c r="I222" s="810"/>
      <c r="J222" s="810"/>
    </row>
    <row r="223" spans="1:10" x14ac:dyDescent="0.25">
      <c r="A223" s="92"/>
      <c r="F223" s="786"/>
      <c r="G223" s="795"/>
      <c r="H223" s="93"/>
      <c r="I223" s="810"/>
      <c r="J223" s="810"/>
    </row>
    <row r="224" spans="1:10" x14ac:dyDescent="0.25">
      <c r="A224" s="92"/>
      <c r="F224" s="786"/>
      <c r="G224" s="795"/>
      <c r="H224" s="93"/>
      <c r="I224" s="810"/>
      <c r="J224" s="810"/>
    </row>
    <row r="225" spans="1:10" x14ac:dyDescent="0.25">
      <c r="A225" s="92"/>
      <c r="F225" s="786"/>
      <c r="G225" s="795"/>
      <c r="H225" s="93"/>
      <c r="I225" s="810"/>
      <c r="J225" s="810"/>
    </row>
    <row r="226" spans="1:10" x14ac:dyDescent="0.25">
      <c r="A226" s="92"/>
      <c r="F226" s="786"/>
      <c r="G226" s="795"/>
      <c r="H226" s="93"/>
      <c r="I226" s="810"/>
      <c r="J226" s="810"/>
    </row>
    <row r="227" spans="1:10" x14ac:dyDescent="0.25">
      <c r="A227" s="92"/>
      <c r="F227" s="786"/>
      <c r="G227" s="795"/>
      <c r="H227" s="93"/>
      <c r="I227" s="810"/>
      <c r="J227" s="810"/>
    </row>
    <row r="228" spans="1:10" x14ac:dyDescent="0.25">
      <c r="A228" s="92"/>
      <c r="F228" s="786"/>
      <c r="G228" s="795"/>
      <c r="H228" s="93"/>
      <c r="I228" s="810"/>
      <c r="J228" s="810"/>
    </row>
    <row r="229" spans="1:10" x14ac:dyDescent="0.25">
      <c r="A229" s="92"/>
      <c r="F229" s="786"/>
      <c r="G229" s="795"/>
      <c r="H229" s="93"/>
      <c r="I229" s="810"/>
      <c r="J229" s="810"/>
    </row>
    <row r="230" spans="1:10" x14ac:dyDescent="0.25">
      <c r="A230" s="92"/>
      <c r="F230" s="786"/>
      <c r="G230" s="795"/>
      <c r="H230" s="93"/>
      <c r="I230" s="810"/>
      <c r="J230" s="810"/>
    </row>
    <row r="231" spans="1:10" x14ac:dyDescent="0.25">
      <c r="A231" s="92"/>
      <c r="F231" s="786"/>
      <c r="G231" s="795"/>
      <c r="H231" s="93"/>
      <c r="I231" s="810"/>
      <c r="J231" s="810"/>
    </row>
    <row r="232" spans="1:10" x14ac:dyDescent="0.25">
      <c r="A232" s="92"/>
      <c r="F232" s="786"/>
      <c r="G232" s="795"/>
      <c r="H232" s="93"/>
      <c r="I232" s="810"/>
      <c r="J232" s="810"/>
    </row>
    <row r="233" spans="1:10" x14ac:dyDescent="0.25">
      <c r="A233" s="92"/>
      <c r="F233" s="786"/>
      <c r="G233" s="795"/>
      <c r="H233" s="93"/>
      <c r="I233" s="810"/>
      <c r="J233" s="810"/>
    </row>
    <row r="234" spans="1:10" x14ac:dyDescent="0.25">
      <c r="A234" s="92"/>
      <c r="F234" s="786"/>
      <c r="G234" s="795"/>
      <c r="H234" s="93"/>
      <c r="I234" s="810"/>
      <c r="J234" s="810"/>
    </row>
    <row r="235" spans="1:10" x14ac:dyDescent="0.25">
      <c r="A235" s="92"/>
      <c r="F235" s="786"/>
      <c r="G235" s="795"/>
      <c r="H235" s="93"/>
      <c r="I235" s="810"/>
      <c r="J235" s="810"/>
    </row>
    <row r="236" spans="1:10" x14ac:dyDescent="0.25">
      <c r="A236" s="92"/>
      <c r="F236" s="786"/>
      <c r="G236" s="795"/>
      <c r="H236" s="93"/>
      <c r="I236" s="810"/>
      <c r="J236" s="810"/>
    </row>
    <row r="237" spans="1:10" x14ac:dyDescent="0.25">
      <c r="A237" s="92"/>
      <c r="F237" s="786"/>
      <c r="G237" s="795"/>
      <c r="H237" s="93"/>
      <c r="I237" s="810"/>
      <c r="J237" s="810"/>
    </row>
    <row r="238" spans="1:10" x14ac:dyDescent="0.25">
      <c r="A238" s="92"/>
      <c r="F238" s="786"/>
      <c r="G238" s="795"/>
      <c r="H238" s="93"/>
      <c r="I238" s="810"/>
      <c r="J238" s="810"/>
    </row>
    <row r="239" spans="1:10" x14ac:dyDescent="0.25">
      <c r="A239" s="92"/>
      <c r="F239" s="786"/>
      <c r="G239" s="795"/>
      <c r="H239" s="93"/>
      <c r="I239" s="810"/>
      <c r="J239" s="810"/>
    </row>
    <row r="240" spans="1:10" x14ac:dyDescent="0.25">
      <c r="A240" s="92"/>
      <c r="F240" s="786"/>
      <c r="G240" s="795"/>
      <c r="H240" s="93"/>
      <c r="I240" s="810"/>
      <c r="J240" s="810"/>
    </row>
    <row r="241" spans="1:10" x14ac:dyDescent="0.25">
      <c r="A241" s="92"/>
      <c r="F241" s="786"/>
      <c r="G241" s="795"/>
      <c r="H241" s="93"/>
      <c r="I241" s="810"/>
      <c r="J241" s="810"/>
    </row>
    <row r="242" spans="1:10" x14ac:dyDescent="0.25">
      <c r="A242" s="92"/>
      <c r="F242" s="786"/>
      <c r="G242" s="795"/>
      <c r="H242" s="93"/>
      <c r="I242" s="810"/>
      <c r="J242" s="810"/>
    </row>
    <row r="243" spans="1:10" x14ac:dyDescent="0.25">
      <c r="A243" s="92"/>
      <c r="F243" s="786"/>
      <c r="G243" s="795"/>
      <c r="H243" s="93"/>
      <c r="I243" s="810"/>
      <c r="J243" s="810"/>
    </row>
    <row r="244" spans="1:10" x14ac:dyDescent="0.25">
      <c r="A244" s="92"/>
      <c r="F244" s="786"/>
      <c r="G244" s="795"/>
      <c r="H244" s="93"/>
      <c r="I244" s="810"/>
      <c r="J244" s="810"/>
    </row>
    <row r="245" spans="1:10" x14ac:dyDescent="0.25">
      <c r="A245" s="92"/>
      <c r="F245" s="786"/>
      <c r="G245" s="795"/>
      <c r="H245" s="93"/>
      <c r="I245" s="810"/>
      <c r="J245" s="810"/>
    </row>
    <row r="246" spans="1:10" x14ac:dyDescent="0.25">
      <c r="A246" s="92"/>
      <c r="F246" s="786"/>
      <c r="G246" s="795"/>
      <c r="H246" s="93"/>
      <c r="I246" s="810"/>
      <c r="J246" s="810"/>
    </row>
    <row r="247" spans="1:10" x14ac:dyDescent="0.25">
      <c r="A247" s="92"/>
      <c r="F247" s="786"/>
      <c r="G247" s="795"/>
      <c r="H247" s="93"/>
      <c r="I247" s="810"/>
      <c r="J247" s="810"/>
    </row>
    <row r="248" spans="1:10" x14ac:dyDescent="0.25">
      <c r="A248" s="92"/>
      <c r="F248" s="786"/>
      <c r="G248" s="795"/>
      <c r="H248" s="93"/>
      <c r="I248" s="810"/>
      <c r="J248" s="810"/>
    </row>
    <row r="249" spans="1:10" x14ac:dyDescent="0.25">
      <c r="A249" s="92"/>
      <c r="F249" s="786"/>
      <c r="G249" s="795"/>
      <c r="H249" s="93"/>
      <c r="I249" s="810"/>
      <c r="J249" s="810"/>
    </row>
    <row r="250" spans="1:10" x14ac:dyDescent="0.25">
      <c r="A250" s="92"/>
      <c r="F250" s="786"/>
      <c r="G250" s="795"/>
      <c r="H250" s="93"/>
      <c r="I250" s="810"/>
      <c r="J250" s="810"/>
    </row>
    <row r="251" spans="1:10" x14ac:dyDescent="0.25">
      <c r="A251" s="92"/>
      <c r="F251" s="786"/>
      <c r="G251" s="795"/>
      <c r="H251" s="93"/>
      <c r="I251" s="810"/>
      <c r="J251" s="810"/>
    </row>
    <row r="252" spans="1:10" x14ac:dyDescent="0.25">
      <c r="A252" s="92"/>
      <c r="F252" s="786"/>
      <c r="G252" s="795"/>
      <c r="H252" s="93"/>
      <c r="I252" s="810"/>
      <c r="J252" s="810"/>
    </row>
    <row r="253" spans="1:10" x14ac:dyDescent="0.25">
      <c r="A253" s="92"/>
      <c r="F253" s="786"/>
      <c r="G253" s="795"/>
      <c r="H253" s="93"/>
      <c r="I253" s="810"/>
      <c r="J253" s="810"/>
    </row>
    <row r="254" spans="1:10" x14ac:dyDescent="0.25">
      <c r="A254" s="92"/>
      <c r="F254" s="786"/>
      <c r="G254" s="795"/>
      <c r="H254" s="93"/>
      <c r="I254" s="810"/>
      <c r="J254" s="810"/>
    </row>
    <row r="255" spans="1:10" x14ac:dyDescent="0.25">
      <c r="A255" s="92"/>
      <c r="F255" s="786"/>
      <c r="G255" s="795"/>
      <c r="H255" s="93"/>
      <c r="I255" s="810"/>
      <c r="J255" s="810"/>
    </row>
    <row r="256" spans="1:10" x14ac:dyDescent="0.25">
      <c r="A256" s="92"/>
      <c r="F256" s="786"/>
      <c r="G256" s="795"/>
      <c r="H256" s="93"/>
      <c r="I256" s="810"/>
      <c r="J256" s="810"/>
    </row>
    <row r="257" spans="1:10" x14ac:dyDescent="0.25">
      <c r="A257" s="92"/>
      <c r="F257" s="786"/>
      <c r="G257" s="795"/>
      <c r="H257" s="93"/>
      <c r="I257" s="810"/>
      <c r="J257" s="810"/>
    </row>
    <row r="258" spans="1:10" x14ac:dyDescent="0.25">
      <c r="A258" s="92"/>
      <c r="F258" s="786"/>
      <c r="G258" s="795"/>
      <c r="H258" s="93"/>
      <c r="I258" s="810"/>
      <c r="J258" s="810"/>
    </row>
    <row r="259" spans="1:10" x14ac:dyDescent="0.25">
      <c r="A259" s="92"/>
      <c r="F259" s="786"/>
      <c r="G259" s="795"/>
      <c r="H259" s="93"/>
      <c r="I259" s="810"/>
      <c r="J259" s="810"/>
    </row>
    <row r="260" spans="1:10" x14ac:dyDescent="0.25">
      <c r="A260" s="92"/>
      <c r="F260" s="786"/>
      <c r="G260" s="795"/>
      <c r="H260" s="93"/>
      <c r="I260" s="810"/>
      <c r="J260" s="810"/>
    </row>
    <row r="261" spans="1:10" x14ac:dyDescent="0.25">
      <c r="A261" s="92"/>
      <c r="F261" s="786"/>
      <c r="G261" s="795"/>
      <c r="H261" s="93"/>
      <c r="I261" s="810"/>
      <c r="J261" s="810"/>
    </row>
    <row r="262" spans="1:10" x14ac:dyDescent="0.25">
      <c r="A262" s="92"/>
      <c r="F262" s="786"/>
      <c r="G262" s="795"/>
      <c r="H262" s="93"/>
      <c r="I262" s="810"/>
      <c r="J262" s="810"/>
    </row>
    <row r="263" spans="1:10" x14ac:dyDescent="0.25">
      <c r="A263" s="92"/>
      <c r="F263" s="786"/>
      <c r="G263" s="795"/>
      <c r="H263" s="93"/>
      <c r="I263" s="810"/>
      <c r="J263" s="810"/>
    </row>
    <row r="264" spans="1:10" x14ac:dyDescent="0.25">
      <c r="A264" s="92"/>
      <c r="F264" s="786"/>
      <c r="G264" s="795"/>
      <c r="H264" s="93"/>
      <c r="I264" s="810"/>
      <c r="J264" s="810"/>
    </row>
    <row r="265" spans="1:10" x14ac:dyDescent="0.25">
      <c r="A265" s="92"/>
      <c r="F265" s="786"/>
      <c r="G265" s="795"/>
      <c r="H265" s="93"/>
      <c r="I265" s="810"/>
      <c r="J265" s="810"/>
    </row>
    <row r="266" spans="1:10" x14ac:dyDescent="0.25">
      <c r="A266" s="92"/>
      <c r="F266" s="786"/>
      <c r="G266" s="795"/>
      <c r="H266" s="93"/>
      <c r="I266" s="810"/>
      <c r="J266" s="810"/>
    </row>
    <row r="267" spans="1:10" x14ac:dyDescent="0.25">
      <c r="A267" s="92"/>
      <c r="F267" s="786"/>
      <c r="G267" s="795"/>
      <c r="H267" s="93"/>
      <c r="I267" s="810"/>
      <c r="J267" s="810"/>
    </row>
    <row r="268" spans="1:10" x14ac:dyDescent="0.25">
      <c r="A268" s="92"/>
      <c r="F268" s="786"/>
      <c r="G268" s="795"/>
      <c r="H268" s="93"/>
      <c r="I268" s="810"/>
      <c r="J268" s="810"/>
    </row>
    <row r="269" spans="1:10" x14ac:dyDescent="0.25">
      <c r="A269" s="92"/>
      <c r="F269" s="786"/>
      <c r="G269" s="795"/>
      <c r="H269" s="93"/>
      <c r="I269" s="810"/>
      <c r="J269" s="810"/>
    </row>
    <row r="270" spans="1:10" x14ac:dyDescent="0.25">
      <c r="A270" s="92"/>
      <c r="F270" s="786"/>
      <c r="G270" s="795"/>
      <c r="H270" s="93"/>
      <c r="I270" s="810"/>
      <c r="J270" s="810"/>
    </row>
    <row r="271" spans="1:10" x14ac:dyDescent="0.25">
      <c r="A271" s="92"/>
      <c r="F271" s="786"/>
      <c r="G271" s="795"/>
      <c r="H271" s="93"/>
      <c r="I271" s="810"/>
      <c r="J271" s="810"/>
    </row>
    <row r="272" spans="1:10" x14ac:dyDescent="0.25">
      <c r="A272" s="92"/>
      <c r="F272" s="786"/>
      <c r="G272" s="795"/>
      <c r="H272" s="93"/>
      <c r="I272" s="810"/>
      <c r="J272" s="810"/>
    </row>
    <row r="273" spans="1:10" x14ac:dyDescent="0.25">
      <c r="A273" s="92"/>
      <c r="F273" s="786"/>
      <c r="G273" s="795"/>
      <c r="H273" s="93"/>
      <c r="I273" s="810"/>
      <c r="J273" s="810"/>
    </row>
    <row r="274" spans="1:10" x14ac:dyDescent="0.25">
      <c r="A274" s="92"/>
      <c r="F274" s="786"/>
      <c r="G274" s="795"/>
      <c r="H274" s="93"/>
      <c r="I274" s="810"/>
      <c r="J274" s="810"/>
    </row>
    <row r="275" spans="1:10" x14ac:dyDescent="0.25">
      <c r="A275" s="92"/>
      <c r="F275" s="786"/>
      <c r="G275" s="795"/>
      <c r="H275" s="93"/>
      <c r="I275" s="810"/>
      <c r="J275" s="810"/>
    </row>
    <row r="276" spans="1:10" x14ac:dyDescent="0.25">
      <c r="A276" s="92"/>
      <c r="F276" s="786"/>
      <c r="G276" s="795"/>
      <c r="H276" s="93"/>
      <c r="I276" s="810"/>
      <c r="J276" s="810"/>
    </row>
    <row r="277" spans="1:10" x14ac:dyDescent="0.25">
      <c r="A277" s="92"/>
      <c r="F277" s="786"/>
      <c r="G277" s="795"/>
      <c r="H277" s="93"/>
      <c r="I277" s="810"/>
      <c r="J277" s="810"/>
    </row>
    <row r="278" spans="1:10" x14ac:dyDescent="0.25">
      <c r="A278" s="92"/>
      <c r="F278" s="786"/>
      <c r="G278" s="795"/>
      <c r="H278" s="93"/>
      <c r="I278" s="810"/>
      <c r="J278" s="810"/>
    </row>
    <row r="279" spans="1:10" x14ac:dyDescent="0.25">
      <c r="A279" s="92"/>
      <c r="F279" s="786"/>
      <c r="G279" s="795"/>
      <c r="H279" s="93"/>
      <c r="I279" s="810"/>
      <c r="J279" s="810"/>
    </row>
    <row r="280" spans="1:10" x14ac:dyDescent="0.25">
      <c r="A280" s="92"/>
      <c r="F280" s="786"/>
      <c r="G280" s="795"/>
      <c r="H280" s="93"/>
      <c r="I280" s="810"/>
      <c r="J280" s="810"/>
    </row>
    <row r="281" spans="1:10" x14ac:dyDescent="0.25">
      <c r="A281" s="92"/>
      <c r="F281" s="786"/>
      <c r="G281" s="795"/>
      <c r="H281" s="93"/>
      <c r="I281" s="810"/>
      <c r="J281" s="810"/>
    </row>
    <row r="282" spans="1:10" x14ac:dyDescent="0.25">
      <c r="A282" s="92"/>
      <c r="F282" s="786"/>
      <c r="G282" s="795"/>
      <c r="H282" s="93"/>
      <c r="I282" s="810"/>
      <c r="J282" s="810"/>
    </row>
    <row r="283" spans="1:10" x14ac:dyDescent="0.25">
      <c r="A283" s="92"/>
      <c r="F283" s="786"/>
      <c r="G283" s="795"/>
      <c r="H283" s="93"/>
      <c r="I283" s="810"/>
      <c r="J283" s="810"/>
    </row>
    <row r="284" spans="1:10" x14ac:dyDescent="0.25">
      <c r="A284" s="92"/>
      <c r="F284" s="786"/>
      <c r="G284" s="795"/>
      <c r="H284" s="93"/>
      <c r="I284" s="810"/>
      <c r="J284" s="810"/>
    </row>
    <row r="285" spans="1:10" x14ac:dyDescent="0.25">
      <c r="A285" s="92"/>
      <c r="F285" s="786"/>
      <c r="G285" s="795"/>
      <c r="H285" s="93"/>
      <c r="I285" s="810"/>
      <c r="J285" s="810"/>
    </row>
    <row r="286" spans="1:10" x14ac:dyDescent="0.25">
      <c r="A286" s="92"/>
      <c r="F286" s="786"/>
      <c r="G286" s="795"/>
      <c r="H286" s="93"/>
      <c r="I286" s="810"/>
      <c r="J286" s="810"/>
    </row>
    <row r="287" spans="1:10" x14ac:dyDescent="0.25">
      <c r="A287" s="92"/>
      <c r="F287" s="786"/>
      <c r="G287" s="795"/>
      <c r="H287" s="93"/>
      <c r="I287" s="810"/>
      <c r="J287" s="810"/>
    </row>
    <row r="288" spans="1:10" x14ac:dyDescent="0.25">
      <c r="A288" s="92"/>
      <c r="F288" s="786"/>
      <c r="G288" s="795"/>
      <c r="H288" s="93"/>
      <c r="I288" s="810"/>
      <c r="J288" s="810"/>
    </row>
    <row r="289" spans="1:10" x14ac:dyDescent="0.25">
      <c r="A289" s="92"/>
      <c r="F289" s="786"/>
      <c r="G289" s="795"/>
      <c r="H289" s="93"/>
      <c r="I289" s="810"/>
      <c r="J289" s="810"/>
    </row>
    <row r="290" spans="1:10" x14ac:dyDescent="0.25">
      <c r="A290" s="92"/>
      <c r="F290" s="786"/>
      <c r="G290" s="795"/>
      <c r="H290" s="93"/>
      <c r="I290" s="810"/>
      <c r="J290" s="810"/>
    </row>
    <row r="291" spans="1:10" x14ac:dyDescent="0.25">
      <c r="A291" s="92"/>
      <c r="F291" s="786"/>
      <c r="G291" s="795"/>
      <c r="H291" s="93"/>
      <c r="I291" s="810"/>
      <c r="J291" s="810"/>
    </row>
    <row r="292" spans="1:10" x14ac:dyDescent="0.25">
      <c r="A292" s="92"/>
      <c r="F292" s="786"/>
      <c r="G292" s="795"/>
      <c r="H292" s="93"/>
      <c r="I292" s="810"/>
      <c r="J292" s="810"/>
    </row>
    <row r="293" spans="1:10" x14ac:dyDescent="0.25">
      <c r="A293" s="92"/>
      <c r="F293" s="786"/>
      <c r="G293" s="795"/>
      <c r="H293" s="93"/>
      <c r="I293" s="810"/>
      <c r="J293" s="810"/>
    </row>
    <row r="294" spans="1:10" x14ac:dyDescent="0.25">
      <c r="A294" s="92"/>
      <c r="F294" s="786"/>
      <c r="G294" s="795"/>
      <c r="H294" s="93"/>
      <c r="I294" s="810"/>
      <c r="J294" s="810"/>
    </row>
    <row r="295" spans="1:10" x14ac:dyDescent="0.25">
      <c r="A295" s="92"/>
      <c r="F295" s="786"/>
      <c r="G295" s="795"/>
      <c r="H295" s="93"/>
      <c r="I295" s="810"/>
      <c r="J295" s="810"/>
    </row>
    <row r="296" spans="1:10" x14ac:dyDescent="0.25">
      <c r="A296" s="92"/>
      <c r="F296" s="786"/>
      <c r="G296" s="795"/>
      <c r="H296" s="93"/>
      <c r="I296" s="810"/>
      <c r="J296" s="810"/>
    </row>
    <row r="297" spans="1:10" x14ac:dyDescent="0.25">
      <c r="A297" s="92"/>
      <c r="F297" s="786"/>
      <c r="G297" s="795"/>
      <c r="H297" s="93"/>
      <c r="I297" s="810"/>
      <c r="J297" s="810"/>
    </row>
    <row r="298" spans="1:10" x14ac:dyDescent="0.25">
      <c r="A298" s="92"/>
      <c r="F298" s="786"/>
      <c r="G298" s="795"/>
      <c r="H298" s="93"/>
      <c r="I298" s="810"/>
      <c r="J298" s="810"/>
    </row>
    <row r="299" spans="1:10" x14ac:dyDescent="0.25">
      <c r="A299" s="92"/>
      <c r="F299" s="786"/>
      <c r="G299" s="795"/>
      <c r="H299" s="93"/>
      <c r="I299" s="810"/>
      <c r="J299" s="810"/>
    </row>
    <row r="300" spans="1:10" x14ac:dyDescent="0.25">
      <c r="A300" s="92"/>
      <c r="F300" s="786"/>
      <c r="G300" s="795"/>
      <c r="H300" s="93"/>
      <c r="I300" s="810"/>
      <c r="J300" s="810"/>
    </row>
    <row r="301" spans="1:10" x14ac:dyDescent="0.25">
      <c r="A301" s="92"/>
      <c r="F301" s="786"/>
      <c r="G301" s="795"/>
      <c r="H301" s="93"/>
      <c r="I301" s="810"/>
      <c r="J301" s="810"/>
    </row>
    <row r="302" spans="1:10" x14ac:dyDescent="0.25">
      <c r="A302" s="92"/>
      <c r="F302" s="786"/>
      <c r="G302" s="795"/>
      <c r="H302" s="93"/>
      <c r="I302" s="810"/>
      <c r="J302" s="810"/>
    </row>
    <row r="303" spans="1:10" x14ac:dyDescent="0.25">
      <c r="A303" s="92"/>
      <c r="F303" s="786"/>
      <c r="G303" s="795"/>
      <c r="H303" s="93"/>
      <c r="I303" s="810"/>
      <c r="J303" s="810"/>
    </row>
    <row r="304" spans="1:10" x14ac:dyDescent="0.25">
      <c r="A304" s="92"/>
      <c r="F304" s="786"/>
      <c r="G304" s="795"/>
      <c r="H304" s="93"/>
      <c r="I304" s="810"/>
      <c r="J304" s="810"/>
    </row>
    <row r="305" spans="1:10" x14ac:dyDescent="0.25">
      <c r="A305" s="92"/>
      <c r="F305" s="786"/>
      <c r="G305" s="795"/>
      <c r="H305" s="93"/>
      <c r="I305" s="810"/>
      <c r="J305" s="810"/>
    </row>
    <row r="306" spans="1:10" x14ac:dyDescent="0.25">
      <c r="A306" s="92"/>
      <c r="F306" s="786"/>
      <c r="G306" s="795"/>
      <c r="H306" s="93"/>
      <c r="I306" s="810"/>
      <c r="J306" s="810"/>
    </row>
    <row r="307" spans="1:10" x14ac:dyDescent="0.25">
      <c r="A307" s="92"/>
      <c r="F307" s="786"/>
      <c r="G307" s="795"/>
      <c r="H307" s="93"/>
      <c r="I307" s="810"/>
      <c r="J307" s="810"/>
    </row>
    <row r="308" spans="1:10" x14ac:dyDescent="0.25">
      <c r="A308" s="92"/>
      <c r="F308" s="786"/>
      <c r="G308" s="795"/>
      <c r="H308" s="93"/>
      <c r="I308" s="810"/>
      <c r="J308" s="810"/>
    </row>
    <row r="309" spans="1:10" x14ac:dyDescent="0.25">
      <c r="A309" s="92"/>
      <c r="F309" s="786"/>
      <c r="G309" s="795"/>
      <c r="H309" s="93"/>
      <c r="I309" s="810"/>
      <c r="J309" s="810"/>
    </row>
    <row r="310" spans="1:10" x14ac:dyDescent="0.25">
      <c r="A310" s="92"/>
      <c r="F310" s="786"/>
      <c r="G310" s="795"/>
      <c r="H310" s="93"/>
      <c r="I310" s="810"/>
      <c r="J310" s="810"/>
    </row>
    <row r="311" spans="1:10" x14ac:dyDescent="0.25">
      <c r="A311" s="92"/>
      <c r="F311" s="786"/>
      <c r="G311" s="795"/>
      <c r="H311" s="93"/>
      <c r="I311" s="810"/>
      <c r="J311" s="810"/>
    </row>
    <row r="312" spans="1:10" x14ac:dyDescent="0.25">
      <c r="A312" s="92"/>
      <c r="F312" s="786"/>
      <c r="G312" s="795"/>
      <c r="H312" s="93"/>
      <c r="I312" s="810"/>
      <c r="J312" s="810"/>
    </row>
    <row r="313" spans="1:10" x14ac:dyDescent="0.25">
      <c r="A313" s="92"/>
      <c r="F313" s="786"/>
      <c r="G313" s="795"/>
      <c r="H313" s="93"/>
      <c r="I313" s="810"/>
      <c r="J313" s="810"/>
    </row>
    <row r="314" spans="1:10" x14ac:dyDescent="0.25">
      <c r="A314" s="92"/>
      <c r="F314" s="786"/>
      <c r="G314" s="795"/>
      <c r="H314" s="93"/>
      <c r="I314" s="810"/>
      <c r="J314" s="810"/>
    </row>
    <row r="315" spans="1:10" x14ac:dyDescent="0.25">
      <c r="A315" s="92"/>
      <c r="F315" s="786"/>
      <c r="G315" s="795"/>
      <c r="H315" s="93"/>
      <c r="I315" s="810"/>
      <c r="J315" s="810"/>
    </row>
    <row r="316" spans="1:10" x14ac:dyDescent="0.25">
      <c r="A316" s="92"/>
      <c r="F316" s="786"/>
      <c r="G316" s="795"/>
      <c r="H316" s="93"/>
      <c r="I316" s="810"/>
      <c r="J316" s="810"/>
    </row>
    <row r="317" spans="1:10" x14ac:dyDescent="0.25">
      <c r="A317" s="92"/>
      <c r="F317" s="786"/>
      <c r="G317" s="795"/>
      <c r="H317" s="93"/>
      <c r="I317" s="810"/>
      <c r="J317" s="810"/>
    </row>
    <row r="318" spans="1:10" x14ac:dyDescent="0.25">
      <c r="A318" s="92"/>
      <c r="F318" s="786"/>
      <c r="G318" s="795"/>
      <c r="H318" s="93"/>
      <c r="I318" s="810"/>
      <c r="J318" s="810"/>
    </row>
    <row r="319" spans="1:10" x14ac:dyDescent="0.25">
      <c r="A319" s="92"/>
      <c r="F319" s="786"/>
      <c r="G319" s="795"/>
      <c r="H319" s="93"/>
      <c r="I319" s="810"/>
      <c r="J319" s="810"/>
    </row>
    <row r="320" spans="1:10" x14ac:dyDescent="0.25">
      <c r="A320" s="92"/>
      <c r="F320" s="786"/>
      <c r="G320" s="795"/>
      <c r="H320" s="93"/>
      <c r="I320" s="810"/>
      <c r="J320" s="810"/>
    </row>
    <row r="321" spans="1:10" x14ac:dyDescent="0.25">
      <c r="A321" s="92"/>
      <c r="F321" s="786"/>
      <c r="G321" s="795"/>
      <c r="H321" s="93"/>
      <c r="I321" s="810"/>
      <c r="J321" s="810"/>
    </row>
    <row r="322" spans="1:10" x14ac:dyDescent="0.25">
      <c r="A322" s="92"/>
      <c r="F322" s="786"/>
      <c r="G322" s="795"/>
      <c r="H322" s="93"/>
      <c r="I322" s="810"/>
      <c r="J322" s="810"/>
    </row>
    <row r="323" spans="1:10" x14ac:dyDescent="0.25">
      <c r="A323" s="92"/>
      <c r="F323" s="786"/>
      <c r="G323" s="795"/>
      <c r="H323" s="93"/>
      <c r="I323" s="810"/>
      <c r="J323" s="810"/>
    </row>
    <row r="324" spans="1:10" x14ac:dyDescent="0.25">
      <c r="A324" s="92"/>
      <c r="F324" s="786"/>
      <c r="G324" s="795"/>
      <c r="H324" s="93"/>
      <c r="I324" s="810"/>
      <c r="J324" s="810"/>
    </row>
    <row r="325" spans="1:10" x14ac:dyDescent="0.25">
      <c r="A325" s="92"/>
      <c r="F325" s="786"/>
      <c r="G325" s="795"/>
      <c r="H325" s="93"/>
      <c r="I325" s="810"/>
      <c r="J325" s="810"/>
    </row>
    <row r="326" spans="1:10" x14ac:dyDescent="0.25">
      <c r="A326" s="92"/>
      <c r="F326" s="786"/>
      <c r="G326" s="795"/>
      <c r="H326" s="93"/>
      <c r="I326" s="810"/>
      <c r="J326" s="810"/>
    </row>
    <row r="327" spans="1:10" x14ac:dyDescent="0.25">
      <c r="A327" s="92"/>
      <c r="F327" s="786"/>
      <c r="G327" s="795"/>
      <c r="H327" s="93"/>
      <c r="I327" s="810"/>
      <c r="J327" s="810"/>
    </row>
    <row r="328" spans="1:10" x14ac:dyDescent="0.25">
      <c r="A328" s="92"/>
      <c r="F328" s="786"/>
      <c r="G328" s="795"/>
      <c r="H328" s="93"/>
      <c r="I328" s="810"/>
      <c r="J328" s="810"/>
    </row>
    <row r="329" spans="1:10" x14ac:dyDescent="0.25">
      <c r="A329" s="92"/>
      <c r="F329" s="786"/>
      <c r="G329" s="795"/>
      <c r="H329" s="93"/>
      <c r="I329" s="810"/>
      <c r="J329" s="810"/>
    </row>
    <row r="330" spans="1:10" x14ac:dyDescent="0.25">
      <c r="A330" s="92"/>
      <c r="F330" s="786"/>
      <c r="G330" s="795"/>
      <c r="H330" s="93"/>
      <c r="I330" s="810"/>
      <c r="J330" s="810"/>
    </row>
    <row r="331" spans="1:10" x14ac:dyDescent="0.25">
      <c r="A331" s="92"/>
      <c r="F331" s="786"/>
      <c r="G331" s="795"/>
      <c r="H331" s="93"/>
      <c r="I331" s="810"/>
      <c r="J331" s="810"/>
    </row>
    <row r="332" spans="1:10" x14ac:dyDescent="0.25">
      <c r="A332" s="92"/>
      <c r="F332" s="786"/>
      <c r="G332" s="795"/>
      <c r="H332" s="93"/>
      <c r="I332" s="810"/>
      <c r="J332" s="810"/>
    </row>
    <row r="333" spans="1:10" x14ac:dyDescent="0.25">
      <c r="A333" s="92"/>
      <c r="F333" s="786"/>
      <c r="G333" s="795"/>
      <c r="H333" s="93"/>
      <c r="I333" s="810"/>
      <c r="J333" s="810"/>
    </row>
    <row r="334" spans="1:10" x14ac:dyDescent="0.25">
      <c r="A334" s="92"/>
      <c r="F334" s="786"/>
      <c r="G334" s="795"/>
      <c r="H334" s="93"/>
      <c r="I334" s="810"/>
      <c r="J334" s="810"/>
    </row>
    <row r="335" spans="1:10" x14ac:dyDescent="0.25">
      <c r="A335" s="92"/>
      <c r="F335" s="786"/>
      <c r="G335" s="795"/>
      <c r="H335" s="93"/>
      <c r="I335" s="810"/>
      <c r="J335" s="810"/>
    </row>
    <row r="336" spans="1:10" x14ac:dyDescent="0.25">
      <c r="A336" s="92"/>
      <c r="F336" s="786"/>
      <c r="G336" s="795"/>
      <c r="H336" s="93"/>
      <c r="I336" s="810"/>
      <c r="J336" s="810"/>
    </row>
    <row r="337" spans="1:10" x14ac:dyDescent="0.25">
      <c r="A337" s="92"/>
      <c r="F337" s="786"/>
      <c r="G337" s="795"/>
      <c r="H337" s="93"/>
      <c r="I337" s="810"/>
      <c r="J337" s="810"/>
    </row>
    <row r="338" spans="1:10" x14ac:dyDescent="0.25">
      <c r="A338" s="92"/>
      <c r="F338" s="786"/>
      <c r="G338" s="795"/>
      <c r="H338" s="93"/>
      <c r="I338" s="810"/>
      <c r="J338" s="810"/>
    </row>
    <row r="339" spans="1:10" x14ac:dyDescent="0.25">
      <c r="A339" s="92"/>
      <c r="F339" s="786"/>
      <c r="G339" s="795"/>
      <c r="H339" s="93"/>
      <c r="I339" s="810"/>
      <c r="J339" s="810"/>
    </row>
    <row r="340" spans="1:10" x14ac:dyDescent="0.25">
      <c r="A340" s="92"/>
      <c r="F340" s="786"/>
      <c r="G340" s="795"/>
      <c r="H340" s="93"/>
      <c r="I340" s="810"/>
      <c r="J340" s="810"/>
    </row>
    <row r="341" spans="1:10" x14ac:dyDescent="0.25">
      <c r="A341" s="92"/>
      <c r="F341" s="786"/>
      <c r="G341" s="795"/>
      <c r="H341" s="93"/>
      <c r="I341" s="810"/>
      <c r="J341" s="810"/>
    </row>
    <row r="342" spans="1:10" x14ac:dyDescent="0.25">
      <c r="A342" s="92"/>
      <c r="F342" s="786"/>
      <c r="G342" s="795"/>
      <c r="H342" s="93"/>
      <c r="I342" s="810"/>
      <c r="J342" s="810"/>
    </row>
    <row r="343" spans="1:10" x14ac:dyDescent="0.25">
      <c r="A343" s="92"/>
      <c r="F343" s="786"/>
      <c r="G343" s="795"/>
      <c r="H343" s="93"/>
      <c r="I343" s="810"/>
      <c r="J343" s="810"/>
    </row>
    <row r="344" spans="1:10" x14ac:dyDescent="0.25">
      <c r="A344" s="92"/>
      <c r="F344" s="786"/>
      <c r="G344" s="795"/>
      <c r="H344" s="93"/>
      <c r="I344" s="810"/>
      <c r="J344" s="810"/>
    </row>
    <row r="345" spans="1:10" x14ac:dyDescent="0.25">
      <c r="A345" s="92"/>
      <c r="F345" s="786"/>
      <c r="G345" s="795"/>
      <c r="H345" s="93"/>
      <c r="I345" s="810"/>
      <c r="J345" s="810"/>
    </row>
    <row r="346" spans="1:10" x14ac:dyDescent="0.25">
      <c r="A346" s="92"/>
      <c r="F346" s="786"/>
      <c r="G346" s="795"/>
      <c r="H346" s="93"/>
      <c r="I346" s="810"/>
      <c r="J346" s="810"/>
    </row>
    <row r="347" spans="1:10" x14ac:dyDescent="0.25">
      <c r="A347" s="92"/>
      <c r="F347" s="786"/>
      <c r="G347" s="795"/>
      <c r="H347" s="93"/>
      <c r="I347" s="810"/>
      <c r="J347" s="810"/>
    </row>
    <row r="348" spans="1:10" x14ac:dyDescent="0.25">
      <c r="A348" s="92"/>
      <c r="F348" s="786"/>
      <c r="G348" s="795"/>
      <c r="H348" s="93"/>
      <c r="I348" s="810"/>
      <c r="J348" s="810"/>
    </row>
    <row r="349" spans="1:10" x14ac:dyDescent="0.25">
      <c r="A349" s="92"/>
      <c r="F349" s="786"/>
      <c r="G349" s="795"/>
      <c r="H349" s="93"/>
      <c r="I349" s="810"/>
      <c r="J349" s="810"/>
    </row>
    <row r="350" spans="1:10" x14ac:dyDescent="0.25">
      <c r="A350" s="92"/>
      <c r="F350" s="786"/>
      <c r="G350" s="795"/>
      <c r="H350" s="93"/>
      <c r="I350" s="810"/>
      <c r="J350" s="810"/>
    </row>
    <row r="351" spans="1:10" x14ac:dyDescent="0.25">
      <c r="A351" s="92"/>
      <c r="F351" s="786"/>
      <c r="G351" s="795"/>
      <c r="H351" s="93"/>
      <c r="I351" s="810"/>
      <c r="J351" s="810"/>
    </row>
    <row r="352" spans="1:10" x14ac:dyDescent="0.25">
      <c r="A352" s="92"/>
      <c r="F352" s="786"/>
      <c r="G352" s="795"/>
      <c r="H352" s="93"/>
      <c r="I352" s="810"/>
      <c r="J352" s="810"/>
    </row>
    <row r="353" spans="1:10" x14ac:dyDescent="0.25">
      <c r="A353" s="92"/>
      <c r="F353" s="786"/>
      <c r="G353" s="795"/>
      <c r="H353" s="93"/>
      <c r="I353" s="810"/>
      <c r="J353" s="810"/>
    </row>
    <row r="354" spans="1:10" x14ac:dyDescent="0.25">
      <c r="A354" s="92"/>
      <c r="F354" s="786"/>
      <c r="G354" s="795"/>
      <c r="H354" s="93"/>
      <c r="I354" s="810"/>
      <c r="J354" s="810"/>
    </row>
    <row r="355" spans="1:10" x14ac:dyDescent="0.25">
      <c r="A355" s="92"/>
      <c r="F355" s="786"/>
      <c r="G355" s="795"/>
      <c r="H355" s="93"/>
      <c r="I355" s="810"/>
      <c r="J355" s="810"/>
    </row>
    <row r="356" spans="1:10" x14ac:dyDescent="0.25">
      <c r="A356" s="92"/>
      <c r="F356" s="786"/>
      <c r="G356" s="795"/>
      <c r="H356" s="93"/>
      <c r="I356" s="810"/>
      <c r="J356" s="810"/>
    </row>
    <row r="357" spans="1:10" x14ac:dyDescent="0.25">
      <c r="A357" s="92"/>
      <c r="F357" s="786"/>
      <c r="G357" s="795"/>
      <c r="H357" s="93"/>
      <c r="I357" s="810"/>
      <c r="J357" s="810"/>
    </row>
    <row r="358" spans="1:10" x14ac:dyDescent="0.25">
      <c r="A358" s="92"/>
      <c r="F358" s="786"/>
      <c r="G358" s="795"/>
      <c r="H358" s="93"/>
      <c r="I358" s="810"/>
      <c r="J358" s="810"/>
    </row>
    <row r="359" spans="1:10" x14ac:dyDescent="0.25">
      <c r="A359" s="92"/>
      <c r="F359" s="786"/>
      <c r="G359" s="795"/>
      <c r="H359" s="93"/>
      <c r="I359" s="810"/>
      <c r="J359" s="810"/>
    </row>
    <row r="360" spans="1:10" x14ac:dyDescent="0.25">
      <c r="A360" s="92"/>
      <c r="F360" s="786"/>
      <c r="G360" s="795"/>
      <c r="H360" s="93"/>
      <c r="I360" s="810"/>
      <c r="J360" s="810"/>
    </row>
    <row r="361" spans="1:10" x14ac:dyDescent="0.25">
      <c r="A361" s="92"/>
      <c r="F361" s="786"/>
      <c r="G361" s="795"/>
      <c r="H361" s="93"/>
      <c r="I361" s="810"/>
      <c r="J361" s="810"/>
    </row>
    <row r="362" spans="1:10" x14ac:dyDescent="0.25">
      <c r="A362" s="92"/>
      <c r="F362" s="786"/>
      <c r="G362" s="795"/>
      <c r="H362" s="93"/>
      <c r="I362" s="810"/>
      <c r="J362" s="810"/>
    </row>
    <row r="363" spans="1:10" x14ac:dyDescent="0.25">
      <c r="A363" s="92"/>
      <c r="F363" s="786"/>
      <c r="G363" s="795"/>
      <c r="H363" s="93"/>
      <c r="I363" s="810"/>
      <c r="J363" s="810"/>
    </row>
    <row r="364" spans="1:10" x14ac:dyDescent="0.25">
      <c r="A364" s="92"/>
      <c r="F364" s="786"/>
      <c r="G364" s="795"/>
      <c r="H364" s="93"/>
      <c r="I364" s="810"/>
      <c r="J364" s="810"/>
    </row>
    <row r="365" spans="1:10" x14ac:dyDescent="0.25">
      <c r="A365" s="92"/>
      <c r="F365" s="786"/>
      <c r="G365" s="795"/>
      <c r="H365" s="93"/>
      <c r="I365" s="810"/>
      <c r="J365" s="810"/>
    </row>
    <row r="366" spans="1:10" x14ac:dyDescent="0.25">
      <c r="A366" s="92"/>
      <c r="F366" s="786"/>
      <c r="G366" s="795"/>
      <c r="H366" s="93"/>
      <c r="I366" s="810"/>
      <c r="J366" s="810"/>
    </row>
    <row r="367" spans="1:10" x14ac:dyDescent="0.25">
      <c r="A367" s="92"/>
      <c r="F367" s="786"/>
      <c r="G367" s="795"/>
      <c r="H367" s="93"/>
      <c r="I367" s="810"/>
      <c r="J367" s="810"/>
    </row>
    <row r="368" spans="1:10" x14ac:dyDescent="0.25">
      <c r="A368" s="92"/>
      <c r="F368" s="786"/>
      <c r="G368" s="795"/>
      <c r="H368" s="93"/>
      <c r="I368" s="810"/>
      <c r="J368" s="810"/>
    </row>
    <row r="369" spans="1:10" x14ac:dyDescent="0.25">
      <c r="A369" s="92"/>
      <c r="F369" s="786"/>
      <c r="G369" s="795"/>
      <c r="H369" s="93"/>
      <c r="I369" s="810"/>
      <c r="J369" s="810"/>
    </row>
    <row r="370" spans="1:10" x14ac:dyDescent="0.25">
      <c r="A370" s="92"/>
      <c r="F370" s="786"/>
      <c r="G370" s="795"/>
      <c r="H370" s="93"/>
      <c r="I370" s="810"/>
      <c r="J370" s="810"/>
    </row>
    <row r="371" spans="1:10" x14ac:dyDescent="0.25">
      <c r="A371" s="92"/>
      <c r="F371" s="786"/>
      <c r="G371" s="795"/>
      <c r="H371" s="93"/>
      <c r="I371" s="810"/>
      <c r="J371" s="810"/>
    </row>
    <row r="372" spans="1:10" x14ac:dyDescent="0.25">
      <c r="A372" s="92"/>
      <c r="F372" s="786"/>
      <c r="G372" s="795"/>
      <c r="H372" s="93"/>
      <c r="I372" s="810"/>
      <c r="J372" s="810"/>
    </row>
    <row r="373" spans="1:10" x14ac:dyDescent="0.25">
      <c r="A373" s="92"/>
      <c r="F373" s="786"/>
      <c r="G373" s="795"/>
      <c r="H373" s="93"/>
      <c r="I373" s="810"/>
      <c r="J373" s="810"/>
    </row>
    <row r="374" spans="1:10" x14ac:dyDescent="0.25">
      <c r="A374" s="92"/>
      <c r="F374" s="786"/>
      <c r="G374" s="795"/>
      <c r="H374" s="93"/>
      <c r="I374" s="810"/>
      <c r="J374" s="810"/>
    </row>
    <row r="375" spans="1:10" x14ac:dyDescent="0.25">
      <c r="A375" s="92"/>
      <c r="F375" s="786"/>
      <c r="G375" s="795"/>
      <c r="H375" s="93"/>
      <c r="I375" s="810"/>
      <c r="J375" s="810"/>
    </row>
    <row r="376" spans="1:10" x14ac:dyDescent="0.25">
      <c r="A376" s="92"/>
      <c r="F376" s="786"/>
      <c r="G376" s="795"/>
      <c r="H376" s="93"/>
      <c r="I376" s="810"/>
      <c r="J376" s="810"/>
    </row>
    <row r="377" spans="1:10" x14ac:dyDescent="0.25">
      <c r="A377" s="92"/>
      <c r="F377" s="786"/>
      <c r="G377" s="795"/>
      <c r="H377" s="93"/>
      <c r="I377" s="810"/>
      <c r="J377" s="810"/>
    </row>
    <row r="378" spans="1:10" x14ac:dyDescent="0.25">
      <c r="A378" s="92"/>
      <c r="F378" s="786"/>
      <c r="G378" s="795"/>
      <c r="H378" s="93"/>
      <c r="I378" s="810"/>
      <c r="J378" s="810"/>
    </row>
    <row r="379" spans="1:10" x14ac:dyDescent="0.25">
      <c r="A379" s="92"/>
      <c r="F379" s="786"/>
      <c r="G379" s="795"/>
      <c r="H379" s="93"/>
      <c r="I379" s="810"/>
      <c r="J379" s="810"/>
    </row>
    <row r="380" spans="1:10" x14ac:dyDescent="0.25">
      <c r="A380" s="92"/>
      <c r="F380" s="786"/>
      <c r="G380" s="795"/>
      <c r="H380" s="93"/>
      <c r="I380" s="810"/>
      <c r="J380" s="810"/>
    </row>
    <row r="381" spans="1:10" x14ac:dyDescent="0.25">
      <c r="A381" s="92"/>
      <c r="F381" s="786"/>
      <c r="G381" s="795"/>
      <c r="H381" s="93"/>
      <c r="I381" s="810"/>
      <c r="J381" s="810"/>
    </row>
    <row r="382" spans="1:10" x14ac:dyDescent="0.25">
      <c r="A382" s="92"/>
      <c r="F382" s="786"/>
      <c r="G382" s="795"/>
      <c r="H382" s="93"/>
      <c r="I382" s="810"/>
      <c r="J382" s="810"/>
    </row>
    <row r="383" spans="1:10" x14ac:dyDescent="0.25">
      <c r="A383" s="92"/>
      <c r="F383" s="786"/>
      <c r="G383" s="795"/>
      <c r="H383" s="93"/>
      <c r="I383" s="810"/>
      <c r="J383" s="810"/>
    </row>
    <row r="384" spans="1:10" x14ac:dyDescent="0.25">
      <c r="A384" s="92"/>
      <c r="F384" s="786"/>
      <c r="G384" s="795"/>
      <c r="H384" s="93"/>
      <c r="I384" s="810"/>
      <c r="J384" s="810"/>
    </row>
    <row r="385" spans="1:10" x14ac:dyDescent="0.25">
      <c r="A385" s="92"/>
      <c r="F385" s="786"/>
      <c r="G385" s="795"/>
      <c r="H385" s="93"/>
      <c r="I385" s="810"/>
      <c r="J385" s="810"/>
    </row>
    <row r="386" spans="1:10" x14ac:dyDescent="0.25">
      <c r="A386" s="92"/>
      <c r="F386" s="786"/>
      <c r="G386" s="795"/>
      <c r="H386" s="93"/>
      <c r="I386" s="810"/>
      <c r="J386" s="810"/>
    </row>
    <row r="387" spans="1:10" x14ac:dyDescent="0.25">
      <c r="A387" s="92"/>
      <c r="F387" s="786"/>
      <c r="G387" s="795"/>
      <c r="H387" s="93"/>
      <c r="I387" s="810"/>
      <c r="J387" s="810"/>
    </row>
    <row r="388" spans="1:10" x14ac:dyDescent="0.25">
      <c r="A388" s="92"/>
      <c r="F388" s="786"/>
      <c r="G388" s="795"/>
      <c r="H388" s="93"/>
      <c r="I388" s="810"/>
      <c r="J388" s="810"/>
    </row>
    <row r="389" spans="1:10" x14ac:dyDescent="0.25">
      <c r="A389" s="92"/>
      <c r="F389" s="786"/>
      <c r="G389" s="795"/>
      <c r="H389" s="93"/>
      <c r="I389" s="810"/>
      <c r="J389" s="810"/>
    </row>
    <row r="390" spans="1:10" x14ac:dyDescent="0.25">
      <c r="A390" s="92"/>
      <c r="F390" s="786"/>
      <c r="G390" s="795"/>
      <c r="H390" s="93"/>
      <c r="I390" s="810"/>
      <c r="J390" s="810"/>
    </row>
    <row r="391" spans="1:10" x14ac:dyDescent="0.25">
      <c r="A391" s="92"/>
      <c r="F391" s="786"/>
      <c r="G391" s="795"/>
      <c r="H391" s="93"/>
      <c r="I391" s="810"/>
      <c r="J391" s="810"/>
    </row>
    <row r="392" spans="1:10" x14ac:dyDescent="0.25">
      <c r="A392" s="92"/>
      <c r="F392" s="786"/>
      <c r="G392" s="795"/>
      <c r="H392" s="93"/>
      <c r="I392" s="810"/>
      <c r="J392" s="810"/>
    </row>
    <row r="393" spans="1:10" x14ac:dyDescent="0.25">
      <c r="A393" s="92"/>
      <c r="F393" s="786"/>
      <c r="G393" s="795"/>
      <c r="H393" s="93"/>
      <c r="I393" s="810"/>
      <c r="J393" s="810"/>
    </row>
    <row r="394" spans="1:10" x14ac:dyDescent="0.25">
      <c r="A394" s="92"/>
      <c r="F394" s="786"/>
      <c r="G394" s="795"/>
      <c r="H394" s="93"/>
      <c r="I394" s="810"/>
      <c r="J394" s="810"/>
    </row>
    <row r="395" spans="1:10" x14ac:dyDescent="0.25">
      <c r="A395" s="92"/>
      <c r="F395" s="786"/>
      <c r="G395" s="795"/>
      <c r="H395" s="93"/>
      <c r="I395" s="810"/>
      <c r="J395" s="810"/>
    </row>
    <row r="396" spans="1:10" x14ac:dyDescent="0.25">
      <c r="A396" s="92"/>
      <c r="F396" s="786"/>
      <c r="G396" s="795"/>
      <c r="H396" s="93"/>
      <c r="I396" s="810"/>
      <c r="J396" s="810"/>
    </row>
    <row r="397" spans="1:10" x14ac:dyDescent="0.25">
      <c r="A397" s="92"/>
      <c r="F397" s="786"/>
      <c r="G397" s="795"/>
      <c r="H397" s="93"/>
      <c r="I397" s="810"/>
      <c r="J397" s="810"/>
    </row>
    <row r="398" spans="1:10" x14ac:dyDescent="0.25">
      <c r="A398" s="92"/>
      <c r="F398" s="786"/>
      <c r="G398" s="795"/>
      <c r="H398" s="93"/>
      <c r="I398" s="810"/>
      <c r="J398" s="810"/>
    </row>
    <row r="399" spans="1:10" x14ac:dyDescent="0.25">
      <c r="A399" s="92"/>
      <c r="F399" s="786"/>
      <c r="G399" s="795"/>
      <c r="H399" s="93"/>
      <c r="I399" s="810"/>
      <c r="J399" s="810"/>
    </row>
    <row r="400" spans="1:10" x14ac:dyDescent="0.25">
      <c r="A400" s="92"/>
      <c r="F400" s="786"/>
      <c r="G400" s="795"/>
      <c r="H400" s="93"/>
      <c r="I400" s="810"/>
      <c r="J400" s="810"/>
    </row>
    <row r="401" spans="1:10" x14ac:dyDescent="0.25">
      <c r="A401" s="92"/>
      <c r="F401" s="786"/>
      <c r="G401" s="795"/>
      <c r="H401" s="93"/>
      <c r="I401" s="810"/>
      <c r="J401" s="810"/>
    </row>
    <row r="402" spans="1:10" x14ac:dyDescent="0.25">
      <c r="A402" s="92"/>
      <c r="F402" s="786"/>
      <c r="G402" s="795"/>
      <c r="H402" s="93"/>
      <c r="I402" s="810"/>
      <c r="J402" s="810"/>
    </row>
    <row r="403" spans="1:10" x14ac:dyDescent="0.25">
      <c r="A403" s="92"/>
      <c r="F403" s="786"/>
      <c r="G403" s="795"/>
      <c r="H403" s="93"/>
      <c r="I403" s="810"/>
      <c r="J403" s="810"/>
    </row>
    <row r="404" spans="1:10" x14ac:dyDescent="0.25">
      <c r="A404" s="92"/>
      <c r="F404" s="786"/>
      <c r="G404" s="795"/>
      <c r="H404" s="93"/>
      <c r="I404" s="810"/>
      <c r="J404" s="810"/>
    </row>
    <row r="405" spans="1:10" x14ac:dyDescent="0.25">
      <c r="A405" s="92"/>
      <c r="F405" s="786"/>
      <c r="G405" s="795"/>
      <c r="H405" s="93"/>
      <c r="I405" s="810"/>
      <c r="J405" s="810"/>
    </row>
    <row r="406" spans="1:10" x14ac:dyDescent="0.25">
      <c r="A406" s="92"/>
      <c r="F406" s="786"/>
      <c r="G406" s="795"/>
      <c r="H406" s="93"/>
      <c r="I406" s="810"/>
      <c r="J406" s="810"/>
    </row>
    <row r="407" spans="1:10" x14ac:dyDescent="0.25">
      <c r="A407" s="92"/>
      <c r="F407" s="786"/>
      <c r="G407" s="795"/>
      <c r="H407" s="93"/>
      <c r="I407" s="810"/>
      <c r="J407" s="810"/>
    </row>
    <row r="408" spans="1:10" x14ac:dyDescent="0.25">
      <c r="A408" s="92"/>
      <c r="F408" s="786"/>
      <c r="G408" s="795"/>
      <c r="H408" s="93"/>
      <c r="I408" s="810"/>
      <c r="J408" s="810"/>
    </row>
    <row r="409" spans="1:10" x14ac:dyDescent="0.25">
      <c r="A409" s="92"/>
      <c r="F409" s="786"/>
      <c r="G409" s="795"/>
      <c r="H409" s="93"/>
      <c r="I409" s="810"/>
      <c r="J409" s="810"/>
    </row>
    <row r="410" spans="1:10" x14ac:dyDescent="0.25">
      <c r="A410" s="92"/>
      <c r="F410" s="786"/>
      <c r="G410" s="795"/>
      <c r="H410" s="93"/>
      <c r="I410" s="810"/>
      <c r="J410" s="810"/>
    </row>
    <row r="411" spans="1:10" x14ac:dyDescent="0.25">
      <c r="A411" s="92"/>
      <c r="F411" s="786"/>
      <c r="G411" s="795"/>
      <c r="H411" s="93"/>
      <c r="I411" s="810"/>
      <c r="J411" s="810"/>
    </row>
    <row r="412" spans="1:10" x14ac:dyDescent="0.25">
      <c r="A412" s="92"/>
      <c r="F412" s="786"/>
      <c r="G412" s="795"/>
      <c r="H412" s="93"/>
      <c r="I412" s="810"/>
      <c r="J412" s="810"/>
    </row>
    <row r="413" spans="1:10" x14ac:dyDescent="0.25">
      <c r="A413" s="92"/>
      <c r="F413" s="786"/>
      <c r="G413" s="795"/>
      <c r="H413" s="93"/>
      <c r="I413" s="810"/>
      <c r="J413" s="810"/>
    </row>
    <row r="414" spans="1:10" x14ac:dyDescent="0.25">
      <c r="A414" s="92"/>
      <c r="F414" s="786"/>
      <c r="G414" s="795"/>
      <c r="H414" s="93"/>
      <c r="I414" s="810"/>
      <c r="J414" s="810"/>
    </row>
    <row r="415" spans="1:10" x14ac:dyDescent="0.25">
      <c r="A415" s="92"/>
      <c r="F415" s="786"/>
      <c r="G415" s="795"/>
      <c r="H415" s="93"/>
      <c r="I415" s="810"/>
      <c r="J415" s="810"/>
    </row>
    <row r="416" spans="1:10" x14ac:dyDescent="0.25">
      <c r="A416" s="92"/>
      <c r="F416" s="786"/>
      <c r="G416" s="795"/>
      <c r="H416" s="93"/>
      <c r="I416" s="810"/>
      <c r="J416" s="810"/>
    </row>
    <row r="417" spans="1:10" x14ac:dyDescent="0.25">
      <c r="A417" s="92"/>
      <c r="F417" s="786"/>
      <c r="G417" s="795"/>
      <c r="H417" s="93"/>
      <c r="I417" s="810"/>
      <c r="J417" s="810"/>
    </row>
    <row r="418" spans="1:10" x14ac:dyDescent="0.25">
      <c r="A418" s="92"/>
      <c r="F418" s="786"/>
      <c r="G418" s="795"/>
      <c r="H418" s="93"/>
      <c r="I418" s="810"/>
      <c r="J418" s="810"/>
    </row>
    <row r="419" spans="1:10" x14ac:dyDescent="0.25">
      <c r="A419" s="92"/>
      <c r="F419" s="786"/>
      <c r="G419" s="795"/>
      <c r="H419" s="93"/>
      <c r="I419" s="810"/>
      <c r="J419" s="810"/>
    </row>
    <row r="420" spans="1:10" x14ac:dyDescent="0.25">
      <c r="A420" s="92"/>
      <c r="F420" s="786"/>
      <c r="G420" s="795"/>
      <c r="H420" s="93"/>
      <c r="I420" s="810"/>
      <c r="J420" s="810"/>
    </row>
    <row r="421" spans="1:10" x14ac:dyDescent="0.25">
      <c r="A421" s="92"/>
      <c r="F421" s="786"/>
      <c r="G421" s="795"/>
      <c r="H421" s="93"/>
      <c r="I421" s="810"/>
      <c r="J421" s="810"/>
    </row>
    <row r="422" spans="1:10" x14ac:dyDescent="0.25">
      <c r="A422" s="92"/>
      <c r="F422" s="786"/>
      <c r="G422" s="795"/>
      <c r="H422" s="93"/>
      <c r="I422" s="810"/>
      <c r="J422" s="810"/>
    </row>
    <row r="423" spans="1:10" x14ac:dyDescent="0.25">
      <c r="A423" s="92"/>
      <c r="F423" s="786"/>
      <c r="G423" s="795"/>
      <c r="H423" s="93"/>
      <c r="I423" s="810"/>
      <c r="J423" s="810"/>
    </row>
    <row r="424" spans="1:10" x14ac:dyDescent="0.25">
      <c r="A424" s="92"/>
      <c r="F424" s="786"/>
      <c r="G424" s="795"/>
      <c r="H424" s="93"/>
      <c r="I424" s="810"/>
      <c r="J424" s="810"/>
    </row>
    <row r="425" spans="1:10" x14ac:dyDescent="0.25">
      <c r="A425" s="92"/>
      <c r="F425" s="786"/>
      <c r="G425" s="795"/>
      <c r="H425" s="93"/>
      <c r="I425" s="810"/>
      <c r="J425" s="810"/>
    </row>
    <row r="426" spans="1:10" x14ac:dyDescent="0.25">
      <c r="A426" s="92"/>
      <c r="F426" s="786"/>
      <c r="G426" s="795"/>
      <c r="H426" s="93"/>
      <c r="I426" s="810"/>
      <c r="J426" s="810"/>
    </row>
    <row r="427" spans="1:10" x14ac:dyDescent="0.25">
      <c r="A427" s="92"/>
      <c r="F427" s="786"/>
      <c r="G427" s="795"/>
      <c r="H427" s="93"/>
      <c r="I427" s="810"/>
      <c r="J427" s="810"/>
    </row>
    <row r="428" spans="1:10" x14ac:dyDescent="0.25">
      <c r="A428" s="92"/>
      <c r="F428" s="786"/>
      <c r="G428" s="795"/>
      <c r="H428" s="93"/>
      <c r="I428" s="810"/>
      <c r="J428" s="810"/>
    </row>
    <row r="429" spans="1:10" x14ac:dyDescent="0.25">
      <c r="A429" s="92"/>
      <c r="F429" s="786"/>
      <c r="G429" s="795"/>
      <c r="H429" s="93"/>
      <c r="I429" s="810"/>
      <c r="J429" s="810"/>
    </row>
    <row r="430" spans="1:10" x14ac:dyDescent="0.25">
      <c r="A430" s="92"/>
      <c r="F430" s="786"/>
      <c r="G430" s="795"/>
      <c r="H430" s="93"/>
      <c r="I430" s="810"/>
      <c r="J430" s="810"/>
    </row>
    <row r="431" spans="1:10" x14ac:dyDescent="0.25">
      <c r="A431" s="92"/>
      <c r="F431" s="786"/>
      <c r="G431" s="795"/>
      <c r="H431" s="93"/>
      <c r="I431" s="810"/>
      <c r="J431" s="810"/>
    </row>
    <row r="432" spans="1:10" x14ac:dyDescent="0.25">
      <c r="A432" s="92"/>
      <c r="F432" s="786"/>
      <c r="G432" s="795"/>
      <c r="H432" s="93"/>
      <c r="I432" s="810"/>
      <c r="J432" s="810"/>
    </row>
    <row r="433" spans="1:10" x14ac:dyDescent="0.25">
      <c r="A433" s="92"/>
      <c r="F433" s="786"/>
      <c r="G433" s="795"/>
      <c r="H433" s="93"/>
      <c r="I433" s="810"/>
      <c r="J433" s="810"/>
    </row>
    <row r="434" spans="1:10" x14ac:dyDescent="0.25">
      <c r="A434" s="92"/>
      <c r="F434" s="786"/>
      <c r="G434" s="795"/>
      <c r="H434" s="93"/>
      <c r="I434" s="810"/>
      <c r="J434" s="810"/>
    </row>
    <row r="435" spans="1:10" x14ac:dyDescent="0.25">
      <c r="A435" s="92"/>
      <c r="F435" s="786"/>
      <c r="G435" s="795"/>
      <c r="H435" s="93"/>
      <c r="I435" s="810"/>
      <c r="J435" s="810"/>
    </row>
    <row r="436" spans="1:10" x14ac:dyDescent="0.25">
      <c r="A436" s="92"/>
      <c r="F436" s="786"/>
      <c r="G436" s="795"/>
      <c r="H436" s="93"/>
      <c r="I436" s="810"/>
      <c r="J436" s="810"/>
    </row>
    <row r="437" spans="1:10" x14ac:dyDescent="0.25">
      <c r="A437" s="92"/>
      <c r="F437" s="786"/>
      <c r="G437" s="795"/>
      <c r="H437" s="93"/>
      <c r="I437" s="810"/>
      <c r="J437" s="810"/>
    </row>
    <row r="438" spans="1:10" x14ac:dyDescent="0.25">
      <c r="A438" s="92"/>
      <c r="F438" s="786"/>
      <c r="G438" s="795"/>
      <c r="H438" s="93"/>
      <c r="I438" s="810"/>
      <c r="J438" s="810"/>
    </row>
    <row r="439" spans="1:10" x14ac:dyDescent="0.25">
      <c r="A439" s="92"/>
      <c r="F439" s="786"/>
      <c r="G439" s="795"/>
      <c r="H439" s="93"/>
      <c r="I439" s="810"/>
      <c r="J439" s="810"/>
    </row>
    <row r="440" spans="1:10" x14ac:dyDescent="0.25">
      <c r="A440" s="92"/>
      <c r="F440" s="786"/>
      <c r="G440" s="795"/>
      <c r="H440" s="93"/>
      <c r="I440" s="810"/>
      <c r="J440" s="810"/>
    </row>
    <row r="441" spans="1:10" x14ac:dyDescent="0.25">
      <c r="A441" s="92"/>
      <c r="F441" s="786"/>
      <c r="G441" s="795"/>
      <c r="H441" s="93"/>
      <c r="I441" s="810"/>
      <c r="J441" s="810"/>
    </row>
    <row r="442" spans="1:10" x14ac:dyDescent="0.25">
      <c r="A442" s="92"/>
      <c r="F442" s="786"/>
      <c r="G442" s="795"/>
      <c r="H442" s="93"/>
      <c r="I442" s="810"/>
      <c r="J442" s="810"/>
    </row>
    <row r="443" spans="1:10" x14ac:dyDescent="0.25">
      <c r="A443" s="92"/>
      <c r="F443" s="786"/>
      <c r="G443" s="795"/>
      <c r="H443" s="93"/>
      <c r="I443" s="810"/>
      <c r="J443" s="810"/>
    </row>
    <row r="444" spans="1:10" x14ac:dyDescent="0.25">
      <c r="A444" s="92"/>
      <c r="F444" s="786"/>
      <c r="G444" s="795"/>
      <c r="H444" s="93"/>
      <c r="I444" s="810"/>
      <c r="J444" s="810"/>
    </row>
    <row r="445" spans="1:10" x14ac:dyDescent="0.25">
      <c r="A445" s="92"/>
      <c r="F445" s="786"/>
      <c r="G445" s="795"/>
      <c r="H445" s="93"/>
      <c r="I445" s="810"/>
      <c r="J445" s="810"/>
    </row>
    <row r="446" spans="1:10" x14ac:dyDescent="0.25">
      <c r="A446" s="92"/>
      <c r="F446" s="786"/>
      <c r="G446" s="795"/>
      <c r="H446" s="93"/>
      <c r="I446" s="810"/>
      <c r="J446" s="810"/>
    </row>
    <row r="447" spans="1:10" x14ac:dyDescent="0.25">
      <c r="A447" s="92"/>
      <c r="F447" s="786"/>
      <c r="G447" s="795"/>
      <c r="H447" s="93"/>
      <c r="I447" s="810"/>
      <c r="J447" s="810"/>
    </row>
    <row r="448" spans="1:10" x14ac:dyDescent="0.25">
      <c r="A448" s="92"/>
      <c r="F448" s="786"/>
      <c r="G448" s="795"/>
      <c r="H448" s="93"/>
      <c r="I448" s="810"/>
      <c r="J448" s="810"/>
    </row>
    <row r="449" spans="1:10" x14ac:dyDescent="0.25">
      <c r="A449" s="92"/>
      <c r="F449" s="786"/>
      <c r="G449" s="795"/>
      <c r="H449" s="93"/>
      <c r="I449" s="810"/>
      <c r="J449" s="810"/>
    </row>
    <row r="450" spans="1:10" x14ac:dyDescent="0.25">
      <c r="A450" s="92"/>
      <c r="F450" s="786"/>
      <c r="G450" s="795"/>
      <c r="H450" s="93"/>
      <c r="I450" s="810"/>
      <c r="J450" s="810"/>
    </row>
    <row r="451" spans="1:10" x14ac:dyDescent="0.25">
      <c r="A451" s="92"/>
      <c r="F451" s="786"/>
      <c r="G451" s="795"/>
      <c r="H451" s="93"/>
      <c r="I451" s="810"/>
      <c r="J451" s="810"/>
    </row>
    <row r="452" spans="1:10" x14ac:dyDescent="0.25">
      <c r="A452" s="92"/>
      <c r="F452" s="786"/>
      <c r="G452" s="795"/>
      <c r="H452" s="93"/>
      <c r="I452" s="810"/>
      <c r="J452" s="810"/>
    </row>
    <row r="453" spans="1:10" x14ac:dyDescent="0.25">
      <c r="A453" s="92"/>
      <c r="F453" s="786"/>
      <c r="G453" s="795"/>
      <c r="H453" s="93"/>
      <c r="I453" s="810"/>
      <c r="J453" s="810"/>
    </row>
    <row r="454" spans="1:10" x14ac:dyDescent="0.25">
      <c r="A454" s="92"/>
      <c r="F454" s="786"/>
      <c r="G454" s="795"/>
      <c r="H454" s="93"/>
      <c r="I454" s="810"/>
      <c r="J454" s="810"/>
    </row>
    <row r="455" spans="1:10" x14ac:dyDescent="0.25">
      <c r="A455" s="92"/>
      <c r="F455" s="786"/>
      <c r="G455" s="795"/>
      <c r="H455" s="93"/>
      <c r="I455" s="810"/>
      <c r="J455" s="810"/>
    </row>
    <row r="456" spans="1:10" x14ac:dyDescent="0.25">
      <c r="A456" s="92"/>
      <c r="F456" s="786"/>
      <c r="G456" s="795"/>
      <c r="H456" s="93"/>
      <c r="I456" s="810"/>
      <c r="J456" s="810"/>
    </row>
    <row r="457" spans="1:10" x14ac:dyDescent="0.25">
      <c r="A457" s="92"/>
      <c r="F457" s="786"/>
      <c r="G457" s="795"/>
      <c r="H457" s="93"/>
      <c r="I457" s="810"/>
      <c r="J457" s="810"/>
    </row>
    <row r="458" spans="1:10" x14ac:dyDescent="0.25">
      <c r="A458" s="92"/>
      <c r="F458" s="786"/>
      <c r="G458" s="795"/>
      <c r="H458" s="93"/>
      <c r="I458" s="810"/>
      <c r="J458" s="810"/>
    </row>
    <row r="459" spans="1:10" x14ac:dyDescent="0.25">
      <c r="A459" s="92"/>
      <c r="F459" s="786"/>
      <c r="G459" s="795"/>
      <c r="H459" s="93"/>
      <c r="I459" s="810"/>
      <c r="J459" s="810"/>
    </row>
    <row r="460" spans="1:10" x14ac:dyDescent="0.25">
      <c r="A460" s="92"/>
      <c r="F460" s="786"/>
      <c r="G460" s="795"/>
      <c r="H460" s="93"/>
      <c r="I460" s="810"/>
      <c r="J460" s="810"/>
    </row>
    <row r="461" spans="1:10" x14ac:dyDescent="0.25">
      <c r="A461" s="92"/>
      <c r="F461" s="786"/>
      <c r="G461" s="795"/>
      <c r="H461" s="93"/>
      <c r="I461" s="810"/>
      <c r="J461" s="810"/>
    </row>
    <row r="462" spans="1:10" x14ac:dyDescent="0.25">
      <c r="A462" s="92"/>
      <c r="F462" s="786"/>
      <c r="G462" s="795"/>
      <c r="H462" s="93"/>
      <c r="I462" s="810"/>
      <c r="J462" s="810"/>
    </row>
    <row r="463" spans="1:10" x14ac:dyDescent="0.25">
      <c r="A463" s="92"/>
      <c r="F463" s="786"/>
      <c r="G463" s="795"/>
      <c r="H463" s="93"/>
      <c r="I463" s="810"/>
      <c r="J463" s="810"/>
    </row>
    <row r="464" spans="1:10" x14ac:dyDescent="0.25">
      <c r="A464" s="92"/>
      <c r="F464" s="786"/>
      <c r="G464" s="795"/>
      <c r="H464" s="93"/>
      <c r="I464" s="810"/>
      <c r="J464" s="810"/>
    </row>
    <row r="465" spans="1:10" x14ac:dyDescent="0.25">
      <c r="A465" s="92"/>
      <c r="F465" s="786"/>
      <c r="G465" s="795"/>
      <c r="H465" s="93"/>
      <c r="I465" s="810"/>
      <c r="J465" s="810"/>
    </row>
    <row r="466" spans="1:10" x14ac:dyDescent="0.25">
      <c r="A466" s="92"/>
      <c r="F466" s="786"/>
      <c r="G466" s="795"/>
      <c r="H466" s="93"/>
      <c r="I466" s="810"/>
      <c r="J466" s="810"/>
    </row>
    <row r="467" spans="1:10" x14ac:dyDescent="0.25">
      <c r="A467" s="92"/>
      <c r="F467" s="786"/>
      <c r="G467" s="795"/>
      <c r="H467" s="93"/>
      <c r="I467" s="810"/>
      <c r="J467" s="810"/>
    </row>
    <row r="468" spans="1:10" x14ac:dyDescent="0.25">
      <c r="A468" s="92"/>
      <c r="F468" s="786"/>
      <c r="G468" s="795"/>
      <c r="H468" s="93"/>
      <c r="I468" s="810"/>
      <c r="J468" s="810"/>
    </row>
    <row r="469" spans="1:10" x14ac:dyDescent="0.25">
      <c r="A469" s="92"/>
      <c r="F469" s="786"/>
      <c r="G469" s="795"/>
      <c r="H469" s="93"/>
      <c r="I469" s="810"/>
      <c r="J469" s="810"/>
    </row>
    <row r="470" spans="1:10" x14ac:dyDescent="0.25">
      <c r="A470" s="92"/>
      <c r="F470" s="786"/>
      <c r="G470" s="795"/>
      <c r="H470" s="93"/>
      <c r="I470" s="810"/>
      <c r="J470" s="810"/>
    </row>
    <row r="471" spans="1:10" x14ac:dyDescent="0.25">
      <c r="A471" s="92"/>
      <c r="F471" s="786"/>
      <c r="G471" s="795"/>
      <c r="H471" s="93"/>
      <c r="I471" s="810"/>
      <c r="J471" s="810"/>
    </row>
    <row r="472" spans="1:10" x14ac:dyDescent="0.25">
      <c r="A472" s="92"/>
      <c r="F472" s="786"/>
      <c r="G472" s="795"/>
      <c r="H472" s="93"/>
      <c r="I472" s="810"/>
      <c r="J472" s="810"/>
    </row>
    <row r="473" spans="1:10" x14ac:dyDescent="0.25">
      <c r="A473" s="92"/>
      <c r="F473" s="786"/>
      <c r="G473" s="795"/>
      <c r="H473" s="93"/>
      <c r="I473" s="810"/>
      <c r="J473" s="810"/>
    </row>
    <row r="474" spans="1:10" x14ac:dyDescent="0.25">
      <c r="A474" s="92"/>
      <c r="F474" s="786"/>
      <c r="G474" s="795"/>
      <c r="H474" s="93"/>
      <c r="I474" s="810"/>
      <c r="J474" s="810"/>
    </row>
    <row r="475" spans="1:10" x14ac:dyDescent="0.25">
      <c r="A475" s="92"/>
      <c r="F475" s="786"/>
      <c r="G475" s="795"/>
      <c r="H475" s="93"/>
      <c r="I475" s="810"/>
      <c r="J475" s="810"/>
    </row>
    <row r="476" spans="1:10" x14ac:dyDescent="0.25">
      <c r="A476" s="92"/>
      <c r="F476" s="786"/>
      <c r="G476" s="795"/>
      <c r="H476" s="93"/>
      <c r="I476" s="810"/>
      <c r="J476" s="810"/>
    </row>
    <row r="477" spans="1:10" x14ac:dyDescent="0.25">
      <c r="A477" s="92"/>
      <c r="F477" s="786"/>
      <c r="G477" s="795"/>
      <c r="H477" s="93"/>
      <c r="I477" s="810"/>
      <c r="J477" s="810"/>
    </row>
    <row r="478" spans="1:10" x14ac:dyDescent="0.25">
      <c r="A478" s="92"/>
      <c r="F478" s="786"/>
      <c r="G478" s="795"/>
      <c r="H478" s="93"/>
      <c r="I478" s="810"/>
      <c r="J478" s="810"/>
    </row>
    <row r="479" spans="1:10" x14ac:dyDescent="0.25">
      <c r="A479" s="92"/>
      <c r="F479" s="786"/>
      <c r="G479" s="795"/>
      <c r="H479" s="93"/>
      <c r="I479" s="810"/>
      <c r="J479" s="810"/>
    </row>
    <row r="480" spans="1:10" x14ac:dyDescent="0.25">
      <c r="A480" s="92"/>
      <c r="F480" s="786"/>
      <c r="G480" s="795"/>
      <c r="H480" s="93"/>
      <c r="I480" s="810"/>
      <c r="J480" s="810"/>
    </row>
    <row r="481" spans="1:10" x14ac:dyDescent="0.25">
      <c r="A481" s="92"/>
      <c r="F481" s="786"/>
      <c r="G481" s="795"/>
      <c r="H481" s="93"/>
      <c r="I481" s="810"/>
      <c r="J481" s="810"/>
    </row>
    <row r="482" spans="1:10" x14ac:dyDescent="0.25">
      <c r="A482" s="92"/>
      <c r="F482" s="786"/>
      <c r="G482" s="795"/>
      <c r="H482" s="93"/>
      <c r="I482" s="810"/>
      <c r="J482" s="810"/>
    </row>
    <row r="483" spans="1:10" x14ac:dyDescent="0.25">
      <c r="A483" s="92"/>
      <c r="F483" s="786"/>
      <c r="G483" s="795"/>
      <c r="H483" s="93"/>
      <c r="I483" s="810"/>
      <c r="J483" s="810"/>
    </row>
    <row r="484" spans="1:10" x14ac:dyDescent="0.25">
      <c r="A484" s="92"/>
      <c r="F484" s="786"/>
      <c r="G484" s="795"/>
      <c r="H484" s="93"/>
      <c r="I484" s="810"/>
      <c r="J484" s="810"/>
    </row>
    <row r="485" spans="1:10" x14ac:dyDescent="0.25">
      <c r="A485" s="92"/>
      <c r="F485" s="786"/>
      <c r="G485" s="795"/>
      <c r="H485" s="93"/>
      <c r="I485" s="810"/>
      <c r="J485" s="810"/>
    </row>
    <row r="486" spans="1:10" x14ac:dyDescent="0.25">
      <c r="A486" s="92"/>
      <c r="F486" s="786"/>
      <c r="G486" s="795"/>
      <c r="H486" s="93"/>
      <c r="I486" s="810"/>
      <c r="J486" s="810"/>
    </row>
    <row r="487" spans="1:10" x14ac:dyDescent="0.25">
      <c r="A487" s="92"/>
      <c r="F487" s="786"/>
      <c r="G487" s="795"/>
      <c r="H487" s="93"/>
      <c r="I487" s="810"/>
      <c r="J487" s="810"/>
    </row>
    <row r="488" spans="1:10" x14ac:dyDescent="0.25">
      <c r="A488" s="92"/>
      <c r="F488" s="786"/>
      <c r="G488" s="795"/>
      <c r="H488" s="93"/>
      <c r="I488" s="810"/>
      <c r="J488" s="810"/>
    </row>
    <row r="489" spans="1:10" x14ac:dyDescent="0.25">
      <c r="A489" s="92"/>
      <c r="F489" s="786"/>
      <c r="G489" s="795"/>
      <c r="H489" s="93"/>
      <c r="I489" s="810"/>
      <c r="J489" s="810"/>
    </row>
    <row r="490" spans="1:10" x14ac:dyDescent="0.25">
      <c r="A490" s="92"/>
      <c r="F490" s="786"/>
      <c r="G490" s="795"/>
      <c r="H490" s="93"/>
      <c r="I490" s="810"/>
      <c r="J490" s="810"/>
    </row>
    <row r="491" spans="1:10" x14ac:dyDescent="0.25">
      <c r="A491" s="92"/>
      <c r="F491" s="786"/>
      <c r="G491" s="795"/>
      <c r="H491" s="93"/>
      <c r="I491" s="810"/>
      <c r="J491" s="810"/>
    </row>
    <row r="492" spans="1:10" x14ac:dyDescent="0.25">
      <c r="A492" s="92"/>
      <c r="F492" s="786"/>
      <c r="G492" s="795"/>
      <c r="H492" s="93"/>
      <c r="I492" s="810"/>
      <c r="J492" s="810"/>
    </row>
    <row r="493" spans="1:10" x14ac:dyDescent="0.25">
      <c r="A493" s="92"/>
      <c r="F493" s="786"/>
      <c r="G493" s="795"/>
      <c r="H493" s="93"/>
      <c r="I493" s="810"/>
      <c r="J493" s="810"/>
    </row>
    <row r="494" spans="1:10" x14ac:dyDescent="0.25">
      <c r="A494" s="92"/>
      <c r="F494" s="786"/>
      <c r="G494" s="795"/>
      <c r="H494" s="93"/>
      <c r="I494" s="810"/>
      <c r="J494" s="810"/>
    </row>
    <row r="495" spans="1:10" x14ac:dyDescent="0.25">
      <c r="A495" s="92"/>
      <c r="F495" s="786"/>
      <c r="G495" s="795"/>
      <c r="H495" s="93"/>
      <c r="I495" s="810"/>
      <c r="J495" s="810"/>
    </row>
    <row r="496" spans="1:10" x14ac:dyDescent="0.25">
      <c r="A496" s="92"/>
      <c r="F496" s="786"/>
      <c r="G496" s="795"/>
      <c r="H496" s="93"/>
      <c r="I496" s="810"/>
      <c r="J496" s="810"/>
    </row>
    <row r="497" spans="1:10" x14ac:dyDescent="0.25">
      <c r="A497" s="92"/>
      <c r="F497" s="786"/>
      <c r="G497" s="795"/>
      <c r="H497" s="93"/>
      <c r="I497" s="810"/>
      <c r="J497" s="810"/>
    </row>
    <row r="498" spans="1:10" x14ac:dyDescent="0.25">
      <c r="A498" s="92"/>
      <c r="F498" s="786"/>
      <c r="G498" s="795"/>
      <c r="H498" s="93"/>
      <c r="I498" s="810"/>
      <c r="J498" s="810"/>
    </row>
    <row r="499" spans="1:10" x14ac:dyDescent="0.25">
      <c r="A499" s="92"/>
      <c r="F499" s="786"/>
      <c r="G499" s="795"/>
      <c r="H499" s="93"/>
      <c r="I499" s="810"/>
      <c r="J499" s="810"/>
    </row>
    <row r="500" spans="1:10" x14ac:dyDescent="0.25">
      <c r="A500" s="92"/>
      <c r="F500" s="786"/>
      <c r="G500" s="795"/>
      <c r="H500" s="93"/>
      <c r="I500" s="810"/>
      <c r="J500" s="810"/>
    </row>
    <row r="501" spans="1:10" x14ac:dyDescent="0.25">
      <c r="A501" s="92"/>
      <c r="F501" s="786"/>
      <c r="G501" s="795"/>
      <c r="H501" s="93"/>
      <c r="I501" s="810"/>
      <c r="J501" s="810"/>
    </row>
    <row r="502" spans="1:10" x14ac:dyDescent="0.25">
      <c r="A502" s="92"/>
      <c r="F502" s="786"/>
      <c r="G502" s="795"/>
      <c r="H502" s="93"/>
      <c r="I502" s="810"/>
      <c r="J502" s="810"/>
    </row>
    <row r="503" spans="1:10" x14ac:dyDescent="0.25">
      <c r="A503" s="92"/>
      <c r="F503" s="786"/>
      <c r="G503" s="795"/>
      <c r="H503" s="93"/>
      <c r="I503" s="810"/>
      <c r="J503" s="810"/>
    </row>
    <row r="504" spans="1:10" x14ac:dyDescent="0.25">
      <c r="A504" s="92"/>
      <c r="F504" s="786"/>
      <c r="G504" s="795"/>
      <c r="H504" s="93"/>
      <c r="I504" s="810"/>
      <c r="J504" s="810"/>
    </row>
    <row r="505" spans="1:10" x14ac:dyDescent="0.25">
      <c r="A505" s="92"/>
      <c r="F505" s="786"/>
      <c r="G505" s="795"/>
      <c r="H505" s="93"/>
      <c r="I505" s="810"/>
      <c r="J505" s="810"/>
    </row>
    <row r="506" spans="1:10" x14ac:dyDescent="0.25">
      <c r="A506" s="92"/>
      <c r="F506" s="786"/>
      <c r="G506" s="795"/>
      <c r="H506" s="93"/>
      <c r="I506" s="810"/>
      <c r="J506" s="810"/>
    </row>
    <row r="507" spans="1:10" x14ac:dyDescent="0.25">
      <c r="A507" s="92"/>
      <c r="F507" s="786"/>
      <c r="G507" s="795"/>
      <c r="H507" s="93"/>
      <c r="I507" s="810"/>
      <c r="J507" s="810"/>
    </row>
    <row r="508" spans="1:10" x14ac:dyDescent="0.25">
      <c r="A508" s="92"/>
      <c r="F508" s="786"/>
      <c r="G508" s="795"/>
      <c r="H508" s="93"/>
      <c r="I508" s="810"/>
      <c r="J508" s="810"/>
    </row>
    <row r="509" spans="1:10" x14ac:dyDescent="0.25">
      <c r="A509" s="92"/>
      <c r="F509" s="786"/>
      <c r="G509" s="795"/>
      <c r="H509" s="93"/>
      <c r="I509" s="810"/>
      <c r="J509" s="810"/>
    </row>
    <row r="510" spans="1:10" x14ac:dyDescent="0.25">
      <c r="A510" s="92"/>
      <c r="F510" s="786"/>
      <c r="G510" s="795"/>
      <c r="H510" s="93"/>
      <c r="I510" s="810"/>
      <c r="J510" s="810"/>
    </row>
    <row r="511" spans="1:10" x14ac:dyDescent="0.25">
      <c r="A511" s="92"/>
      <c r="F511" s="786"/>
      <c r="G511" s="795"/>
      <c r="H511" s="93"/>
      <c r="I511" s="810"/>
      <c r="J511" s="810"/>
    </row>
    <row r="512" spans="1:10" x14ac:dyDescent="0.25">
      <c r="A512" s="92"/>
      <c r="F512" s="786"/>
      <c r="G512" s="795"/>
      <c r="H512" s="93"/>
      <c r="I512" s="810"/>
      <c r="J512" s="810"/>
    </row>
    <row r="513" spans="1:10" x14ac:dyDescent="0.25">
      <c r="A513" s="92"/>
      <c r="F513" s="786"/>
      <c r="G513" s="795"/>
      <c r="H513" s="93"/>
      <c r="I513" s="810"/>
      <c r="J513" s="810"/>
    </row>
    <row r="514" spans="1:10" x14ac:dyDescent="0.25">
      <c r="A514" s="92"/>
      <c r="F514" s="786"/>
      <c r="G514" s="795"/>
      <c r="H514" s="93"/>
      <c r="I514" s="810"/>
      <c r="J514" s="810"/>
    </row>
    <row r="515" spans="1:10" x14ac:dyDescent="0.25">
      <c r="A515" s="92"/>
      <c r="F515" s="786"/>
      <c r="G515" s="795"/>
      <c r="H515" s="93"/>
      <c r="I515" s="810"/>
      <c r="J515" s="810"/>
    </row>
    <row r="516" spans="1:10" x14ac:dyDescent="0.25">
      <c r="A516" s="92"/>
      <c r="F516" s="786"/>
      <c r="G516" s="795"/>
      <c r="H516" s="93"/>
      <c r="I516" s="810"/>
      <c r="J516" s="810"/>
    </row>
    <row r="517" spans="1:10" x14ac:dyDescent="0.25">
      <c r="A517" s="92"/>
      <c r="F517" s="786"/>
      <c r="G517" s="795"/>
      <c r="H517" s="93"/>
      <c r="I517" s="810"/>
      <c r="J517" s="810"/>
    </row>
    <row r="518" spans="1:10" x14ac:dyDescent="0.25">
      <c r="A518" s="92"/>
      <c r="F518" s="786"/>
      <c r="G518" s="795"/>
      <c r="H518" s="93"/>
      <c r="I518" s="810"/>
      <c r="J518" s="810"/>
    </row>
    <row r="519" spans="1:10" x14ac:dyDescent="0.25">
      <c r="A519" s="92"/>
      <c r="F519" s="786"/>
      <c r="G519" s="795"/>
      <c r="H519" s="93"/>
      <c r="I519" s="810"/>
      <c r="J519" s="810"/>
    </row>
    <row r="520" spans="1:10" x14ac:dyDescent="0.25">
      <c r="A520" s="92"/>
      <c r="F520" s="786"/>
      <c r="G520" s="795"/>
      <c r="H520" s="93"/>
      <c r="I520" s="810"/>
      <c r="J520" s="810"/>
    </row>
    <row r="521" spans="1:10" x14ac:dyDescent="0.25">
      <c r="A521" s="92"/>
      <c r="F521" s="786"/>
      <c r="G521" s="795"/>
      <c r="H521" s="93"/>
      <c r="I521" s="810"/>
      <c r="J521" s="810"/>
    </row>
    <row r="522" spans="1:10" x14ac:dyDescent="0.25">
      <c r="A522" s="92"/>
      <c r="F522" s="786"/>
      <c r="G522" s="795"/>
      <c r="H522" s="93"/>
      <c r="I522" s="810"/>
      <c r="J522" s="810"/>
    </row>
    <row r="523" spans="1:10" x14ac:dyDescent="0.25">
      <c r="A523" s="92"/>
      <c r="F523" s="786"/>
      <c r="G523" s="795"/>
      <c r="H523" s="93"/>
      <c r="I523" s="810"/>
      <c r="J523" s="810"/>
    </row>
    <row r="524" spans="1:10" x14ac:dyDescent="0.25">
      <c r="A524" s="92"/>
      <c r="F524" s="786"/>
      <c r="G524" s="795"/>
      <c r="H524" s="93"/>
      <c r="I524" s="810"/>
      <c r="J524" s="810"/>
    </row>
    <row r="525" spans="1:10" x14ac:dyDescent="0.25">
      <c r="A525" s="92"/>
      <c r="F525" s="786"/>
      <c r="G525" s="795"/>
      <c r="H525" s="93"/>
      <c r="I525" s="810"/>
      <c r="J525" s="810"/>
    </row>
    <row r="526" spans="1:10" x14ac:dyDescent="0.25">
      <c r="A526" s="92"/>
      <c r="F526" s="786"/>
      <c r="G526" s="795"/>
      <c r="H526" s="93"/>
      <c r="I526" s="810"/>
      <c r="J526" s="810"/>
    </row>
    <row r="527" spans="1:10" x14ac:dyDescent="0.25">
      <c r="A527" s="92"/>
      <c r="F527" s="786"/>
      <c r="G527" s="795"/>
      <c r="H527" s="93"/>
      <c r="I527" s="810"/>
      <c r="J527" s="810"/>
    </row>
    <row r="528" spans="1:10" x14ac:dyDescent="0.25">
      <c r="A528" s="92"/>
      <c r="F528" s="786"/>
      <c r="G528" s="795"/>
      <c r="H528" s="93"/>
      <c r="I528" s="810"/>
      <c r="J528" s="810"/>
    </row>
    <row r="529" spans="1:10" x14ac:dyDescent="0.25">
      <c r="A529" s="92"/>
      <c r="F529" s="786"/>
      <c r="G529" s="795"/>
      <c r="H529" s="93"/>
      <c r="I529" s="810"/>
      <c r="J529" s="810"/>
    </row>
    <row r="530" spans="1:10" x14ac:dyDescent="0.25">
      <c r="A530" s="92"/>
      <c r="F530" s="786"/>
      <c r="G530" s="795"/>
      <c r="H530" s="93"/>
      <c r="I530" s="810"/>
      <c r="J530" s="810"/>
    </row>
    <row r="531" spans="1:10" x14ac:dyDescent="0.25">
      <c r="A531" s="92"/>
      <c r="F531" s="786"/>
      <c r="G531" s="795"/>
      <c r="H531" s="93"/>
      <c r="I531" s="810"/>
      <c r="J531" s="810"/>
    </row>
    <row r="532" spans="1:10" x14ac:dyDescent="0.25">
      <c r="A532" s="92"/>
      <c r="F532" s="786"/>
      <c r="G532" s="795"/>
      <c r="H532" s="93"/>
      <c r="I532" s="810"/>
      <c r="J532" s="810"/>
    </row>
    <row r="533" spans="1:10" x14ac:dyDescent="0.25">
      <c r="A533" s="92"/>
      <c r="F533" s="786"/>
      <c r="G533" s="795"/>
      <c r="H533" s="93"/>
      <c r="I533" s="810"/>
      <c r="J533" s="810"/>
    </row>
    <row r="534" spans="1:10" x14ac:dyDescent="0.25">
      <c r="A534" s="92"/>
      <c r="F534" s="786"/>
      <c r="G534" s="795"/>
      <c r="H534" s="93"/>
      <c r="I534" s="810"/>
      <c r="J534" s="810"/>
    </row>
    <row r="535" spans="1:10" x14ac:dyDescent="0.25">
      <c r="A535" s="92"/>
      <c r="F535" s="786"/>
      <c r="G535" s="795"/>
      <c r="H535" s="93"/>
      <c r="I535" s="810"/>
      <c r="J535" s="810"/>
    </row>
    <row r="536" spans="1:10" x14ac:dyDescent="0.25">
      <c r="A536" s="92"/>
      <c r="F536" s="786"/>
      <c r="G536" s="795"/>
      <c r="H536" s="93"/>
      <c r="I536" s="810"/>
      <c r="J536" s="810"/>
    </row>
    <row r="537" spans="1:10" x14ac:dyDescent="0.25">
      <c r="A537" s="92"/>
      <c r="F537" s="786"/>
      <c r="G537" s="795"/>
      <c r="H537" s="93"/>
      <c r="I537" s="810"/>
      <c r="J537" s="810"/>
    </row>
    <row r="538" spans="1:10" x14ac:dyDescent="0.25">
      <c r="A538" s="92"/>
      <c r="F538" s="786"/>
      <c r="G538" s="795"/>
      <c r="H538" s="93"/>
      <c r="I538" s="810"/>
      <c r="J538" s="810"/>
    </row>
    <row r="539" spans="1:10" x14ac:dyDescent="0.25">
      <c r="A539" s="92"/>
      <c r="F539" s="786"/>
      <c r="G539" s="795"/>
      <c r="H539" s="93"/>
      <c r="I539" s="810"/>
      <c r="J539" s="810"/>
    </row>
    <row r="540" spans="1:10" x14ac:dyDescent="0.25">
      <c r="A540" s="92"/>
      <c r="F540" s="786"/>
      <c r="G540" s="795"/>
      <c r="H540" s="93"/>
      <c r="I540" s="810"/>
      <c r="J540" s="810"/>
    </row>
    <row r="541" spans="1:10" x14ac:dyDescent="0.25">
      <c r="A541" s="92"/>
      <c r="F541" s="786"/>
      <c r="G541" s="795"/>
      <c r="H541" s="93"/>
      <c r="I541" s="810"/>
      <c r="J541" s="810"/>
    </row>
    <row r="542" spans="1:10" x14ac:dyDescent="0.25">
      <c r="A542" s="92"/>
      <c r="F542" s="786"/>
      <c r="G542" s="795"/>
      <c r="H542" s="93"/>
      <c r="I542" s="810"/>
      <c r="J542" s="810"/>
    </row>
    <row r="543" spans="1:10" x14ac:dyDescent="0.25">
      <c r="A543" s="92"/>
      <c r="F543" s="786"/>
      <c r="G543" s="795"/>
      <c r="H543" s="93"/>
      <c r="I543" s="810"/>
      <c r="J543" s="810"/>
    </row>
    <row r="544" spans="1:10" x14ac:dyDescent="0.25">
      <c r="A544" s="92"/>
      <c r="F544" s="786"/>
      <c r="G544" s="795"/>
      <c r="H544" s="93"/>
      <c r="I544" s="810"/>
      <c r="J544" s="810"/>
    </row>
    <row r="545" spans="1:10" x14ac:dyDescent="0.25">
      <c r="A545" s="92"/>
      <c r="F545" s="786"/>
      <c r="G545" s="795"/>
      <c r="H545" s="93"/>
      <c r="I545" s="810"/>
      <c r="J545" s="810"/>
    </row>
    <row r="546" spans="1:10" x14ac:dyDescent="0.25">
      <c r="A546" s="92"/>
      <c r="F546" s="786"/>
      <c r="G546" s="795"/>
      <c r="H546" s="93"/>
      <c r="I546" s="810"/>
      <c r="J546" s="810"/>
    </row>
    <row r="547" spans="1:10" x14ac:dyDescent="0.25">
      <c r="A547" s="92"/>
      <c r="F547" s="786"/>
      <c r="G547" s="795"/>
      <c r="H547" s="93"/>
      <c r="I547" s="810"/>
      <c r="J547" s="810"/>
    </row>
    <row r="548" spans="1:10" x14ac:dyDescent="0.25">
      <c r="A548" s="92"/>
      <c r="F548" s="786"/>
      <c r="G548" s="795"/>
      <c r="H548" s="93"/>
      <c r="I548" s="810"/>
      <c r="J548" s="810"/>
    </row>
    <row r="549" spans="1:10" x14ac:dyDescent="0.25">
      <c r="A549" s="92"/>
      <c r="F549" s="786"/>
      <c r="G549" s="795"/>
      <c r="H549" s="93"/>
      <c r="I549" s="810"/>
      <c r="J549" s="810"/>
    </row>
    <row r="550" spans="1:10" x14ac:dyDescent="0.25">
      <c r="A550" s="92"/>
      <c r="F550" s="786"/>
      <c r="G550" s="795"/>
      <c r="H550" s="93"/>
      <c r="I550" s="810"/>
      <c r="J550" s="810"/>
    </row>
    <row r="551" spans="1:10" x14ac:dyDescent="0.25">
      <c r="A551" s="92"/>
      <c r="F551" s="786"/>
      <c r="G551" s="795"/>
      <c r="H551" s="93"/>
      <c r="I551" s="810"/>
      <c r="J551" s="810"/>
    </row>
    <row r="552" spans="1:10" x14ac:dyDescent="0.25">
      <c r="A552" s="92"/>
      <c r="F552" s="786"/>
      <c r="G552" s="795"/>
      <c r="H552" s="93"/>
      <c r="I552" s="810"/>
      <c r="J552" s="810"/>
    </row>
    <row r="553" spans="1:10" x14ac:dyDescent="0.25">
      <c r="A553" s="92"/>
      <c r="F553" s="786"/>
      <c r="G553" s="795"/>
      <c r="H553" s="93"/>
      <c r="I553" s="810"/>
      <c r="J553" s="810"/>
    </row>
    <row r="554" spans="1:10" x14ac:dyDescent="0.25">
      <c r="A554" s="92"/>
      <c r="F554" s="786"/>
      <c r="G554" s="795"/>
      <c r="H554" s="93"/>
      <c r="I554" s="810"/>
      <c r="J554" s="810"/>
    </row>
    <row r="555" spans="1:10" x14ac:dyDescent="0.25">
      <c r="A555" s="92"/>
      <c r="F555" s="786"/>
      <c r="G555" s="795"/>
      <c r="H555" s="93"/>
      <c r="I555" s="810"/>
      <c r="J555" s="810"/>
    </row>
    <row r="556" spans="1:10" x14ac:dyDescent="0.25">
      <c r="A556" s="92"/>
      <c r="F556" s="786"/>
      <c r="G556" s="795"/>
      <c r="H556" s="93"/>
      <c r="I556" s="810"/>
      <c r="J556" s="810"/>
    </row>
    <row r="557" spans="1:10" x14ac:dyDescent="0.25">
      <c r="A557" s="92"/>
      <c r="F557" s="786"/>
      <c r="G557" s="795"/>
      <c r="H557" s="93"/>
      <c r="I557" s="810"/>
      <c r="J557" s="810"/>
    </row>
    <row r="558" spans="1:10" x14ac:dyDescent="0.25">
      <c r="A558" s="92"/>
      <c r="F558" s="786"/>
      <c r="G558" s="795"/>
      <c r="H558" s="93"/>
      <c r="I558" s="810"/>
      <c r="J558" s="810"/>
    </row>
    <row r="559" spans="1:10" x14ac:dyDescent="0.25">
      <c r="A559" s="92"/>
      <c r="F559" s="786"/>
      <c r="G559" s="795"/>
      <c r="H559" s="93"/>
      <c r="I559" s="810"/>
      <c r="J559" s="810"/>
    </row>
    <row r="560" spans="1:10" x14ac:dyDescent="0.25">
      <c r="A560" s="92"/>
      <c r="F560" s="786"/>
      <c r="G560" s="795"/>
      <c r="H560" s="93"/>
      <c r="I560" s="810"/>
      <c r="J560" s="810"/>
    </row>
    <row r="561" spans="1:10" x14ac:dyDescent="0.25">
      <c r="A561" s="92"/>
      <c r="F561" s="786"/>
      <c r="G561" s="795"/>
      <c r="H561" s="93"/>
      <c r="I561" s="810"/>
      <c r="J561" s="810"/>
    </row>
    <row r="562" spans="1:10" x14ac:dyDescent="0.25">
      <c r="A562" s="92"/>
      <c r="F562" s="786"/>
      <c r="G562" s="795"/>
      <c r="H562" s="93"/>
      <c r="I562" s="810"/>
      <c r="J562" s="810"/>
    </row>
    <row r="563" spans="1:10" x14ac:dyDescent="0.25">
      <c r="A563" s="92"/>
      <c r="F563" s="786"/>
      <c r="G563" s="795"/>
      <c r="H563" s="93"/>
      <c r="I563" s="810"/>
      <c r="J563" s="810"/>
    </row>
    <row r="564" spans="1:10" x14ac:dyDescent="0.25">
      <c r="A564" s="92"/>
      <c r="F564" s="786"/>
      <c r="G564" s="795"/>
      <c r="H564" s="93"/>
      <c r="I564" s="810"/>
      <c r="J564" s="810"/>
    </row>
    <row r="565" spans="1:10" x14ac:dyDescent="0.25">
      <c r="A565" s="92"/>
      <c r="F565" s="786"/>
      <c r="G565" s="795"/>
      <c r="H565" s="93"/>
      <c r="I565" s="810"/>
      <c r="J565" s="810"/>
    </row>
    <row r="566" spans="1:10" x14ac:dyDescent="0.25">
      <c r="A566" s="92"/>
      <c r="F566" s="786"/>
      <c r="G566" s="795"/>
      <c r="H566" s="93"/>
      <c r="I566" s="810"/>
      <c r="J566" s="810"/>
    </row>
    <row r="567" spans="1:10" x14ac:dyDescent="0.25">
      <c r="A567" s="92"/>
      <c r="F567" s="786"/>
      <c r="G567" s="795"/>
      <c r="H567" s="93"/>
      <c r="I567" s="810"/>
      <c r="J567" s="810"/>
    </row>
    <row r="568" spans="1:10" x14ac:dyDescent="0.25">
      <c r="A568" s="92"/>
      <c r="F568" s="786"/>
      <c r="G568" s="795"/>
      <c r="H568" s="93"/>
      <c r="I568" s="810"/>
      <c r="J568" s="810"/>
    </row>
    <row r="569" spans="1:10" x14ac:dyDescent="0.25">
      <c r="A569" s="92"/>
      <c r="F569" s="786"/>
      <c r="G569" s="795"/>
      <c r="H569" s="93"/>
      <c r="I569" s="810"/>
      <c r="J569" s="810"/>
    </row>
    <row r="570" spans="1:10" x14ac:dyDescent="0.25">
      <c r="A570" s="92"/>
      <c r="F570" s="786"/>
      <c r="G570" s="795"/>
      <c r="H570" s="93"/>
      <c r="I570" s="810"/>
      <c r="J570" s="810"/>
    </row>
    <row r="571" spans="1:10" x14ac:dyDescent="0.25">
      <c r="A571" s="92"/>
      <c r="F571" s="786"/>
      <c r="G571" s="795"/>
      <c r="H571" s="93"/>
      <c r="I571" s="810"/>
      <c r="J571" s="810"/>
    </row>
    <row r="572" spans="1:10" x14ac:dyDescent="0.25">
      <c r="A572" s="92"/>
      <c r="F572" s="786"/>
      <c r="G572" s="795"/>
      <c r="H572" s="93"/>
      <c r="I572" s="810"/>
      <c r="J572" s="810"/>
    </row>
    <row r="573" spans="1:10" x14ac:dyDescent="0.25">
      <c r="A573" s="92"/>
      <c r="F573" s="786"/>
      <c r="G573" s="795"/>
      <c r="H573" s="93"/>
      <c r="I573" s="810"/>
      <c r="J573" s="810"/>
    </row>
    <row r="574" spans="1:10" x14ac:dyDescent="0.25">
      <c r="A574" s="92"/>
      <c r="F574" s="786"/>
      <c r="G574" s="795"/>
      <c r="H574" s="93"/>
      <c r="I574" s="810"/>
      <c r="J574" s="810"/>
    </row>
    <row r="575" spans="1:10" x14ac:dyDescent="0.25">
      <c r="A575" s="92"/>
      <c r="F575" s="786"/>
      <c r="G575" s="795"/>
      <c r="H575" s="93"/>
      <c r="I575" s="810"/>
      <c r="J575" s="810"/>
    </row>
    <row r="576" spans="1:10" x14ac:dyDescent="0.25">
      <c r="A576" s="92"/>
      <c r="F576" s="786"/>
      <c r="G576" s="795"/>
      <c r="H576" s="93"/>
      <c r="I576" s="810"/>
      <c r="J576" s="810"/>
    </row>
    <row r="577" spans="1:10" x14ac:dyDescent="0.25">
      <c r="A577" s="92"/>
      <c r="F577" s="786"/>
      <c r="G577" s="795"/>
      <c r="H577" s="93"/>
      <c r="I577" s="810"/>
      <c r="J577" s="810"/>
    </row>
    <row r="578" spans="1:10" x14ac:dyDescent="0.25">
      <c r="A578" s="92"/>
      <c r="F578" s="786"/>
      <c r="G578" s="795"/>
      <c r="H578" s="93"/>
      <c r="I578" s="810"/>
      <c r="J578" s="810"/>
    </row>
    <row r="579" spans="1:10" x14ac:dyDescent="0.25">
      <c r="A579" s="92"/>
      <c r="F579" s="786"/>
      <c r="G579" s="795"/>
      <c r="H579" s="93"/>
      <c r="I579" s="810"/>
      <c r="J579" s="810"/>
    </row>
    <row r="580" spans="1:10" x14ac:dyDescent="0.25">
      <c r="A580" s="92"/>
      <c r="F580" s="786"/>
      <c r="G580" s="795"/>
      <c r="H580" s="93"/>
      <c r="I580" s="810"/>
      <c r="J580" s="810"/>
    </row>
    <row r="581" spans="1:10" x14ac:dyDescent="0.25">
      <c r="A581" s="92"/>
      <c r="F581" s="786"/>
      <c r="G581" s="795"/>
      <c r="H581" s="93"/>
      <c r="I581" s="810"/>
      <c r="J581" s="810"/>
    </row>
    <row r="582" spans="1:10" x14ac:dyDescent="0.25">
      <c r="A582" s="92"/>
      <c r="F582" s="786"/>
      <c r="G582" s="795"/>
      <c r="H582" s="93"/>
      <c r="I582" s="810"/>
      <c r="J582" s="810"/>
    </row>
    <row r="583" spans="1:10" x14ac:dyDescent="0.25">
      <c r="A583" s="92"/>
      <c r="F583" s="786"/>
      <c r="G583" s="795"/>
      <c r="H583" s="93"/>
      <c r="I583" s="810"/>
      <c r="J583" s="810"/>
    </row>
    <row r="584" spans="1:10" x14ac:dyDescent="0.25">
      <c r="A584" s="92"/>
      <c r="F584" s="786"/>
      <c r="G584" s="795"/>
      <c r="H584" s="93"/>
      <c r="I584" s="810"/>
      <c r="J584" s="810"/>
    </row>
    <row r="585" spans="1:10" x14ac:dyDescent="0.25">
      <c r="A585" s="92"/>
      <c r="F585" s="786"/>
      <c r="G585" s="795"/>
      <c r="H585" s="93"/>
      <c r="I585" s="810"/>
      <c r="J585" s="810"/>
    </row>
    <row r="586" spans="1:10" x14ac:dyDescent="0.25">
      <c r="A586" s="92"/>
      <c r="F586" s="786"/>
      <c r="G586" s="795"/>
      <c r="H586" s="93"/>
      <c r="I586" s="810"/>
      <c r="J586" s="810"/>
    </row>
    <row r="587" spans="1:10" x14ac:dyDescent="0.25">
      <c r="A587" s="92"/>
      <c r="F587" s="786"/>
      <c r="G587" s="795"/>
      <c r="H587" s="93"/>
      <c r="I587" s="810"/>
      <c r="J587" s="810"/>
    </row>
    <row r="588" spans="1:10" x14ac:dyDescent="0.25">
      <c r="A588" s="92"/>
      <c r="F588" s="786"/>
      <c r="G588" s="795"/>
      <c r="H588" s="93"/>
      <c r="I588" s="810"/>
      <c r="J588" s="810"/>
    </row>
    <row r="589" spans="1:10" x14ac:dyDescent="0.25">
      <c r="A589" s="92"/>
      <c r="F589" s="786"/>
      <c r="G589" s="795"/>
      <c r="H589" s="93"/>
      <c r="I589" s="810"/>
      <c r="J589" s="810"/>
    </row>
    <row r="590" spans="1:10" x14ac:dyDescent="0.25">
      <c r="A590" s="92"/>
      <c r="F590" s="786"/>
      <c r="G590" s="795"/>
      <c r="H590" s="93"/>
      <c r="I590" s="810"/>
      <c r="J590" s="810"/>
    </row>
    <row r="591" spans="1:10" x14ac:dyDescent="0.25">
      <c r="A591" s="92"/>
      <c r="F591" s="786"/>
      <c r="G591" s="795"/>
      <c r="H591" s="93"/>
      <c r="I591" s="810"/>
      <c r="J591" s="810"/>
    </row>
    <row r="592" spans="1:10" x14ac:dyDescent="0.25">
      <c r="A592" s="92"/>
      <c r="F592" s="786"/>
      <c r="G592" s="795"/>
      <c r="H592" s="93"/>
      <c r="I592" s="810"/>
      <c r="J592" s="810"/>
    </row>
    <row r="593" spans="1:10" x14ac:dyDescent="0.25">
      <c r="A593" s="92"/>
      <c r="F593" s="786"/>
      <c r="G593" s="795"/>
      <c r="H593" s="93"/>
      <c r="I593" s="810"/>
      <c r="J593" s="810"/>
    </row>
    <row r="594" spans="1:10" x14ac:dyDescent="0.25">
      <c r="A594" s="92"/>
      <c r="F594" s="786"/>
      <c r="G594" s="795"/>
      <c r="H594" s="93"/>
      <c r="I594" s="810"/>
      <c r="J594" s="810"/>
    </row>
    <row r="595" spans="1:10" x14ac:dyDescent="0.25">
      <c r="A595" s="92"/>
      <c r="F595" s="786"/>
      <c r="G595" s="795"/>
      <c r="H595" s="93"/>
      <c r="I595" s="810"/>
      <c r="J595" s="810"/>
    </row>
    <row r="596" spans="1:10" x14ac:dyDescent="0.25">
      <c r="A596" s="92"/>
      <c r="F596" s="786"/>
      <c r="G596" s="795"/>
      <c r="H596" s="93"/>
      <c r="I596" s="810"/>
      <c r="J596" s="810"/>
    </row>
    <row r="597" spans="1:10" x14ac:dyDescent="0.25">
      <c r="A597" s="92"/>
      <c r="F597" s="786"/>
      <c r="G597" s="795"/>
      <c r="H597" s="93"/>
      <c r="I597" s="810"/>
      <c r="J597" s="810"/>
    </row>
    <row r="598" spans="1:10" x14ac:dyDescent="0.25">
      <c r="A598" s="92"/>
      <c r="F598" s="786"/>
      <c r="G598" s="795"/>
      <c r="H598" s="93"/>
      <c r="I598" s="810"/>
      <c r="J598" s="810"/>
    </row>
    <row r="599" spans="1:10" x14ac:dyDescent="0.25">
      <c r="A599" s="92"/>
      <c r="F599" s="786"/>
      <c r="G599" s="795"/>
      <c r="H599" s="93"/>
      <c r="I599" s="810"/>
      <c r="J599" s="810"/>
    </row>
    <row r="600" spans="1:10" x14ac:dyDescent="0.25">
      <c r="A600" s="92"/>
      <c r="F600" s="786"/>
      <c r="G600" s="795"/>
      <c r="H600" s="93"/>
      <c r="I600" s="810"/>
      <c r="J600" s="810"/>
    </row>
    <row r="601" spans="1:10" x14ac:dyDescent="0.25">
      <c r="A601" s="92"/>
      <c r="F601" s="786"/>
      <c r="G601" s="795"/>
      <c r="H601" s="93"/>
      <c r="I601" s="810"/>
      <c r="J601" s="810"/>
    </row>
    <row r="602" spans="1:10" x14ac:dyDescent="0.25">
      <c r="A602" s="92"/>
      <c r="F602" s="786"/>
      <c r="G602" s="795"/>
      <c r="H602" s="93"/>
      <c r="I602" s="810"/>
      <c r="J602" s="810"/>
    </row>
    <row r="603" spans="1:10" x14ac:dyDescent="0.25">
      <c r="A603" s="92"/>
      <c r="F603" s="786"/>
      <c r="G603" s="795"/>
      <c r="H603" s="93"/>
      <c r="I603" s="810"/>
      <c r="J603" s="810"/>
    </row>
    <row r="604" spans="1:10" x14ac:dyDescent="0.25">
      <c r="A604" s="92"/>
      <c r="F604" s="786"/>
      <c r="G604" s="795"/>
      <c r="H604" s="93"/>
      <c r="I604" s="810"/>
      <c r="J604" s="810"/>
    </row>
    <row r="605" spans="1:10" x14ac:dyDescent="0.25">
      <c r="A605" s="92"/>
      <c r="F605" s="786"/>
      <c r="G605" s="795"/>
      <c r="H605" s="93"/>
      <c r="I605" s="810"/>
      <c r="J605" s="810"/>
    </row>
    <row r="606" spans="1:10" x14ac:dyDescent="0.25">
      <c r="A606" s="92"/>
      <c r="F606" s="786"/>
      <c r="G606" s="795"/>
      <c r="H606" s="93"/>
      <c r="I606" s="810"/>
      <c r="J606" s="810"/>
    </row>
    <row r="607" spans="1:10" x14ac:dyDescent="0.25">
      <c r="A607" s="92"/>
      <c r="F607" s="786"/>
      <c r="G607" s="795"/>
      <c r="H607" s="93"/>
      <c r="I607" s="810"/>
      <c r="J607" s="810"/>
    </row>
    <row r="608" spans="1:10" x14ac:dyDescent="0.25">
      <c r="A608" s="92"/>
      <c r="F608" s="786"/>
      <c r="G608" s="795"/>
      <c r="H608" s="93"/>
      <c r="I608" s="810"/>
      <c r="J608" s="810"/>
    </row>
    <row r="609" spans="1:10" x14ac:dyDescent="0.25">
      <c r="A609" s="92"/>
      <c r="F609" s="786"/>
      <c r="G609" s="795"/>
      <c r="H609" s="93"/>
      <c r="I609" s="810"/>
      <c r="J609" s="810"/>
    </row>
    <row r="610" spans="1:10" x14ac:dyDescent="0.25">
      <c r="A610" s="92"/>
      <c r="F610" s="786"/>
      <c r="G610" s="795"/>
      <c r="H610" s="93"/>
      <c r="I610" s="810"/>
      <c r="J610" s="810"/>
    </row>
    <row r="611" spans="1:10" x14ac:dyDescent="0.25">
      <c r="A611" s="92"/>
      <c r="F611" s="786"/>
      <c r="G611" s="795"/>
      <c r="H611" s="93"/>
      <c r="I611" s="810"/>
      <c r="J611" s="810"/>
    </row>
    <row r="612" spans="1:10" x14ac:dyDescent="0.25">
      <c r="A612" s="92"/>
      <c r="F612" s="786"/>
      <c r="G612" s="795"/>
      <c r="H612" s="93"/>
      <c r="I612" s="810"/>
      <c r="J612" s="810"/>
    </row>
    <row r="613" spans="1:10" x14ac:dyDescent="0.25">
      <c r="A613" s="92"/>
      <c r="F613" s="786"/>
      <c r="G613" s="795"/>
      <c r="H613" s="93"/>
      <c r="I613" s="810"/>
      <c r="J613" s="810"/>
    </row>
    <row r="614" spans="1:10" x14ac:dyDescent="0.25">
      <c r="A614" s="92"/>
      <c r="F614" s="786"/>
      <c r="G614" s="795"/>
      <c r="H614" s="93"/>
      <c r="I614" s="810"/>
      <c r="J614" s="810"/>
    </row>
    <row r="615" spans="1:10" x14ac:dyDescent="0.25">
      <c r="A615" s="92"/>
      <c r="F615" s="786"/>
      <c r="G615" s="795"/>
      <c r="H615" s="93"/>
      <c r="I615" s="810"/>
      <c r="J615" s="810"/>
    </row>
    <row r="616" spans="1:10" x14ac:dyDescent="0.25">
      <c r="A616" s="92"/>
      <c r="F616" s="786"/>
      <c r="G616" s="795"/>
      <c r="H616" s="93"/>
      <c r="I616" s="810"/>
      <c r="J616" s="810"/>
    </row>
    <row r="617" spans="1:10" x14ac:dyDescent="0.25">
      <c r="A617" s="92"/>
      <c r="F617" s="786"/>
      <c r="G617" s="795"/>
      <c r="H617" s="93"/>
      <c r="I617" s="810"/>
      <c r="J617" s="810"/>
    </row>
    <row r="618" spans="1:10" x14ac:dyDescent="0.25">
      <c r="A618" s="92"/>
      <c r="F618" s="786"/>
      <c r="G618" s="795"/>
      <c r="H618" s="93"/>
      <c r="I618" s="810"/>
      <c r="J618" s="810"/>
    </row>
    <row r="619" spans="1:10" x14ac:dyDescent="0.25">
      <c r="A619" s="92"/>
      <c r="F619" s="786"/>
      <c r="G619" s="795"/>
      <c r="H619" s="93"/>
      <c r="I619" s="810"/>
      <c r="J619" s="810"/>
    </row>
    <row r="620" spans="1:10" x14ac:dyDescent="0.25">
      <c r="A620" s="92"/>
      <c r="F620" s="786"/>
      <c r="G620" s="795"/>
      <c r="H620" s="93"/>
      <c r="I620" s="810"/>
      <c r="J620" s="810"/>
    </row>
    <row r="621" spans="1:10" x14ac:dyDescent="0.25">
      <c r="A621" s="92"/>
      <c r="F621" s="786"/>
      <c r="G621" s="795"/>
      <c r="H621" s="93"/>
      <c r="I621" s="810"/>
      <c r="J621" s="810"/>
    </row>
    <row r="622" spans="1:10" x14ac:dyDescent="0.25">
      <c r="A622" s="92"/>
      <c r="F622" s="786"/>
      <c r="G622" s="795"/>
      <c r="H622" s="93"/>
      <c r="I622" s="810"/>
      <c r="J622" s="810"/>
    </row>
    <row r="623" spans="1:10" x14ac:dyDescent="0.25">
      <c r="A623" s="92"/>
      <c r="F623" s="786"/>
      <c r="G623" s="795"/>
      <c r="H623" s="93"/>
      <c r="I623" s="810"/>
      <c r="J623" s="810"/>
    </row>
    <row r="624" spans="1:10" x14ac:dyDescent="0.25">
      <c r="A624" s="92"/>
      <c r="F624" s="786"/>
      <c r="G624" s="795"/>
      <c r="H624" s="93"/>
      <c r="I624" s="810"/>
      <c r="J624" s="810"/>
    </row>
    <row r="625" spans="1:10" x14ac:dyDescent="0.25">
      <c r="A625" s="92"/>
      <c r="F625" s="786"/>
      <c r="G625" s="795"/>
      <c r="H625" s="93"/>
      <c r="I625" s="810"/>
      <c r="J625" s="810"/>
    </row>
    <row r="626" spans="1:10" x14ac:dyDescent="0.25">
      <c r="A626" s="92"/>
      <c r="F626" s="786"/>
      <c r="G626" s="795"/>
      <c r="H626" s="93"/>
      <c r="I626" s="810"/>
      <c r="J626" s="810"/>
    </row>
    <row r="627" spans="1:10" x14ac:dyDescent="0.25">
      <c r="A627" s="92"/>
      <c r="F627" s="786"/>
      <c r="G627" s="795"/>
      <c r="H627" s="93"/>
      <c r="I627" s="810"/>
      <c r="J627" s="810"/>
    </row>
    <row r="628" spans="1:10" x14ac:dyDescent="0.25">
      <c r="A628" s="92"/>
      <c r="F628" s="786"/>
      <c r="G628" s="795"/>
      <c r="H628" s="93"/>
      <c r="I628" s="810"/>
      <c r="J628" s="810"/>
    </row>
    <row r="629" spans="1:10" x14ac:dyDescent="0.25">
      <c r="A629" s="92"/>
      <c r="F629" s="786"/>
      <c r="G629" s="795"/>
      <c r="H629" s="93"/>
      <c r="I629" s="810"/>
      <c r="J629" s="810"/>
    </row>
    <row r="630" spans="1:10" x14ac:dyDescent="0.25">
      <c r="A630" s="92"/>
      <c r="F630" s="786"/>
      <c r="G630" s="795"/>
      <c r="H630" s="93"/>
      <c r="I630" s="810"/>
      <c r="J630" s="810"/>
    </row>
    <row r="631" spans="1:10" x14ac:dyDescent="0.25">
      <c r="A631" s="92"/>
      <c r="F631" s="786"/>
      <c r="G631" s="795"/>
      <c r="H631" s="93"/>
      <c r="I631" s="810"/>
      <c r="J631" s="810"/>
    </row>
    <row r="632" spans="1:10" x14ac:dyDescent="0.25">
      <c r="A632" s="92"/>
      <c r="F632" s="786"/>
      <c r="G632" s="795"/>
      <c r="H632" s="93"/>
      <c r="I632" s="810"/>
      <c r="J632" s="810"/>
    </row>
    <row r="633" spans="1:10" x14ac:dyDescent="0.25">
      <c r="A633" s="92"/>
      <c r="F633" s="786"/>
      <c r="G633" s="795"/>
      <c r="H633" s="93"/>
      <c r="I633" s="810"/>
      <c r="J633" s="810"/>
    </row>
    <row r="634" spans="1:10" x14ac:dyDescent="0.25">
      <c r="A634" s="92"/>
      <c r="F634" s="786"/>
      <c r="G634" s="795"/>
      <c r="H634" s="93"/>
      <c r="I634" s="810"/>
      <c r="J634" s="810"/>
    </row>
    <row r="635" spans="1:10" x14ac:dyDescent="0.25">
      <c r="A635" s="92"/>
      <c r="F635" s="786"/>
      <c r="G635" s="795"/>
      <c r="H635" s="93"/>
      <c r="I635" s="810"/>
      <c r="J635" s="810"/>
    </row>
    <row r="636" spans="1:10" x14ac:dyDescent="0.25">
      <c r="A636" s="92"/>
      <c r="F636" s="786"/>
      <c r="G636" s="795"/>
      <c r="H636" s="93"/>
      <c r="I636" s="810"/>
      <c r="J636" s="810"/>
    </row>
    <row r="637" spans="1:10" x14ac:dyDescent="0.25">
      <c r="A637" s="92"/>
      <c r="F637" s="786"/>
      <c r="G637" s="795"/>
      <c r="H637" s="93"/>
      <c r="I637" s="810"/>
      <c r="J637" s="810"/>
    </row>
    <row r="638" spans="1:10" x14ac:dyDescent="0.25">
      <c r="A638" s="92"/>
      <c r="F638" s="786"/>
      <c r="G638" s="795"/>
      <c r="H638" s="93"/>
      <c r="I638" s="810"/>
      <c r="J638" s="810"/>
    </row>
    <row r="639" spans="1:10" x14ac:dyDescent="0.25">
      <c r="A639" s="92"/>
      <c r="F639" s="786"/>
      <c r="G639" s="795"/>
      <c r="H639" s="93"/>
      <c r="I639" s="810"/>
      <c r="J639" s="810"/>
    </row>
    <row r="640" spans="1:10" x14ac:dyDescent="0.25">
      <c r="A640" s="92"/>
      <c r="F640" s="786"/>
      <c r="G640" s="795"/>
      <c r="H640" s="93"/>
      <c r="I640" s="810"/>
      <c r="J640" s="810"/>
    </row>
    <row r="641" spans="1:10" x14ac:dyDescent="0.25">
      <c r="A641" s="92"/>
      <c r="F641" s="786"/>
      <c r="G641" s="795"/>
      <c r="H641" s="93"/>
      <c r="I641" s="810"/>
      <c r="J641" s="810"/>
    </row>
    <row r="642" spans="1:10" x14ac:dyDescent="0.25">
      <c r="A642" s="92"/>
      <c r="F642" s="786"/>
      <c r="G642" s="795"/>
      <c r="H642" s="93"/>
      <c r="I642" s="810"/>
      <c r="J642" s="810"/>
    </row>
    <row r="643" spans="1:10" x14ac:dyDescent="0.25">
      <c r="A643" s="92"/>
      <c r="F643" s="786"/>
      <c r="G643" s="795"/>
      <c r="H643" s="93"/>
      <c r="I643" s="810"/>
      <c r="J643" s="810"/>
    </row>
    <row r="644" spans="1:10" x14ac:dyDescent="0.25">
      <c r="A644" s="92"/>
      <c r="F644" s="786"/>
      <c r="G644" s="795"/>
      <c r="H644" s="93"/>
      <c r="I644" s="810"/>
      <c r="J644" s="810"/>
    </row>
    <row r="645" spans="1:10" x14ac:dyDescent="0.25">
      <c r="A645" s="92"/>
      <c r="F645" s="786"/>
      <c r="G645" s="795"/>
      <c r="H645" s="93"/>
      <c r="I645" s="810"/>
      <c r="J645" s="810"/>
    </row>
    <row r="646" spans="1:10" x14ac:dyDescent="0.25">
      <c r="A646" s="92"/>
      <c r="F646" s="786"/>
      <c r="G646" s="795"/>
      <c r="H646" s="93"/>
      <c r="I646" s="810"/>
      <c r="J646" s="810"/>
    </row>
    <row r="647" spans="1:10" x14ac:dyDescent="0.25">
      <c r="A647" s="92"/>
      <c r="F647" s="786"/>
      <c r="G647" s="795"/>
      <c r="H647" s="93"/>
      <c r="I647" s="810"/>
      <c r="J647" s="810"/>
    </row>
    <row r="648" spans="1:10" x14ac:dyDescent="0.25">
      <c r="A648" s="92"/>
      <c r="F648" s="786"/>
      <c r="G648" s="795"/>
      <c r="H648" s="93"/>
      <c r="I648" s="810"/>
      <c r="J648" s="810"/>
    </row>
    <row r="649" spans="1:10" x14ac:dyDescent="0.25">
      <c r="A649" s="92"/>
      <c r="F649" s="786"/>
      <c r="G649" s="795"/>
      <c r="H649" s="93"/>
      <c r="I649" s="810"/>
      <c r="J649" s="810"/>
    </row>
    <row r="650" spans="1:10" x14ac:dyDescent="0.25">
      <c r="A650" s="92"/>
      <c r="F650" s="786"/>
      <c r="G650" s="795"/>
      <c r="H650" s="93"/>
      <c r="I650" s="810"/>
      <c r="J650" s="810"/>
    </row>
    <row r="651" spans="1:10" x14ac:dyDescent="0.25">
      <c r="A651" s="92"/>
      <c r="F651" s="786"/>
      <c r="G651" s="795"/>
      <c r="H651" s="93"/>
      <c r="I651" s="810"/>
      <c r="J651" s="810"/>
    </row>
    <row r="652" spans="1:10" x14ac:dyDescent="0.25">
      <c r="A652" s="92"/>
      <c r="F652" s="786"/>
      <c r="G652" s="795"/>
      <c r="H652" s="93"/>
      <c r="I652" s="810"/>
      <c r="J652" s="810"/>
    </row>
    <row r="653" spans="1:10" x14ac:dyDescent="0.25">
      <c r="A653" s="92"/>
      <c r="F653" s="786"/>
      <c r="G653" s="795"/>
      <c r="H653" s="93"/>
      <c r="I653" s="810"/>
      <c r="J653" s="810"/>
    </row>
    <row r="654" spans="1:10" x14ac:dyDescent="0.25">
      <c r="A654" s="92"/>
      <c r="F654" s="786"/>
      <c r="G654" s="795"/>
      <c r="H654" s="93"/>
      <c r="I654" s="810"/>
      <c r="J654" s="810"/>
    </row>
    <row r="655" spans="1:10" x14ac:dyDescent="0.25">
      <c r="A655" s="92"/>
      <c r="F655" s="786"/>
      <c r="G655" s="795"/>
      <c r="H655" s="93"/>
      <c r="I655" s="810"/>
      <c r="J655" s="810"/>
    </row>
    <row r="656" spans="1:10" x14ac:dyDescent="0.25">
      <c r="A656" s="92"/>
      <c r="F656" s="786"/>
      <c r="G656" s="795"/>
      <c r="H656" s="93"/>
      <c r="I656" s="810"/>
      <c r="J656" s="810"/>
    </row>
    <row r="657" spans="1:10" x14ac:dyDescent="0.25">
      <c r="A657" s="92"/>
      <c r="F657" s="786"/>
      <c r="G657" s="795"/>
      <c r="H657" s="93"/>
      <c r="I657" s="810"/>
      <c r="J657" s="810"/>
    </row>
    <row r="658" spans="1:10" x14ac:dyDescent="0.25">
      <c r="A658" s="92"/>
      <c r="F658" s="786"/>
      <c r="G658" s="795"/>
      <c r="H658" s="93"/>
      <c r="I658" s="810"/>
      <c r="J658" s="810"/>
    </row>
    <row r="659" spans="1:10" x14ac:dyDescent="0.25">
      <c r="A659" s="92"/>
      <c r="F659" s="786"/>
      <c r="G659" s="795"/>
      <c r="H659" s="93"/>
      <c r="I659" s="810"/>
      <c r="J659" s="810"/>
    </row>
    <row r="660" spans="1:10" x14ac:dyDescent="0.25">
      <c r="A660" s="92"/>
      <c r="F660" s="786"/>
      <c r="G660" s="795"/>
      <c r="H660" s="93"/>
      <c r="I660" s="810"/>
      <c r="J660" s="810"/>
    </row>
    <row r="661" spans="1:10" x14ac:dyDescent="0.25">
      <c r="A661" s="92"/>
      <c r="F661" s="786"/>
      <c r="G661" s="795"/>
      <c r="H661" s="93"/>
      <c r="I661" s="810"/>
      <c r="J661" s="810"/>
    </row>
    <row r="662" spans="1:10" x14ac:dyDescent="0.25">
      <c r="A662" s="92"/>
      <c r="F662" s="786"/>
      <c r="G662" s="795"/>
      <c r="H662" s="93"/>
      <c r="I662" s="810"/>
      <c r="J662" s="810"/>
    </row>
    <row r="663" spans="1:10" x14ac:dyDescent="0.25">
      <c r="A663" s="92"/>
      <c r="F663" s="786"/>
      <c r="G663" s="795"/>
      <c r="H663" s="93"/>
      <c r="I663" s="810"/>
      <c r="J663" s="810"/>
    </row>
    <row r="664" spans="1:10" x14ac:dyDescent="0.25">
      <c r="A664" s="92"/>
      <c r="F664" s="786"/>
      <c r="G664" s="795"/>
      <c r="H664" s="93"/>
      <c r="I664" s="810"/>
      <c r="J664" s="810"/>
    </row>
    <row r="665" spans="1:10" x14ac:dyDescent="0.25">
      <c r="A665" s="92"/>
      <c r="F665" s="786"/>
      <c r="G665" s="795"/>
      <c r="H665" s="93"/>
      <c r="I665" s="810"/>
      <c r="J665" s="810"/>
    </row>
    <row r="666" spans="1:10" x14ac:dyDescent="0.25">
      <c r="A666" s="92"/>
      <c r="F666" s="786"/>
      <c r="G666" s="795"/>
      <c r="H666" s="93"/>
      <c r="I666" s="810"/>
      <c r="J666" s="810"/>
    </row>
    <row r="667" spans="1:10" x14ac:dyDescent="0.25">
      <c r="A667" s="92"/>
      <c r="F667" s="786"/>
      <c r="G667" s="795"/>
      <c r="H667" s="93"/>
      <c r="I667" s="810"/>
      <c r="J667" s="810"/>
    </row>
    <row r="668" spans="1:10" x14ac:dyDescent="0.25">
      <c r="A668" s="92"/>
      <c r="F668" s="786"/>
      <c r="G668" s="795"/>
      <c r="H668" s="93"/>
      <c r="I668" s="810"/>
      <c r="J668" s="810"/>
    </row>
    <row r="669" spans="1:10" x14ac:dyDescent="0.25">
      <c r="A669" s="92"/>
      <c r="F669" s="786"/>
      <c r="G669" s="795"/>
      <c r="H669" s="93"/>
      <c r="I669" s="810"/>
      <c r="J669" s="810"/>
    </row>
    <row r="670" spans="1:10" x14ac:dyDescent="0.25">
      <c r="A670" s="92"/>
      <c r="F670" s="786"/>
      <c r="G670" s="795"/>
      <c r="H670" s="93"/>
      <c r="I670" s="810"/>
      <c r="J670" s="810"/>
    </row>
    <row r="671" spans="1:10" x14ac:dyDescent="0.25">
      <c r="A671" s="92"/>
      <c r="F671" s="786"/>
      <c r="G671" s="795"/>
      <c r="H671" s="93"/>
      <c r="I671" s="810"/>
      <c r="J671" s="810"/>
    </row>
    <row r="672" spans="1:10" x14ac:dyDescent="0.25">
      <c r="A672" s="92"/>
      <c r="F672" s="786"/>
      <c r="G672" s="795"/>
      <c r="H672" s="93"/>
      <c r="I672" s="810"/>
      <c r="J672" s="810"/>
    </row>
    <row r="673" spans="1:10" x14ac:dyDescent="0.25">
      <c r="A673" s="92"/>
      <c r="F673" s="786"/>
      <c r="G673" s="795"/>
      <c r="H673" s="93"/>
      <c r="I673" s="810"/>
      <c r="J673" s="810"/>
    </row>
    <row r="674" spans="1:10" x14ac:dyDescent="0.25">
      <c r="A674" s="92"/>
      <c r="F674" s="786"/>
      <c r="G674" s="795"/>
      <c r="H674" s="93"/>
      <c r="I674" s="810"/>
      <c r="J674" s="810"/>
    </row>
    <row r="675" spans="1:10" x14ac:dyDescent="0.25">
      <c r="A675" s="92"/>
      <c r="F675" s="786"/>
      <c r="G675" s="795"/>
      <c r="H675" s="93"/>
      <c r="I675" s="810"/>
      <c r="J675" s="810"/>
    </row>
    <row r="676" spans="1:10" x14ac:dyDescent="0.25">
      <c r="A676" s="92"/>
      <c r="F676" s="786"/>
      <c r="G676" s="795"/>
      <c r="H676" s="93"/>
      <c r="I676" s="810"/>
      <c r="J676" s="810"/>
    </row>
    <row r="677" spans="1:10" x14ac:dyDescent="0.25">
      <c r="A677" s="92"/>
      <c r="F677" s="786"/>
      <c r="G677" s="795"/>
      <c r="H677" s="93"/>
      <c r="I677" s="810"/>
      <c r="J677" s="810"/>
    </row>
    <row r="678" spans="1:10" x14ac:dyDescent="0.25">
      <c r="A678" s="92"/>
      <c r="F678" s="786"/>
      <c r="G678" s="795"/>
      <c r="H678" s="93"/>
      <c r="I678" s="810"/>
      <c r="J678" s="810"/>
    </row>
    <row r="679" spans="1:10" x14ac:dyDescent="0.25">
      <c r="A679" s="92"/>
      <c r="F679" s="786"/>
      <c r="G679" s="795"/>
      <c r="H679" s="93"/>
      <c r="I679" s="810"/>
      <c r="J679" s="810"/>
    </row>
    <row r="680" spans="1:10" x14ac:dyDescent="0.25">
      <c r="A680" s="92"/>
      <c r="F680" s="786"/>
      <c r="G680" s="795"/>
      <c r="H680" s="93"/>
      <c r="I680" s="810"/>
      <c r="J680" s="810"/>
    </row>
    <row r="681" spans="1:10" x14ac:dyDescent="0.25">
      <c r="A681" s="92"/>
      <c r="F681" s="786"/>
      <c r="G681" s="795"/>
      <c r="H681" s="93"/>
      <c r="I681" s="810"/>
      <c r="J681" s="810"/>
    </row>
    <row r="682" spans="1:10" x14ac:dyDescent="0.25">
      <c r="A682" s="92"/>
      <c r="F682" s="786"/>
      <c r="G682" s="795"/>
      <c r="H682" s="93"/>
      <c r="I682" s="810"/>
      <c r="J682" s="810"/>
    </row>
    <row r="683" spans="1:10" x14ac:dyDescent="0.25">
      <c r="A683" s="92"/>
      <c r="F683" s="786"/>
      <c r="G683" s="795"/>
      <c r="H683" s="93"/>
      <c r="I683" s="810"/>
      <c r="J683" s="810"/>
    </row>
    <row r="684" spans="1:10" x14ac:dyDescent="0.25">
      <c r="A684" s="92"/>
      <c r="F684" s="786"/>
      <c r="G684" s="795"/>
      <c r="H684" s="93"/>
      <c r="I684" s="810"/>
      <c r="J684" s="810"/>
    </row>
    <row r="685" spans="1:10" x14ac:dyDescent="0.25">
      <c r="A685" s="92"/>
      <c r="F685" s="786"/>
      <c r="G685" s="795"/>
      <c r="H685" s="93"/>
      <c r="I685" s="810"/>
      <c r="J685" s="810"/>
    </row>
    <row r="686" spans="1:10" x14ac:dyDescent="0.25">
      <c r="A686" s="92"/>
      <c r="F686" s="786"/>
      <c r="G686" s="795"/>
      <c r="H686" s="93"/>
      <c r="I686" s="810"/>
      <c r="J686" s="810"/>
    </row>
    <row r="687" spans="1:10" x14ac:dyDescent="0.25">
      <c r="A687" s="92"/>
      <c r="F687" s="786"/>
      <c r="G687" s="795"/>
      <c r="H687" s="93"/>
      <c r="I687" s="810"/>
      <c r="J687" s="810"/>
    </row>
    <row r="688" spans="1:10" x14ac:dyDescent="0.25">
      <c r="A688" s="92"/>
      <c r="F688" s="786"/>
      <c r="G688" s="795"/>
      <c r="H688" s="93"/>
      <c r="I688" s="810"/>
      <c r="J688" s="810"/>
    </row>
    <row r="689" spans="1:10" x14ac:dyDescent="0.25">
      <c r="A689" s="92"/>
      <c r="F689" s="786"/>
      <c r="G689" s="795"/>
      <c r="H689" s="93"/>
      <c r="I689" s="810"/>
      <c r="J689" s="810"/>
    </row>
    <row r="690" spans="1:10" x14ac:dyDescent="0.25">
      <c r="A690" s="92"/>
      <c r="F690" s="786"/>
      <c r="G690" s="795"/>
      <c r="H690" s="93"/>
      <c r="I690" s="810"/>
      <c r="J690" s="810"/>
    </row>
    <row r="691" spans="1:10" x14ac:dyDescent="0.25">
      <c r="A691" s="92"/>
      <c r="F691" s="786"/>
      <c r="G691" s="795"/>
      <c r="H691" s="93"/>
      <c r="I691" s="810"/>
      <c r="J691" s="810"/>
    </row>
    <row r="692" spans="1:10" x14ac:dyDescent="0.25">
      <c r="A692" s="92"/>
      <c r="F692" s="786"/>
      <c r="G692" s="795"/>
      <c r="H692" s="93"/>
      <c r="I692" s="810"/>
      <c r="J692" s="810"/>
    </row>
    <row r="693" spans="1:10" x14ac:dyDescent="0.25">
      <c r="A693" s="92"/>
      <c r="F693" s="786"/>
      <c r="G693" s="795"/>
      <c r="H693" s="93"/>
      <c r="I693" s="810"/>
      <c r="J693" s="810"/>
    </row>
    <row r="694" spans="1:10" x14ac:dyDescent="0.25">
      <c r="A694" s="92"/>
      <c r="F694" s="786"/>
      <c r="G694" s="795"/>
      <c r="H694" s="93"/>
      <c r="I694" s="810"/>
      <c r="J694" s="810"/>
    </row>
    <row r="695" spans="1:10" x14ac:dyDescent="0.25">
      <c r="A695" s="92"/>
      <c r="F695" s="786"/>
      <c r="G695" s="795"/>
      <c r="H695" s="93"/>
      <c r="I695" s="810"/>
      <c r="J695" s="810"/>
    </row>
    <row r="696" spans="1:10" x14ac:dyDescent="0.25">
      <c r="A696" s="92"/>
      <c r="F696" s="786"/>
      <c r="G696" s="795"/>
      <c r="H696" s="93"/>
      <c r="I696" s="810"/>
      <c r="J696" s="810"/>
    </row>
    <row r="697" spans="1:10" x14ac:dyDescent="0.25">
      <c r="A697" s="92"/>
      <c r="F697" s="786"/>
      <c r="G697" s="795"/>
      <c r="H697" s="93"/>
      <c r="I697" s="810"/>
      <c r="J697" s="810"/>
    </row>
    <row r="698" spans="1:10" x14ac:dyDescent="0.25">
      <c r="A698" s="92"/>
      <c r="F698" s="786"/>
      <c r="G698" s="795"/>
      <c r="H698" s="93"/>
      <c r="I698" s="810"/>
      <c r="J698" s="810"/>
    </row>
    <row r="699" spans="1:10" x14ac:dyDescent="0.25">
      <c r="A699" s="92"/>
      <c r="F699" s="786"/>
      <c r="G699" s="795"/>
      <c r="H699" s="93"/>
      <c r="I699" s="810"/>
      <c r="J699" s="810"/>
    </row>
    <row r="700" spans="1:10" x14ac:dyDescent="0.25">
      <c r="A700" s="92"/>
      <c r="F700" s="786"/>
      <c r="G700" s="795"/>
      <c r="H700" s="93"/>
      <c r="I700" s="810"/>
      <c r="J700" s="810"/>
    </row>
    <row r="701" spans="1:10" x14ac:dyDescent="0.25">
      <c r="A701" s="92"/>
      <c r="F701" s="786"/>
      <c r="G701" s="795"/>
      <c r="H701" s="93"/>
      <c r="I701" s="810"/>
      <c r="J701" s="810"/>
    </row>
    <row r="702" spans="1:10" x14ac:dyDescent="0.25">
      <c r="A702" s="92"/>
      <c r="F702" s="786"/>
      <c r="G702" s="795"/>
      <c r="H702" s="93"/>
      <c r="I702" s="810"/>
      <c r="J702" s="810"/>
    </row>
    <row r="703" spans="1:10" x14ac:dyDescent="0.25">
      <c r="A703" s="92"/>
      <c r="F703" s="786"/>
      <c r="G703" s="795"/>
      <c r="H703" s="93"/>
      <c r="I703" s="810"/>
      <c r="J703" s="810"/>
    </row>
    <row r="704" spans="1:10" x14ac:dyDescent="0.25">
      <c r="A704" s="92"/>
      <c r="F704" s="786"/>
      <c r="G704" s="795"/>
      <c r="H704" s="93"/>
      <c r="I704" s="810"/>
      <c r="J704" s="810"/>
    </row>
    <row r="705" spans="1:10" x14ac:dyDescent="0.25">
      <c r="A705" s="92"/>
      <c r="F705" s="786"/>
      <c r="G705" s="795"/>
      <c r="H705" s="93"/>
      <c r="I705" s="810"/>
      <c r="J705" s="810"/>
    </row>
    <row r="706" spans="1:10" x14ac:dyDescent="0.25">
      <c r="A706" s="92"/>
      <c r="F706" s="786"/>
      <c r="G706" s="795"/>
      <c r="H706" s="93"/>
      <c r="I706" s="810"/>
      <c r="J706" s="810"/>
    </row>
    <row r="707" spans="1:10" x14ac:dyDescent="0.25">
      <c r="A707" s="92"/>
      <c r="F707" s="786"/>
      <c r="G707" s="795"/>
      <c r="H707" s="93"/>
      <c r="I707" s="810"/>
      <c r="J707" s="810"/>
    </row>
    <row r="708" spans="1:10" x14ac:dyDescent="0.25">
      <c r="A708" s="92"/>
      <c r="F708" s="786"/>
      <c r="G708" s="795"/>
      <c r="H708" s="93"/>
      <c r="I708" s="810"/>
      <c r="J708" s="810"/>
    </row>
    <row r="709" spans="1:10" x14ac:dyDescent="0.25">
      <c r="A709" s="92"/>
      <c r="F709" s="786"/>
      <c r="G709" s="795"/>
      <c r="H709" s="93"/>
      <c r="I709" s="810"/>
      <c r="J709" s="810"/>
    </row>
    <row r="710" spans="1:10" x14ac:dyDescent="0.25">
      <c r="A710" s="92"/>
      <c r="F710" s="786"/>
      <c r="G710" s="795"/>
      <c r="H710" s="93"/>
      <c r="I710" s="810"/>
      <c r="J710" s="810"/>
    </row>
    <row r="711" spans="1:10" x14ac:dyDescent="0.25">
      <c r="A711" s="92"/>
      <c r="F711" s="786"/>
      <c r="G711" s="795"/>
      <c r="H711" s="93"/>
      <c r="I711" s="810"/>
      <c r="J711" s="810"/>
    </row>
    <row r="712" spans="1:10" x14ac:dyDescent="0.25">
      <c r="A712" s="92"/>
      <c r="F712" s="786"/>
      <c r="G712" s="795"/>
      <c r="H712" s="93"/>
      <c r="I712" s="810"/>
      <c r="J712" s="810"/>
    </row>
    <row r="713" spans="1:10" x14ac:dyDescent="0.25">
      <c r="A713" s="92"/>
      <c r="F713" s="786"/>
      <c r="G713" s="795"/>
      <c r="H713" s="93"/>
      <c r="I713" s="810"/>
      <c r="J713" s="810"/>
    </row>
    <row r="714" spans="1:10" x14ac:dyDescent="0.25">
      <c r="A714" s="92"/>
      <c r="F714" s="786"/>
      <c r="G714" s="795"/>
      <c r="H714" s="93"/>
      <c r="I714" s="810"/>
      <c r="J714" s="810"/>
    </row>
    <row r="715" spans="1:10" x14ac:dyDescent="0.25">
      <c r="A715" s="92"/>
      <c r="F715" s="786"/>
      <c r="G715" s="795"/>
      <c r="H715" s="93"/>
      <c r="I715" s="810"/>
      <c r="J715" s="810"/>
    </row>
    <row r="716" spans="1:10" x14ac:dyDescent="0.25">
      <c r="A716" s="92"/>
      <c r="F716" s="786"/>
      <c r="G716" s="795"/>
      <c r="H716" s="93"/>
      <c r="I716" s="810"/>
      <c r="J716" s="810"/>
    </row>
    <row r="717" spans="1:10" x14ac:dyDescent="0.25">
      <c r="A717" s="92"/>
      <c r="F717" s="786"/>
      <c r="G717" s="795"/>
      <c r="H717" s="93"/>
      <c r="I717" s="810"/>
      <c r="J717" s="810"/>
    </row>
    <row r="718" spans="1:10" x14ac:dyDescent="0.25">
      <c r="A718" s="92"/>
      <c r="F718" s="786"/>
      <c r="G718" s="795"/>
      <c r="H718" s="93"/>
      <c r="I718" s="810"/>
      <c r="J718" s="810"/>
    </row>
    <row r="719" spans="1:10" x14ac:dyDescent="0.25">
      <c r="A719" s="92"/>
      <c r="F719" s="786"/>
      <c r="G719" s="795"/>
      <c r="H719" s="93"/>
      <c r="I719" s="810"/>
      <c r="J719" s="810"/>
    </row>
    <row r="720" spans="1:10" x14ac:dyDescent="0.25">
      <c r="A720" s="92"/>
      <c r="F720" s="786"/>
      <c r="G720" s="795"/>
      <c r="H720" s="93"/>
      <c r="I720" s="810"/>
      <c r="J720" s="810"/>
    </row>
    <row r="721" spans="1:10" x14ac:dyDescent="0.25">
      <c r="A721" s="92"/>
      <c r="F721" s="786"/>
      <c r="G721" s="795"/>
      <c r="H721" s="93"/>
      <c r="I721" s="810"/>
      <c r="J721" s="810"/>
    </row>
    <row r="722" spans="1:10" x14ac:dyDescent="0.25">
      <c r="A722" s="92"/>
      <c r="F722" s="786"/>
      <c r="G722" s="795"/>
      <c r="H722" s="93"/>
      <c r="I722" s="810"/>
      <c r="J722" s="810"/>
    </row>
    <row r="723" spans="1:10" x14ac:dyDescent="0.25">
      <c r="A723" s="92"/>
      <c r="F723" s="786"/>
      <c r="G723" s="795"/>
      <c r="H723" s="93"/>
      <c r="I723" s="810"/>
      <c r="J723" s="810"/>
    </row>
    <row r="724" spans="1:10" x14ac:dyDescent="0.25">
      <c r="A724" s="92"/>
      <c r="F724" s="786"/>
      <c r="G724" s="795"/>
      <c r="H724" s="93"/>
      <c r="I724" s="810"/>
      <c r="J724" s="810"/>
    </row>
    <row r="725" spans="1:10" x14ac:dyDescent="0.25">
      <c r="A725" s="92"/>
      <c r="F725" s="786"/>
      <c r="G725" s="795"/>
      <c r="H725" s="93"/>
      <c r="I725" s="810"/>
      <c r="J725" s="810"/>
    </row>
    <row r="726" spans="1:10" x14ac:dyDescent="0.25">
      <c r="A726" s="92"/>
      <c r="F726" s="786"/>
      <c r="G726" s="795"/>
      <c r="H726" s="93"/>
      <c r="I726" s="810"/>
      <c r="J726" s="810"/>
    </row>
    <row r="727" spans="1:10" x14ac:dyDescent="0.25">
      <c r="A727" s="92"/>
      <c r="F727" s="786"/>
      <c r="G727" s="795"/>
      <c r="H727" s="93"/>
      <c r="I727" s="810"/>
      <c r="J727" s="810"/>
    </row>
    <row r="728" spans="1:10" x14ac:dyDescent="0.25">
      <c r="A728" s="92"/>
      <c r="F728" s="786"/>
      <c r="G728" s="795"/>
      <c r="H728" s="93"/>
      <c r="I728" s="810"/>
      <c r="J728" s="810"/>
    </row>
    <row r="729" spans="1:10" x14ac:dyDescent="0.25">
      <c r="A729" s="92"/>
      <c r="F729" s="786"/>
      <c r="G729" s="795"/>
      <c r="H729" s="93"/>
      <c r="I729" s="810"/>
      <c r="J729" s="810"/>
    </row>
    <row r="730" spans="1:10" x14ac:dyDescent="0.25">
      <c r="A730" s="92"/>
      <c r="F730" s="786"/>
      <c r="G730" s="795"/>
      <c r="H730" s="93"/>
      <c r="I730" s="810"/>
      <c r="J730" s="810"/>
    </row>
    <row r="731" spans="1:10" x14ac:dyDescent="0.25">
      <c r="A731" s="92"/>
      <c r="F731" s="786"/>
      <c r="G731" s="795"/>
      <c r="H731" s="93"/>
      <c r="I731" s="810"/>
      <c r="J731" s="810"/>
    </row>
    <row r="732" spans="1:10" x14ac:dyDescent="0.25">
      <c r="A732" s="92"/>
      <c r="F732" s="786"/>
      <c r="G732" s="795"/>
      <c r="H732" s="93"/>
      <c r="I732" s="810"/>
      <c r="J732" s="810"/>
    </row>
    <row r="733" spans="1:10" x14ac:dyDescent="0.25">
      <c r="A733" s="92"/>
      <c r="F733" s="786"/>
      <c r="G733" s="795"/>
      <c r="H733" s="93"/>
      <c r="I733" s="810"/>
      <c r="J733" s="810"/>
    </row>
    <row r="734" spans="1:10" x14ac:dyDescent="0.25">
      <c r="A734" s="92"/>
      <c r="F734" s="786"/>
      <c r="G734" s="795"/>
      <c r="H734" s="93"/>
      <c r="I734" s="810"/>
      <c r="J734" s="810"/>
    </row>
    <row r="735" spans="1:10" x14ac:dyDescent="0.25">
      <c r="A735" s="92"/>
      <c r="F735" s="786"/>
      <c r="G735" s="795"/>
      <c r="H735" s="93"/>
      <c r="I735" s="810"/>
      <c r="J735" s="810"/>
    </row>
    <row r="736" spans="1:10" x14ac:dyDescent="0.25">
      <c r="A736" s="92"/>
      <c r="F736" s="786"/>
      <c r="G736" s="795"/>
      <c r="H736" s="93"/>
      <c r="I736" s="810"/>
      <c r="J736" s="810"/>
    </row>
    <row r="737" spans="1:10" x14ac:dyDescent="0.25">
      <c r="A737" s="92"/>
      <c r="F737" s="786"/>
      <c r="G737" s="795"/>
      <c r="H737" s="93"/>
      <c r="I737" s="810"/>
      <c r="J737" s="810"/>
    </row>
    <row r="738" spans="1:10" x14ac:dyDescent="0.25">
      <c r="A738" s="92"/>
      <c r="F738" s="786"/>
      <c r="G738" s="795"/>
      <c r="H738" s="93"/>
      <c r="I738" s="810"/>
      <c r="J738" s="810"/>
    </row>
    <row r="739" spans="1:10" x14ac:dyDescent="0.25">
      <c r="A739" s="92"/>
      <c r="F739" s="786"/>
      <c r="G739" s="795"/>
      <c r="H739" s="93"/>
      <c r="I739" s="810"/>
      <c r="J739" s="810"/>
    </row>
    <row r="740" spans="1:10" x14ac:dyDescent="0.25">
      <c r="A740" s="92"/>
      <c r="F740" s="786"/>
      <c r="G740" s="795"/>
      <c r="H740" s="93"/>
      <c r="I740" s="810"/>
      <c r="J740" s="810"/>
    </row>
    <row r="741" spans="1:10" x14ac:dyDescent="0.25">
      <c r="A741" s="92"/>
      <c r="F741" s="786"/>
      <c r="G741" s="795"/>
      <c r="H741" s="93"/>
      <c r="I741" s="810"/>
      <c r="J741" s="810"/>
    </row>
    <row r="742" spans="1:10" x14ac:dyDescent="0.25">
      <c r="A742" s="92"/>
      <c r="F742" s="786"/>
      <c r="G742" s="795"/>
      <c r="H742" s="93"/>
      <c r="I742" s="810"/>
      <c r="J742" s="810"/>
    </row>
    <row r="743" spans="1:10" x14ac:dyDescent="0.25">
      <c r="A743" s="92"/>
      <c r="F743" s="786"/>
      <c r="G743" s="795"/>
      <c r="H743" s="93"/>
      <c r="I743" s="810"/>
      <c r="J743" s="810"/>
    </row>
    <row r="744" spans="1:10" x14ac:dyDescent="0.25">
      <c r="A744" s="92"/>
      <c r="F744" s="786"/>
      <c r="G744" s="795"/>
      <c r="H744" s="93"/>
      <c r="I744" s="810"/>
      <c r="J744" s="810"/>
    </row>
    <row r="745" spans="1:10" x14ac:dyDescent="0.25">
      <c r="A745" s="92"/>
      <c r="F745" s="786"/>
      <c r="G745" s="795"/>
      <c r="H745" s="93"/>
      <c r="I745" s="810"/>
      <c r="J745" s="810"/>
    </row>
    <row r="746" spans="1:10" x14ac:dyDescent="0.25">
      <c r="A746" s="92"/>
      <c r="F746" s="786"/>
      <c r="G746" s="795"/>
      <c r="H746" s="93"/>
      <c r="I746" s="810"/>
      <c r="J746" s="810"/>
    </row>
    <row r="747" spans="1:10" x14ac:dyDescent="0.25">
      <c r="A747" s="92"/>
      <c r="F747" s="786"/>
      <c r="G747" s="795"/>
      <c r="H747" s="93"/>
      <c r="I747" s="810"/>
      <c r="J747" s="810"/>
    </row>
    <row r="748" spans="1:10" x14ac:dyDescent="0.25">
      <c r="A748" s="92"/>
      <c r="F748" s="786"/>
      <c r="G748" s="795"/>
      <c r="H748" s="93"/>
      <c r="I748" s="810"/>
      <c r="J748" s="810"/>
    </row>
    <row r="749" spans="1:10" x14ac:dyDescent="0.25">
      <c r="A749" s="92"/>
      <c r="F749" s="786"/>
      <c r="G749" s="795"/>
      <c r="H749" s="93"/>
      <c r="I749" s="810"/>
      <c r="J749" s="810"/>
    </row>
    <row r="750" spans="1:10" x14ac:dyDescent="0.25">
      <c r="A750" s="92"/>
      <c r="F750" s="786"/>
      <c r="G750" s="795"/>
      <c r="H750" s="93"/>
      <c r="I750" s="810"/>
      <c r="J750" s="810"/>
    </row>
    <row r="751" spans="1:10" x14ac:dyDescent="0.25">
      <c r="A751" s="92"/>
      <c r="F751" s="786"/>
      <c r="G751" s="795"/>
      <c r="H751" s="93"/>
      <c r="I751" s="810"/>
      <c r="J751" s="810"/>
    </row>
    <row r="752" spans="1:10" x14ac:dyDescent="0.25">
      <c r="A752" s="92"/>
      <c r="F752" s="786"/>
      <c r="G752" s="795"/>
      <c r="H752" s="93"/>
      <c r="I752" s="810"/>
      <c r="J752" s="810"/>
    </row>
    <row r="753" spans="1:10" x14ac:dyDescent="0.25">
      <c r="A753" s="92"/>
      <c r="F753" s="786"/>
      <c r="G753" s="795"/>
      <c r="H753" s="93"/>
      <c r="I753" s="810"/>
      <c r="J753" s="810"/>
    </row>
    <row r="754" spans="1:10" x14ac:dyDescent="0.25">
      <c r="A754" s="92"/>
      <c r="F754" s="786"/>
      <c r="G754" s="795"/>
      <c r="H754" s="93"/>
      <c r="I754" s="810"/>
      <c r="J754" s="810"/>
    </row>
    <row r="755" spans="1:10" x14ac:dyDescent="0.25">
      <c r="A755" s="92"/>
      <c r="F755" s="786"/>
      <c r="G755" s="795"/>
      <c r="H755" s="93"/>
      <c r="I755" s="810"/>
      <c r="J755" s="810"/>
    </row>
    <row r="756" spans="1:10" x14ac:dyDescent="0.25">
      <c r="A756" s="92"/>
      <c r="F756" s="786"/>
      <c r="G756" s="795"/>
      <c r="H756" s="93"/>
      <c r="I756" s="810"/>
      <c r="J756" s="810"/>
    </row>
    <row r="757" spans="1:10" x14ac:dyDescent="0.25">
      <c r="A757" s="92"/>
      <c r="F757" s="786"/>
      <c r="G757" s="795"/>
      <c r="H757" s="93"/>
      <c r="I757" s="810"/>
      <c r="J757" s="810"/>
    </row>
    <row r="758" spans="1:10" x14ac:dyDescent="0.25">
      <c r="A758" s="92"/>
      <c r="F758" s="786"/>
      <c r="G758" s="795"/>
      <c r="H758" s="93"/>
      <c r="I758" s="810"/>
      <c r="J758" s="810"/>
    </row>
    <row r="759" spans="1:10" x14ac:dyDescent="0.25">
      <c r="A759" s="92"/>
      <c r="F759" s="786"/>
      <c r="G759" s="795"/>
      <c r="H759" s="93"/>
      <c r="I759" s="810"/>
      <c r="J759" s="810"/>
    </row>
    <row r="760" spans="1:10" x14ac:dyDescent="0.25">
      <c r="A760" s="92"/>
      <c r="F760" s="786"/>
      <c r="G760" s="795"/>
      <c r="H760" s="93"/>
      <c r="I760" s="810"/>
      <c r="J760" s="810"/>
    </row>
    <row r="761" spans="1:10" x14ac:dyDescent="0.25">
      <c r="A761" s="92"/>
      <c r="F761" s="786"/>
      <c r="G761" s="795"/>
      <c r="H761" s="93"/>
      <c r="I761" s="810"/>
      <c r="J761" s="810"/>
    </row>
    <row r="762" spans="1:10" x14ac:dyDescent="0.25">
      <c r="A762" s="92"/>
      <c r="F762" s="786"/>
      <c r="G762" s="795"/>
      <c r="H762" s="93"/>
      <c r="I762" s="810"/>
      <c r="J762" s="810"/>
    </row>
    <row r="763" spans="1:10" x14ac:dyDescent="0.25">
      <c r="A763" s="92"/>
      <c r="F763" s="786"/>
      <c r="G763" s="795"/>
      <c r="H763" s="93"/>
      <c r="I763" s="810"/>
      <c r="J763" s="810"/>
    </row>
    <row r="764" spans="1:10" x14ac:dyDescent="0.25">
      <c r="A764" s="92"/>
      <c r="F764" s="786"/>
      <c r="G764" s="795"/>
      <c r="H764" s="93"/>
      <c r="I764" s="810"/>
      <c r="J764" s="810"/>
    </row>
    <row r="765" spans="1:10" x14ac:dyDescent="0.25">
      <c r="A765" s="92"/>
      <c r="F765" s="786"/>
      <c r="G765" s="795"/>
      <c r="H765" s="93"/>
      <c r="I765" s="810"/>
      <c r="J765" s="810"/>
    </row>
    <row r="766" spans="1:10" x14ac:dyDescent="0.25">
      <c r="A766" s="92"/>
      <c r="F766" s="786"/>
      <c r="G766" s="795"/>
      <c r="H766" s="93"/>
      <c r="I766" s="810"/>
      <c r="J766" s="810"/>
    </row>
    <row r="767" spans="1:10" x14ac:dyDescent="0.25">
      <c r="A767" s="92"/>
      <c r="F767" s="786"/>
      <c r="G767" s="795"/>
      <c r="H767" s="93"/>
      <c r="I767" s="810"/>
      <c r="J767" s="810"/>
    </row>
    <row r="768" spans="1:10" x14ac:dyDescent="0.25">
      <c r="A768" s="92"/>
      <c r="F768" s="786"/>
      <c r="G768" s="795"/>
      <c r="H768" s="93"/>
      <c r="I768" s="810"/>
      <c r="J768" s="810"/>
    </row>
    <row r="769" spans="1:10" x14ac:dyDescent="0.25">
      <c r="A769" s="92"/>
      <c r="F769" s="786"/>
      <c r="G769" s="795"/>
      <c r="H769" s="93"/>
      <c r="I769" s="810"/>
      <c r="J769" s="810"/>
    </row>
    <row r="770" spans="1:10" x14ac:dyDescent="0.25">
      <c r="A770" s="92"/>
      <c r="F770" s="786"/>
      <c r="G770" s="795"/>
      <c r="H770" s="93"/>
      <c r="I770" s="810"/>
      <c r="J770" s="810"/>
    </row>
    <row r="771" spans="1:10" x14ac:dyDescent="0.25">
      <c r="A771" s="92"/>
      <c r="F771" s="786"/>
      <c r="G771" s="795"/>
      <c r="H771" s="93"/>
      <c r="I771" s="810"/>
      <c r="J771" s="810"/>
    </row>
    <row r="772" spans="1:10" x14ac:dyDescent="0.25">
      <c r="A772" s="92"/>
      <c r="F772" s="786"/>
      <c r="G772" s="795"/>
      <c r="H772" s="93"/>
      <c r="I772" s="810"/>
      <c r="J772" s="810"/>
    </row>
    <row r="773" spans="1:10" x14ac:dyDescent="0.25">
      <c r="A773" s="92"/>
      <c r="F773" s="786"/>
      <c r="G773" s="795"/>
      <c r="H773" s="93"/>
      <c r="I773" s="810"/>
      <c r="J773" s="810"/>
    </row>
    <row r="774" spans="1:10" x14ac:dyDescent="0.25">
      <c r="A774" s="92"/>
      <c r="F774" s="786"/>
      <c r="G774" s="795"/>
      <c r="H774" s="93"/>
      <c r="I774" s="810"/>
      <c r="J774" s="810"/>
    </row>
    <row r="775" spans="1:10" x14ac:dyDescent="0.25">
      <c r="A775" s="92"/>
      <c r="F775" s="786"/>
      <c r="G775" s="795"/>
      <c r="H775" s="93"/>
      <c r="I775" s="810"/>
      <c r="J775" s="810"/>
    </row>
    <row r="776" spans="1:10" x14ac:dyDescent="0.25">
      <c r="A776" s="92"/>
      <c r="F776" s="786"/>
      <c r="G776" s="795"/>
      <c r="H776" s="93"/>
      <c r="I776" s="810"/>
      <c r="J776" s="810"/>
    </row>
    <row r="777" spans="1:10" x14ac:dyDescent="0.25">
      <c r="A777" s="92"/>
      <c r="F777" s="786"/>
      <c r="G777" s="795"/>
      <c r="H777" s="93"/>
      <c r="I777" s="810"/>
      <c r="J777" s="810"/>
    </row>
    <row r="778" spans="1:10" x14ac:dyDescent="0.25">
      <c r="A778" s="92"/>
      <c r="F778" s="786"/>
      <c r="G778" s="795"/>
      <c r="H778" s="93"/>
      <c r="I778" s="810"/>
      <c r="J778" s="810"/>
    </row>
    <row r="779" spans="1:10" x14ac:dyDescent="0.25">
      <c r="A779" s="92"/>
      <c r="F779" s="786"/>
      <c r="G779" s="795"/>
      <c r="H779" s="93"/>
      <c r="I779" s="810"/>
      <c r="J779" s="810"/>
    </row>
    <row r="780" spans="1:10" x14ac:dyDescent="0.25">
      <c r="A780" s="92"/>
      <c r="F780" s="786"/>
      <c r="G780" s="795"/>
      <c r="H780" s="93"/>
      <c r="I780" s="810"/>
      <c r="J780" s="810"/>
    </row>
    <row r="781" spans="1:10" x14ac:dyDescent="0.25">
      <c r="A781" s="92"/>
      <c r="F781" s="786"/>
      <c r="G781" s="795"/>
      <c r="H781" s="93"/>
      <c r="I781" s="810"/>
      <c r="J781" s="810"/>
    </row>
    <row r="782" spans="1:10" x14ac:dyDescent="0.25">
      <c r="A782" s="92"/>
      <c r="F782" s="786"/>
      <c r="G782" s="795"/>
      <c r="H782" s="93"/>
      <c r="I782" s="810"/>
      <c r="J782" s="810"/>
    </row>
    <row r="783" spans="1:10" x14ac:dyDescent="0.25">
      <c r="A783" s="92"/>
      <c r="F783" s="786"/>
      <c r="G783" s="795"/>
      <c r="H783" s="93"/>
      <c r="I783" s="810"/>
      <c r="J783" s="810"/>
    </row>
    <row r="784" spans="1:10" x14ac:dyDescent="0.25">
      <c r="A784" s="92"/>
      <c r="F784" s="786"/>
      <c r="G784" s="795"/>
      <c r="H784" s="93"/>
      <c r="I784" s="810"/>
      <c r="J784" s="810"/>
    </row>
    <row r="785" spans="1:10" x14ac:dyDescent="0.25">
      <c r="A785" s="92"/>
      <c r="F785" s="786"/>
      <c r="G785" s="795"/>
      <c r="H785" s="93"/>
      <c r="I785" s="810"/>
      <c r="J785" s="810"/>
    </row>
    <row r="786" spans="1:10" x14ac:dyDescent="0.25">
      <c r="A786" s="92"/>
      <c r="F786" s="786"/>
      <c r="G786" s="795"/>
      <c r="H786" s="93"/>
      <c r="I786" s="810"/>
      <c r="J786" s="810"/>
    </row>
    <row r="787" spans="1:10" x14ac:dyDescent="0.25">
      <c r="A787" s="92"/>
      <c r="F787" s="786"/>
      <c r="G787" s="795"/>
      <c r="H787" s="93"/>
      <c r="I787" s="810"/>
      <c r="J787" s="810"/>
    </row>
    <row r="788" spans="1:10" x14ac:dyDescent="0.25">
      <c r="A788" s="92"/>
      <c r="F788" s="786"/>
      <c r="G788" s="795"/>
      <c r="H788" s="93"/>
      <c r="I788" s="810"/>
      <c r="J788" s="810"/>
    </row>
    <row r="789" spans="1:10" x14ac:dyDescent="0.25">
      <c r="A789" s="92"/>
      <c r="F789" s="786"/>
      <c r="G789" s="795"/>
      <c r="H789" s="93"/>
      <c r="I789" s="810"/>
      <c r="J789" s="810"/>
    </row>
    <row r="790" spans="1:10" x14ac:dyDescent="0.25">
      <c r="A790" s="92"/>
      <c r="F790" s="786"/>
      <c r="G790" s="795"/>
      <c r="H790" s="93"/>
      <c r="I790" s="810"/>
      <c r="J790" s="810"/>
    </row>
    <row r="791" spans="1:10" x14ac:dyDescent="0.25">
      <c r="A791" s="92"/>
      <c r="F791" s="786"/>
      <c r="G791" s="795"/>
      <c r="H791" s="93"/>
      <c r="I791" s="810"/>
      <c r="J791" s="810"/>
    </row>
    <row r="792" spans="1:10" x14ac:dyDescent="0.25">
      <c r="A792" s="92"/>
      <c r="F792" s="786"/>
      <c r="G792" s="795"/>
      <c r="H792" s="93"/>
      <c r="I792" s="810"/>
      <c r="J792" s="810"/>
    </row>
    <row r="793" spans="1:10" x14ac:dyDescent="0.25">
      <c r="A793" s="92"/>
      <c r="F793" s="786"/>
      <c r="G793" s="795"/>
      <c r="H793" s="93"/>
      <c r="I793" s="810"/>
      <c r="J793" s="810"/>
    </row>
    <row r="794" spans="1:10" x14ac:dyDescent="0.25">
      <c r="A794" s="92"/>
      <c r="F794" s="786"/>
      <c r="G794" s="795"/>
      <c r="H794" s="93"/>
      <c r="I794" s="810"/>
      <c r="J794" s="810"/>
    </row>
    <row r="795" spans="1:10" x14ac:dyDescent="0.25">
      <c r="A795" s="92"/>
      <c r="F795" s="786"/>
      <c r="G795" s="795"/>
      <c r="H795" s="93"/>
      <c r="I795" s="810"/>
      <c r="J795" s="810"/>
    </row>
    <row r="796" spans="1:10" x14ac:dyDescent="0.25">
      <c r="A796" s="92"/>
      <c r="F796" s="786"/>
      <c r="G796" s="795"/>
      <c r="H796" s="93"/>
      <c r="I796" s="810"/>
      <c r="J796" s="810"/>
    </row>
    <row r="797" spans="1:10" x14ac:dyDescent="0.25">
      <c r="A797" s="92"/>
      <c r="F797" s="786"/>
      <c r="G797" s="795"/>
      <c r="H797" s="93"/>
      <c r="I797" s="810"/>
      <c r="J797" s="810"/>
    </row>
    <row r="798" spans="1:10" x14ac:dyDescent="0.25">
      <c r="A798" s="92"/>
      <c r="F798" s="786"/>
      <c r="G798" s="795"/>
      <c r="H798" s="93"/>
      <c r="I798" s="810"/>
      <c r="J798" s="810"/>
    </row>
    <row r="799" spans="1:10" x14ac:dyDescent="0.25">
      <c r="A799" s="92"/>
      <c r="F799" s="786"/>
      <c r="G799" s="795"/>
      <c r="H799" s="93"/>
      <c r="I799" s="810"/>
      <c r="J799" s="810"/>
    </row>
    <row r="800" spans="1:10" x14ac:dyDescent="0.25">
      <c r="A800" s="92"/>
      <c r="F800" s="786"/>
      <c r="G800" s="795"/>
      <c r="H800" s="93"/>
      <c r="I800" s="810"/>
      <c r="J800" s="810"/>
    </row>
    <row r="801" spans="1:10" x14ac:dyDescent="0.25">
      <c r="A801" s="92"/>
      <c r="F801" s="786"/>
      <c r="G801" s="795"/>
      <c r="H801" s="93"/>
      <c r="I801" s="810"/>
      <c r="J801" s="810"/>
    </row>
    <row r="802" spans="1:10" x14ac:dyDescent="0.25">
      <c r="A802" s="92"/>
      <c r="F802" s="786"/>
      <c r="G802" s="795"/>
      <c r="H802" s="93"/>
      <c r="I802" s="810"/>
      <c r="J802" s="810"/>
    </row>
    <row r="803" spans="1:10" x14ac:dyDescent="0.25">
      <c r="A803" s="92"/>
      <c r="F803" s="786"/>
      <c r="G803" s="795"/>
      <c r="H803" s="93"/>
      <c r="I803" s="810"/>
      <c r="J803" s="810"/>
    </row>
    <row r="804" spans="1:10" x14ac:dyDescent="0.25">
      <c r="A804" s="92"/>
      <c r="F804" s="786"/>
      <c r="G804" s="795"/>
      <c r="H804" s="93"/>
      <c r="I804" s="810"/>
      <c r="J804" s="810"/>
    </row>
    <row r="805" spans="1:10" x14ac:dyDescent="0.25">
      <c r="A805" s="92"/>
      <c r="F805" s="786"/>
      <c r="G805" s="795"/>
      <c r="H805" s="93"/>
      <c r="I805" s="810"/>
      <c r="J805" s="810"/>
    </row>
    <row r="806" spans="1:10" x14ac:dyDescent="0.25">
      <c r="A806" s="92"/>
      <c r="F806" s="786"/>
      <c r="G806" s="795"/>
      <c r="H806" s="93"/>
      <c r="I806" s="810"/>
      <c r="J806" s="810"/>
    </row>
    <row r="807" spans="1:10" x14ac:dyDescent="0.25">
      <c r="A807" s="92"/>
      <c r="F807" s="786"/>
      <c r="G807" s="795"/>
      <c r="H807" s="93"/>
      <c r="I807" s="810"/>
      <c r="J807" s="810"/>
    </row>
    <row r="808" spans="1:10" x14ac:dyDescent="0.25">
      <c r="A808" s="92"/>
      <c r="F808" s="786"/>
      <c r="G808" s="795"/>
      <c r="H808" s="93"/>
      <c r="I808" s="810"/>
      <c r="J808" s="810"/>
    </row>
    <row r="809" spans="1:10" x14ac:dyDescent="0.25">
      <c r="A809" s="92"/>
      <c r="F809" s="786"/>
      <c r="G809" s="795"/>
      <c r="H809" s="93"/>
      <c r="I809" s="810"/>
      <c r="J809" s="810"/>
    </row>
    <row r="810" spans="1:10" x14ac:dyDescent="0.25">
      <c r="A810" s="92"/>
      <c r="F810" s="786"/>
      <c r="G810" s="795"/>
      <c r="H810" s="93"/>
      <c r="I810" s="810"/>
      <c r="J810" s="810"/>
    </row>
    <row r="811" spans="1:10" x14ac:dyDescent="0.25">
      <c r="A811" s="92"/>
      <c r="F811" s="786"/>
      <c r="G811" s="795"/>
      <c r="H811" s="93"/>
      <c r="I811" s="810"/>
      <c r="J811" s="810"/>
    </row>
    <row r="812" spans="1:10" x14ac:dyDescent="0.25">
      <c r="A812" s="92"/>
      <c r="F812" s="786"/>
      <c r="G812" s="795"/>
      <c r="H812" s="93"/>
      <c r="I812" s="810"/>
      <c r="J812" s="810"/>
    </row>
    <row r="813" spans="1:10" x14ac:dyDescent="0.25">
      <c r="A813" s="92"/>
      <c r="F813" s="786"/>
      <c r="G813" s="795"/>
      <c r="H813" s="93"/>
      <c r="I813" s="810"/>
      <c r="J813" s="810"/>
    </row>
    <row r="814" spans="1:10" x14ac:dyDescent="0.25">
      <c r="A814" s="92"/>
      <c r="F814" s="786"/>
      <c r="G814" s="795"/>
      <c r="H814" s="93"/>
      <c r="I814" s="810"/>
      <c r="J814" s="810"/>
    </row>
    <row r="815" spans="1:10" x14ac:dyDescent="0.25">
      <c r="A815" s="92"/>
      <c r="F815" s="786"/>
      <c r="G815" s="795"/>
      <c r="H815" s="93"/>
      <c r="I815" s="810"/>
      <c r="J815" s="810"/>
    </row>
    <row r="816" spans="1:10" x14ac:dyDescent="0.25">
      <c r="A816" s="92"/>
      <c r="F816" s="786"/>
      <c r="G816" s="795"/>
      <c r="H816" s="93"/>
      <c r="I816" s="810"/>
      <c r="J816" s="810"/>
    </row>
    <row r="817" spans="1:10" x14ac:dyDescent="0.25">
      <c r="A817" s="92"/>
      <c r="F817" s="786"/>
      <c r="G817" s="795"/>
      <c r="H817" s="93"/>
      <c r="I817" s="810"/>
      <c r="J817" s="810"/>
    </row>
    <row r="818" spans="1:10" x14ac:dyDescent="0.25">
      <c r="A818" s="92"/>
      <c r="F818" s="786"/>
      <c r="G818" s="795"/>
      <c r="H818" s="93"/>
      <c r="I818" s="810"/>
      <c r="J818" s="810"/>
    </row>
    <row r="819" spans="1:10" x14ac:dyDescent="0.25">
      <c r="A819" s="92"/>
      <c r="F819" s="786"/>
      <c r="G819" s="795"/>
      <c r="H819" s="93"/>
      <c r="I819" s="810"/>
      <c r="J819" s="810"/>
    </row>
    <row r="820" spans="1:10" x14ac:dyDescent="0.25">
      <c r="A820" s="92"/>
      <c r="F820" s="786"/>
      <c r="G820" s="795"/>
      <c r="H820" s="93"/>
      <c r="I820" s="810"/>
      <c r="J820" s="810"/>
    </row>
    <row r="821" spans="1:10" x14ac:dyDescent="0.25">
      <c r="A821" s="92"/>
      <c r="F821" s="786"/>
      <c r="G821" s="795"/>
      <c r="H821" s="93"/>
      <c r="I821" s="810"/>
      <c r="J821" s="810"/>
    </row>
    <row r="822" spans="1:10" x14ac:dyDescent="0.25">
      <c r="A822" s="92"/>
      <c r="F822" s="786"/>
      <c r="G822" s="795"/>
      <c r="H822" s="93"/>
      <c r="I822" s="810"/>
      <c r="J822" s="810"/>
    </row>
    <row r="823" spans="1:10" x14ac:dyDescent="0.25">
      <c r="A823" s="92"/>
      <c r="F823" s="786"/>
      <c r="G823" s="795"/>
      <c r="H823" s="93"/>
      <c r="I823" s="810"/>
      <c r="J823" s="810"/>
    </row>
    <row r="824" spans="1:10" x14ac:dyDescent="0.25">
      <c r="A824" s="92"/>
      <c r="F824" s="786"/>
      <c r="G824" s="795"/>
      <c r="H824" s="93"/>
      <c r="I824" s="810"/>
      <c r="J824" s="810"/>
    </row>
    <row r="825" spans="1:10" x14ac:dyDescent="0.25">
      <c r="A825" s="92"/>
      <c r="F825" s="786"/>
      <c r="G825" s="795"/>
      <c r="H825" s="93"/>
      <c r="I825" s="810"/>
      <c r="J825" s="810"/>
    </row>
    <row r="826" spans="1:10" x14ac:dyDescent="0.25">
      <c r="A826" s="92"/>
      <c r="F826" s="786"/>
      <c r="G826" s="795"/>
      <c r="H826" s="93"/>
      <c r="I826" s="810"/>
      <c r="J826" s="810"/>
    </row>
    <row r="827" spans="1:10" x14ac:dyDescent="0.25">
      <c r="A827" s="92"/>
      <c r="F827" s="786"/>
      <c r="G827" s="795"/>
      <c r="H827" s="93"/>
      <c r="I827" s="810"/>
      <c r="J827" s="810"/>
    </row>
    <row r="828" spans="1:10" x14ac:dyDescent="0.25">
      <c r="A828" s="92"/>
      <c r="F828" s="786"/>
      <c r="G828" s="795"/>
      <c r="H828" s="93"/>
      <c r="I828" s="810"/>
      <c r="J828" s="810"/>
    </row>
    <row r="829" spans="1:10" x14ac:dyDescent="0.25">
      <c r="A829" s="92"/>
      <c r="F829" s="786"/>
      <c r="G829" s="795"/>
      <c r="H829" s="93"/>
      <c r="I829" s="810"/>
      <c r="J829" s="810"/>
    </row>
    <row r="830" spans="1:10" x14ac:dyDescent="0.25">
      <c r="A830" s="92"/>
      <c r="F830" s="786"/>
      <c r="G830" s="795"/>
      <c r="H830" s="93"/>
      <c r="I830" s="810"/>
      <c r="J830" s="810"/>
    </row>
    <row r="831" spans="1:10" x14ac:dyDescent="0.25">
      <c r="A831" s="92"/>
      <c r="F831" s="786"/>
      <c r="G831" s="795"/>
      <c r="H831" s="93"/>
      <c r="I831" s="810"/>
      <c r="J831" s="810"/>
    </row>
    <row r="832" spans="1:10" x14ac:dyDescent="0.25">
      <c r="A832" s="92"/>
      <c r="F832" s="786"/>
      <c r="G832" s="795"/>
      <c r="H832" s="93"/>
      <c r="I832" s="810"/>
      <c r="J832" s="810"/>
    </row>
    <row r="833" spans="1:10" x14ac:dyDescent="0.25">
      <c r="A833" s="92"/>
      <c r="F833" s="786"/>
      <c r="G833" s="795"/>
      <c r="H833" s="93"/>
      <c r="I833" s="810"/>
      <c r="J833" s="810"/>
    </row>
    <row r="834" spans="1:10" x14ac:dyDescent="0.25">
      <c r="A834" s="92"/>
      <c r="F834" s="786"/>
      <c r="G834" s="795"/>
      <c r="H834" s="93"/>
      <c r="I834" s="810"/>
      <c r="J834" s="810"/>
    </row>
    <row r="835" spans="1:10" x14ac:dyDescent="0.25">
      <c r="A835" s="92"/>
      <c r="F835" s="786"/>
      <c r="G835" s="795"/>
      <c r="H835" s="93"/>
      <c r="I835" s="810"/>
      <c r="J835" s="810"/>
    </row>
    <row r="836" spans="1:10" x14ac:dyDescent="0.25">
      <c r="A836" s="92"/>
      <c r="F836" s="786"/>
      <c r="G836" s="795"/>
      <c r="H836" s="93"/>
      <c r="I836" s="810"/>
      <c r="J836" s="810"/>
    </row>
    <row r="837" spans="1:10" x14ac:dyDescent="0.25">
      <c r="A837" s="92"/>
      <c r="F837" s="786"/>
      <c r="G837" s="795"/>
      <c r="H837" s="93"/>
      <c r="I837" s="810"/>
      <c r="J837" s="810"/>
    </row>
    <row r="838" spans="1:10" x14ac:dyDescent="0.25">
      <c r="A838" s="92"/>
      <c r="F838" s="786"/>
      <c r="G838" s="795"/>
      <c r="H838" s="93"/>
      <c r="I838" s="810"/>
      <c r="J838" s="810"/>
    </row>
    <row r="839" spans="1:10" x14ac:dyDescent="0.25">
      <c r="A839" s="92"/>
      <c r="F839" s="786"/>
      <c r="G839" s="795"/>
      <c r="H839" s="93"/>
      <c r="I839" s="810"/>
      <c r="J839" s="810"/>
    </row>
    <row r="840" spans="1:10" x14ac:dyDescent="0.25">
      <c r="A840" s="92"/>
      <c r="F840" s="786"/>
      <c r="G840" s="795"/>
      <c r="H840" s="93"/>
      <c r="I840" s="810"/>
      <c r="J840" s="810"/>
    </row>
    <row r="841" spans="1:10" x14ac:dyDescent="0.25">
      <c r="A841" s="92"/>
      <c r="F841" s="786"/>
      <c r="G841" s="795"/>
      <c r="H841" s="93"/>
      <c r="I841" s="810"/>
      <c r="J841" s="810"/>
    </row>
    <row r="842" spans="1:10" x14ac:dyDescent="0.25">
      <c r="A842" s="92"/>
      <c r="F842" s="786"/>
      <c r="G842" s="795"/>
      <c r="H842" s="93"/>
      <c r="I842" s="810"/>
      <c r="J842" s="810"/>
    </row>
    <row r="843" spans="1:10" x14ac:dyDescent="0.25">
      <c r="A843" s="92"/>
      <c r="F843" s="786"/>
      <c r="G843" s="795"/>
      <c r="H843" s="93"/>
      <c r="I843" s="810"/>
      <c r="J843" s="810"/>
    </row>
    <row r="844" spans="1:10" x14ac:dyDescent="0.25">
      <c r="A844" s="92"/>
      <c r="F844" s="786"/>
      <c r="G844" s="795"/>
      <c r="H844" s="93"/>
      <c r="I844" s="810"/>
      <c r="J844" s="810"/>
    </row>
    <row r="845" spans="1:10" x14ac:dyDescent="0.25">
      <c r="A845" s="92"/>
      <c r="F845" s="786"/>
      <c r="G845" s="795"/>
      <c r="H845" s="93"/>
      <c r="I845" s="810"/>
      <c r="J845" s="810"/>
    </row>
    <row r="846" spans="1:10" x14ac:dyDescent="0.25">
      <c r="A846" s="92"/>
      <c r="F846" s="786"/>
      <c r="G846" s="795"/>
      <c r="H846" s="93"/>
      <c r="I846" s="810"/>
      <c r="J846" s="810"/>
    </row>
    <row r="847" spans="1:10" x14ac:dyDescent="0.25">
      <c r="A847" s="92"/>
      <c r="F847" s="786"/>
      <c r="G847" s="795"/>
      <c r="H847" s="93"/>
      <c r="I847" s="810"/>
      <c r="J847" s="810"/>
    </row>
    <row r="848" spans="1:10" x14ac:dyDescent="0.25">
      <c r="A848" s="92"/>
      <c r="F848" s="786"/>
      <c r="G848" s="795"/>
      <c r="H848" s="93"/>
      <c r="I848" s="810"/>
      <c r="J848" s="810"/>
    </row>
    <row r="849" spans="1:10" x14ac:dyDescent="0.25">
      <c r="A849" s="92"/>
      <c r="F849" s="786"/>
      <c r="G849" s="795"/>
      <c r="H849" s="93"/>
      <c r="I849" s="810"/>
      <c r="J849" s="810"/>
    </row>
    <row r="850" spans="1:10" x14ac:dyDescent="0.25">
      <c r="A850" s="92"/>
      <c r="F850" s="786"/>
      <c r="G850" s="795"/>
      <c r="H850" s="93"/>
      <c r="I850" s="810"/>
      <c r="J850" s="810"/>
    </row>
    <row r="851" spans="1:10" x14ac:dyDescent="0.25">
      <c r="A851" s="92"/>
      <c r="F851" s="786"/>
      <c r="G851" s="795"/>
      <c r="H851" s="93"/>
      <c r="I851" s="810"/>
      <c r="J851" s="810"/>
    </row>
    <row r="852" spans="1:10" x14ac:dyDescent="0.25">
      <c r="A852" s="92"/>
      <c r="F852" s="786"/>
      <c r="G852" s="795"/>
      <c r="H852" s="93"/>
      <c r="I852" s="810"/>
      <c r="J852" s="810"/>
    </row>
    <row r="853" spans="1:10" x14ac:dyDescent="0.25">
      <c r="A853" s="92"/>
      <c r="F853" s="786"/>
      <c r="G853" s="795"/>
      <c r="H853" s="93"/>
      <c r="I853" s="810"/>
      <c r="J853" s="810"/>
    </row>
    <row r="854" spans="1:10" x14ac:dyDescent="0.25">
      <c r="A854" s="92"/>
      <c r="F854" s="786"/>
      <c r="G854" s="795"/>
      <c r="H854" s="93"/>
      <c r="I854" s="810"/>
      <c r="J854" s="810"/>
    </row>
    <row r="855" spans="1:10" x14ac:dyDescent="0.25">
      <c r="A855" s="92"/>
      <c r="F855" s="786"/>
      <c r="G855" s="795"/>
      <c r="H855" s="93"/>
      <c r="I855" s="810"/>
      <c r="J855" s="810"/>
    </row>
    <row r="856" spans="1:10" x14ac:dyDescent="0.25">
      <c r="A856" s="92"/>
      <c r="F856" s="786"/>
      <c r="G856" s="795"/>
      <c r="H856" s="93"/>
      <c r="I856" s="810"/>
      <c r="J856" s="810"/>
    </row>
    <row r="857" spans="1:10" x14ac:dyDescent="0.25">
      <c r="A857" s="92"/>
      <c r="F857" s="786"/>
      <c r="G857" s="795"/>
      <c r="H857" s="93"/>
      <c r="I857" s="810"/>
      <c r="J857" s="810"/>
    </row>
    <row r="858" spans="1:10" x14ac:dyDescent="0.25">
      <c r="A858" s="92"/>
      <c r="F858" s="786"/>
      <c r="G858" s="795"/>
      <c r="H858" s="93"/>
      <c r="I858" s="810"/>
      <c r="J858" s="810"/>
    </row>
    <row r="859" spans="1:10" x14ac:dyDescent="0.25">
      <c r="A859" s="92"/>
      <c r="F859" s="786"/>
      <c r="G859" s="795"/>
      <c r="H859" s="93"/>
      <c r="I859" s="810"/>
      <c r="J859" s="810"/>
    </row>
    <row r="860" spans="1:10" x14ac:dyDescent="0.25">
      <c r="A860" s="92"/>
      <c r="F860" s="786"/>
      <c r="G860" s="795"/>
      <c r="H860" s="93"/>
      <c r="I860" s="810"/>
      <c r="J860" s="810"/>
    </row>
    <row r="861" spans="1:10" x14ac:dyDescent="0.25">
      <c r="A861" s="92"/>
      <c r="F861" s="786"/>
      <c r="G861" s="795"/>
      <c r="H861" s="93"/>
      <c r="I861" s="810"/>
      <c r="J861" s="810"/>
    </row>
    <row r="862" spans="1:10" x14ac:dyDescent="0.25">
      <c r="A862" s="92"/>
      <c r="F862" s="786"/>
      <c r="G862" s="795"/>
      <c r="H862" s="93"/>
      <c r="I862" s="810"/>
      <c r="J862" s="810"/>
    </row>
    <row r="863" spans="1:10" x14ac:dyDescent="0.25">
      <c r="A863" s="92"/>
      <c r="F863" s="786"/>
      <c r="G863" s="795"/>
      <c r="H863" s="93"/>
      <c r="I863" s="810"/>
      <c r="J863" s="810"/>
    </row>
    <row r="864" spans="1:10" x14ac:dyDescent="0.25">
      <c r="A864" s="92"/>
      <c r="F864" s="786"/>
      <c r="G864" s="795"/>
      <c r="H864" s="93"/>
      <c r="I864" s="810"/>
      <c r="J864" s="810"/>
    </row>
    <row r="865" spans="1:10" x14ac:dyDescent="0.25">
      <c r="A865" s="92"/>
      <c r="F865" s="786"/>
      <c r="G865" s="795"/>
      <c r="H865" s="93"/>
      <c r="I865" s="810"/>
      <c r="J865" s="810"/>
    </row>
    <row r="866" spans="1:10" x14ac:dyDescent="0.25">
      <c r="A866" s="92"/>
      <c r="F866" s="786"/>
      <c r="G866" s="795"/>
      <c r="H866" s="93"/>
      <c r="I866" s="810"/>
      <c r="J866" s="810"/>
    </row>
    <row r="867" spans="1:10" x14ac:dyDescent="0.25">
      <c r="A867" s="92"/>
      <c r="F867" s="786"/>
      <c r="G867" s="795"/>
      <c r="H867" s="93"/>
      <c r="I867" s="810"/>
      <c r="J867" s="810"/>
    </row>
    <row r="868" spans="1:10" x14ac:dyDescent="0.25">
      <c r="A868" s="92"/>
      <c r="F868" s="786"/>
      <c r="G868" s="795"/>
      <c r="H868" s="93"/>
      <c r="I868" s="810"/>
      <c r="J868" s="810"/>
    </row>
    <row r="869" spans="1:10" x14ac:dyDescent="0.25">
      <c r="A869" s="92"/>
      <c r="F869" s="786"/>
      <c r="G869" s="795"/>
      <c r="H869" s="93"/>
      <c r="I869" s="810"/>
      <c r="J869" s="810"/>
    </row>
    <row r="870" spans="1:10" x14ac:dyDescent="0.25">
      <c r="A870" s="92"/>
      <c r="F870" s="786"/>
      <c r="G870" s="795"/>
      <c r="H870" s="93"/>
      <c r="I870" s="810"/>
      <c r="J870" s="810"/>
    </row>
    <row r="871" spans="1:10" x14ac:dyDescent="0.25">
      <c r="A871" s="92"/>
      <c r="F871" s="786"/>
      <c r="G871" s="795"/>
      <c r="H871" s="93"/>
      <c r="I871" s="810"/>
      <c r="J871" s="810"/>
    </row>
    <row r="872" spans="1:10" x14ac:dyDescent="0.25">
      <c r="A872" s="92"/>
      <c r="F872" s="786"/>
      <c r="G872" s="795"/>
      <c r="H872" s="93"/>
      <c r="I872" s="810"/>
      <c r="J872" s="810"/>
    </row>
    <row r="873" spans="1:10" x14ac:dyDescent="0.25">
      <c r="A873" s="92"/>
      <c r="F873" s="786"/>
      <c r="G873" s="795"/>
      <c r="H873" s="93"/>
      <c r="I873" s="810"/>
      <c r="J873" s="810"/>
    </row>
    <row r="874" spans="1:10" x14ac:dyDescent="0.25">
      <c r="A874" s="92"/>
      <c r="F874" s="786"/>
      <c r="G874" s="795"/>
      <c r="H874" s="93"/>
      <c r="I874" s="810"/>
      <c r="J874" s="810"/>
    </row>
    <row r="875" spans="1:10" x14ac:dyDescent="0.25">
      <c r="A875" s="92"/>
      <c r="F875" s="786"/>
      <c r="G875" s="795"/>
      <c r="H875" s="93"/>
      <c r="I875" s="810"/>
      <c r="J875" s="810"/>
    </row>
    <row r="876" spans="1:10" x14ac:dyDescent="0.25">
      <c r="A876" s="92"/>
      <c r="F876" s="786"/>
      <c r="G876" s="795"/>
      <c r="H876" s="93"/>
      <c r="I876" s="810"/>
      <c r="J876" s="810"/>
    </row>
    <row r="877" spans="1:10" x14ac:dyDescent="0.25">
      <c r="A877" s="92"/>
      <c r="F877" s="786"/>
      <c r="G877" s="795"/>
      <c r="H877" s="93"/>
      <c r="I877" s="810"/>
      <c r="J877" s="810"/>
    </row>
    <row r="878" spans="1:10" x14ac:dyDescent="0.25">
      <c r="A878" s="92"/>
      <c r="F878" s="786"/>
      <c r="G878" s="795"/>
      <c r="H878" s="93"/>
      <c r="I878" s="810"/>
      <c r="J878" s="810"/>
    </row>
    <row r="879" spans="1:10" x14ac:dyDescent="0.25">
      <c r="A879" s="92"/>
      <c r="F879" s="786"/>
      <c r="G879" s="795"/>
      <c r="H879" s="93"/>
      <c r="I879" s="810"/>
      <c r="J879" s="810"/>
    </row>
    <row r="880" spans="1:10" x14ac:dyDescent="0.25">
      <c r="A880" s="92"/>
      <c r="F880" s="786"/>
      <c r="G880" s="795"/>
      <c r="H880" s="93"/>
      <c r="I880" s="810"/>
      <c r="J880" s="810"/>
    </row>
    <row r="881" spans="1:10" x14ac:dyDescent="0.25">
      <c r="A881" s="92"/>
      <c r="F881" s="786"/>
      <c r="G881" s="795"/>
      <c r="H881" s="93"/>
      <c r="I881" s="810"/>
      <c r="J881" s="810"/>
    </row>
    <row r="882" spans="1:10" x14ac:dyDescent="0.25">
      <c r="A882" s="92"/>
      <c r="F882" s="786"/>
      <c r="G882" s="795"/>
      <c r="H882" s="93"/>
      <c r="I882" s="810"/>
      <c r="J882" s="810"/>
    </row>
    <row r="883" spans="1:10" x14ac:dyDescent="0.25">
      <c r="A883" s="92"/>
      <c r="F883" s="786"/>
      <c r="G883" s="795"/>
      <c r="H883" s="93"/>
      <c r="I883" s="810"/>
      <c r="J883" s="810"/>
    </row>
    <row r="884" spans="1:10" x14ac:dyDescent="0.25">
      <c r="A884" s="92"/>
      <c r="F884" s="786"/>
      <c r="G884" s="795"/>
      <c r="H884" s="93"/>
      <c r="I884" s="810"/>
      <c r="J884" s="810"/>
    </row>
    <row r="885" spans="1:10" x14ac:dyDescent="0.25">
      <c r="A885" s="92"/>
      <c r="F885" s="786"/>
      <c r="G885" s="795"/>
      <c r="H885" s="93"/>
      <c r="I885" s="810"/>
      <c r="J885" s="810"/>
    </row>
    <row r="886" spans="1:10" x14ac:dyDescent="0.25">
      <c r="A886" s="92"/>
      <c r="F886" s="786"/>
      <c r="G886" s="795"/>
      <c r="H886" s="93"/>
      <c r="I886" s="810"/>
      <c r="J886" s="810"/>
    </row>
    <row r="887" spans="1:10" x14ac:dyDescent="0.25">
      <c r="A887" s="92"/>
      <c r="F887" s="786"/>
      <c r="G887" s="795"/>
      <c r="H887" s="93"/>
      <c r="I887" s="810"/>
      <c r="J887" s="810"/>
    </row>
    <row r="888" spans="1:10" x14ac:dyDescent="0.25">
      <c r="A888" s="92"/>
      <c r="F888" s="786"/>
      <c r="G888" s="795"/>
      <c r="H888" s="93"/>
      <c r="I888" s="810"/>
      <c r="J888" s="810"/>
    </row>
    <row r="889" spans="1:10" x14ac:dyDescent="0.25">
      <c r="A889" s="92"/>
      <c r="F889" s="786"/>
      <c r="G889" s="795"/>
      <c r="H889" s="93"/>
      <c r="I889" s="810"/>
      <c r="J889" s="810"/>
    </row>
    <row r="890" spans="1:10" x14ac:dyDescent="0.25">
      <c r="A890" s="92"/>
      <c r="F890" s="786"/>
      <c r="G890" s="795"/>
      <c r="H890" s="93"/>
      <c r="I890" s="810"/>
      <c r="J890" s="810"/>
    </row>
    <row r="891" spans="1:10" x14ac:dyDescent="0.25">
      <c r="A891" s="92"/>
      <c r="F891" s="786"/>
      <c r="G891" s="795"/>
      <c r="H891" s="93"/>
      <c r="I891" s="810"/>
      <c r="J891" s="810"/>
    </row>
    <row r="892" spans="1:10" x14ac:dyDescent="0.25">
      <c r="A892" s="92"/>
      <c r="F892" s="786"/>
      <c r="G892" s="795"/>
      <c r="H892" s="93"/>
      <c r="I892" s="810"/>
      <c r="J892" s="810"/>
    </row>
    <row r="893" spans="1:10" x14ac:dyDescent="0.25">
      <c r="A893" s="92"/>
      <c r="F893" s="786"/>
      <c r="G893" s="795"/>
      <c r="H893" s="93"/>
      <c r="I893" s="810"/>
      <c r="J893" s="810"/>
    </row>
    <row r="894" spans="1:10" x14ac:dyDescent="0.25">
      <c r="A894" s="92"/>
      <c r="F894" s="786"/>
      <c r="G894" s="795"/>
      <c r="H894" s="93"/>
      <c r="I894" s="810"/>
      <c r="J894" s="810"/>
    </row>
    <row r="895" spans="1:10" x14ac:dyDescent="0.25">
      <c r="A895" s="92"/>
      <c r="F895" s="786"/>
      <c r="G895" s="795"/>
      <c r="H895" s="93"/>
      <c r="I895" s="810"/>
      <c r="J895" s="810"/>
    </row>
    <row r="896" spans="1:10" x14ac:dyDescent="0.25">
      <c r="A896" s="92"/>
      <c r="F896" s="786"/>
      <c r="G896" s="795"/>
      <c r="H896" s="93"/>
      <c r="I896" s="810"/>
      <c r="J896" s="810"/>
    </row>
    <row r="897" spans="1:10" x14ac:dyDescent="0.25">
      <c r="A897" s="92"/>
      <c r="F897" s="786"/>
      <c r="G897" s="795"/>
      <c r="H897" s="93"/>
      <c r="I897" s="810"/>
      <c r="J897" s="810"/>
    </row>
    <row r="898" spans="1:10" x14ac:dyDescent="0.25">
      <c r="A898" s="92"/>
      <c r="F898" s="786"/>
      <c r="G898" s="795"/>
      <c r="H898" s="93"/>
      <c r="I898" s="810"/>
      <c r="J898" s="810"/>
    </row>
    <row r="899" spans="1:10" x14ac:dyDescent="0.25">
      <c r="A899" s="92"/>
      <c r="F899" s="786"/>
      <c r="G899" s="795"/>
      <c r="H899" s="93"/>
      <c r="I899" s="810"/>
      <c r="J899" s="810"/>
    </row>
    <row r="900" spans="1:10" x14ac:dyDescent="0.25">
      <c r="A900" s="92"/>
      <c r="F900" s="786"/>
      <c r="G900" s="795"/>
      <c r="H900" s="93"/>
      <c r="I900" s="810"/>
      <c r="J900" s="810"/>
    </row>
    <row r="901" spans="1:10" x14ac:dyDescent="0.25">
      <c r="A901" s="92"/>
      <c r="F901" s="786"/>
      <c r="G901" s="795"/>
      <c r="H901" s="93"/>
      <c r="I901" s="810"/>
      <c r="J901" s="810"/>
    </row>
    <row r="902" spans="1:10" x14ac:dyDescent="0.25">
      <c r="A902" s="92"/>
      <c r="F902" s="786"/>
      <c r="G902" s="795"/>
      <c r="H902" s="93"/>
      <c r="I902" s="810"/>
      <c r="J902" s="810"/>
    </row>
    <row r="903" spans="1:10" x14ac:dyDescent="0.25">
      <c r="A903" s="92"/>
      <c r="F903" s="786"/>
      <c r="G903" s="795"/>
      <c r="H903" s="93"/>
      <c r="I903" s="810"/>
      <c r="J903" s="810"/>
    </row>
    <row r="904" spans="1:10" x14ac:dyDescent="0.25">
      <c r="A904" s="92"/>
      <c r="F904" s="786"/>
      <c r="G904" s="795"/>
      <c r="H904" s="93"/>
      <c r="I904" s="810"/>
      <c r="J904" s="810"/>
    </row>
    <row r="905" spans="1:10" x14ac:dyDescent="0.25">
      <c r="A905" s="92"/>
      <c r="F905" s="786"/>
      <c r="G905" s="795"/>
      <c r="H905" s="93"/>
      <c r="I905" s="810"/>
      <c r="J905" s="810"/>
    </row>
    <row r="906" spans="1:10" x14ac:dyDescent="0.25">
      <c r="A906" s="92"/>
      <c r="F906" s="786"/>
      <c r="G906" s="795"/>
      <c r="H906" s="93"/>
      <c r="I906" s="810"/>
      <c r="J906" s="810"/>
    </row>
    <row r="907" spans="1:10" x14ac:dyDescent="0.25">
      <c r="A907" s="92"/>
      <c r="F907" s="786"/>
      <c r="G907" s="795"/>
      <c r="H907" s="93"/>
      <c r="I907" s="810"/>
      <c r="J907" s="810"/>
    </row>
    <row r="908" spans="1:10" x14ac:dyDescent="0.25">
      <c r="A908" s="92"/>
      <c r="F908" s="786"/>
      <c r="G908" s="795"/>
      <c r="H908" s="93"/>
      <c r="I908" s="810"/>
      <c r="J908" s="810"/>
    </row>
    <row r="909" spans="1:10" x14ac:dyDescent="0.25">
      <c r="A909" s="92"/>
      <c r="F909" s="786"/>
      <c r="G909" s="795"/>
      <c r="H909" s="93"/>
      <c r="I909" s="810"/>
      <c r="J909" s="810"/>
    </row>
    <row r="910" spans="1:10" x14ac:dyDescent="0.25">
      <c r="A910" s="92"/>
      <c r="F910" s="786"/>
      <c r="G910" s="795"/>
      <c r="H910" s="93"/>
      <c r="I910" s="810"/>
      <c r="J910" s="810"/>
    </row>
    <row r="911" spans="1:10" x14ac:dyDescent="0.25">
      <c r="A911" s="92"/>
      <c r="F911" s="786"/>
      <c r="G911" s="795"/>
      <c r="H911" s="93"/>
      <c r="I911" s="810"/>
      <c r="J911" s="810"/>
    </row>
    <row r="912" spans="1:10" x14ac:dyDescent="0.25">
      <c r="A912" s="92"/>
      <c r="F912" s="786"/>
      <c r="G912" s="795"/>
      <c r="H912" s="93"/>
      <c r="I912" s="810"/>
      <c r="J912" s="810"/>
    </row>
    <row r="913" spans="1:10" x14ac:dyDescent="0.25">
      <c r="A913" s="92"/>
      <c r="F913" s="786"/>
      <c r="G913" s="795"/>
      <c r="H913" s="93"/>
      <c r="I913" s="810"/>
      <c r="J913" s="810"/>
    </row>
    <row r="914" spans="1:10" x14ac:dyDescent="0.25">
      <c r="A914" s="92"/>
      <c r="F914" s="786"/>
      <c r="G914" s="795"/>
      <c r="H914" s="93"/>
      <c r="I914" s="810"/>
      <c r="J914" s="810"/>
    </row>
    <row r="915" spans="1:10" x14ac:dyDescent="0.25">
      <c r="A915" s="92"/>
      <c r="F915" s="786"/>
      <c r="G915" s="795"/>
      <c r="H915" s="93"/>
      <c r="I915" s="810"/>
      <c r="J915" s="810"/>
    </row>
    <row r="916" spans="1:10" x14ac:dyDescent="0.25">
      <c r="A916" s="92"/>
      <c r="F916" s="786"/>
      <c r="G916" s="795"/>
      <c r="H916" s="93"/>
      <c r="I916" s="810"/>
      <c r="J916" s="810"/>
    </row>
    <row r="917" spans="1:10" x14ac:dyDescent="0.25">
      <c r="A917" s="92"/>
      <c r="F917" s="786"/>
      <c r="G917" s="795"/>
      <c r="H917" s="93"/>
      <c r="I917" s="810"/>
      <c r="J917" s="810"/>
    </row>
    <row r="918" spans="1:10" x14ac:dyDescent="0.25">
      <c r="A918" s="92"/>
      <c r="F918" s="786"/>
      <c r="G918" s="795"/>
      <c r="H918" s="93"/>
      <c r="I918" s="810"/>
      <c r="J918" s="810"/>
    </row>
    <row r="919" spans="1:10" x14ac:dyDescent="0.25">
      <c r="A919" s="92"/>
      <c r="F919" s="786"/>
      <c r="G919" s="795"/>
      <c r="H919" s="93"/>
      <c r="I919" s="810"/>
      <c r="J919" s="810"/>
    </row>
    <row r="920" spans="1:10" x14ac:dyDescent="0.25">
      <c r="A920" s="92"/>
      <c r="F920" s="786"/>
      <c r="G920" s="795"/>
      <c r="H920" s="93"/>
      <c r="I920" s="810"/>
      <c r="J920" s="810"/>
    </row>
    <row r="921" spans="1:10" x14ac:dyDescent="0.25">
      <c r="A921" s="92"/>
      <c r="F921" s="786"/>
      <c r="G921" s="795"/>
      <c r="H921" s="93"/>
      <c r="I921" s="810"/>
      <c r="J921" s="810"/>
    </row>
    <row r="922" spans="1:10" x14ac:dyDescent="0.25">
      <c r="A922" s="92"/>
      <c r="F922" s="786"/>
      <c r="G922" s="795"/>
      <c r="H922" s="93"/>
      <c r="I922" s="810"/>
      <c r="J922" s="810"/>
    </row>
    <row r="923" spans="1:10" x14ac:dyDescent="0.25">
      <c r="A923" s="92"/>
      <c r="F923" s="786"/>
      <c r="G923" s="795"/>
      <c r="H923" s="93"/>
      <c r="I923" s="810"/>
      <c r="J923" s="810"/>
    </row>
    <row r="924" spans="1:10" x14ac:dyDescent="0.25">
      <c r="A924" s="92"/>
      <c r="F924" s="786"/>
      <c r="G924" s="795"/>
      <c r="H924" s="93"/>
      <c r="I924" s="810"/>
      <c r="J924" s="810"/>
    </row>
    <row r="925" spans="1:10" x14ac:dyDescent="0.25">
      <c r="A925" s="92"/>
      <c r="F925" s="786"/>
      <c r="G925" s="795"/>
      <c r="H925" s="93"/>
      <c r="I925" s="810"/>
      <c r="J925" s="810"/>
    </row>
    <row r="926" spans="1:10" x14ac:dyDescent="0.25">
      <c r="A926" s="92"/>
      <c r="F926" s="786"/>
      <c r="G926" s="795"/>
      <c r="H926" s="93"/>
      <c r="I926" s="810"/>
      <c r="J926" s="810"/>
    </row>
    <row r="927" spans="1:10" x14ac:dyDescent="0.25">
      <c r="A927" s="92"/>
      <c r="F927" s="786"/>
      <c r="G927" s="795"/>
      <c r="H927" s="93"/>
      <c r="I927" s="810"/>
      <c r="J927" s="810"/>
    </row>
    <row r="928" spans="1:10" x14ac:dyDescent="0.25">
      <c r="A928" s="92"/>
      <c r="F928" s="786"/>
      <c r="G928" s="795"/>
      <c r="H928" s="93"/>
      <c r="I928" s="810"/>
      <c r="J928" s="810"/>
    </row>
    <row r="929" spans="1:10" x14ac:dyDescent="0.25">
      <c r="A929" s="92"/>
      <c r="F929" s="786"/>
      <c r="G929" s="795"/>
      <c r="H929" s="93"/>
      <c r="I929" s="810"/>
      <c r="J929" s="810"/>
    </row>
    <row r="930" spans="1:10" x14ac:dyDescent="0.25">
      <c r="A930" s="92"/>
      <c r="F930" s="786"/>
      <c r="G930" s="795"/>
      <c r="H930" s="93"/>
      <c r="I930" s="810"/>
      <c r="J930" s="810"/>
    </row>
    <row r="931" spans="1:10" x14ac:dyDescent="0.25">
      <c r="A931" s="92"/>
      <c r="F931" s="786"/>
      <c r="G931" s="795"/>
      <c r="H931" s="93"/>
      <c r="I931" s="810"/>
      <c r="J931" s="810"/>
    </row>
    <row r="932" spans="1:10" x14ac:dyDescent="0.25">
      <c r="A932" s="92"/>
      <c r="F932" s="786"/>
      <c r="G932" s="795"/>
      <c r="H932" s="93"/>
      <c r="I932" s="810"/>
      <c r="J932" s="810"/>
    </row>
    <row r="933" spans="1:10" x14ac:dyDescent="0.25">
      <c r="A933" s="92"/>
      <c r="F933" s="786"/>
      <c r="G933" s="795"/>
      <c r="H933" s="93"/>
      <c r="I933" s="810"/>
      <c r="J933" s="810"/>
    </row>
    <row r="934" spans="1:10" x14ac:dyDescent="0.25">
      <c r="A934" s="92"/>
      <c r="F934" s="786"/>
      <c r="G934" s="795"/>
      <c r="H934" s="93"/>
      <c r="I934" s="810"/>
      <c r="J934" s="810"/>
    </row>
    <row r="935" spans="1:10" x14ac:dyDescent="0.25">
      <c r="A935" s="92"/>
      <c r="F935" s="786"/>
      <c r="G935" s="795"/>
      <c r="H935" s="93"/>
      <c r="I935" s="810"/>
      <c r="J935" s="810"/>
    </row>
    <row r="936" spans="1:10" x14ac:dyDescent="0.25">
      <c r="A936" s="92"/>
      <c r="F936" s="786"/>
      <c r="G936" s="795"/>
      <c r="H936" s="93"/>
      <c r="I936" s="810"/>
      <c r="J936" s="810"/>
    </row>
    <row r="937" spans="1:10" x14ac:dyDescent="0.25">
      <c r="A937" s="92"/>
      <c r="F937" s="786"/>
      <c r="G937" s="795"/>
      <c r="H937" s="93"/>
      <c r="I937" s="810"/>
      <c r="J937" s="810"/>
    </row>
    <row r="938" spans="1:10" x14ac:dyDescent="0.25">
      <c r="A938" s="92"/>
      <c r="F938" s="786"/>
      <c r="G938" s="795"/>
      <c r="H938" s="93"/>
      <c r="I938" s="810"/>
      <c r="J938" s="810"/>
    </row>
    <row r="939" spans="1:10" x14ac:dyDescent="0.25">
      <c r="A939" s="92"/>
      <c r="F939" s="786"/>
      <c r="G939" s="795"/>
      <c r="H939" s="93"/>
      <c r="I939" s="810"/>
      <c r="J939" s="810"/>
    </row>
    <row r="940" spans="1:10" x14ac:dyDescent="0.25">
      <c r="A940" s="92"/>
      <c r="F940" s="786"/>
      <c r="G940" s="795"/>
      <c r="H940" s="93"/>
      <c r="I940" s="810"/>
      <c r="J940" s="810"/>
    </row>
    <row r="941" spans="1:10" x14ac:dyDescent="0.25">
      <c r="A941" s="92"/>
      <c r="F941" s="786"/>
      <c r="G941" s="795"/>
      <c r="H941" s="93"/>
      <c r="I941" s="810"/>
      <c r="J941" s="810"/>
    </row>
    <row r="942" spans="1:10" x14ac:dyDescent="0.25">
      <c r="A942" s="92"/>
      <c r="F942" s="786"/>
      <c r="G942" s="795"/>
      <c r="H942" s="93"/>
      <c r="I942" s="810"/>
      <c r="J942" s="810"/>
    </row>
    <row r="943" spans="1:10" x14ac:dyDescent="0.25">
      <c r="A943" s="92"/>
      <c r="F943" s="786"/>
      <c r="G943" s="795"/>
      <c r="H943" s="93"/>
      <c r="I943" s="810"/>
      <c r="J943" s="810"/>
    </row>
    <row r="944" spans="1:10" x14ac:dyDescent="0.25">
      <c r="A944" s="92"/>
      <c r="F944" s="786"/>
      <c r="G944" s="795"/>
      <c r="H944" s="93"/>
      <c r="I944" s="810"/>
      <c r="J944" s="810"/>
    </row>
    <row r="945" spans="1:10" x14ac:dyDescent="0.25">
      <c r="A945" s="92"/>
      <c r="F945" s="786"/>
      <c r="G945" s="795"/>
      <c r="H945" s="93"/>
      <c r="I945" s="810"/>
      <c r="J945" s="810"/>
    </row>
    <row r="946" spans="1:10" x14ac:dyDescent="0.25">
      <c r="A946" s="92"/>
      <c r="F946" s="786"/>
      <c r="G946" s="795"/>
      <c r="H946" s="93"/>
      <c r="I946" s="810"/>
      <c r="J946" s="810"/>
    </row>
    <row r="947" spans="1:10" x14ac:dyDescent="0.25">
      <c r="A947" s="92"/>
      <c r="F947" s="786"/>
      <c r="G947" s="795"/>
      <c r="H947" s="93"/>
      <c r="I947" s="810"/>
      <c r="J947" s="810"/>
    </row>
    <row r="948" spans="1:10" x14ac:dyDescent="0.25">
      <c r="A948" s="92"/>
      <c r="F948" s="786"/>
      <c r="G948" s="795"/>
      <c r="H948" s="93"/>
      <c r="I948" s="810"/>
      <c r="J948" s="810"/>
    </row>
    <row r="949" spans="1:10" x14ac:dyDescent="0.25">
      <c r="A949" s="92"/>
      <c r="F949" s="786"/>
      <c r="G949" s="795"/>
      <c r="H949" s="93"/>
      <c r="I949" s="810"/>
      <c r="J949" s="810"/>
    </row>
    <row r="950" spans="1:10" x14ac:dyDescent="0.25">
      <c r="A950" s="92"/>
      <c r="F950" s="786"/>
      <c r="G950" s="795"/>
      <c r="H950" s="93"/>
      <c r="I950" s="810"/>
      <c r="J950" s="810"/>
    </row>
    <row r="951" spans="1:10" x14ac:dyDescent="0.25">
      <c r="A951" s="92"/>
      <c r="F951" s="786"/>
      <c r="G951" s="795"/>
      <c r="H951" s="93"/>
      <c r="I951" s="810"/>
      <c r="J951" s="810"/>
    </row>
    <row r="952" spans="1:10" x14ac:dyDescent="0.25">
      <c r="A952" s="92"/>
      <c r="F952" s="786"/>
      <c r="G952" s="795"/>
      <c r="H952" s="93"/>
      <c r="I952" s="810"/>
      <c r="J952" s="810"/>
    </row>
    <row r="953" spans="1:10" x14ac:dyDescent="0.25">
      <c r="A953" s="92"/>
      <c r="F953" s="786"/>
      <c r="G953" s="795"/>
      <c r="H953" s="93"/>
      <c r="I953" s="810"/>
      <c r="J953" s="810"/>
    </row>
    <row r="954" spans="1:10" x14ac:dyDescent="0.25">
      <c r="A954" s="92"/>
      <c r="F954" s="786"/>
      <c r="G954" s="795"/>
      <c r="H954" s="93"/>
      <c r="I954" s="810"/>
      <c r="J954" s="810"/>
    </row>
    <row r="955" spans="1:10" x14ac:dyDescent="0.25">
      <c r="A955" s="92"/>
      <c r="F955" s="786"/>
      <c r="G955" s="795"/>
      <c r="H955" s="93"/>
      <c r="I955" s="810"/>
      <c r="J955" s="810"/>
    </row>
    <row r="956" spans="1:10" x14ac:dyDescent="0.25">
      <c r="A956" s="92"/>
      <c r="F956" s="786"/>
      <c r="G956" s="795"/>
      <c r="H956" s="93"/>
      <c r="I956" s="810"/>
      <c r="J956" s="810"/>
    </row>
    <row r="957" spans="1:10" x14ac:dyDescent="0.25">
      <c r="A957" s="92"/>
      <c r="F957" s="786"/>
      <c r="G957" s="795"/>
      <c r="H957" s="93"/>
      <c r="I957" s="810"/>
      <c r="J957" s="810"/>
    </row>
    <row r="958" spans="1:10" x14ac:dyDescent="0.25">
      <c r="A958" s="92"/>
      <c r="F958" s="786"/>
      <c r="G958" s="795"/>
      <c r="H958" s="93"/>
      <c r="I958" s="810"/>
      <c r="J958" s="810"/>
    </row>
    <row r="959" spans="1:10" x14ac:dyDescent="0.25">
      <c r="A959" s="92"/>
      <c r="F959" s="786"/>
      <c r="G959" s="795"/>
      <c r="H959" s="93"/>
      <c r="I959" s="810"/>
      <c r="J959" s="810"/>
    </row>
    <row r="960" spans="1:10" x14ac:dyDescent="0.25">
      <c r="A960" s="92"/>
      <c r="F960" s="786"/>
      <c r="G960" s="795"/>
      <c r="H960" s="93"/>
      <c r="I960" s="810"/>
      <c r="J960" s="810"/>
    </row>
    <row r="961" spans="1:10" x14ac:dyDescent="0.25">
      <c r="A961" s="92"/>
      <c r="F961" s="786"/>
      <c r="G961" s="795"/>
      <c r="H961" s="93"/>
      <c r="I961" s="810"/>
      <c r="J961" s="810"/>
    </row>
    <row r="962" spans="1:10" x14ac:dyDescent="0.25">
      <c r="A962" s="92"/>
      <c r="F962" s="786"/>
      <c r="G962" s="795"/>
      <c r="H962" s="93"/>
      <c r="I962" s="810"/>
      <c r="J962" s="810"/>
    </row>
    <row r="963" spans="1:10" x14ac:dyDescent="0.25">
      <c r="A963" s="92"/>
      <c r="F963" s="786"/>
      <c r="G963" s="795"/>
      <c r="H963" s="93"/>
      <c r="I963" s="810"/>
      <c r="J963" s="810"/>
    </row>
    <row r="964" spans="1:10" x14ac:dyDescent="0.25">
      <c r="A964" s="92"/>
      <c r="F964" s="786"/>
      <c r="G964" s="795"/>
      <c r="H964" s="93"/>
      <c r="I964" s="810"/>
      <c r="J964" s="810"/>
    </row>
    <row r="965" spans="1:10" x14ac:dyDescent="0.25">
      <c r="A965" s="92"/>
      <c r="F965" s="786"/>
      <c r="G965" s="795"/>
      <c r="H965" s="93"/>
      <c r="I965" s="810"/>
      <c r="J965" s="810"/>
    </row>
    <row r="966" spans="1:10" x14ac:dyDescent="0.25">
      <c r="A966" s="92"/>
      <c r="F966" s="786"/>
      <c r="G966" s="795"/>
      <c r="H966" s="93"/>
      <c r="I966" s="810"/>
      <c r="J966" s="810"/>
    </row>
    <row r="967" spans="1:10" x14ac:dyDescent="0.25">
      <c r="A967" s="92"/>
      <c r="F967" s="786"/>
      <c r="G967" s="795"/>
      <c r="H967" s="93"/>
      <c r="I967" s="810"/>
      <c r="J967" s="810"/>
    </row>
    <row r="968" spans="1:10" x14ac:dyDescent="0.25">
      <c r="A968" s="92"/>
      <c r="F968" s="786"/>
      <c r="G968" s="795"/>
      <c r="H968" s="93"/>
      <c r="I968" s="810"/>
      <c r="J968" s="810"/>
    </row>
    <row r="969" spans="1:10" x14ac:dyDescent="0.25">
      <c r="A969" s="92"/>
      <c r="F969" s="786"/>
      <c r="G969" s="795"/>
      <c r="H969" s="93"/>
      <c r="I969" s="810"/>
      <c r="J969" s="810"/>
    </row>
    <row r="970" spans="1:10" x14ac:dyDescent="0.25">
      <c r="A970" s="92"/>
      <c r="F970" s="786"/>
      <c r="G970" s="795"/>
      <c r="H970" s="93"/>
      <c r="I970" s="810"/>
      <c r="J970" s="810"/>
    </row>
    <row r="971" spans="1:10" x14ac:dyDescent="0.25">
      <c r="A971" s="92"/>
      <c r="F971" s="786"/>
      <c r="G971" s="795"/>
      <c r="H971" s="93"/>
      <c r="I971" s="810"/>
      <c r="J971" s="810"/>
    </row>
    <row r="972" spans="1:10" x14ac:dyDescent="0.25">
      <c r="A972" s="92"/>
      <c r="F972" s="786"/>
      <c r="G972" s="795"/>
      <c r="H972" s="93"/>
      <c r="I972" s="810"/>
      <c r="J972" s="810"/>
    </row>
    <row r="973" spans="1:10" x14ac:dyDescent="0.25">
      <c r="A973" s="92"/>
      <c r="F973" s="786"/>
      <c r="G973" s="795"/>
      <c r="H973" s="93"/>
      <c r="I973" s="810"/>
      <c r="J973" s="810"/>
    </row>
    <row r="974" spans="1:10" x14ac:dyDescent="0.25">
      <c r="A974" s="92"/>
      <c r="F974" s="786"/>
      <c r="G974" s="795"/>
      <c r="H974" s="93"/>
      <c r="I974" s="810"/>
      <c r="J974" s="810"/>
    </row>
    <row r="975" spans="1:10" x14ac:dyDescent="0.25">
      <c r="A975" s="92"/>
      <c r="F975" s="786"/>
      <c r="G975" s="795"/>
      <c r="H975" s="93"/>
      <c r="I975" s="810"/>
      <c r="J975" s="810"/>
    </row>
    <row r="976" spans="1:10" x14ac:dyDescent="0.25">
      <c r="A976" s="92"/>
      <c r="F976" s="786"/>
      <c r="G976" s="795"/>
      <c r="H976" s="93"/>
      <c r="I976" s="810"/>
      <c r="J976" s="810"/>
    </row>
    <row r="977" spans="1:10" x14ac:dyDescent="0.25">
      <c r="A977" s="92"/>
      <c r="F977" s="786"/>
      <c r="G977" s="795"/>
      <c r="H977" s="93"/>
      <c r="I977" s="810"/>
      <c r="J977" s="810"/>
    </row>
    <row r="978" spans="1:10" x14ac:dyDescent="0.25">
      <c r="A978" s="92"/>
      <c r="F978" s="786"/>
      <c r="G978" s="795"/>
      <c r="H978" s="93"/>
      <c r="I978" s="810"/>
      <c r="J978" s="810"/>
    </row>
    <row r="979" spans="1:10" x14ac:dyDescent="0.25">
      <c r="A979" s="92"/>
      <c r="F979" s="786"/>
      <c r="G979" s="795"/>
      <c r="H979" s="93"/>
      <c r="I979" s="810"/>
      <c r="J979" s="810"/>
    </row>
    <row r="980" spans="1:10" x14ac:dyDescent="0.25">
      <c r="A980" s="92"/>
      <c r="F980" s="786"/>
      <c r="G980" s="795"/>
      <c r="H980" s="93"/>
      <c r="I980" s="810"/>
      <c r="J980" s="810"/>
    </row>
    <row r="981" spans="1:10" x14ac:dyDescent="0.25">
      <c r="A981" s="92"/>
      <c r="F981" s="786"/>
      <c r="G981" s="795"/>
      <c r="H981" s="93"/>
      <c r="I981" s="810"/>
      <c r="J981" s="810"/>
    </row>
    <row r="982" spans="1:10" x14ac:dyDescent="0.25">
      <c r="A982" s="92"/>
      <c r="F982" s="786"/>
      <c r="G982" s="795"/>
      <c r="H982" s="93"/>
      <c r="I982" s="810"/>
      <c r="J982" s="810"/>
    </row>
    <row r="983" spans="1:10" x14ac:dyDescent="0.25">
      <c r="A983" s="92"/>
      <c r="F983" s="786"/>
      <c r="G983" s="795"/>
      <c r="H983" s="93"/>
      <c r="I983" s="810"/>
      <c r="J983" s="810"/>
    </row>
    <row r="984" spans="1:10" x14ac:dyDescent="0.25">
      <c r="A984" s="92"/>
      <c r="F984" s="786"/>
      <c r="G984" s="795"/>
      <c r="H984" s="93"/>
      <c r="I984" s="810"/>
      <c r="J984" s="810"/>
    </row>
    <row r="985" spans="1:10" x14ac:dyDescent="0.25">
      <c r="A985" s="92"/>
      <c r="F985" s="786"/>
      <c r="G985" s="795"/>
      <c r="H985" s="93"/>
      <c r="I985" s="810"/>
      <c r="J985" s="810"/>
    </row>
    <row r="986" spans="1:10" x14ac:dyDescent="0.25">
      <c r="A986" s="92"/>
      <c r="F986" s="786"/>
      <c r="G986" s="795"/>
      <c r="H986" s="93"/>
      <c r="I986" s="810"/>
      <c r="J986" s="810"/>
    </row>
    <row r="987" spans="1:10" x14ac:dyDescent="0.25">
      <c r="A987" s="92"/>
      <c r="F987" s="786"/>
      <c r="G987" s="795"/>
      <c r="H987" s="93"/>
      <c r="I987" s="810"/>
      <c r="J987" s="810"/>
    </row>
    <row r="988" spans="1:10" x14ac:dyDescent="0.25">
      <c r="A988" s="92"/>
      <c r="F988" s="786"/>
      <c r="G988" s="795"/>
      <c r="H988" s="93"/>
      <c r="I988" s="810"/>
      <c r="J988" s="810"/>
    </row>
    <row r="989" spans="1:10" x14ac:dyDescent="0.25">
      <c r="A989" s="92"/>
      <c r="F989" s="786"/>
      <c r="G989" s="795"/>
      <c r="H989" s="93"/>
      <c r="I989" s="810"/>
      <c r="J989" s="810"/>
    </row>
    <row r="990" spans="1:10" x14ac:dyDescent="0.25">
      <c r="A990" s="92"/>
      <c r="F990" s="786"/>
      <c r="G990" s="795"/>
      <c r="H990" s="93"/>
      <c r="I990" s="810"/>
      <c r="J990" s="810"/>
    </row>
    <row r="991" spans="1:10" x14ac:dyDescent="0.25">
      <c r="A991" s="92"/>
      <c r="F991" s="786"/>
      <c r="G991" s="795"/>
      <c r="H991" s="93"/>
      <c r="I991" s="810"/>
      <c r="J991" s="810"/>
    </row>
    <row r="992" spans="1:10" x14ac:dyDescent="0.25">
      <c r="A992" s="92"/>
      <c r="F992" s="786"/>
      <c r="G992" s="795"/>
      <c r="H992" s="93"/>
      <c r="I992" s="810"/>
      <c r="J992" s="810"/>
    </row>
    <row r="993" spans="1:10" x14ac:dyDescent="0.25">
      <c r="A993" s="92"/>
      <c r="F993" s="786"/>
      <c r="G993" s="795"/>
      <c r="H993" s="93"/>
      <c r="I993" s="810"/>
      <c r="J993" s="810"/>
    </row>
    <row r="994" spans="1:10" x14ac:dyDescent="0.25">
      <c r="A994" s="92"/>
      <c r="F994" s="786"/>
      <c r="G994" s="795"/>
      <c r="H994" s="93"/>
      <c r="I994" s="810"/>
      <c r="J994" s="810"/>
    </row>
    <row r="995" spans="1:10" x14ac:dyDescent="0.25">
      <c r="A995" s="92"/>
      <c r="F995" s="786"/>
      <c r="G995" s="795"/>
      <c r="H995" s="93"/>
      <c r="I995" s="810"/>
      <c r="J995" s="810"/>
    </row>
    <row r="996" spans="1:10" x14ac:dyDescent="0.25">
      <c r="A996" s="92"/>
      <c r="F996" s="786"/>
      <c r="G996" s="795"/>
      <c r="H996" s="93"/>
      <c r="I996" s="810"/>
      <c r="J996" s="810"/>
    </row>
    <row r="997" spans="1:10" x14ac:dyDescent="0.25">
      <c r="A997" s="92"/>
      <c r="F997" s="786"/>
      <c r="G997" s="795"/>
      <c r="H997" s="93"/>
      <c r="I997" s="810"/>
      <c r="J997" s="810"/>
    </row>
    <row r="998" spans="1:10" x14ac:dyDescent="0.25">
      <c r="A998" s="92"/>
      <c r="F998" s="786"/>
      <c r="G998" s="795"/>
      <c r="H998" s="93"/>
      <c r="I998" s="810"/>
      <c r="J998" s="810"/>
    </row>
    <row r="999" spans="1:10" x14ac:dyDescent="0.25">
      <c r="A999" s="92"/>
      <c r="F999" s="786"/>
      <c r="G999" s="795"/>
      <c r="H999" s="93"/>
      <c r="I999" s="810"/>
      <c r="J999" s="810"/>
    </row>
    <row r="1000" spans="1:10" x14ac:dyDescent="0.25">
      <c r="A1000" s="92"/>
      <c r="F1000" s="786"/>
      <c r="G1000" s="795"/>
      <c r="H1000" s="93"/>
      <c r="I1000" s="810"/>
      <c r="J1000" s="810"/>
    </row>
    <row r="1001" spans="1:10" x14ac:dyDescent="0.25">
      <c r="A1001" s="92"/>
      <c r="F1001" s="786"/>
      <c r="G1001" s="795"/>
      <c r="H1001" s="93"/>
      <c r="I1001" s="810"/>
      <c r="J1001" s="810"/>
    </row>
    <row r="1002" spans="1:10" x14ac:dyDescent="0.25">
      <c r="A1002" s="92"/>
      <c r="F1002" s="786"/>
      <c r="G1002" s="795"/>
      <c r="H1002" s="93"/>
      <c r="I1002" s="810"/>
      <c r="J1002" s="810"/>
    </row>
    <row r="1003" spans="1:10" x14ac:dyDescent="0.25">
      <c r="A1003" s="92"/>
      <c r="F1003" s="786"/>
      <c r="G1003" s="795"/>
      <c r="H1003" s="93"/>
      <c r="I1003" s="810"/>
      <c r="J1003" s="810"/>
    </row>
    <row r="1004" spans="1:10" x14ac:dyDescent="0.25">
      <c r="A1004" s="92"/>
      <c r="F1004" s="786"/>
      <c r="G1004" s="795"/>
      <c r="H1004" s="93"/>
      <c r="I1004" s="810"/>
      <c r="J1004" s="810"/>
    </row>
    <row r="1005" spans="1:10" x14ac:dyDescent="0.25">
      <c r="A1005" s="92"/>
      <c r="F1005" s="786"/>
      <c r="G1005" s="795"/>
      <c r="H1005" s="93"/>
      <c r="I1005" s="810"/>
      <c r="J1005" s="810"/>
    </row>
    <row r="1006" spans="1:10" x14ac:dyDescent="0.25">
      <c r="A1006" s="92"/>
      <c r="F1006" s="786"/>
      <c r="G1006" s="795"/>
      <c r="H1006" s="93"/>
      <c r="I1006" s="810"/>
      <c r="J1006" s="810"/>
    </row>
    <row r="1007" spans="1:10" x14ac:dyDescent="0.25">
      <c r="A1007" s="92"/>
      <c r="F1007" s="786"/>
      <c r="G1007" s="795"/>
      <c r="H1007" s="93"/>
      <c r="I1007" s="810"/>
      <c r="J1007" s="810"/>
    </row>
    <row r="1008" spans="1:10" x14ac:dyDescent="0.25">
      <c r="A1008" s="92"/>
      <c r="F1008" s="786"/>
      <c r="G1008" s="795"/>
      <c r="H1008" s="93"/>
      <c r="I1008" s="810"/>
      <c r="J1008" s="810"/>
    </row>
    <row r="1009" spans="1:10" x14ac:dyDescent="0.25">
      <c r="A1009" s="92"/>
      <c r="F1009" s="786"/>
      <c r="G1009" s="795"/>
      <c r="H1009" s="93"/>
      <c r="I1009" s="810"/>
      <c r="J1009" s="810"/>
    </row>
    <row r="1010" spans="1:10" x14ac:dyDescent="0.25">
      <c r="A1010" s="92"/>
      <c r="F1010" s="786"/>
      <c r="G1010" s="795"/>
      <c r="H1010" s="93"/>
      <c r="I1010" s="810"/>
      <c r="J1010" s="810"/>
    </row>
    <row r="1011" spans="1:10" x14ac:dyDescent="0.25">
      <c r="A1011" s="92"/>
      <c r="F1011" s="786"/>
      <c r="G1011" s="795"/>
      <c r="H1011" s="93"/>
      <c r="I1011" s="810"/>
      <c r="J1011" s="810"/>
    </row>
    <row r="1012" spans="1:10" x14ac:dyDescent="0.25">
      <c r="A1012" s="92"/>
      <c r="F1012" s="786"/>
      <c r="G1012" s="795"/>
      <c r="H1012" s="93"/>
      <c r="I1012" s="810"/>
      <c r="J1012" s="810"/>
    </row>
    <row r="1013" spans="1:10" x14ac:dyDescent="0.25">
      <c r="A1013" s="92"/>
      <c r="F1013" s="786"/>
      <c r="G1013" s="795"/>
      <c r="H1013" s="93"/>
      <c r="I1013" s="810"/>
      <c r="J1013" s="810"/>
    </row>
    <row r="1014" spans="1:10" x14ac:dyDescent="0.25">
      <c r="A1014" s="92"/>
      <c r="F1014" s="786"/>
      <c r="G1014" s="795"/>
      <c r="H1014" s="93"/>
      <c r="I1014" s="810"/>
      <c r="J1014" s="810"/>
    </row>
    <row r="1015" spans="1:10" x14ac:dyDescent="0.25">
      <c r="A1015" s="92"/>
      <c r="F1015" s="786"/>
      <c r="G1015" s="795"/>
      <c r="H1015" s="93"/>
      <c r="I1015" s="810"/>
      <c r="J1015" s="810"/>
    </row>
    <row r="1016" spans="1:10" x14ac:dyDescent="0.25">
      <c r="A1016" s="92"/>
      <c r="F1016" s="786"/>
      <c r="G1016" s="795"/>
      <c r="H1016" s="93"/>
      <c r="I1016" s="810"/>
      <c r="J1016" s="810"/>
    </row>
    <row r="1017" spans="1:10" x14ac:dyDescent="0.25">
      <c r="A1017" s="92"/>
      <c r="F1017" s="786"/>
      <c r="G1017" s="795"/>
      <c r="H1017" s="93"/>
      <c r="I1017" s="810"/>
      <c r="J1017" s="810"/>
    </row>
    <row r="1018" spans="1:10" x14ac:dyDescent="0.25">
      <c r="A1018" s="92"/>
      <c r="F1018" s="786"/>
      <c r="G1018" s="795"/>
      <c r="H1018" s="93"/>
      <c r="I1018" s="810"/>
      <c r="J1018" s="810"/>
    </row>
    <row r="1019" spans="1:10" x14ac:dyDescent="0.25">
      <c r="A1019" s="92"/>
      <c r="F1019" s="786"/>
      <c r="G1019" s="795"/>
      <c r="H1019" s="93"/>
      <c r="I1019" s="810"/>
      <c r="J1019" s="810"/>
    </row>
    <row r="1020" spans="1:10" x14ac:dyDescent="0.25">
      <c r="A1020" s="92"/>
      <c r="F1020" s="786"/>
      <c r="G1020" s="795"/>
      <c r="H1020" s="93"/>
      <c r="I1020" s="810"/>
      <c r="J1020" s="810"/>
    </row>
    <row r="1021" spans="1:10" x14ac:dyDescent="0.25">
      <c r="A1021" s="92"/>
      <c r="F1021" s="786"/>
      <c r="G1021" s="795"/>
      <c r="H1021" s="93"/>
      <c r="I1021" s="810"/>
      <c r="J1021" s="810"/>
    </row>
    <row r="1022" spans="1:10" x14ac:dyDescent="0.25">
      <c r="A1022" s="92"/>
      <c r="F1022" s="786"/>
      <c r="G1022" s="795"/>
      <c r="H1022" s="93"/>
      <c r="I1022" s="810"/>
      <c r="J1022" s="810"/>
    </row>
    <row r="1023" spans="1:10" x14ac:dyDescent="0.25">
      <c r="A1023" s="92"/>
      <c r="F1023" s="786"/>
      <c r="G1023" s="795"/>
      <c r="H1023" s="93"/>
      <c r="I1023" s="810"/>
      <c r="J1023" s="810"/>
    </row>
    <row r="1024" spans="1:10" x14ac:dyDescent="0.25">
      <c r="A1024" s="92"/>
      <c r="F1024" s="786"/>
      <c r="G1024" s="795"/>
      <c r="H1024" s="93"/>
      <c r="I1024" s="810"/>
      <c r="J1024" s="810"/>
    </row>
    <row r="1025" spans="1:10" x14ac:dyDescent="0.25">
      <c r="A1025" s="92"/>
      <c r="F1025" s="786"/>
      <c r="G1025" s="795"/>
      <c r="H1025" s="93"/>
      <c r="I1025" s="810"/>
      <c r="J1025" s="810"/>
    </row>
    <row r="1026" spans="1:10" x14ac:dyDescent="0.25">
      <c r="A1026" s="92"/>
      <c r="F1026" s="786"/>
      <c r="G1026" s="795"/>
      <c r="H1026" s="93"/>
      <c r="I1026" s="810"/>
      <c r="J1026" s="810"/>
    </row>
    <row r="1027" spans="1:10" x14ac:dyDescent="0.25">
      <c r="A1027" s="92"/>
      <c r="F1027" s="786"/>
      <c r="G1027" s="795"/>
      <c r="H1027" s="93"/>
      <c r="I1027" s="810"/>
      <c r="J1027" s="810"/>
    </row>
    <row r="1028" spans="1:10" x14ac:dyDescent="0.25">
      <c r="A1028" s="92"/>
      <c r="F1028" s="786"/>
      <c r="G1028" s="795"/>
      <c r="H1028" s="93"/>
      <c r="I1028" s="810"/>
      <c r="J1028" s="810"/>
    </row>
    <row r="1029" spans="1:10" x14ac:dyDescent="0.25">
      <c r="A1029" s="92"/>
      <c r="F1029" s="786"/>
      <c r="G1029" s="795"/>
      <c r="H1029" s="93"/>
      <c r="I1029" s="810"/>
      <c r="J1029" s="810"/>
    </row>
    <row r="1030" spans="1:10" x14ac:dyDescent="0.25">
      <c r="A1030" s="92"/>
      <c r="F1030" s="786"/>
      <c r="G1030" s="795"/>
      <c r="H1030" s="93"/>
      <c r="I1030" s="810"/>
      <c r="J1030" s="810"/>
    </row>
    <row r="1031" spans="1:10" x14ac:dyDescent="0.25">
      <c r="A1031" s="92"/>
      <c r="F1031" s="786"/>
      <c r="G1031" s="795"/>
      <c r="H1031" s="93"/>
      <c r="I1031" s="810"/>
      <c r="J1031" s="810"/>
    </row>
    <row r="1032" spans="1:10" x14ac:dyDescent="0.25">
      <c r="A1032" s="92"/>
      <c r="F1032" s="786"/>
      <c r="G1032" s="795"/>
      <c r="H1032" s="93"/>
      <c r="I1032" s="810"/>
      <c r="J1032" s="810"/>
    </row>
    <row r="1033" spans="1:10" x14ac:dyDescent="0.25">
      <c r="A1033" s="92"/>
      <c r="F1033" s="786"/>
      <c r="G1033" s="795"/>
      <c r="H1033" s="93"/>
      <c r="I1033" s="810"/>
      <c r="J1033" s="810"/>
    </row>
    <row r="1034" spans="1:10" x14ac:dyDescent="0.25">
      <c r="A1034" s="92"/>
      <c r="F1034" s="786"/>
      <c r="G1034" s="795"/>
      <c r="H1034" s="93"/>
      <c r="I1034" s="810"/>
      <c r="J1034" s="810"/>
    </row>
    <row r="1035" spans="1:10" x14ac:dyDescent="0.25">
      <c r="A1035" s="92"/>
      <c r="F1035" s="786"/>
      <c r="G1035" s="795"/>
      <c r="H1035" s="93"/>
      <c r="I1035" s="810"/>
      <c r="J1035" s="810"/>
    </row>
    <row r="1036" spans="1:10" x14ac:dyDescent="0.25">
      <c r="A1036" s="92"/>
      <c r="F1036" s="786"/>
      <c r="G1036" s="795"/>
      <c r="H1036" s="93"/>
      <c r="I1036" s="810"/>
      <c r="J1036" s="810"/>
    </row>
    <row r="1037" spans="1:10" x14ac:dyDescent="0.25">
      <c r="A1037" s="92"/>
      <c r="F1037" s="786"/>
      <c r="G1037" s="795"/>
      <c r="H1037" s="93"/>
      <c r="I1037" s="810"/>
      <c r="J1037" s="810"/>
    </row>
    <row r="1038" spans="1:10" x14ac:dyDescent="0.25">
      <c r="A1038" s="92"/>
      <c r="F1038" s="786"/>
      <c r="G1038" s="795"/>
      <c r="H1038" s="93"/>
      <c r="I1038" s="810"/>
      <c r="J1038" s="810"/>
    </row>
    <row r="1039" spans="1:10" x14ac:dyDescent="0.25">
      <c r="A1039" s="92"/>
      <c r="F1039" s="786"/>
      <c r="G1039" s="795"/>
      <c r="H1039" s="93"/>
      <c r="I1039" s="810"/>
      <c r="J1039" s="810"/>
    </row>
    <row r="1040" spans="1:10" x14ac:dyDescent="0.25">
      <c r="A1040" s="92"/>
      <c r="F1040" s="786"/>
      <c r="G1040" s="795"/>
      <c r="H1040" s="93"/>
      <c r="I1040" s="810"/>
      <c r="J1040" s="810"/>
    </row>
    <row r="1041" spans="1:10" x14ac:dyDescent="0.25">
      <c r="A1041" s="92"/>
      <c r="F1041" s="786"/>
      <c r="G1041" s="795"/>
      <c r="H1041" s="93"/>
      <c r="I1041" s="810"/>
      <c r="J1041" s="810"/>
    </row>
    <row r="1042" spans="1:10" x14ac:dyDescent="0.25">
      <c r="A1042" s="92"/>
      <c r="F1042" s="786"/>
      <c r="G1042" s="795"/>
      <c r="H1042" s="93"/>
      <c r="I1042" s="810"/>
      <c r="J1042" s="810"/>
    </row>
    <row r="1043" spans="1:10" x14ac:dyDescent="0.25">
      <c r="A1043" s="92"/>
      <c r="F1043" s="786"/>
      <c r="G1043" s="795"/>
      <c r="H1043" s="93"/>
      <c r="I1043" s="810"/>
      <c r="J1043" s="810"/>
    </row>
    <row r="1044" spans="1:10" x14ac:dyDescent="0.25">
      <c r="A1044" s="92"/>
      <c r="F1044" s="786"/>
      <c r="G1044" s="795"/>
      <c r="H1044" s="93"/>
      <c r="I1044" s="810"/>
      <c r="J1044" s="810"/>
    </row>
    <row r="1045" spans="1:10" x14ac:dyDescent="0.25">
      <c r="A1045" s="92"/>
      <c r="F1045" s="786"/>
      <c r="G1045" s="795"/>
      <c r="H1045" s="93"/>
      <c r="I1045" s="810"/>
      <c r="J1045" s="810"/>
    </row>
    <row r="1046" spans="1:10" x14ac:dyDescent="0.25">
      <c r="A1046" s="92"/>
      <c r="F1046" s="786"/>
      <c r="G1046" s="795"/>
      <c r="H1046" s="93"/>
      <c r="I1046" s="810"/>
      <c r="J1046" s="810"/>
    </row>
    <row r="1047" spans="1:10" x14ac:dyDescent="0.25">
      <c r="A1047" s="92"/>
      <c r="F1047" s="786"/>
      <c r="G1047" s="795"/>
      <c r="H1047" s="93"/>
      <c r="I1047" s="810"/>
      <c r="J1047" s="810"/>
    </row>
    <row r="1048" spans="1:10" x14ac:dyDescent="0.25">
      <c r="A1048" s="92"/>
      <c r="F1048" s="786"/>
      <c r="G1048" s="795"/>
      <c r="H1048" s="93"/>
      <c r="I1048" s="810"/>
      <c r="J1048" s="810"/>
    </row>
    <row r="1049" spans="1:10" x14ac:dyDescent="0.25">
      <c r="A1049" s="92"/>
      <c r="F1049" s="786"/>
      <c r="G1049" s="795"/>
      <c r="H1049" s="93"/>
      <c r="I1049" s="810"/>
      <c r="J1049" s="810"/>
    </row>
    <row r="1050" spans="1:10" x14ac:dyDescent="0.25">
      <c r="A1050" s="92"/>
      <c r="F1050" s="786"/>
      <c r="G1050" s="795"/>
      <c r="H1050" s="93"/>
      <c r="I1050" s="810"/>
      <c r="J1050" s="810"/>
    </row>
    <row r="1051" spans="1:10" x14ac:dyDescent="0.25">
      <c r="A1051" s="92"/>
      <c r="F1051" s="786"/>
      <c r="G1051" s="795"/>
      <c r="H1051" s="93"/>
      <c r="I1051" s="810"/>
      <c r="J1051" s="810"/>
    </row>
    <row r="1052" spans="1:10" x14ac:dyDescent="0.25">
      <c r="A1052" s="92"/>
      <c r="F1052" s="786"/>
      <c r="G1052" s="795"/>
      <c r="H1052" s="93"/>
      <c r="I1052" s="810"/>
      <c r="J1052" s="810"/>
    </row>
    <row r="1053" spans="1:10" x14ac:dyDescent="0.25">
      <c r="A1053" s="92"/>
      <c r="F1053" s="786"/>
      <c r="G1053" s="795"/>
      <c r="H1053" s="93"/>
      <c r="I1053" s="810"/>
      <c r="J1053" s="810"/>
    </row>
    <row r="1054" spans="1:10" x14ac:dyDescent="0.25">
      <c r="A1054" s="92"/>
      <c r="F1054" s="786"/>
      <c r="G1054" s="795"/>
      <c r="H1054" s="93"/>
      <c r="I1054" s="810"/>
      <c r="J1054" s="810"/>
    </row>
    <row r="1055" spans="1:10" x14ac:dyDescent="0.25">
      <c r="A1055" s="92"/>
      <c r="F1055" s="786"/>
      <c r="G1055" s="795"/>
      <c r="H1055" s="93"/>
      <c r="I1055" s="810"/>
      <c r="J1055" s="810"/>
    </row>
    <row r="1056" spans="1:10" x14ac:dyDescent="0.25">
      <c r="A1056" s="92"/>
      <c r="F1056" s="786"/>
      <c r="G1056" s="795"/>
      <c r="H1056" s="93"/>
      <c r="I1056" s="810"/>
      <c r="J1056" s="810"/>
    </row>
    <row r="1057" spans="1:10" x14ac:dyDescent="0.25">
      <c r="A1057" s="92"/>
      <c r="F1057" s="786"/>
      <c r="G1057" s="795"/>
      <c r="H1057" s="93"/>
      <c r="I1057" s="810"/>
      <c r="J1057" s="810"/>
    </row>
    <row r="1058" spans="1:10" x14ac:dyDescent="0.25">
      <c r="A1058" s="92"/>
      <c r="F1058" s="786"/>
      <c r="G1058" s="795"/>
      <c r="H1058" s="93"/>
      <c r="I1058" s="810"/>
      <c r="J1058" s="810"/>
    </row>
    <row r="1059" spans="1:10" x14ac:dyDescent="0.25">
      <c r="A1059" s="92"/>
      <c r="F1059" s="786"/>
      <c r="G1059" s="795"/>
      <c r="H1059" s="93"/>
      <c r="I1059" s="810"/>
      <c r="J1059" s="810"/>
    </row>
    <row r="1060" spans="1:10" x14ac:dyDescent="0.25">
      <c r="A1060" s="92"/>
      <c r="F1060" s="786"/>
      <c r="G1060" s="795"/>
      <c r="H1060" s="93"/>
      <c r="I1060" s="810"/>
      <c r="J1060" s="810"/>
    </row>
    <row r="1061" spans="1:10" x14ac:dyDescent="0.25">
      <c r="A1061" s="92"/>
      <c r="F1061" s="786"/>
      <c r="G1061" s="795"/>
      <c r="H1061" s="93"/>
      <c r="I1061" s="810"/>
      <c r="J1061" s="810"/>
    </row>
    <row r="1062" spans="1:10" x14ac:dyDescent="0.25">
      <c r="A1062" s="92"/>
      <c r="F1062" s="786"/>
      <c r="G1062" s="795"/>
      <c r="H1062" s="93"/>
      <c r="I1062" s="810"/>
      <c r="J1062" s="810"/>
    </row>
    <row r="1063" spans="1:10" x14ac:dyDescent="0.25">
      <c r="A1063" s="92"/>
      <c r="F1063" s="786"/>
      <c r="G1063" s="795"/>
      <c r="H1063" s="93"/>
      <c r="I1063" s="810"/>
      <c r="J1063" s="810"/>
    </row>
    <row r="1064" spans="1:10" x14ac:dyDescent="0.25">
      <c r="A1064" s="92"/>
      <c r="F1064" s="786"/>
      <c r="G1064" s="795"/>
      <c r="H1064" s="93"/>
      <c r="I1064" s="810"/>
      <c r="J1064" s="810"/>
    </row>
    <row r="1065" spans="1:10" x14ac:dyDescent="0.25">
      <c r="A1065" s="92"/>
      <c r="F1065" s="786"/>
      <c r="G1065" s="795"/>
      <c r="H1065" s="93"/>
      <c r="I1065" s="810"/>
      <c r="J1065" s="810"/>
    </row>
    <row r="1066" spans="1:10" x14ac:dyDescent="0.25">
      <c r="A1066" s="92"/>
      <c r="F1066" s="786"/>
      <c r="G1066" s="795"/>
      <c r="H1066" s="93"/>
      <c r="I1066" s="810"/>
      <c r="J1066" s="810"/>
    </row>
    <row r="1067" spans="1:10" x14ac:dyDescent="0.25">
      <c r="A1067" s="92"/>
      <c r="F1067" s="786"/>
      <c r="G1067" s="795"/>
      <c r="H1067" s="93"/>
      <c r="I1067" s="810"/>
      <c r="J1067" s="810"/>
    </row>
    <row r="1068" spans="1:10" x14ac:dyDescent="0.25">
      <c r="A1068" s="92"/>
      <c r="F1068" s="786"/>
      <c r="G1068" s="795"/>
      <c r="H1068" s="93"/>
      <c r="I1068" s="810"/>
      <c r="J1068" s="810"/>
    </row>
    <row r="1069" spans="1:10" x14ac:dyDescent="0.25">
      <c r="A1069" s="92"/>
      <c r="F1069" s="786"/>
      <c r="G1069" s="795"/>
      <c r="H1069" s="93"/>
      <c r="I1069" s="810"/>
      <c r="J1069" s="810"/>
    </row>
    <row r="1070" spans="1:10" x14ac:dyDescent="0.25">
      <c r="A1070" s="92"/>
      <c r="F1070" s="786"/>
      <c r="G1070" s="795"/>
      <c r="H1070" s="93"/>
      <c r="I1070" s="810"/>
      <c r="J1070" s="810"/>
    </row>
    <row r="1071" spans="1:10" x14ac:dyDescent="0.25">
      <c r="A1071" s="92"/>
      <c r="F1071" s="786"/>
      <c r="G1071" s="795"/>
      <c r="H1071" s="93"/>
      <c r="I1071" s="810"/>
      <c r="J1071" s="810"/>
    </row>
    <row r="1072" spans="1:10" x14ac:dyDescent="0.25">
      <c r="A1072" s="92"/>
      <c r="F1072" s="786"/>
      <c r="G1072" s="795"/>
      <c r="H1072" s="93"/>
      <c r="I1072" s="810"/>
      <c r="J1072" s="810"/>
    </row>
    <row r="1073" spans="1:10" x14ac:dyDescent="0.25">
      <c r="A1073" s="92"/>
      <c r="F1073" s="786"/>
      <c r="G1073" s="795"/>
      <c r="H1073" s="93"/>
      <c r="I1073" s="810"/>
      <c r="J1073" s="810"/>
    </row>
    <row r="1074" spans="1:10" x14ac:dyDescent="0.25">
      <c r="A1074" s="92"/>
      <c r="F1074" s="786"/>
      <c r="G1074" s="795"/>
      <c r="H1074" s="93"/>
      <c r="I1074" s="810"/>
      <c r="J1074" s="810"/>
    </row>
    <row r="1075" spans="1:10" x14ac:dyDescent="0.25">
      <c r="A1075" s="92"/>
      <c r="F1075" s="786"/>
      <c r="G1075" s="795"/>
      <c r="H1075" s="93"/>
      <c r="I1075" s="810"/>
      <c r="J1075" s="810"/>
    </row>
    <row r="1076" spans="1:10" x14ac:dyDescent="0.25">
      <c r="A1076" s="92"/>
      <c r="F1076" s="786"/>
      <c r="G1076" s="795"/>
      <c r="H1076" s="93"/>
      <c r="I1076" s="810"/>
      <c r="J1076" s="810"/>
    </row>
    <row r="1077" spans="1:10" x14ac:dyDescent="0.25">
      <c r="A1077" s="92"/>
      <c r="F1077" s="786"/>
      <c r="G1077" s="795"/>
      <c r="H1077" s="93"/>
      <c r="I1077" s="810"/>
      <c r="J1077" s="810"/>
    </row>
    <row r="1078" spans="1:10" x14ac:dyDescent="0.25">
      <c r="A1078" s="92"/>
      <c r="F1078" s="786"/>
      <c r="G1078" s="795"/>
      <c r="H1078" s="93"/>
      <c r="I1078" s="810"/>
      <c r="J1078" s="810"/>
    </row>
    <row r="1079" spans="1:10" x14ac:dyDescent="0.25">
      <c r="A1079" s="92"/>
      <c r="F1079" s="786"/>
      <c r="G1079" s="795"/>
      <c r="H1079" s="93"/>
      <c r="I1079" s="810"/>
      <c r="J1079" s="810"/>
    </row>
    <row r="1080" spans="1:10" x14ac:dyDescent="0.25">
      <c r="A1080" s="92"/>
      <c r="F1080" s="786"/>
      <c r="G1080" s="795"/>
      <c r="H1080" s="93"/>
      <c r="I1080" s="810"/>
      <c r="J1080" s="810"/>
    </row>
    <row r="1081" spans="1:10" x14ac:dyDescent="0.25">
      <c r="A1081" s="92"/>
      <c r="F1081" s="786"/>
      <c r="G1081" s="795"/>
      <c r="H1081" s="93"/>
      <c r="I1081" s="810"/>
      <c r="J1081" s="810"/>
    </row>
    <row r="1082" spans="1:10" x14ac:dyDescent="0.25">
      <c r="A1082" s="92"/>
      <c r="F1082" s="786"/>
      <c r="G1082" s="795"/>
      <c r="H1082" s="93"/>
      <c r="I1082" s="810"/>
      <c r="J1082" s="810"/>
    </row>
    <row r="1083" spans="1:10" x14ac:dyDescent="0.25">
      <c r="A1083" s="92"/>
      <c r="F1083" s="786"/>
      <c r="G1083" s="795"/>
      <c r="H1083" s="93"/>
      <c r="I1083" s="810"/>
      <c r="J1083" s="810"/>
    </row>
    <row r="1084" spans="1:10" x14ac:dyDescent="0.25">
      <c r="A1084" s="92"/>
      <c r="F1084" s="786"/>
      <c r="G1084" s="795"/>
      <c r="H1084" s="93"/>
      <c r="I1084" s="810"/>
      <c r="J1084" s="810"/>
    </row>
    <row r="1085" spans="1:10" x14ac:dyDescent="0.25">
      <c r="A1085" s="92"/>
      <c r="F1085" s="786"/>
      <c r="G1085" s="795"/>
      <c r="H1085" s="93"/>
      <c r="I1085" s="810"/>
      <c r="J1085" s="810"/>
    </row>
    <row r="1086" spans="1:10" x14ac:dyDescent="0.25">
      <c r="A1086" s="92"/>
      <c r="F1086" s="786"/>
      <c r="G1086" s="795"/>
      <c r="H1086" s="93"/>
      <c r="I1086" s="810"/>
      <c r="J1086" s="810"/>
    </row>
    <row r="1087" spans="1:10" x14ac:dyDescent="0.25">
      <c r="A1087" s="92"/>
      <c r="F1087" s="786"/>
      <c r="G1087" s="795"/>
      <c r="H1087" s="93"/>
      <c r="I1087" s="810"/>
      <c r="J1087" s="810"/>
    </row>
    <row r="1088" spans="1:10" x14ac:dyDescent="0.25">
      <c r="A1088" s="92"/>
      <c r="F1088" s="786"/>
      <c r="G1088" s="795"/>
      <c r="H1088" s="93"/>
      <c r="I1088" s="810"/>
      <c r="J1088" s="810"/>
    </row>
    <row r="1089" spans="1:10" x14ac:dyDescent="0.25">
      <c r="A1089" s="92"/>
      <c r="F1089" s="786"/>
      <c r="G1089" s="795"/>
      <c r="H1089" s="93"/>
      <c r="I1089" s="810"/>
      <c r="J1089" s="810"/>
    </row>
    <row r="1090" spans="1:10" x14ac:dyDescent="0.25">
      <c r="A1090" s="92"/>
      <c r="F1090" s="786"/>
      <c r="G1090" s="795"/>
      <c r="H1090" s="93"/>
      <c r="I1090" s="810"/>
      <c r="J1090" s="810"/>
    </row>
    <row r="1091" spans="1:10" x14ac:dyDescent="0.25">
      <c r="A1091" s="92"/>
      <c r="F1091" s="786"/>
      <c r="G1091" s="795"/>
      <c r="H1091" s="93"/>
      <c r="I1091" s="810"/>
      <c r="J1091" s="810"/>
    </row>
    <row r="1092" spans="1:10" x14ac:dyDescent="0.25">
      <c r="A1092" s="92"/>
      <c r="F1092" s="786"/>
      <c r="G1092" s="795"/>
      <c r="H1092" s="93"/>
      <c r="I1092" s="810"/>
      <c r="J1092" s="810"/>
    </row>
    <row r="1093" spans="1:10" x14ac:dyDescent="0.25">
      <c r="A1093" s="92"/>
      <c r="F1093" s="786"/>
      <c r="G1093" s="795"/>
      <c r="H1093" s="93"/>
      <c r="I1093" s="810"/>
      <c r="J1093" s="810"/>
    </row>
    <row r="1094" spans="1:10" x14ac:dyDescent="0.25">
      <c r="A1094" s="92"/>
      <c r="F1094" s="786"/>
      <c r="G1094" s="795"/>
      <c r="H1094" s="93"/>
      <c r="I1094" s="810"/>
      <c r="J1094" s="810"/>
    </row>
    <row r="1095" spans="1:10" x14ac:dyDescent="0.25">
      <c r="A1095" s="92"/>
      <c r="F1095" s="786"/>
      <c r="G1095" s="795"/>
      <c r="H1095" s="93"/>
      <c r="I1095" s="810"/>
      <c r="J1095" s="810"/>
    </row>
    <row r="1096" spans="1:10" x14ac:dyDescent="0.25">
      <c r="A1096" s="92"/>
      <c r="F1096" s="786"/>
      <c r="G1096" s="795"/>
      <c r="H1096" s="93"/>
      <c r="I1096" s="810"/>
      <c r="J1096" s="810"/>
    </row>
    <row r="1097" spans="1:10" x14ac:dyDescent="0.25">
      <c r="A1097" s="92"/>
      <c r="F1097" s="786"/>
      <c r="G1097" s="795"/>
      <c r="H1097" s="93"/>
      <c r="I1097" s="810"/>
      <c r="J1097" s="810"/>
    </row>
    <row r="1098" spans="1:10" x14ac:dyDescent="0.25">
      <c r="A1098" s="92"/>
      <c r="F1098" s="786"/>
      <c r="G1098" s="795"/>
      <c r="H1098" s="93"/>
      <c r="I1098" s="810"/>
      <c r="J1098" s="810"/>
    </row>
    <row r="1099" spans="1:10" x14ac:dyDescent="0.25">
      <c r="A1099" s="92"/>
      <c r="F1099" s="786"/>
      <c r="G1099" s="795"/>
      <c r="H1099" s="93"/>
      <c r="I1099" s="810"/>
      <c r="J1099" s="810"/>
    </row>
    <row r="1100" spans="1:10" x14ac:dyDescent="0.25">
      <c r="A1100" s="92"/>
      <c r="F1100" s="786"/>
      <c r="G1100" s="795"/>
      <c r="H1100" s="93"/>
      <c r="I1100" s="810"/>
      <c r="J1100" s="810"/>
    </row>
    <row r="1101" spans="1:10" x14ac:dyDescent="0.25">
      <c r="A1101" s="92"/>
      <c r="F1101" s="786"/>
      <c r="G1101" s="795"/>
      <c r="H1101" s="93"/>
      <c r="I1101" s="810"/>
      <c r="J1101" s="810"/>
    </row>
    <row r="1102" spans="1:10" x14ac:dyDescent="0.25">
      <c r="A1102" s="92"/>
      <c r="F1102" s="786"/>
      <c r="G1102" s="795"/>
      <c r="H1102" s="93"/>
      <c r="I1102" s="810"/>
      <c r="J1102" s="810"/>
    </row>
    <row r="1103" spans="1:10" x14ac:dyDescent="0.25">
      <c r="A1103" s="92"/>
      <c r="F1103" s="786"/>
      <c r="G1103" s="795"/>
      <c r="H1103" s="93"/>
      <c r="I1103" s="810"/>
      <c r="J1103" s="810"/>
    </row>
    <row r="1104" spans="1:10" x14ac:dyDescent="0.25">
      <c r="A1104" s="92"/>
      <c r="F1104" s="786"/>
      <c r="G1104" s="795"/>
      <c r="H1104" s="93"/>
      <c r="I1104" s="810"/>
      <c r="J1104" s="810"/>
    </row>
    <row r="1105" spans="1:10" x14ac:dyDescent="0.25">
      <c r="A1105" s="92"/>
      <c r="F1105" s="786"/>
      <c r="G1105" s="795"/>
      <c r="H1105" s="93"/>
      <c r="I1105" s="810"/>
      <c r="J1105" s="810"/>
    </row>
    <row r="1106" spans="1:10" x14ac:dyDescent="0.25">
      <c r="A1106" s="92"/>
      <c r="F1106" s="786"/>
      <c r="G1106" s="795"/>
      <c r="H1106" s="93"/>
      <c r="I1106" s="810"/>
      <c r="J1106" s="810"/>
    </row>
    <row r="1107" spans="1:10" x14ac:dyDescent="0.25">
      <c r="A1107" s="92"/>
      <c r="F1107" s="786"/>
      <c r="G1107" s="795"/>
      <c r="H1107" s="93"/>
      <c r="I1107" s="810"/>
      <c r="J1107" s="810"/>
    </row>
    <row r="1108" spans="1:10" x14ac:dyDescent="0.25">
      <c r="A1108" s="92"/>
      <c r="F1108" s="786"/>
      <c r="G1108" s="795"/>
      <c r="H1108" s="93"/>
      <c r="I1108" s="810"/>
      <c r="J1108" s="810"/>
    </row>
    <row r="1109" spans="1:10" x14ac:dyDescent="0.25">
      <c r="A1109" s="92"/>
      <c r="F1109" s="786"/>
      <c r="G1109" s="795"/>
      <c r="H1109" s="93"/>
      <c r="I1109" s="810"/>
      <c r="J1109" s="810"/>
    </row>
    <row r="1110" spans="1:10" x14ac:dyDescent="0.25">
      <c r="A1110" s="92"/>
      <c r="F1110" s="786"/>
      <c r="G1110" s="795"/>
      <c r="H1110" s="93"/>
      <c r="I1110" s="810"/>
      <c r="J1110" s="810"/>
    </row>
    <row r="1111" spans="1:10" x14ac:dyDescent="0.25">
      <c r="A1111" s="92"/>
      <c r="F1111" s="786"/>
      <c r="G1111" s="795"/>
      <c r="H1111" s="93"/>
      <c r="I1111" s="810"/>
      <c r="J1111" s="810"/>
    </row>
    <row r="1112" spans="1:10" x14ac:dyDescent="0.25">
      <c r="A1112" s="92"/>
      <c r="F1112" s="786"/>
      <c r="G1112" s="795"/>
      <c r="H1112" s="93"/>
      <c r="I1112" s="810"/>
      <c r="J1112" s="810"/>
    </row>
    <row r="1113" spans="1:10" x14ac:dyDescent="0.25">
      <c r="A1113" s="92"/>
      <c r="F1113" s="786"/>
      <c r="G1113" s="795"/>
      <c r="H1113" s="93"/>
      <c r="I1113" s="810"/>
      <c r="J1113" s="810"/>
    </row>
    <row r="1114" spans="1:10" x14ac:dyDescent="0.25">
      <c r="A1114" s="92"/>
      <c r="F1114" s="786"/>
      <c r="G1114" s="795"/>
      <c r="H1114" s="93"/>
      <c r="I1114" s="810"/>
      <c r="J1114" s="810"/>
    </row>
    <row r="1115" spans="1:10" x14ac:dyDescent="0.25">
      <c r="A1115" s="92"/>
      <c r="F1115" s="786"/>
      <c r="G1115" s="795"/>
      <c r="H1115" s="93"/>
      <c r="I1115" s="810"/>
      <c r="J1115" s="810"/>
    </row>
    <row r="1116" spans="1:10" x14ac:dyDescent="0.25">
      <c r="A1116" s="92"/>
      <c r="F1116" s="786"/>
      <c r="G1116" s="795"/>
      <c r="H1116" s="93"/>
      <c r="I1116" s="810"/>
      <c r="J1116" s="810"/>
    </row>
    <row r="1117" spans="1:10" x14ac:dyDescent="0.25">
      <c r="A1117" s="92"/>
      <c r="F1117" s="786"/>
      <c r="G1117" s="795"/>
      <c r="H1117" s="93"/>
      <c r="I1117" s="810"/>
      <c r="J1117" s="810"/>
    </row>
    <row r="1118" spans="1:10" x14ac:dyDescent="0.25">
      <c r="A1118" s="92"/>
      <c r="F1118" s="786"/>
      <c r="G1118" s="795"/>
      <c r="H1118" s="93"/>
      <c r="I1118" s="810"/>
      <c r="J1118" s="810"/>
    </row>
    <row r="1119" spans="1:10" x14ac:dyDescent="0.25">
      <c r="A1119" s="92"/>
      <c r="F1119" s="786"/>
      <c r="G1119" s="795"/>
      <c r="H1119" s="93"/>
      <c r="I1119" s="810"/>
      <c r="J1119" s="810"/>
    </row>
    <row r="1120" spans="1:10" x14ac:dyDescent="0.25">
      <c r="A1120" s="92"/>
      <c r="F1120" s="786"/>
      <c r="G1120" s="795"/>
      <c r="H1120" s="93"/>
      <c r="I1120" s="810"/>
      <c r="J1120" s="810"/>
    </row>
    <row r="1121" spans="1:10" x14ac:dyDescent="0.25">
      <c r="A1121" s="92"/>
      <c r="F1121" s="786"/>
      <c r="G1121" s="795"/>
      <c r="H1121" s="93"/>
      <c r="I1121" s="810"/>
      <c r="J1121" s="810"/>
    </row>
    <row r="1122" spans="1:10" x14ac:dyDescent="0.25">
      <c r="A1122" s="92"/>
      <c r="F1122" s="786"/>
      <c r="G1122" s="795"/>
      <c r="H1122" s="93"/>
      <c r="I1122" s="810"/>
      <c r="J1122" s="810"/>
    </row>
    <row r="1123" spans="1:10" x14ac:dyDescent="0.25">
      <c r="A1123" s="92"/>
      <c r="F1123" s="786"/>
      <c r="G1123" s="795"/>
      <c r="H1123" s="93"/>
      <c r="I1123" s="810"/>
      <c r="J1123" s="810"/>
    </row>
    <row r="1124" spans="1:10" x14ac:dyDescent="0.25">
      <c r="A1124" s="92"/>
      <c r="F1124" s="786"/>
      <c r="G1124" s="795"/>
      <c r="H1124" s="93"/>
      <c r="I1124" s="810"/>
      <c r="J1124" s="810"/>
    </row>
    <row r="1125" spans="1:10" x14ac:dyDescent="0.25">
      <c r="A1125" s="92"/>
      <c r="F1125" s="786"/>
      <c r="G1125" s="795"/>
      <c r="H1125" s="93"/>
      <c r="I1125" s="810"/>
      <c r="J1125" s="810"/>
    </row>
    <row r="1126" spans="1:10" x14ac:dyDescent="0.25">
      <c r="A1126" s="92"/>
      <c r="F1126" s="786"/>
      <c r="G1126" s="795"/>
      <c r="H1126" s="93"/>
      <c r="I1126" s="810"/>
      <c r="J1126" s="810"/>
    </row>
    <row r="1127" spans="1:10" x14ac:dyDescent="0.25">
      <c r="A1127" s="92"/>
      <c r="F1127" s="786"/>
      <c r="G1127" s="795"/>
      <c r="H1127" s="93"/>
      <c r="I1127" s="810"/>
      <c r="J1127" s="810"/>
    </row>
    <row r="1128" spans="1:10" x14ac:dyDescent="0.25">
      <c r="A1128" s="92"/>
      <c r="F1128" s="786"/>
      <c r="G1128" s="795"/>
      <c r="H1128" s="93"/>
      <c r="I1128" s="810"/>
      <c r="J1128" s="810"/>
    </row>
    <row r="1129" spans="1:10" x14ac:dyDescent="0.25">
      <c r="A1129" s="92"/>
      <c r="F1129" s="786"/>
      <c r="G1129" s="795"/>
      <c r="H1129" s="93"/>
      <c r="I1129" s="810"/>
      <c r="J1129" s="810"/>
    </row>
    <row r="1130" spans="1:10" x14ac:dyDescent="0.25">
      <c r="A1130" s="92"/>
      <c r="F1130" s="786"/>
      <c r="G1130" s="795"/>
      <c r="H1130" s="93"/>
      <c r="I1130" s="810"/>
      <c r="J1130" s="810"/>
    </row>
    <row r="1131" spans="1:10" x14ac:dyDescent="0.25">
      <c r="A1131" s="92"/>
      <c r="F1131" s="786"/>
      <c r="G1131" s="795"/>
      <c r="H1131" s="93"/>
      <c r="I1131" s="810"/>
      <c r="J1131" s="810"/>
    </row>
    <row r="1132" spans="1:10" x14ac:dyDescent="0.25">
      <c r="A1132" s="92"/>
      <c r="F1132" s="786"/>
      <c r="G1132" s="795"/>
      <c r="H1132" s="93"/>
      <c r="I1132" s="810"/>
      <c r="J1132" s="810"/>
    </row>
    <row r="1133" spans="1:10" x14ac:dyDescent="0.25">
      <c r="A1133" s="92"/>
      <c r="F1133" s="786"/>
      <c r="G1133" s="795"/>
      <c r="H1133" s="93"/>
      <c r="I1133" s="810"/>
      <c r="J1133" s="810"/>
    </row>
    <row r="1134" spans="1:10" x14ac:dyDescent="0.25">
      <c r="A1134" s="92"/>
      <c r="F1134" s="786"/>
      <c r="G1134" s="795"/>
      <c r="H1134" s="93"/>
      <c r="I1134" s="810"/>
      <c r="J1134" s="810"/>
    </row>
    <row r="1135" spans="1:10" x14ac:dyDescent="0.25">
      <c r="A1135" s="92"/>
      <c r="F1135" s="786"/>
      <c r="G1135" s="795"/>
      <c r="H1135" s="93"/>
      <c r="I1135" s="810"/>
      <c r="J1135" s="810"/>
    </row>
    <row r="1136" spans="1:10" x14ac:dyDescent="0.25">
      <c r="A1136" s="92"/>
      <c r="F1136" s="786"/>
      <c r="G1136" s="795"/>
      <c r="H1136" s="93"/>
      <c r="I1136" s="810"/>
      <c r="J1136" s="810"/>
    </row>
    <row r="1137" spans="1:10" x14ac:dyDescent="0.25">
      <c r="A1137" s="92"/>
      <c r="F1137" s="786"/>
      <c r="G1137" s="795"/>
      <c r="H1137" s="93"/>
      <c r="I1137" s="810"/>
      <c r="J1137" s="810"/>
    </row>
    <row r="1138" spans="1:10" x14ac:dyDescent="0.25">
      <c r="A1138" s="92"/>
      <c r="F1138" s="786"/>
      <c r="G1138" s="795"/>
      <c r="H1138" s="93"/>
      <c r="I1138" s="810"/>
      <c r="J1138" s="810"/>
    </row>
    <row r="1139" spans="1:10" x14ac:dyDescent="0.25">
      <c r="A1139" s="92"/>
      <c r="F1139" s="786"/>
      <c r="G1139" s="795"/>
      <c r="H1139" s="93"/>
      <c r="I1139" s="810"/>
      <c r="J1139" s="810"/>
    </row>
    <row r="1140" spans="1:10" x14ac:dyDescent="0.25">
      <c r="A1140" s="92"/>
      <c r="F1140" s="786"/>
      <c r="G1140" s="795"/>
      <c r="H1140" s="93"/>
      <c r="I1140" s="810"/>
      <c r="J1140" s="810"/>
    </row>
    <row r="1141" spans="1:10" x14ac:dyDescent="0.25">
      <c r="A1141" s="92"/>
      <c r="F1141" s="786"/>
      <c r="G1141" s="795"/>
      <c r="H1141" s="93"/>
      <c r="I1141" s="810"/>
      <c r="J1141" s="810"/>
    </row>
    <row r="1142" spans="1:10" x14ac:dyDescent="0.25">
      <c r="A1142" s="92"/>
      <c r="F1142" s="786"/>
      <c r="G1142" s="795"/>
      <c r="H1142" s="93"/>
      <c r="I1142" s="810"/>
      <c r="J1142" s="810"/>
    </row>
    <row r="1143" spans="1:10" x14ac:dyDescent="0.25">
      <c r="A1143" s="92"/>
      <c r="F1143" s="786"/>
      <c r="G1143" s="795"/>
      <c r="H1143" s="93"/>
      <c r="I1143" s="810"/>
      <c r="J1143" s="810"/>
    </row>
    <row r="1144" spans="1:10" x14ac:dyDescent="0.25">
      <c r="A1144" s="92"/>
      <c r="F1144" s="786"/>
      <c r="G1144" s="795"/>
      <c r="H1144" s="93"/>
      <c r="I1144" s="810"/>
      <c r="J1144" s="810"/>
    </row>
    <row r="1145" spans="1:10" x14ac:dyDescent="0.25">
      <c r="A1145" s="92"/>
      <c r="F1145" s="786"/>
      <c r="G1145" s="795"/>
      <c r="H1145" s="93"/>
      <c r="I1145" s="810"/>
      <c r="J1145" s="810"/>
    </row>
    <row r="1146" spans="1:10" x14ac:dyDescent="0.25">
      <c r="A1146" s="92"/>
      <c r="F1146" s="786"/>
      <c r="G1146" s="795"/>
      <c r="H1146" s="93"/>
      <c r="I1146" s="810"/>
      <c r="J1146" s="810"/>
    </row>
    <row r="1147" spans="1:10" x14ac:dyDescent="0.25">
      <c r="A1147" s="92"/>
      <c r="F1147" s="786"/>
      <c r="G1147" s="795"/>
      <c r="H1147" s="93"/>
      <c r="I1147" s="810"/>
      <c r="J1147" s="810"/>
    </row>
    <row r="1148" spans="1:10" x14ac:dyDescent="0.25">
      <c r="A1148" s="92"/>
      <c r="F1148" s="786"/>
      <c r="G1148" s="795"/>
      <c r="H1148" s="93"/>
      <c r="I1148" s="810"/>
      <c r="J1148" s="810"/>
    </row>
    <row r="1149" spans="1:10" x14ac:dyDescent="0.25">
      <c r="A1149" s="92"/>
      <c r="F1149" s="786"/>
      <c r="G1149" s="795"/>
      <c r="H1149" s="93"/>
      <c r="I1149" s="810"/>
      <c r="J1149" s="810"/>
    </row>
    <row r="1150" spans="1:10" x14ac:dyDescent="0.25">
      <c r="A1150" s="92"/>
      <c r="F1150" s="786"/>
      <c r="G1150" s="795"/>
      <c r="H1150" s="93"/>
      <c r="I1150" s="810"/>
      <c r="J1150" s="810"/>
    </row>
    <row r="1151" spans="1:10" x14ac:dyDescent="0.25">
      <c r="A1151" s="92"/>
      <c r="F1151" s="786"/>
      <c r="G1151" s="795"/>
      <c r="H1151" s="93"/>
      <c r="I1151" s="810"/>
      <c r="J1151" s="810"/>
    </row>
    <row r="1152" spans="1:10" x14ac:dyDescent="0.25">
      <c r="A1152" s="92"/>
      <c r="F1152" s="786"/>
      <c r="G1152" s="795"/>
      <c r="H1152" s="93"/>
      <c r="I1152" s="810"/>
      <c r="J1152" s="810"/>
    </row>
    <row r="1153" spans="1:10" x14ac:dyDescent="0.25">
      <c r="A1153" s="92"/>
      <c r="F1153" s="786"/>
      <c r="G1153" s="795"/>
      <c r="H1153" s="93"/>
      <c r="I1153" s="810"/>
      <c r="J1153" s="810"/>
    </row>
    <row r="1154" spans="1:10" x14ac:dyDescent="0.25">
      <c r="A1154" s="92"/>
      <c r="F1154" s="786"/>
      <c r="G1154" s="795"/>
      <c r="H1154" s="93"/>
      <c r="I1154" s="810"/>
      <c r="J1154" s="810"/>
    </row>
    <row r="1155" spans="1:10" x14ac:dyDescent="0.25">
      <c r="A1155" s="92"/>
      <c r="F1155" s="786"/>
      <c r="G1155" s="795"/>
      <c r="H1155" s="93"/>
      <c r="I1155" s="810"/>
      <c r="J1155" s="810"/>
    </row>
    <row r="1156" spans="1:10" x14ac:dyDescent="0.25">
      <c r="A1156" s="92"/>
      <c r="F1156" s="786"/>
      <c r="G1156" s="795"/>
      <c r="H1156" s="93"/>
      <c r="I1156" s="810"/>
      <c r="J1156" s="810"/>
    </row>
    <row r="1157" spans="1:10" x14ac:dyDescent="0.25">
      <c r="A1157" s="92"/>
      <c r="F1157" s="786"/>
      <c r="G1157" s="795"/>
      <c r="H1157" s="93"/>
      <c r="I1157" s="810"/>
      <c r="J1157" s="810"/>
    </row>
    <row r="1158" spans="1:10" x14ac:dyDescent="0.25">
      <c r="A1158" s="92"/>
      <c r="F1158" s="786"/>
      <c r="G1158" s="795"/>
      <c r="H1158" s="93"/>
      <c r="I1158" s="810"/>
      <c r="J1158" s="810"/>
    </row>
    <row r="1159" spans="1:10" x14ac:dyDescent="0.25">
      <c r="A1159" s="92"/>
      <c r="F1159" s="786"/>
      <c r="G1159" s="795"/>
      <c r="H1159" s="93"/>
      <c r="I1159" s="810"/>
      <c r="J1159" s="810"/>
    </row>
    <row r="1160" spans="1:10" x14ac:dyDescent="0.25">
      <c r="A1160" s="92"/>
      <c r="F1160" s="786"/>
      <c r="G1160" s="795"/>
      <c r="H1160" s="93"/>
      <c r="I1160" s="810"/>
      <c r="J1160" s="810"/>
    </row>
    <row r="1161" spans="1:10" x14ac:dyDescent="0.25">
      <c r="A1161" s="92"/>
      <c r="F1161" s="786"/>
      <c r="G1161" s="795"/>
      <c r="H1161" s="93"/>
      <c r="I1161" s="810"/>
      <c r="J1161" s="810"/>
    </row>
    <row r="1162" spans="1:10" x14ac:dyDescent="0.25">
      <c r="A1162" s="92"/>
      <c r="F1162" s="786"/>
      <c r="G1162" s="795"/>
      <c r="H1162" s="93"/>
      <c r="I1162" s="810"/>
      <c r="J1162" s="810"/>
    </row>
    <row r="1163" spans="1:10" x14ac:dyDescent="0.25">
      <c r="A1163" s="92"/>
      <c r="F1163" s="786"/>
      <c r="G1163" s="795"/>
      <c r="H1163" s="93"/>
      <c r="I1163" s="810"/>
      <c r="J1163" s="810"/>
    </row>
    <row r="1164" spans="1:10" x14ac:dyDescent="0.25">
      <c r="A1164" s="92"/>
      <c r="F1164" s="786"/>
      <c r="G1164" s="795"/>
      <c r="H1164" s="93"/>
      <c r="I1164" s="810"/>
      <c r="J1164" s="810"/>
    </row>
    <row r="1165" spans="1:10" x14ac:dyDescent="0.25">
      <c r="A1165" s="92"/>
      <c r="F1165" s="786"/>
      <c r="G1165" s="795"/>
      <c r="H1165" s="93"/>
      <c r="I1165" s="810"/>
      <c r="J1165" s="810"/>
    </row>
    <row r="1166" spans="1:10" x14ac:dyDescent="0.25">
      <c r="A1166" s="92"/>
      <c r="F1166" s="786"/>
      <c r="G1166" s="795"/>
      <c r="H1166" s="93"/>
      <c r="I1166" s="810"/>
      <c r="J1166" s="810"/>
    </row>
    <row r="1167" spans="1:10" x14ac:dyDescent="0.25">
      <c r="A1167" s="92"/>
      <c r="F1167" s="786"/>
      <c r="G1167" s="795"/>
      <c r="H1167" s="93"/>
      <c r="I1167" s="810"/>
      <c r="J1167" s="810"/>
    </row>
    <row r="1168" spans="1:10" x14ac:dyDescent="0.25">
      <c r="A1168" s="92"/>
      <c r="F1168" s="786"/>
      <c r="G1168" s="795"/>
      <c r="H1168" s="93"/>
      <c r="I1168" s="810"/>
      <c r="J1168" s="810"/>
    </row>
    <row r="1169" spans="1:10" x14ac:dyDescent="0.25">
      <c r="A1169" s="92"/>
      <c r="F1169" s="786"/>
      <c r="G1169" s="795"/>
      <c r="H1169" s="93"/>
      <c r="I1169" s="810"/>
      <c r="J1169" s="810"/>
    </row>
    <row r="1170" spans="1:10" x14ac:dyDescent="0.25">
      <c r="A1170" s="92"/>
      <c r="F1170" s="786"/>
      <c r="G1170" s="795"/>
      <c r="H1170" s="93"/>
      <c r="I1170" s="810"/>
      <c r="J1170" s="810"/>
    </row>
    <row r="1171" spans="1:10" x14ac:dyDescent="0.25">
      <c r="A1171" s="92"/>
      <c r="F1171" s="786"/>
      <c r="G1171" s="795"/>
      <c r="H1171" s="93"/>
      <c r="I1171" s="810"/>
      <c r="J1171" s="810"/>
    </row>
    <row r="1172" spans="1:10" x14ac:dyDescent="0.25">
      <c r="A1172" s="92"/>
      <c r="F1172" s="786"/>
      <c r="G1172" s="795"/>
      <c r="H1172" s="93"/>
      <c r="I1172" s="810"/>
      <c r="J1172" s="810"/>
    </row>
    <row r="1173" spans="1:10" x14ac:dyDescent="0.25">
      <c r="A1173" s="92"/>
      <c r="F1173" s="786"/>
      <c r="G1173" s="795"/>
      <c r="H1173" s="93"/>
      <c r="I1173" s="810"/>
      <c r="J1173" s="810"/>
    </row>
    <row r="1174" spans="1:10" x14ac:dyDescent="0.25">
      <c r="A1174" s="92"/>
      <c r="F1174" s="786"/>
      <c r="G1174" s="795"/>
      <c r="H1174" s="93"/>
      <c r="I1174" s="810"/>
      <c r="J1174" s="810"/>
    </row>
    <row r="1175" spans="1:10" x14ac:dyDescent="0.25">
      <c r="A1175" s="92"/>
      <c r="F1175" s="786"/>
      <c r="G1175" s="795"/>
      <c r="H1175" s="93"/>
      <c r="I1175" s="810"/>
      <c r="J1175" s="810"/>
    </row>
    <row r="1176" spans="1:10" x14ac:dyDescent="0.25">
      <c r="A1176" s="92"/>
      <c r="F1176" s="786"/>
      <c r="G1176" s="795"/>
      <c r="H1176" s="93"/>
      <c r="I1176" s="810"/>
      <c r="J1176" s="810"/>
    </row>
    <row r="1177" spans="1:10" x14ac:dyDescent="0.25">
      <c r="A1177" s="92"/>
      <c r="F1177" s="786"/>
      <c r="G1177" s="795"/>
      <c r="H1177" s="93"/>
      <c r="I1177" s="810"/>
      <c r="J1177" s="810"/>
    </row>
    <row r="1178" spans="1:10" x14ac:dyDescent="0.25">
      <c r="A1178" s="92"/>
      <c r="F1178" s="786"/>
      <c r="G1178" s="795"/>
      <c r="H1178" s="93"/>
      <c r="I1178" s="810"/>
      <c r="J1178" s="810"/>
    </row>
    <row r="1179" spans="1:10" x14ac:dyDescent="0.25">
      <c r="A1179" s="92"/>
      <c r="F1179" s="786"/>
      <c r="G1179" s="795"/>
      <c r="H1179" s="93"/>
      <c r="I1179" s="810"/>
      <c r="J1179" s="810"/>
    </row>
    <row r="1180" spans="1:10" x14ac:dyDescent="0.25">
      <c r="A1180" s="92"/>
      <c r="F1180" s="786"/>
      <c r="G1180" s="795"/>
      <c r="H1180" s="93"/>
      <c r="I1180" s="810"/>
      <c r="J1180" s="810"/>
    </row>
    <row r="1181" spans="1:10" x14ac:dyDescent="0.25">
      <c r="A1181" s="92"/>
      <c r="F1181" s="786"/>
      <c r="G1181" s="795"/>
      <c r="H1181" s="93"/>
      <c r="I1181" s="810"/>
      <c r="J1181" s="810"/>
    </row>
    <row r="1182" spans="1:10" x14ac:dyDescent="0.25">
      <c r="A1182" s="92"/>
      <c r="F1182" s="786"/>
      <c r="G1182" s="795"/>
      <c r="H1182" s="93"/>
      <c r="I1182" s="810"/>
      <c r="J1182" s="810"/>
    </row>
    <row r="1183" spans="1:10" x14ac:dyDescent="0.25">
      <c r="A1183" s="92"/>
      <c r="F1183" s="786"/>
      <c r="G1183" s="795"/>
      <c r="H1183" s="93"/>
      <c r="I1183" s="810"/>
      <c r="J1183" s="810"/>
    </row>
    <row r="1184" spans="1:10" x14ac:dyDescent="0.25">
      <c r="A1184" s="92"/>
      <c r="F1184" s="786"/>
      <c r="G1184" s="795"/>
      <c r="H1184" s="93"/>
      <c r="I1184" s="810"/>
      <c r="J1184" s="810"/>
    </row>
    <row r="1185" spans="1:10" x14ac:dyDescent="0.25">
      <c r="A1185" s="92"/>
      <c r="F1185" s="786"/>
      <c r="G1185" s="795"/>
      <c r="H1185" s="93"/>
      <c r="I1185" s="810"/>
      <c r="J1185" s="810"/>
    </row>
    <row r="1186" spans="1:10" x14ac:dyDescent="0.25">
      <c r="A1186" s="92"/>
      <c r="F1186" s="786"/>
      <c r="G1186" s="795"/>
      <c r="H1186" s="93"/>
      <c r="I1186" s="810"/>
      <c r="J1186" s="810"/>
    </row>
    <row r="1187" spans="1:10" x14ac:dyDescent="0.25">
      <c r="A1187" s="92"/>
      <c r="F1187" s="786"/>
      <c r="G1187" s="795"/>
      <c r="H1187" s="93"/>
      <c r="I1187" s="810"/>
      <c r="J1187" s="810"/>
    </row>
    <row r="1188" spans="1:10" x14ac:dyDescent="0.25">
      <c r="A1188" s="92"/>
      <c r="F1188" s="786"/>
      <c r="G1188" s="795"/>
      <c r="H1188" s="93"/>
      <c r="I1188" s="810"/>
      <c r="J1188" s="810"/>
    </row>
    <row r="1189" spans="1:10" x14ac:dyDescent="0.25">
      <c r="A1189" s="92"/>
      <c r="F1189" s="786"/>
      <c r="G1189" s="795"/>
      <c r="H1189" s="93"/>
      <c r="I1189" s="810"/>
      <c r="J1189" s="810"/>
    </row>
    <row r="1190" spans="1:10" x14ac:dyDescent="0.25">
      <c r="A1190" s="92"/>
      <c r="F1190" s="786"/>
      <c r="G1190" s="795"/>
      <c r="H1190" s="93"/>
      <c r="I1190" s="810"/>
      <c r="J1190" s="810"/>
    </row>
    <row r="1191" spans="1:10" x14ac:dyDescent="0.25">
      <c r="A1191" s="92"/>
      <c r="F1191" s="786"/>
      <c r="G1191" s="795"/>
      <c r="H1191" s="93"/>
      <c r="I1191" s="810"/>
      <c r="J1191" s="810"/>
    </row>
    <row r="1192" spans="1:10" x14ac:dyDescent="0.25">
      <c r="A1192" s="92"/>
      <c r="F1192" s="786"/>
      <c r="G1192" s="795"/>
      <c r="H1192" s="93"/>
      <c r="I1192" s="810"/>
      <c r="J1192" s="810"/>
    </row>
    <row r="1193" spans="1:10" x14ac:dyDescent="0.25">
      <c r="A1193" s="92"/>
      <c r="F1193" s="786"/>
      <c r="G1193" s="795"/>
      <c r="H1193" s="93"/>
      <c r="I1193" s="810"/>
      <c r="J1193" s="810"/>
    </row>
    <row r="1194" spans="1:10" x14ac:dyDescent="0.25">
      <c r="A1194" s="92"/>
      <c r="F1194" s="786"/>
      <c r="G1194" s="795"/>
      <c r="H1194" s="93"/>
      <c r="I1194" s="810"/>
      <c r="J1194" s="810"/>
    </row>
    <row r="1195" spans="1:10" x14ac:dyDescent="0.25">
      <c r="A1195" s="92"/>
      <c r="F1195" s="786"/>
      <c r="G1195" s="795"/>
      <c r="H1195" s="93"/>
      <c r="I1195" s="810"/>
      <c r="J1195" s="810"/>
    </row>
    <row r="1196" spans="1:10" x14ac:dyDescent="0.25">
      <c r="A1196" s="92"/>
      <c r="F1196" s="786"/>
      <c r="G1196" s="795"/>
      <c r="H1196" s="93"/>
      <c r="I1196" s="810"/>
      <c r="J1196" s="810"/>
    </row>
    <row r="1197" spans="1:10" x14ac:dyDescent="0.25">
      <c r="A1197" s="92"/>
      <c r="F1197" s="786"/>
      <c r="G1197" s="795"/>
      <c r="H1197" s="93"/>
      <c r="I1197" s="810"/>
      <c r="J1197" s="810"/>
    </row>
    <row r="1198" spans="1:10" x14ac:dyDescent="0.25">
      <c r="A1198" s="92"/>
      <c r="F1198" s="786"/>
      <c r="G1198" s="795"/>
      <c r="H1198" s="93"/>
      <c r="I1198" s="810"/>
      <c r="J1198" s="810"/>
    </row>
    <row r="1199" spans="1:10" x14ac:dyDescent="0.25">
      <c r="A1199" s="92"/>
      <c r="F1199" s="786"/>
      <c r="G1199" s="795"/>
      <c r="H1199" s="93"/>
      <c r="I1199" s="810"/>
      <c r="J1199" s="810"/>
    </row>
    <row r="1200" spans="1:10" x14ac:dyDescent="0.25">
      <c r="A1200" s="92"/>
      <c r="F1200" s="786"/>
      <c r="G1200" s="795"/>
      <c r="H1200" s="93"/>
      <c r="I1200" s="810"/>
      <c r="J1200" s="810"/>
    </row>
    <row r="1201" spans="1:10" x14ac:dyDescent="0.25">
      <c r="A1201" s="92"/>
      <c r="F1201" s="786"/>
      <c r="G1201" s="795"/>
      <c r="H1201" s="93"/>
      <c r="I1201" s="810"/>
      <c r="J1201" s="810"/>
    </row>
    <row r="1202" spans="1:10" x14ac:dyDescent="0.25">
      <c r="A1202" s="92"/>
      <c r="F1202" s="786"/>
      <c r="G1202" s="795"/>
      <c r="H1202" s="93"/>
      <c r="I1202" s="810"/>
      <c r="J1202" s="810"/>
    </row>
    <row r="1203" spans="1:10" x14ac:dyDescent="0.25">
      <c r="A1203" s="92"/>
      <c r="F1203" s="786"/>
      <c r="G1203" s="795"/>
      <c r="H1203" s="93"/>
      <c r="I1203" s="810"/>
      <c r="J1203" s="810"/>
    </row>
    <row r="1204" spans="1:10" x14ac:dyDescent="0.25">
      <c r="A1204" s="92"/>
      <c r="F1204" s="786"/>
      <c r="G1204" s="795"/>
      <c r="H1204" s="93"/>
      <c r="I1204" s="810"/>
      <c r="J1204" s="810"/>
    </row>
    <row r="1205" spans="1:10" x14ac:dyDescent="0.25">
      <c r="A1205" s="92"/>
      <c r="F1205" s="786"/>
      <c r="G1205" s="795"/>
      <c r="H1205" s="93"/>
      <c r="I1205" s="810"/>
      <c r="J1205" s="810"/>
    </row>
    <row r="1206" spans="1:10" x14ac:dyDescent="0.25">
      <c r="A1206" s="92"/>
      <c r="F1206" s="786"/>
      <c r="G1206" s="795"/>
      <c r="H1206" s="93"/>
      <c r="I1206" s="810"/>
      <c r="J1206" s="810"/>
    </row>
    <row r="1207" spans="1:10" x14ac:dyDescent="0.25">
      <c r="A1207" s="92"/>
      <c r="F1207" s="786"/>
      <c r="G1207" s="795"/>
      <c r="H1207" s="93"/>
      <c r="I1207" s="810"/>
      <c r="J1207" s="810"/>
    </row>
    <row r="1208" spans="1:10" x14ac:dyDescent="0.25">
      <c r="A1208" s="92"/>
      <c r="F1208" s="786"/>
      <c r="G1208" s="795"/>
      <c r="H1208" s="93"/>
      <c r="I1208" s="810"/>
      <c r="J1208" s="810"/>
    </row>
    <row r="1209" spans="1:10" x14ac:dyDescent="0.25">
      <c r="A1209" s="92"/>
      <c r="F1209" s="786"/>
      <c r="G1209" s="795"/>
      <c r="H1209" s="93"/>
      <c r="I1209" s="810"/>
      <c r="J1209" s="810"/>
    </row>
    <row r="1210" spans="1:10" x14ac:dyDescent="0.25">
      <c r="A1210" s="92"/>
      <c r="F1210" s="786"/>
      <c r="G1210" s="795"/>
      <c r="H1210" s="93"/>
      <c r="I1210" s="810"/>
      <c r="J1210" s="810"/>
    </row>
    <row r="1211" spans="1:10" x14ac:dyDescent="0.25">
      <c r="A1211" s="92"/>
      <c r="F1211" s="786"/>
      <c r="G1211" s="795"/>
      <c r="H1211" s="93"/>
      <c r="I1211" s="810"/>
      <c r="J1211" s="810"/>
    </row>
    <row r="1212" spans="1:10" x14ac:dyDescent="0.25">
      <c r="A1212" s="92"/>
      <c r="F1212" s="786"/>
      <c r="G1212" s="795"/>
      <c r="H1212" s="93"/>
      <c r="I1212" s="810"/>
      <c r="J1212" s="810"/>
    </row>
    <row r="1213" spans="1:10" x14ac:dyDescent="0.25">
      <c r="A1213" s="92"/>
      <c r="F1213" s="786"/>
      <c r="G1213" s="795"/>
      <c r="H1213" s="93"/>
      <c r="I1213" s="810"/>
      <c r="J1213" s="810"/>
    </row>
    <row r="1214" spans="1:10" x14ac:dyDescent="0.25">
      <c r="A1214" s="92"/>
      <c r="F1214" s="786"/>
      <c r="G1214" s="795"/>
      <c r="H1214" s="93"/>
      <c r="I1214" s="810"/>
      <c r="J1214" s="810"/>
    </row>
    <row r="1215" spans="1:10" x14ac:dyDescent="0.25">
      <c r="A1215" s="92"/>
      <c r="F1215" s="786"/>
      <c r="G1215" s="795"/>
      <c r="H1215" s="93"/>
      <c r="I1215" s="810"/>
      <c r="J1215" s="810"/>
    </row>
    <row r="1216" spans="1:10" x14ac:dyDescent="0.25">
      <c r="A1216" s="92"/>
      <c r="F1216" s="786"/>
      <c r="G1216" s="795"/>
      <c r="H1216" s="93"/>
      <c r="I1216" s="810"/>
      <c r="J1216" s="810"/>
    </row>
    <row r="1217" spans="1:10" x14ac:dyDescent="0.25">
      <c r="A1217" s="92"/>
      <c r="F1217" s="786"/>
      <c r="G1217" s="795"/>
      <c r="H1217" s="93"/>
      <c r="I1217" s="810"/>
      <c r="J1217" s="810"/>
    </row>
    <row r="1218" spans="1:10" x14ac:dyDescent="0.25">
      <c r="A1218" s="92"/>
      <c r="F1218" s="786"/>
      <c r="G1218" s="795"/>
      <c r="H1218" s="93"/>
      <c r="I1218" s="810"/>
      <c r="J1218" s="810"/>
    </row>
    <row r="1219" spans="1:10" x14ac:dyDescent="0.25">
      <c r="A1219" s="92"/>
      <c r="F1219" s="786"/>
      <c r="G1219" s="795"/>
      <c r="H1219" s="93"/>
      <c r="I1219" s="810"/>
      <c r="J1219" s="810"/>
    </row>
    <row r="1220" spans="1:10" x14ac:dyDescent="0.25">
      <c r="A1220" s="92"/>
      <c r="F1220" s="786"/>
      <c r="G1220" s="795"/>
      <c r="H1220" s="93"/>
      <c r="I1220" s="810"/>
      <c r="J1220" s="810"/>
    </row>
    <row r="1221" spans="1:10" x14ac:dyDescent="0.25">
      <c r="A1221" s="92"/>
      <c r="F1221" s="786"/>
      <c r="G1221" s="795"/>
      <c r="H1221" s="93"/>
      <c r="I1221" s="810"/>
      <c r="J1221" s="810"/>
    </row>
    <row r="1222" spans="1:10" x14ac:dyDescent="0.25">
      <c r="A1222" s="92"/>
      <c r="F1222" s="786"/>
      <c r="G1222" s="795"/>
      <c r="H1222" s="93"/>
      <c r="I1222" s="810"/>
      <c r="J1222" s="810"/>
    </row>
    <row r="1223" spans="1:10" x14ac:dyDescent="0.25">
      <c r="A1223" s="92"/>
      <c r="F1223" s="786"/>
      <c r="G1223" s="795"/>
      <c r="H1223" s="93"/>
      <c r="I1223" s="810"/>
      <c r="J1223" s="810"/>
    </row>
    <row r="1224" spans="1:10" x14ac:dyDescent="0.25">
      <c r="A1224" s="92"/>
      <c r="F1224" s="786"/>
      <c r="G1224" s="795"/>
      <c r="H1224" s="93"/>
      <c r="I1224" s="810"/>
      <c r="J1224" s="810"/>
    </row>
    <row r="1225" spans="1:10" x14ac:dyDescent="0.25">
      <c r="A1225" s="92"/>
      <c r="F1225" s="786"/>
      <c r="G1225" s="795"/>
      <c r="H1225" s="93"/>
      <c r="I1225" s="810"/>
      <c r="J1225" s="810"/>
    </row>
    <row r="1226" spans="1:10" x14ac:dyDescent="0.25">
      <c r="A1226" s="92"/>
      <c r="F1226" s="786"/>
      <c r="G1226" s="795"/>
      <c r="H1226" s="93"/>
      <c r="I1226" s="810"/>
      <c r="J1226" s="810"/>
    </row>
    <row r="1227" spans="1:10" x14ac:dyDescent="0.25">
      <c r="A1227" s="92"/>
      <c r="F1227" s="786"/>
      <c r="G1227" s="795"/>
      <c r="H1227" s="93"/>
      <c r="I1227" s="810"/>
      <c r="J1227" s="810"/>
    </row>
    <row r="1228" spans="1:10" x14ac:dyDescent="0.25">
      <c r="A1228" s="92"/>
      <c r="F1228" s="786"/>
      <c r="G1228" s="795"/>
      <c r="H1228" s="93"/>
      <c r="I1228" s="810"/>
      <c r="J1228" s="810"/>
    </row>
    <row r="1229" spans="1:10" x14ac:dyDescent="0.25">
      <c r="A1229" s="92"/>
      <c r="F1229" s="786"/>
      <c r="G1229" s="795"/>
      <c r="H1229" s="93"/>
      <c r="I1229" s="810"/>
      <c r="J1229" s="810"/>
    </row>
    <row r="1230" spans="1:10" x14ac:dyDescent="0.25">
      <c r="A1230" s="92"/>
      <c r="F1230" s="786"/>
      <c r="G1230" s="795"/>
      <c r="H1230" s="93"/>
      <c r="I1230" s="810"/>
      <c r="J1230" s="810"/>
    </row>
    <row r="1231" spans="1:10" x14ac:dyDescent="0.25">
      <c r="A1231" s="92"/>
      <c r="F1231" s="786"/>
      <c r="G1231" s="795"/>
      <c r="H1231" s="93"/>
      <c r="I1231" s="810"/>
      <c r="J1231" s="810"/>
    </row>
    <row r="1232" spans="1:10" x14ac:dyDescent="0.25">
      <c r="A1232" s="92"/>
      <c r="F1232" s="786"/>
      <c r="G1232" s="795"/>
      <c r="H1232" s="93"/>
      <c r="I1232" s="810"/>
      <c r="J1232" s="810"/>
    </row>
    <row r="1233" spans="1:10" x14ac:dyDescent="0.25">
      <c r="A1233" s="92"/>
      <c r="F1233" s="786"/>
      <c r="G1233" s="795"/>
      <c r="H1233" s="93"/>
      <c r="I1233" s="810"/>
      <c r="J1233" s="810"/>
    </row>
    <row r="1234" spans="1:10" x14ac:dyDescent="0.25">
      <c r="A1234" s="92"/>
      <c r="F1234" s="786"/>
      <c r="G1234" s="795"/>
      <c r="H1234" s="93"/>
      <c r="I1234" s="810"/>
      <c r="J1234" s="810"/>
    </row>
    <row r="1235" spans="1:10" x14ac:dyDescent="0.25">
      <c r="A1235" s="92"/>
      <c r="F1235" s="786"/>
      <c r="G1235" s="795"/>
      <c r="H1235" s="93"/>
      <c r="I1235" s="810"/>
      <c r="J1235" s="810"/>
    </row>
    <row r="1236" spans="1:10" x14ac:dyDescent="0.25">
      <c r="A1236" s="92"/>
      <c r="F1236" s="786"/>
      <c r="G1236" s="795"/>
      <c r="H1236" s="93"/>
      <c r="I1236" s="810"/>
      <c r="J1236" s="810"/>
    </row>
    <row r="1237" spans="1:10" x14ac:dyDescent="0.25">
      <c r="A1237" s="92"/>
      <c r="F1237" s="786"/>
      <c r="G1237" s="795"/>
      <c r="H1237" s="93"/>
      <c r="I1237" s="810"/>
      <c r="J1237" s="810"/>
    </row>
    <row r="1238" spans="1:10" x14ac:dyDescent="0.25">
      <c r="A1238" s="92"/>
      <c r="F1238" s="786"/>
      <c r="G1238" s="795"/>
      <c r="H1238" s="93"/>
      <c r="I1238" s="810"/>
      <c r="J1238" s="810"/>
    </row>
    <row r="1239" spans="1:10" x14ac:dyDescent="0.25">
      <c r="A1239" s="92"/>
      <c r="F1239" s="786"/>
      <c r="G1239" s="795"/>
      <c r="H1239" s="93"/>
      <c r="I1239" s="810"/>
      <c r="J1239" s="810"/>
    </row>
    <row r="1240" spans="1:10" x14ac:dyDescent="0.25">
      <c r="A1240" s="92"/>
      <c r="F1240" s="786"/>
      <c r="G1240" s="795"/>
      <c r="H1240" s="93"/>
      <c r="I1240" s="810"/>
      <c r="J1240" s="810"/>
    </row>
    <row r="1241" spans="1:10" x14ac:dyDescent="0.25">
      <c r="A1241" s="92"/>
      <c r="F1241" s="786"/>
      <c r="G1241" s="795"/>
      <c r="H1241" s="93"/>
      <c r="I1241" s="810"/>
      <c r="J1241" s="810"/>
    </row>
    <row r="1242" spans="1:10" x14ac:dyDescent="0.25">
      <c r="A1242" s="92"/>
      <c r="F1242" s="786"/>
      <c r="G1242" s="795"/>
      <c r="H1242" s="93"/>
      <c r="I1242" s="810"/>
      <c r="J1242" s="810"/>
    </row>
    <row r="1243" spans="1:10" x14ac:dyDescent="0.25">
      <c r="A1243" s="92"/>
      <c r="F1243" s="786"/>
      <c r="G1243" s="795"/>
      <c r="H1243" s="93"/>
      <c r="I1243" s="810"/>
      <c r="J1243" s="810"/>
    </row>
    <row r="1244" spans="1:10" x14ac:dyDescent="0.25">
      <c r="A1244" s="92"/>
      <c r="F1244" s="786"/>
      <c r="G1244" s="795"/>
      <c r="H1244" s="93"/>
      <c r="I1244" s="810"/>
      <c r="J1244" s="810"/>
    </row>
    <row r="1245" spans="1:10" x14ac:dyDescent="0.25">
      <c r="A1245" s="92"/>
      <c r="F1245" s="786"/>
      <c r="G1245" s="795"/>
      <c r="H1245" s="93"/>
      <c r="I1245" s="810"/>
      <c r="J1245" s="810"/>
    </row>
    <row r="1246" spans="1:10" x14ac:dyDescent="0.25">
      <c r="A1246" s="92"/>
      <c r="F1246" s="786"/>
      <c r="G1246" s="795"/>
      <c r="H1246" s="93"/>
      <c r="I1246" s="810"/>
      <c r="J1246" s="810"/>
    </row>
    <row r="1247" spans="1:10" x14ac:dyDescent="0.25">
      <c r="A1247" s="92"/>
      <c r="F1247" s="786"/>
      <c r="G1247" s="795"/>
      <c r="H1247" s="93"/>
      <c r="I1247" s="810"/>
      <c r="J1247" s="810"/>
    </row>
    <row r="1248" spans="1:10" x14ac:dyDescent="0.25">
      <c r="A1248" s="92"/>
      <c r="F1248" s="786"/>
      <c r="G1248" s="795"/>
      <c r="H1248" s="93"/>
      <c r="I1248" s="810"/>
      <c r="J1248" s="810"/>
    </row>
    <row r="1249" spans="1:10" x14ac:dyDescent="0.25">
      <c r="A1249" s="92"/>
      <c r="F1249" s="786"/>
      <c r="G1249" s="795"/>
      <c r="H1249" s="93"/>
      <c r="I1249" s="810"/>
      <c r="J1249" s="810"/>
    </row>
    <row r="1250" spans="1:10" x14ac:dyDescent="0.25">
      <c r="A1250" s="92"/>
      <c r="F1250" s="786"/>
      <c r="G1250" s="795"/>
      <c r="H1250" s="93"/>
      <c r="I1250" s="810"/>
      <c r="J1250" s="810"/>
    </row>
    <row r="1251" spans="1:10" x14ac:dyDescent="0.25">
      <c r="A1251" s="92"/>
      <c r="F1251" s="786"/>
      <c r="G1251" s="795"/>
      <c r="H1251" s="93"/>
      <c r="I1251" s="810"/>
      <c r="J1251" s="810"/>
    </row>
    <row r="1252" spans="1:10" x14ac:dyDescent="0.25">
      <c r="A1252" s="92"/>
      <c r="F1252" s="786"/>
      <c r="G1252" s="795"/>
      <c r="H1252" s="93"/>
      <c r="I1252" s="810"/>
      <c r="J1252" s="810"/>
    </row>
    <row r="1253" spans="1:10" x14ac:dyDescent="0.25">
      <c r="A1253" s="92"/>
      <c r="F1253" s="786"/>
      <c r="G1253" s="795"/>
      <c r="H1253" s="93"/>
      <c r="I1253" s="810"/>
      <c r="J1253" s="810"/>
    </row>
    <row r="1254" spans="1:10" x14ac:dyDescent="0.25">
      <c r="A1254" s="92"/>
      <c r="F1254" s="786"/>
      <c r="G1254" s="795"/>
      <c r="H1254" s="93"/>
      <c r="I1254" s="810"/>
      <c r="J1254" s="810"/>
    </row>
    <row r="1255" spans="1:10" x14ac:dyDescent="0.25">
      <c r="A1255" s="92"/>
      <c r="F1255" s="786"/>
      <c r="G1255" s="795"/>
      <c r="H1255" s="93"/>
      <c r="I1255" s="810"/>
      <c r="J1255" s="810"/>
    </row>
    <row r="1256" spans="1:10" x14ac:dyDescent="0.25">
      <c r="A1256" s="92"/>
      <c r="F1256" s="786"/>
      <c r="G1256" s="795"/>
      <c r="H1256" s="93"/>
      <c r="I1256" s="810"/>
      <c r="J1256" s="810"/>
    </row>
    <row r="1257" spans="1:10" x14ac:dyDescent="0.25">
      <c r="A1257" s="92"/>
      <c r="F1257" s="786"/>
      <c r="G1257" s="795"/>
      <c r="H1257" s="93"/>
      <c r="I1257" s="810"/>
      <c r="J1257" s="810"/>
    </row>
    <row r="1258" spans="1:10" x14ac:dyDescent="0.25">
      <c r="A1258" s="92"/>
      <c r="F1258" s="786"/>
      <c r="G1258" s="795"/>
      <c r="H1258" s="93"/>
      <c r="I1258" s="810"/>
      <c r="J1258" s="810"/>
    </row>
    <row r="1259" spans="1:10" x14ac:dyDescent="0.25">
      <c r="A1259" s="92"/>
      <c r="F1259" s="786"/>
      <c r="G1259" s="795"/>
      <c r="H1259" s="93"/>
      <c r="I1259" s="810"/>
      <c r="J1259" s="810"/>
    </row>
    <row r="1260" spans="1:10" x14ac:dyDescent="0.25">
      <c r="A1260" s="92"/>
      <c r="F1260" s="786"/>
      <c r="G1260" s="795"/>
      <c r="H1260" s="93"/>
      <c r="I1260" s="810"/>
      <c r="J1260" s="810"/>
    </row>
    <row r="1261" spans="1:10" x14ac:dyDescent="0.25">
      <c r="A1261" s="92"/>
      <c r="F1261" s="786"/>
      <c r="G1261" s="795"/>
      <c r="H1261" s="93"/>
      <c r="I1261" s="810"/>
      <c r="J1261" s="810"/>
    </row>
    <row r="1262" spans="1:10" x14ac:dyDescent="0.25">
      <c r="A1262" s="92"/>
      <c r="F1262" s="786"/>
      <c r="G1262" s="795"/>
      <c r="H1262" s="93"/>
      <c r="I1262" s="810"/>
      <c r="J1262" s="810"/>
    </row>
    <row r="1263" spans="1:10" x14ac:dyDescent="0.25">
      <c r="A1263" s="92"/>
      <c r="F1263" s="786"/>
      <c r="G1263" s="795"/>
      <c r="H1263" s="93"/>
      <c r="I1263" s="810"/>
      <c r="J1263" s="810"/>
    </row>
    <row r="1264" spans="1:10" x14ac:dyDescent="0.25">
      <c r="A1264" s="92"/>
      <c r="F1264" s="786"/>
      <c r="G1264" s="795"/>
      <c r="H1264" s="93"/>
      <c r="I1264" s="810"/>
      <c r="J1264" s="810"/>
    </row>
    <row r="1265" spans="1:10" x14ac:dyDescent="0.25">
      <c r="A1265" s="92"/>
      <c r="F1265" s="786"/>
      <c r="G1265" s="795"/>
      <c r="H1265" s="93"/>
      <c r="I1265" s="810"/>
      <c r="J1265" s="810"/>
    </row>
    <row r="1266" spans="1:10" x14ac:dyDescent="0.25">
      <c r="A1266" s="92"/>
      <c r="F1266" s="786"/>
      <c r="G1266" s="795"/>
      <c r="H1266" s="93"/>
      <c r="I1266" s="810"/>
      <c r="J1266" s="810"/>
    </row>
    <row r="1267" spans="1:10" x14ac:dyDescent="0.25">
      <c r="A1267" s="92"/>
      <c r="F1267" s="786"/>
      <c r="G1267" s="795"/>
      <c r="H1267" s="93"/>
      <c r="I1267" s="810"/>
      <c r="J1267" s="810"/>
    </row>
    <row r="1268" spans="1:10" x14ac:dyDescent="0.25">
      <c r="A1268" s="92"/>
      <c r="F1268" s="786"/>
      <c r="G1268" s="795"/>
      <c r="H1268" s="93"/>
      <c r="I1268" s="810"/>
      <c r="J1268" s="810"/>
    </row>
    <row r="1269" spans="1:10" x14ac:dyDescent="0.25">
      <c r="A1269" s="92"/>
      <c r="F1269" s="786"/>
      <c r="G1269" s="795"/>
      <c r="H1269" s="93"/>
      <c r="I1269" s="810"/>
      <c r="J1269" s="810"/>
    </row>
    <row r="1270" spans="1:10" x14ac:dyDescent="0.25">
      <c r="A1270" s="92"/>
      <c r="F1270" s="786"/>
      <c r="G1270" s="795"/>
      <c r="H1270" s="93"/>
      <c r="I1270" s="810"/>
      <c r="J1270" s="810"/>
    </row>
    <row r="1271" spans="1:10" x14ac:dyDescent="0.25">
      <c r="A1271" s="92"/>
      <c r="F1271" s="786"/>
      <c r="G1271" s="795"/>
      <c r="H1271" s="93"/>
      <c r="I1271" s="810"/>
      <c r="J1271" s="810"/>
    </row>
    <row r="1272" spans="1:10" x14ac:dyDescent="0.25">
      <c r="A1272" s="92"/>
      <c r="F1272" s="786"/>
      <c r="G1272" s="795"/>
      <c r="H1272" s="93"/>
      <c r="I1272" s="810"/>
      <c r="J1272" s="810"/>
    </row>
    <row r="1273" spans="1:10" x14ac:dyDescent="0.25">
      <c r="A1273" s="92"/>
      <c r="F1273" s="786"/>
      <c r="G1273" s="795"/>
      <c r="H1273" s="93"/>
      <c r="I1273" s="810"/>
      <c r="J1273" s="810"/>
    </row>
    <row r="1274" spans="1:10" x14ac:dyDescent="0.25">
      <c r="A1274" s="92"/>
      <c r="F1274" s="786"/>
      <c r="G1274" s="795"/>
      <c r="H1274" s="93"/>
      <c r="I1274" s="810"/>
      <c r="J1274" s="810"/>
    </row>
    <row r="1275" spans="1:10" x14ac:dyDescent="0.25">
      <c r="A1275" s="92"/>
      <c r="F1275" s="786"/>
      <c r="G1275" s="795"/>
      <c r="H1275" s="93"/>
      <c r="I1275" s="810"/>
      <c r="J1275" s="810"/>
    </row>
    <row r="1276" spans="1:10" x14ac:dyDescent="0.25">
      <c r="A1276" s="92"/>
      <c r="F1276" s="786"/>
      <c r="G1276" s="795"/>
      <c r="H1276" s="93"/>
      <c r="I1276" s="810"/>
      <c r="J1276" s="810"/>
    </row>
    <row r="1277" spans="1:10" x14ac:dyDescent="0.25">
      <c r="A1277" s="92"/>
      <c r="F1277" s="786"/>
      <c r="G1277" s="795"/>
      <c r="H1277" s="93"/>
      <c r="I1277" s="810"/>
      <c r="J1277" s="810"/>
    </row>
    <row r="1278" spans="1:10" x14ac:dyDescent="0.25">
      <c r="A1278" s="92"/>
      <c r="F1278" s="786"/>
      <c r="G1278" s="795"/>
      <c r="H1278" s="93"/>
      <c r="I1278" s="810"/>
      <c r="J1278" s="810"/>
    </row>
    <row r="1279" spans="1:10" x14ac:dyDescent="0.25">
      <c r="A1279" s="92"/>
      <c r="F1279" s="786"/>
      <c r="G1279" s="795"/>
      <c r="H1279" s="93"/>
      <c r="I1279" s="810"/>
      <c r="J1279" s="810"/>
    </row>
    <row r="1280" spans="1:10" x14ac:dyDescent="0.25">
      <c r="A1280" s="92"/>
      <c r="F1280" s="786"/>
      <c r="G1280" s="795"/>
      <c r="H1280" s="93"/>
      <c r="I1280" s="810"/>
      <c r="J1280" s="810"/>
    </row>
    <row r="1281" spans="1:10" x14ac:dyDescent="0.25">
      <c r="A1281" s="92"/>
      <c r="F1281" s="786"/>
      <c r="G1281" s="795"/>
      <c r="H1281" s="93"/>
      <c r="I1281" s="810"/>
      <c r="J1281" s="810"/>
    </row>
    <row r="1282" spans="1:10" x14ac:dyDescent="0.25">
      <c r="A1282" s="92"/>
      <c r="F1282" s="786"/>
      <c r="G1282" s="795"/>
      <c r="H1282" s="93"/>
      <c r="I1282" s="810"/>
      <c r="J1282" s="810"/>
    </row>
    <row r="1283" spans="1:10" x14ac:dyDescent="0.25">
      <c r="A1283" s="92"/>
      <c r="F1283" s="786"/>
      <c r="G1283" s="795"/>
      <c r="H1283" s="93"/>
      <c r="I1283" s="810"/>
      <c r="J1283" s="810"/>
    </row>
    <row r="1284" spans="1:10" x14ac:dyDescent="0.25">
      <c r="A1284" s="92"/>
      <c r="F1284" s="786"/>
      <c r="G1284" s="795"/>
      <c r="H1284" s="93"/>
      <c r="I1284" s="810"/>
      <c r="J1284" s="810"/>
    </row>
    <row r="1285" spans="1:10" x14ac:dyDescent="0.25">
      <c r="A1285" s="92"/>
      <c r="F1285" s="786"/>
      <c r="G1285" s="795"/>
      <c r="H1285" s="93"/>
      <c r="I1285" s="810"/>
      <c r="J1285" s="810"/>
    </row>
    <row r="1286" spans="1:10" x14ac:dyDescent="0.25">
      <c r="A1286" s="92"/>
      <c r="F1286" s="786"/>
      <c r="G1286" s="795"/>
      <c r="H1286" s="93"/>
      <c r="I1286" s="810"/>
      <c r="J1286" s="810"/>
    </row>
    <row r="1287" spans="1:10" x14ac:dyDescent="0.25">
      <c r="A1287" s="92"/>
      <c r="F1287" s="786"/>
      <c r="G1287" s="795"/>
      <c r="H1287" s="93"/>
      <c r="I1287" s="810"/>
      <c r="J1287" s="810"/>
    </row>
    <row r="1288" spans="1:10" x14ac:dyDescent="0.25">
      <c r="A1288" s="92"/>
      <c r="F1288" s="786"/>
      <c r="G1288" s="795"/>
      <c r="H1288" s="93"/>
      <c r="I1288" s="810"/>
      <c r="J1288" s="810"/>
    </row>
    <row r="1289" spans="1:10" x14ac:dyDescent="0.25">
      <c r="A1289" s="92"/>
      <c r="F1289" s="786"/>
      <c r="G1289" s="795"/>
      <c r="H1289" s="93"/>
      <c r="I1289" s="810"/>
      <c r="J1289" s="810"/>
    </row>
    <row r="1290" spans="1:10" x14ac:dyDescent="0.25">
      <c r="A1290" s="92"/>
      <c r="F1290" s="786"/>
      <c r="G1290" s="795"/>
      <c r="H1290" s="93"/>
      <c r="I1290" s="810"/>
      <c r="J1290" s="810"/>
    </row>
    <row r="1291" spans="1:10" x14ac:dyDescent="0.25">
      <c r="A1291" s="92"/>
      <c r="F1291" s="786"/>
      <c r="G1291" s="795"/>
      <c r="H1291" s="93"/>
      <c r="I1291" s="810"/>
      <c r="J1291" s="810"/>
    </row>
    <row r="1292" spans="1:10" x14ac:dyDescent="0.25">
      <c r="A1292" s="92"/>
      <c r="F1292" s="786"/>
      <c r="G1292" s="795"/>
      <c r="H1292" s="93"/>
      <c r="I1292" s="810"/>
      <c r="J1292" s="810"/>
    </row>
    <row r="1293" spans="1:10" x14ac:dyDescent="0.25">
      <c r="A1293" s="92"/>
      <c r="F1293" s="786"/>
      <c r="G1293" s="795"/>
      <c r="H1293" s="93"/>
      <c r="I1293" s="810"/>
      <c r="J1293" s="810"/>
    </row>
    <row r="1294" spans="1:10" x14ac:dyDescent="0.25">
      <c r="A1294" s="92"/>
      <c r="F1294" s="786"/>
      <c r="G1294" s="795"/>
      <c r="H1294" s="93"/>
      <c r="I1294" s="810"/>
      <c r="J1294" s="810"/>
    </row>
    <row r="1295" spans="1:10" x14ac:dyDescent="0.25">
      <c r="A1295" s="92"/>
      <c r="F1295" s="786"/>
      <c r="G1295" s="795"/>
      <c r="H1295" s="93"/>
      <c r="I1295" s="810"/>
      <c r="J1295" s="810"/>
    </row>
    <row r="1296" spans="1:10" x14ac:dyDescent="0.25">
      <c r="A1296" s="92"/>
      <c r="F1296" s="786"/>
      <c r="G1296" s="795"/>
      <c r="H1296" s="93"/>
      <c r="I1296" s="810"/>
      <c r="J1296" s="810"/>
    </row>
    <row r="1297" spans="1:10" x14ac:dyDescent="0.25">
      <c r="A1297" s="92"/>
      <c r="F1297" s="786"/>
      <c r="G1297" s="795"/>
      <c r="H1297" s="93"/>
      <c r="I1297" s="810"/>
      <c r="J1297" s="810"/>
    </row>
    <row r="1298" spans="1:10" x14ac:dyDescent="0.25">
      <c r="A1298" s="92"/>
      <c r="F1298" s="786"/>
      <c r="G1298" s="795"/>
      <c r="H1298" s="93"/>
      <c r="I1298" s="810"/>
      <c r="J1298" s="810"/>
    </row>
    <row r="1299" spans="1:10" x14ac:dyDescent="0.25">
      <c r="A1299" s="92"/>
      <c r="F1299" s="786"/>
      <c r="G1299" s="795"/>
      <c r="H1299" s="93"/>
      <c r="I1299" s="810"/>
      <c r="J1299" s="810"/>
    </row>
    <row r="1300" spans="1:10" x14ac:dyDescent="0.25">
      <c r="A1300" s="92"/>
      <c r="F1300" s="786"/>
      <c r="G1300" s="795"/>
      <c r="H1300" s="93"/>
      <c r="I1300" s="810"/>
      <c r="J1300" s="810"/>
    </row>
    <row r="1301" spans="1:10" x14ac:dyDescent="0.25">
      <c r="A1301" s="92"/>
      <c r="F1301" s="786"/>
      <c r="G1301" s="795"/>
      <c r="H1301" s="93"/>
      <c r="I1301" s="810"/>
      <c r="J1301" s="810"/>
    </row>
    <row r="1302" spans="1:10" x14ac:dyDescent="0.25">
      <c r="A1302" s="92"/>
      <c r="F1302" s="786"/>
      <c r="G1302" s="795"/>
      <c r="H1302" s="93"/>
      <c r="I1302" s="810"/>
      <c r="J1302" s="810"/>
    </row>
    <row r="1303" spans="1:10" x14ac:dyDescent="0.25">
      <c r="A1303" s="92"/>
      <c r="F1303" s="786"/>
      <c r="G1303" s="795"/>
      <c r="H1303" s="93"/>
      <c r="I1303" s="810"/>
      <c r="J1303" s="810"/>
    </row>
    <row r="1304" spans="1:10" x14ac:dyDescent="0.25">
      <c r="A1304" s="92"/>
      <c r="F1304" s="786"/>
      <c r="G1304" s="795"/>
      <c r="H1304" s="93"/>
      <c r="I1304" s="810"/>
      <c r="J1304" s="810"/>
    </row>
    <row r="1305" spans="1:10" x14ac:dyDescent="0.25">
      <c r="A1305" s="92"/>
      <c r="F1305" s="786"/>
      <c r="G1305" s="795"/>
      <c r="H1305" s="93"/>
      <c r="I1305" s="810"/>
      <c r="J1305" s="810"/>
    </row>
    <row r="1306" spans="1:10" x14ac:dyDescent="0.25">
      <c r="A1306" s="92"/>
      <c r="F1306" s="786"/>
      <c r="G1306" s="795"/>
      <c r="H1306" s="93"/>
      <c r="I1306" s="810"/>
      <c r="J1306" s="810"/>
    </row>
    <row r="1307" spans="1:10" x14ac:dyDescent="0.25">
      <c r="A1307" s="92"/>
      <c r="F1307" s="786"/>
      <c r="G1307" s="795"/>
      <c r="H1307" s="93"/>
      <c r="I1307" s="810"/>
      <c r="J1307" s="810"/>
    </row>
    <row r="1308" spans="1:10" x14ac:dyDescent="0.25">
      <c r="A1308" s="92"/>
      <c r="F1308" s="786"/>
      <c r="G1308" s="795"/>
      <c r="H1308" s="93"/>
      <c r="I1308" s="810"/>
      <c r="J1308" s="810"/>
    </row>
    <row r="1309" spans="1:10" x14ac:dyDescent="0.25">
      <c r="A1309" s="92"/>
      <c r="F1309" s="786"/>
      <c r="G1309" s="795"/>
      <c r="H1309" s="93"/>
      <c r="I1309" s="810"/>
      <c r="J1309" s="810"/>
    </row>
    <row r="1310" spans="1:10" x14ac:dyDescent="0.25">
      <c r="A1310" s="92"/>
      <c r="F1310" s="786"/>
      <c r="G1310" s="795"/>
      <c r="H1310" s="93"/>
      <c r="I1310" s="810"/>
      <c r="J1310" s="810"/>
    </row>
    <row r="1311" spans="1:10" x14ac:dyDescent="0.25">
      <c r="A1311" s="92"/>
      <c r="F1311" s="786"/>
      <c r="G1311" s="795"/>
      <c r="H1311" s="93"/>
      <c r="I1311" s="810"/>
      <c r="J1311" s="810"/>
    </row>
    <row r="1312" spans="1:10" x14ac:dyDescent="0.25">
      <c r="A1312" s="92"/>
      <c r="F1312" s="786"/>
      <c r="G1312" s="795"/>
      <c r="H1312" s="93"/>
      <c r="I1312" s="810"/>
      <c r="J1312" s="810"/>
    </row>
    <row r="1313" spans="1:10" x14ac:dyDescent="0.25">
      <c r="A1313" s="92"/>
      <c r="F1313" s="786"/>
      <c r="G1313" s="795"/>
      <c r="H1313" s="93"/>
      <c r="I1313" s="810"/>
      <c r="J1313" s="810"/>
    </row>
    <row r="1314" spans="1:10" x14ac:dyDescent="0.25">
      <c r="A1314" s="92"/>
      <c r="F1314" s="786"/>
      <c r="G1314" s="795"/>
      <c r="H1314" s="93"/>
      <c r="I1314" s="810"/>
      <c r="J1314" s="810"/>
    </row>
    <row r="1315" spans="1:10" x14ac:dyDescent="0.25">
      <c r="A1315" s="92"/>
      <c r="F1315" s="786"/>
      <c r="G1315" s="795"/>
      <c r="H1315" s="93"/>
      <c r="I1315" s="810"/>
      <c r="J1315" s="810"/>
    </row>
    <row r="1316" spans="1:10" x14ac:dyDescent="0.25">
      <c r="A1316" s="92"/>
      <c r="F1316" s="786"/>
      <c r="G1316" s="795"/>
      <c r="H1316" s="93"/>
      <c r="I1316" s="810"/>
      <c r="J1316" s="810"/>
    </row>
    <row r="1317" spans="1:10" x14ac:dyDescent="0.25">
      <c r="A1317" s="92"/>
      <c r="F1317" s="786"/>
      <c r="G1317" s="795"/>
      <c r="H1317" s="93"/>
      <c r="I1317" s="810"/>
      <c r="J1317" s="810"/>
    </row>
    <row r="1318" spans="1:10" x14ac:dyDescent="0.25">
      <c r="A1318" s="92"/>
      <c r="F1318" s="786"/>
      <c r="G1318" s="795"/>
      <c r="H1318" s="93"/>
      <c r="I1318" s="810"/>
      <c r="J1318" s="810"/>
    </row>
    <row r="1319" spans="1:10" x14ac:dyDescent="0.25">
      <c r="A1319" s="92"/>
      <c r="F1319" s="786"/>
      <c r="G1319" s="795"/>
      <c r="H1319" s="93"/>
      <c r="I1319" s="810"/>
      <c r="J1319" s="810"/>
    </row>
    <row r="1320" spans="1:10" x14ac:dyDescent="0.25">
      <c r="A1320" s="92"/>
      <c r="F1320" s="786"/>
      <c r="G1320" s="795"/>
      <c r="H1320" s="93"/>
      <c r="I1320" s="810"/>
      <c r="J1320" s="810"/>
    </row>
    <row r="1321" spans="1:10" x14ac:dyDescent="0.25">
      <c r="A1321" s="92"/>
      <c r="F1321" s="786"/>
      <c r="G1321" s="795"/>
      <c r="H1321" s="93"/>
      <c r="I1321" s="810"/>
      <c r="J1321" s="810"/>
    </row>
    <row r="1322" spans="1:10" x14ac:dyDescent="0.25">
      <c r="A1322" s="92"/>
      <c r="F1322" s="786"/>
      <c r="G1322" s="795"/>
      <c r="H1322" s="93"/>
      <c r="I1322" s="810"/>
      <c r="J1322" s="810"/>
    </row>
    <row r="1323" spans="1:10" x14ac:dyDescent="0.25">
      <c r="A1323" s="92"/>
      <c r="F1323" s="786"/>
      <c r="G1323" s="795"/>
      <c r="H1323" s="93"/>
      <c r="I1323" s="810"/>
      <c r="J1323" s="810"/>
    </row>
    <row r="1324" spans="1:10" x14ac:dyDescent="0.25">
      <c r="A1324" s="92"/>
      <c r="F1324" s="786"/>
      <c r="G1324" s="795"/>
      <c r="H1324" s="93"/>
      <c r="I1324" s="810"/>
      <c r="J1324" s="810"/>
    </row>
    <row r="1325" spans="1:10" x14ac:dyDescent="0.25">
      <c r="A1325" s="92"/>
      <c r="F1325" s="786"/>
      <c r="G1325" s="795"/>
      <c r="H1325" s="93"/>
      <c r="I1325" s="810"/>
      <c r="J1325" s="810"/>
    </row>
    <row r="1326" spans="1:10" x14ac:dyDescent="0.25">
      <c r="A1326" s="92"/>
      <c r="F1326" s="786"/>
      <c r="G1326" s="795"/>
      <c r="H1326" s="93"/>
      <c r="I1326" s="810"/>
      <c r="J1326" s="810"/>
    </row>
    <row r="1327" spans="1:10" x14ac:dyDescent="0.25">
      <c r="A1327" s="92"/>
      <c r="F1327" s="786"/>
      <c r="G1327" s="795"/>
      <c r="H1327" s="93"/>
      <c r="I1327" s="810"/>
      <c r="J1327" s="810"/>
    </row>
    <row r="1328" spans="1:10" x14ac:dyDescent="0.25">
      <c r="A1328" s="92"/>
      <c r="F1328" s="786"/>
      <c r="G1328" s="795"/>
      <c r="H1328" s="93"/>
      <c r="I1328" s="810"/>
      <c r="J1328" s="810"/>
    </row>
    <row r="1329" spans="1:10" x14ac:dyDescent="0.25">
      <c r="A1329" s="92"/>
      <c r="F1329" s="786"/>
      <c r="G1329" s="795"/>
      <c r="H1329" s="93"/>
      <c r="I1329" s="810"/>
      <c r="J1329" s="810"/>
    </row>
    <row r="1330" spans="1:10" x14ac:dyDescent="0.25">
      <c r="A1330" s="92"/>
      <c r="F1330" s="786"/>
      <c r="G1330" s="795"/>
      <c r="H1330" s="93"/>
      <c r="I1330" s="810"/>
      <c r="J1330" s="810"/>
    </row>
    <row r="1331" spans="1:10" x14ac:dyDescent="0.25">
      <c r="A1331" s="92"/>
      <c r="F1331" s="786"/>
      <c r="G1331" s="795"/>
      <c r="H1331" s="93"/>
      <c r="I1331" s="810"/>
      <c r="J1331" s="810"/>
    </row>
    <row r="1332" spans="1:10" x14ac:dyDescent="0.25">
      <c r="A1332" s="92"/>
      <c r="F1332" s="786"/>
      <c r="G1332" s="795"/>
      <c r="H1332" s="93"/>
      <c r="I1332" s="810"/>
      <c r="J1332" s="810"/>
    </row>
    <row r="1333" spans="1:10" x14ac:dyDescent="0.25">
      <c r="A1333" s="92"/>
      <c r="F1333" s="786"/>
      <c r="G1333" s="795"/>
      <c r="H1333" s="93"/>
      <c r="I1333" s="810"/>
      <c r="J1333" s="810"/>
    </row>
    <row r="1334" spans="1:10" x14ac:dyDescent="0.25">
      <c r="A1334" s="92"/>
      <c r="F1334" s="786"/>
      <c r="G1334" s="795"/>
      <c r="H1334" s="93"/>
      <c r="I1334" s="810"/>
      <c r="J1334" s="810"/>
    </row>
    <row r="1335" spans="1:10" x14ac:dyDescent="0.25">
      <c r="A1335" s="92"/>
      <c r="F1335" s="786"/>
      <c r="G1335" s="795"/>
      <c r="H1335" s="93"/>
      <c r="I1335" s="810"/>
      <c r="J1335" s="810"/>
    </row>
    <row r="1336" spans="1:10" x14ac:dyDescent="0.25">
      <c r="A1336" s="92"/>
      <c r="F1336" s="786"/>
      <c r="G1336" s="795"/>
      <c r="H1336" s="93"/>
      <c r="I1336" s="810"/>
      <c r="J1336" s="810"/>
    </row>
    <row r="1337" spans="1:10" x14ac:dyDescent="0.25">
      <c r="A1337" s="92"/>
      <c r="F1337" s="786"/>
      <c r="G1337" s="795"/>
      <c r="H1337" s="93"/>
      <c r="I1337" s="810"/>
      <c r="J1337" s="810"/>
    </row>
    <row r="1338" spans="1:10" x14ac:dyDescent="0.25">
      <c r="A1338" s="92"/>
      <c r="F1338" s="786"/>
      <c r="G1338" s="795"/>
      <c r="H1338" s="93"/>
      <c r="I1338" s="810"/>
      <c r="J1338" s="810"/>
    </row>
    <row r="1339" spans="1:10" x14ac:dyDescent="0.25">
      <c r="A1339" s="92"/>
      <c r="F1339" s="786"/>
      <c r="G1339" s="795"/>
      <c r="H1339" s="93"/>
      <c r="I1339" s="810"/>
      <c r="J1339" s="810"/>
    </row>
    <row r="1340" spans="1:10" x14ac:dyDescent="0.25">
      <c r="A1340" s="92"/>
      <c r="F1340" s="786"/>
      <c r="G1340" s="795"/>
      <c r="H1340" s="93"/>
      <c r="I1340" s="810"/>
      <c r="J1340" s="810"/>
    </row>
    <row r="1341" spans="1:10" x14ac:dyDescent="0.25">
      <c r="A1341" s="92"/>
      <c r="F1341" s="786"/>
      <c r="G1341" s="795"/>
      <c r="H1341" s="93"/>
      <c r="I1341" s="810"/>
      <c r="J1341" s="810"/>
    </row>
    <row r="1342" spans="1:10" x14ac:dyDescent="0.25">
      <c r="A1342" s="92"/>
      <c r="F1342" s="786"/>
      <c r="G1342" s="795"/>
      <c r="H1342" s="93"/>
      <c r="I1342" s="810"/>
      <c r="J1342" s="810"/>
    </row>
    <row r="1343" spans="1:10" x14ac:dyDescent="0.25">
      <c r="A1343" s="92"/>
      <c r="F1343" s="786"/>
      <c r="G1343" s="795"/>
      <c r="H1343" s="93"/>
      <c r="I1343" s="810"/>
      <c r="J1343" s="810"/>
    </row>
    <row r="1344" spans="1:10" x14ac:dyDescent="0.25">
      <c r="A1344" s="92"/>
      <c r="F1344" s="786"/>
      <c r="G1344" s="795"/>
      <c r="H1344" s="93"/>
      <c r="I1344" s="810"/>
      <c r="J1344" s="810"/>
    </row>
    <row r="1345" spans="1:10" x14ac:dyDescent="0.25">
      <c r="A1345" s="92"/>
      <c r="F1345" s="786"/>
      <c r="G1345" s="795"/>
      <c r="H1345" s="93"/>
      <c r="I1345" s="810"/>
      <c r="J1345" s="810"/>
    </row>
    <row r="1346" spans="1:10" x14ac:dyDescent="0.25">
      <c r="A1346" s="92"/>
      <c r="F1346" s="786"/>
      <c r="G1346" s="795"/>
      <c r="H1346" s="93"/>
      <c r="I1346" s="810"/>
      <c r="J1346" s="810"/>
    </row>
    <row r="1347" spans="1:10" x14ac:dyDescent="0.25">
      <c r="A1347" s="92"/>
      <c r="F1347" s="786"/>
      <c r="G1347" s="795"/>
      <c r="H1347" s="93"/>
      <c r="I1347" s="810"/>
      <c r="J1347" s="810"/>
    </row>
    <row r="1348" spans="1:10" x14ac:dyDescent="0.25">
      <c r="A1348" s="92"/>
      <c r="F1348" s="786"/>
      <c r="G1348" s="795"/>
      <c r="H1348" s="93"/>
      <c r="I1348" s="810"/>
      <c r="J1348" s="810"/>
    </row>
    <row r="1349" spans="1:10" x14ac:dyDescent="0.25">
      <c r="A1349" s="92"/>
      <c r="F1349" s="786"/>
      <c r="G1349" s="795"/>
      <c r="H1349" s="93"/>
      <c r="I1349" s="810"/>
      <c r="J1349" s="810"/>
    </row>
    <row r="1350" spans="1:10" x14ac:dyDescent="0.25">
      <c r="A1350" s="92"/>
      <c r="F1350" s="786"/>
      <c r="G1350" s="795"/>
      <c r="H1350" s="93"/>
      <c r="I1350" s="810"/>
      <c r="J1350" s="810"/>
    </row>
    <row r="1351" spans="1:10" x14ac:dyDescent="0.25">
      <c r="A1351" s="92"/>
      <c r="F1351" s="786"/>
      <c r="G1351" s="795"/>
      <c r="H1351" s="93"/>
      <c r="I1351" s="810"/>
      <c r="J1351" s="810"/>
    </row>
    <row r="1352" spans="1:10" x14ac:dyDescent="0.25">
      <c r="A1352" s="92"/>
      <c r="F1352" s="786"/>
      <c r="G1352" s="795"/>
      <c r="H1352" s="93"/>
      <c r="I1352" s="810"/>
      <c r="J1352" s="810"/>
    </row>
    <row r="1353" spans="1:10" x14ac:dyDescent="0.25">
      <c r="A1353" s="92"/>
      <c r="F1353" s="786"/>
      <c r="G1353" s="795"/>
      <c r="H1353" s="93"/>
      <c r="I1353" s="810"/>
      <c r="J1353" s="810"/>
    </row>
    <row r="1354" spans="1:10" x14ac:dyDescent="0.25">
      <c r="A1354" s="92"/>
      <c r="F1354" s="786"/>
      <c r="G1354" s="795"/>
      <c r="H1354" s="93"/>
      <c r="I1354" s="810"/>
      <c r="J1354" s="810"/>
    </row>
    <row r="1355" spans="1:10" x14ac:dyDescent="0.25">
      <c r="A1355" s="92"/>
      <c r="F1355" s="786"/>
      <c r="G1355" s="795"/>
      <c r="H1355" s="93"/>
      <c r="I1355" s="810"/>
      <c r="J1355" s="810"/>
    </row>
    <row r="1356" spans="1:10" x14ac:dyDescent="0.25">
      <c r="A1356" s="92"/>
      <c r="F1356" s="786"/>
      <c r="G1356" s="795"/>
      <c r="H1356" s="93"/>
      <c r="I1356" s="810"/>
      <c r="J1356" s="810"/>
    </row>
    <row r="1357" spans="1:10" x14ac:dyDescent="0.25">
      <c r="A1357" s="92"/>
      <c r="F1357" s="786"/>
      <c r="G1357" s="795"/>
      <c r="H1357" s="93"/>
      <c r="I1357" s="810"/>
      <c r="J1357" s="810"/>
    </row>
    <row r="1358" spans="1:10" x14ac:dyDescent="0.25">
      <c r="A1358" s="92"/>
      <c r="F1358" s="786"/>
      <c r="G1358" s="795"/>
      <c r="H1358" s="93"/>
      <c r="I1358" s="810"/>
      <c r="J1358" s="810"/>
    </row>
    <row r="1359" spans="1:10" x14ac:dyDescent="0.25">
      <c r="A1359" s="92"/>
      <c r="F1359" s="786"/>
      <c r="G1359" s="795"/>
      <c r="H1359" s="93"/>
      <c r="I1359" s="810"/>
      <c r="J1359" s="810"/>
    </row>
    <row r="1360" spans="1:10" x14ac:dyDescent="0.25">
      <c r="A1360" s="92"/>
      <c r="F1360" s="786"/>
      <c r="G1360" s="795"/>
      <c r="H1360" s="93"/>
      <c r="I1360" s="810"/>
      <c r="J1360" s="810"/>
    </row>
    <row r="1361" spans="1:10" x14ac:dyDescent="0.25">
      <c r="A1361" s="92"/>
      <c r="F1361" s="786"/>
      <c r="G1361" s="795"/>
      <c r="H1361" s="93"/>
      <c r="I1361" s="810"/>
      <c r="J1361" s="810"/>
    </row>
    <row r="1362" spans="1:10" x14ac:dyDescent="0.25">
      <c r="A1362" s="92"/>
      <c r="F1362" s="786"/>
      <c r="G1362" s="795"/>
      <c r="H1362" s="93"/>
      <c r="I1362" s="810"/>
      <c r="J1362" s="810"/>
    </row>
    <row r="1363" spans="1:10" x14ac:dyDescent="0.25">
      <c r="A1363" s="92"/>
      <c r="F1363" s="786"/>
      <c r="G1363" s="795"/>
      <c r="H1363" s="93"/>
      <c r="I1363" s="810"/>
      <c r="J1363" s="810"/>
    </row>
    <row r="1364" spans="1:10" x14ac:dyDescent="0.25">
      <c r="A1364" s="92"/>
      <c r="F1364" s="786"/>
      <c r="G1364" s="795"/>
      <c r="H1364" s="93"/>
      <c r="I1364" s="810"/>
      <c r="J1364" s="810"/>
    </row>
    <row r="1365" spans="1:10" x14ac:dyDescent="0.25">
      <c r="A1365" s="92"/>
      <c r="F1365" s="786"/>
      <c r="G1365" s="795"/>
      <c r="H1365" s="93"/>
      <c r="I1365" s="810"/>
      <c r="J1365" s="810"/>
    </row>
    <row r="1366" spans="1:10" x14ac:dyDescent="0.25">
      <c r="A1366" s="92"/>
      <c r="F1366" s="786"/>
      <c r="G1366" s="795"/>
      <c r="H1366" s="93"/>
      <c r="I1366" s="810"/>
      <c r="J1366" s="810"/>
    </row>
    <row r="1367" spans="1:10" x14ac:dyDescent="0.25">
      <c r="A1367" s="92"/>
      <c r="F1367" s="786"/>
      <c r="G1367" s="795"/>
      <c r="H1367" s="93"/>
      <c r="I1367" s="810"/>
      <c r="J1367" s="810"/>
    </row>
    <row r="1368" spans="1:10" x14ac:dyDescent="0.25">
      <c r="A1368" s="92"/>
      <c r="F1368" s="786"/>
      <c r="G1368" s="795"/>
      <c r="H1368" s="93"/>
      <c r="I1368" s="810"/>
      <c r="J1368" s="810"/>
    </row>
    <row r="1369" spans="1:10" x14ac:dyDescent="0.25">
      <c r="A1369" s="92"/>
      <c r="F1369" s="786"/>
      <c r="G1369" s="795"/>
      <c r="H1369" s="93"/>
      <c r="I1369" s="810"/>
      <c r="J1369" s="810"/>
    </row>
    <row r="1370" spans="1:10" x14ac:dyDescent="0.25">
      <c r="A1370" s="92"/>
      <c r="F1370" s="786"/>
      <c r="G1370" s="795"/>
      <c r="H1370" s="93"/>
      <c r="I1370" s="810"/>
      <c r="J1370" s="810"/>
    </row>
    <row r="1371" spans="1:10" x14ac:dyDescent="0.25">
      <c r="A1371" s="92"/>
      <c r="F1371" s="786"/>
      <c r="G1371" s="795"/>
      <c r="H1371" s="93"/>
      <c r="I1371" s="810"/>
      <c r="J1371" s="810"/>
    </row>
    <row r="1372" spans="1:10" x14ac:dyDescent="0.25">
      <c r="A1372" s="92"/>
      <c r="F1372" s="786"/>
      <c r="G1372" s="795"/>
      <c r="H1372" s="93"/>
      <c r="I1372" s="810"/>
      <c r="J1372" s="810"/>
    </row>
    <row r="1373" spans="1:10" x14ac:dyDescent="0.25">
      <c r="A1373" s="92"/>
      <c r="F1373" s="786"/>
      <c r="G1373" s="795"/>
      <c r="H1373" s="93"/>
      <c r="I1373" s="810"/>
      <c r="J1373" s="810"/>
    </row>
    <row r="1374" spans="1:10" x14ac:dyDescent="0.25">
      <c r="A1374" s="92"/>
      <c r="F1374" s="786"/>
      <c r="G1374" s="795"/>
      <c r="H1374" s="93"/>
      <c r="I1374" s="810"/>
      <c r="J1374" s="810"/>
    </row>
    <row r="1375" spans="1:10" x14ac:dyDescent="0.25">
      <c r="A1375" s="92"/>
      <c r="F1375" s="786"/>
      <c r="G1375" s="795"/>
      <c r="H1375" s="93"/>
      <c r="I1375" s="810"/>
      <c r="J1375" s="810"/>
    </row>
    <row r="1376" spans="1:10" x14ac:dyDescent="0.25">
      <c r="A1376" s="92"/>
      <c r="F1376" s="786"/>
      <c r="G1376" s="795"/>
      <c r="H1376" s="93"/>
      <c r="I1376" s="810"/>
      <c r="J1376" s="810"/>
    </row>
    <row r="1377" spans="1:10" x14ac:dyDescent="0.25">
      <c r="A1377" s="92"/>
      <c r="F1377" s="786"/>
      <c r="G1377" s="795"/>
      <c r="H1377" s="93"/>
      <c r="I1377" s="810"/>
      <c r="J1377" s="810"/>
    </row>
    <row r="1378" spans="1:10" x14ac:dyDescent="0.25">
      <c r="A1378" s="92"/>
      <c r="F1378" s="786"/>
      <c r="G1378" s="795"/>
      <c r="H1378" s="93"/>
      <c r="I1378" s="810"/>
      <c r="J1378" s="810"/>
    </row>
    <row r="1379" spans="1:10" x14ac:dyDescent="0.25">
      <c r="A1379" s="92"/>
      <c r="F1379" s="786"/>
      <c r="G1379" s="795"/>
      <c r="H1379" s="93"/>
      <c r="I1379" s="810"/>
      <c r="J1379" s="810"/>
    </row>
    <row r="1380" spans="1:10" x14ac:dyDescent="0.25">
      <c r="A1380" s="92"/>
      <c r="F1380" s="786"/>
      <c r="G1380" s="795"/>
      <c r="H1380" s="93"/>
      <c r="I1380" s="810"/>
      <c r="J1380" s="810"/>
    </row>
    <row r="1381" spans="1:10" x14ac:dyDescent="0.25">
      <c r="A1381" s="92"/>
      <c r="F1381" s="786"/>
      <c r="G1381" s="795"/>
      <c r="H1381" s="93"/>
      <c r="I1381" s="810"/>
      <c r="J1381" s="810"/>
    </row>
    <row r="1382" spans="1:10" x14ac:dyDescent="0.25">
      <c r="A1382" s="92"/>
      <c r="F1382" s="786"/>
      <c r="G1382" s="795"/>
      <c r="H1382" s="93"/>
      <c r="I1382" s="810"/>
      <c r="J1382" s="810"/>
    </row>
    <row r="1383" spans="1:10" x14ac:dyDescent="0.25">
      <c r="A1383" s="92"/>
      <c r="F1383" s="786"/>
      <c r="G1383" s="795"/>
      <c r="H1383" s="93"/>
      <c r="I1383" s="810"/>
      <c r="J1383" s="810"/>
    </row>
    <row r="1384" spans="1:10" x14ac:dyDescent="0.25">
      <c r="A1384" s="92"/>
      <c r="F1384" s="786"/>
      <c r="G1384" s="795"/>
      <c r="H1384" s="93"/>
      <c r="I1384" s="810"/>
      <c r="J1384" s="810"/>
    </row>
    <row r="1385" spans="1:10" x14ac:dyDescent="0.25">
      <c r="A1385" s="92"/>
      <c r="F1385" s="786"/>
      <c r="G1385" s="795"/>
      <c r="H1385" s="93"/>
      <c r="I1385" s="810"/>
      <c r="J1385" s="810"/>
    </row>
    <row r="1386" spans="1:10" x14ac:dyDescent="0.25">
      <c r="A1386" s="92"/>
      <c r="F1386" s="786"/>
      <c r="G1386" s="795"/>
      <c r="H1386" s="93"/>
      <c r="I1386" s="810"/>
      <c r="J1386" s="810"/>
    </row>
    <row r="1387" spans="1:10" x14ac:dyDescent="0.25">
      <c r="A1387" s="92"/>
      <c r="F1387" s="786"/>
      <c r="G1387" s="795"/>
      <c r="H1387" s="93"/>
      <c r="I1387" s="810"/>
      <c r="J1387" s="810"/>
    </row>
    <row r="1388" spans="1:10" x14ac:dyDescent="0.25">
      <c r="A1388" s="92"/>
      <c r="F1388" s="786"/>
      <c r="G1388" s="795"/>
      <c r="H1388" s="93"/>
      <c r="I1388" s="810"/>
      <c r="J1388" s="810"/>
    </row>
    <row r="1389" spans="1:10" x14ac:dyDescent="0.25">
      <c r="A1389" s="92"/>
      <c r="F1389" s="786"/>
      <c r="G1389" s="795"/>
      <c r="H1389" s="93"/>
      <c r="I1389" s="810"/>
      <c r="J1389" s="810"/>
    </row>
    <row r="1390" spans="1:10" x14ac:dyDescent="0.25">
      <c r="A1390" s="92"/>
      <c r="F1390" s="786"/>
      <c r="G1390" s="795"/>
      <c r="H1390" s="93"/>
      <c r="I1390" s="810"/>
      <c r="J1390" s="810"/>
    </row>
    <row r="1391" spans="1:10" x14ac:dyDescent="0.25">
      <c r="A1391" s="92"/>
      <c r="F1391" s="786"/>
      <c r="G1391" s="795"/>
      <c r="H1391" s="93"/>
      <c r="I1391" s="810"/>
      <c r="J1391" s="810"/>
    </row>
    <row r="1392" spans="1:10" x14ac:dyDescent="0.25">
      <c r="A1392" s="92"/>
      <c r="F1392" s="786"/>
      <c r="G1392" s="795"/>
      <c r="H1392" s="93"/>
      <c r="I1392" s="810"/>
      <c r="J1392" s="810"/>
    </row>
    <row r="1393" spans="1:10" x14ac:dyDescent="0.25">
      <c r="A1393" s="92"/>
      <c r="F1393" s="786"/>
      <c r="G1393" s="795"/>
      <c r="H1393" s="93"/>
      <c r="I1393" s="810"/>
      <c r="J1393" s="810"/>
    </row>
    <row r="1394" spans="1:10" x14ac:dyDescent="0.25">
      <c r="A1394" s="92"/>
      <c r="F1394" s="786"/>
      <c r="G1394" s="795"/>
      <c r="H1394" s="93"/>
      <c r="I1394" s="810"/>
      <c r="J1394" s="810"/>
    </row>
    <row r="1395" spans="1:10" x14ac:dyDescent="0.25">
      <c r="A1395" s="92"/>
      <c r="F1395" s="786"/>
      <c r="G1395" s="795"/>
      <c r="H1395" s="93"/>
      <c r="I1395" s="810"/>
      <c r="J1395" s="810"/>
    </row>
    <row r="1396" spans="1:10" x14ac:dyDescent="0.25">
      <c r="A1396" s="92"/>
      <c r="F1396" s="786"/>
      <c r="G1396" s="795"/>
      <c r="H1396" s="93"/>
      <c r="I1396" s="810"/>
      <c r="J1396" s="810"/>
    </row>
    <row r="1397" spans="1:10" x14ac:dyDescent="0.25">
      <c r="A1397" s="92"/>
      <c r="F1397" s="786"/>
      <c r="G1397" s="795"/>
      <c r="H1397" s="93"/>
      <c r="I1397" s="810"/>
      <c r="J1397" s="810"/>
    </row>
    <row r="1398" spans="1:10" x14ac:dyDescent="0.25">
      <c r="A1398" s="92"/>
      <c r="F1398" s="786"/>
      <c r="G1398" s="795"/>
      <c r="H1398" s="93"/>
      <c r="I1398" s="810"/>
      <c r="J1398" s="810"/>
    </row>
    <row r="1399" spans="1:10" x14ac:dyDescent="0.25">
      <c r="A1399" s="92"/>
      <c r="F1399" s="786"/>
      <c r="G1399" s="795"/>
      <c r="H1399" s="93"/>
      <c r="I1399" s="810"/>
      <c r="J1399" s="810"/>
    </row>
    <row r="1400" spans="1:10" x14ac:dyDescent="0.25">
      <c r="A1400" s="92"/>
      <c r="F1400" s="786"/>
      <c r="G1400" s="795"/>
      <c r="H1400" s="93"/>
      <c r="I1400" s="810"/>
      <c r="J1400" s="810"/>
    </row>
    <row r="1401" spans="1:10" x14ac:dyDescent="0.25">
      <c r="A1401" s="92"/>
      <c r="F1401" s="786"/>
      <c r="G1401" s="795"/>
      <c r="H1401" s="93"/>
      <c r="I1401" s="810"/>
      <c r="J1401" s="810"/>
    </row>
    <row r="1402" spans="1:10" x14ac:dyDescent="0.25">
      <c r="A1402" s="92"/>
      <c r="F1402" s="786"/>
      <c r="G1402" s="795"/>
      <c r="H1402" s="93"/>
      <c r="I1402" s="810"/>
      <c r="J1402" s="810"/>
    </row>
    <row r="1403" spans="1:10" x14ac:dyDescent="0.25">
      <c r="A1403" s="92"/>
      <c r="F1403" s="786"/>
      <c r="G1403" s="795"/>
      <c r="H1403" s="93"/>
      <c r="I1403" s="810"/>
      <c r="J1403" s="810"/>
    </row>
    <row r="1404" spans="1:10" x14ac:dyDescent="0.25">
      <c r="A1404" s="92"/>
      <c r="F1404" s="786"/>
      <c r="G1404" s="795"/>
      <c r="H1404" s="93"/>
      <c r="I1404" s="810"/>
      <c r="J1404" s="810"/>
    </row>
    <row r="1405" spans="1:10" x14ac:dyDescent="0.25">
      <c r="A1405" s="92"/>
      <c r="F1405" s="786"/>
      <c r="G1405" s="795"/>
      <c r="H1405" s="93"/>
      <c r="I1405" s="810"/>
      <c r="J1405" s="810"/>
    </row>
    <row r="1406" spans="1:10" x14ac:dyDescent="0.25">
      <c r="A1406" s="92"/>
      <c r="F1406" s="786"/>
      <c r="G1406" s="795"/>
      <c r="H1406" s="93"/>
      <c r="I1406" s="810"/>
      <c r="J1406" s="810"/>
    </row>
    <row r="1407" spans="1:10" x14ac:dyDescent="0.25">
      <c r="A1407" s="92"/>
      <c r="F1407" s="786"/>
      <c r="G1407" s="795"/>
      <c r="H1407" s="93"/>
      <c r="I1407" s="810"/>
      <c r="J1407" s="810"/>
    </row>
    <row r="1408" spans="1:10" x14ac:dyDescent="0.25">
      <c r="A1408" s="92"/>
      <c r="F1408" s="786"/>
      <c r="G1408" s="795"/>
      <c r="H1408" s="93"/>
      <c r="I1408" s="810"/>
      <c r="J1408" s="810"/>
    </row>
    <row r="1409" spans="1:10" x14ac:dyDescent="0.25">
      <c r="A1409" s="92"/>
      <c r="F1409" s="786"/>
      <c r="G1409" s="795"/>
      <c r="H1409" s="93"/>
      <c r="I1409" s="810"/>
      <c r="J1409" s="810"/>
    </row>
    <row r="1410" spans="1:10" x14ac:dyDescent="0.25">
      <c r="A1410" s="92"/>
      <c r="F1410" s="786"/>
      <c r="G1410" s="795"/>
      <c r="H1410" s="93"/>
      <c r="I1410" s="810"/>
      <c r="J1410" s="810"/>
    </row>
    <row r="1411" spans="1:10" x14ac:dyDescent="0.25">
      <c r="A1411" s="92"/>
      <c r="F1411" s="786"/>
      <c r="G1411" s="795"/>
      <c r="H1411" s="93"/>
      <c r="I1411" s="810"/>
      <c r="J1411" s="810"/>
    </row>
    <row r="1412" spans="1:10" x14ac:dyDescent="0.25">
      <c r="A1412" s="92"/>
      <c r="F1412" s="786"/>
      <c r="G1412" s="795"/>
      <c r="H1412" s="93"/>
      <c r="I1412" s="810"/>
      <c r="J1412" s="810"/>
    </row>
    <row r="1413" spans="1:10" x14ac:dyDescent="0.25">
      <c r="A1413" s="92"/>
      <c r="F1413" s="786"/>
      <c r="G1413" s="795"/>
      <c r="H1413" s="93"/>
      <c r="I1413" s="810"/>
      <c r="J1413" s="810"/>
    </row>
    <row r="1414" spans="1:10" x14ac:dyDescent="0.25">
      <c r="A1414" s="92"/>
      <c r="F1414" s="786"/>
      <c r="G1414" s="795"/>
      <c r="H1414" s="93"/>
      <c r="I1414" s="810"/>
      <c r="J1414" s="810"/>
    </row>
    <row r="1415" spans="1:10" x14ac:dyDescent="0.25">
      <c r="A1415" s="92"/>
      <c r="F1415" s="786"/>
      <c r="G1415" s="795"/>
      <c r="H1415" s="93"/>
      <c r="I1415" s="810"/>
      <c r="J1415" s="810"/>
    </row>
    <row r="1416" spans="1:10" x14ac:dyDescent="0.25">
      <c r="A1416" s="92"/>
      <c r="F1416" s="786"/>
      <c r="G1416" s="795"/>
      <c r="H1416" s="93"/>
      <c r="I1416" s="810"/>
      <c r="J1416" s="810"/>
    </row>
    <row r="1417" spans="1:10" x14ac:dyDescent="0.25">
      <c r="A1417" s="92"/>
      <c r="F1417" s="786"/>
      <c r="G1417" s="795"/>
      <c r="H1417" s="93"/>
      <c r="I1417" s="810"/>
      <c r="J1417" s="810"/>
    </row>
    <row r="1418" spans="1:10" x14ac:dyDescent="0.25">
      <c r="A1418" s="92"/>
      <c r="F1418" s="786"/>
      <c r="G1418" s="795"/>
      <c r="H1418" s="93"/>
      <c r="I1418" s="810"/>
      <c r="J1418" s="810"/>
    </row>
    <row r="1419" spans="1:10" x14ac:dyDescent="0.25">
      <c r="A1419" s="92"/>
      <c r="F1419" s="786"/>
      <c r="G1419" s="795"/>
      <c r="H1419" s="93"/>
      <c r="I1419" s="810"/>
      <c r="J1419" s="810"/>
    </row>
    <row r="1420" spans="1:10" x14ac:dyDescent="0.25">
      <c r="A1420" s="92"/>
      <c r="F1420" s="786"/>
      <c r="G1420" s="795"/>
      <c r="H1420" s="93"/>
      <c r="I1420" s="810"/>
      <c r="J1420" s="810"/>
    </row>
    <row r="1421" spans="1:10" x14ac:dyDescent="0.25">
      <c r="A1421" s="92"/>
      <c r="F1421" s="786"/>
      <c r="G1421" s="795"/>
      <c r="H1421" s="93"/>
      <c r="I1421" s="810"/>
      <c r="J1421" s="810"/>
    </row>
    <row r="1422" spans="1:10" x14ac:dyDescent="0.25">
      <c r="A1422" s="92"/>
      <c r="F1422" s="786"/>
      <c r="G1422" s="795"/>
      <c r="H1422" s="93"/>
      <c r="I1422" s="810"/>
      <c r="J1422" s="810"/>
    </row>
    <row r="1423" spans="1:10" x14ac:dyDescent="0.25">
      <c r="A1423" s="92"/>
      <c r="F1423" s="786"/>
      <c r="G1423" s="795"/>
      <c r="H1423" s="93"/>
      <c r="I1423" s="810"/>
      <c r="J1423" s="810"/>
    </row>
    <row r="1424" spans="1:10" x14ac:dyDescent="0.25">
      <c r="A1424" s="92"/>
      <c r="F1424" s="786"/>
      <c r="G1424" s="795"/>
      <c r="H1424" s="93"/>
      <c r="I1424" s="810"/>
      <c r="J1424" s="810"/>
    </row>
    <row r="1425" spans="1:10" x14ac:dyDescent="0.25">
      <c r="A1425" s="92"/>
      <c r="F1425" s="786"/>
      <c r="G1425" s="795"/>
      <c r="H1425" s="93"/>
      <c r="I1425" s="810"/>
      <c r="J1425" s="810"/>
    </row>
    <row r="1426" spans="1:10" x14ac:dyDescent="0.25">
      <c r="A1426" s="92"/>
      <c r="F1426" s="786"/>
      <c r="G1426" s="795"/>
      <c r="H1426" s="93"/>
      <c r="I1426" s="810"/>
      <c r="J1426" s="810"/>
    </row>
    <row r="1427" spans="1:10" x14ac:dyDescent="0.25">
      <c r="A1427" s="92"/>
      <c r="F1427" s="786"/>
      <c r="G1427" s="795"/>
      <c r="H1427" s="93"/>
      <c r="I1427" s="810"/>
      <c r="J1427" s="810"/>
    </row>
    <row r="1428" spans="1:10" x14ac:dyDescent="0.25">
      <c r="A1428" s="92"/>
      <c r="F1428" s="786"/>
      <c r="G1428" s="795"/>
      <c r="H1428" s="93"/>
      <c r="I1428" s="810"/>
      <c r="J1428" s="810"/>
    </row>
    <row r="1429" spans="1:10" x14ac:dyDescent="0.25">
      <c r="A1429" s="92"/>
      <c r="F1429" s="786"/>
      <c r="G1429" s="795"/>
      <c r="H1429" s="93"/>
      <c r="I1429" s="810"/>
      <c r="J1429" s="810"/>
    </row>
    <row r="1430" spans="1:10" x14ac:dyDescent="0.25">
      <c r="A1430" s="92"/>
      <c r="F1430" s="786"/>
      <c r="G1430" s="795"/>
      <c r="H1430" s="93"/>
      <c r="I1430" s="810"/>
      <c r="J1430" s="810"/>
    </row>
    <row r="1431" spans="1:10" x14ac:dyDescent="0.25">
      <c r="A1431" s="92"/>
      <c r="F1431" s="786"/>
      <c r="G1431" s="795"/>
      <c r="H1431" s="93"/>
      <c r="I1431" s="810"/>
      <c r="J1431" s="810"/>
    </row>
    <row r="1432" spans="1:10" x14ac:dyDescent="0.25">
      <c r="A1432" s="92"/>
      <c r="F1432" s="786"/>
      <c r="G1432" s="795"/>
      <c r="H1432" s="93"/>
      <c r="I1432" s="810"/>
      <c r="J1432" s="810"/>
    </row>
    <row r="1433" spans="1:10" x14ac:dyDescent="0.25">
      <c r="A1433" s="92"/>
      <c r="F1433" s="786"/>
      <c r="G1433" s="795"/>
      <c r="H1433" s="93"/>
      <c r="I1433" s="810"/>
      <c r="J1433" s="810"/>
    </row>
    <row r="1434" spans="1:10" x14ac:dyDescent="0.25">
      <c r="A1434" s="92"/>
      <c r="F1434" s="786"/>
      <c r="G1434" s="795"/>
      <c r="H1434" s="93"/>
      <c r="I1434" s="810"/>
      <c r="J1434" s="810"/>
    </row>
    <row r="1435" spans="1:10" x14ac:dyDescent="0.25">
      <c r="A1435" s="92"/>
      <c r="F1435" s="786"/>
      <c r="G1435" s="795"/>
      <c r="H1435" s="93"/>
      <c r="I1435" s="810"/>
      <c r="J1435" s="810"/>
    </row>
    <row r="1436" spans="1:10" x14ac:dyDescent="0.25">
      <c r="A1436" s="92"/>
      <c r="F1436" s="786"/>
      <c r="G1436" s="795"/>
      <c r="H1436" s="93"/>
      <c r="I1436" s="810"/>
      <c r="J1436" s="810"/>
    </row>
    <row r="1437" spans="1:10" x14ac:dyDescent="0.25">
      <c r="A1437" s="92"/>
      <c r="F1437" s="786"/>
      <c r="G1437" s="795"/>
      <c r="H1437" s="93"/>
      <c r="I1437" s="810"/>
      <c r="J1437" s="810"/>
    </row>
    <row r="1438" spans="1:10" x14ac:dyDescent="0.25">
      <c r="A1438" s="92"/>
      <c r="F1438" s="786"/>
      <c r="G1438" s="795"/>
      <c r="H1438" s="93"/>
      <c r="I1438" s="810"/>
      <c r="J1438" s="810"/>
    </row>
    <row r="1439" spans="1:10" x14ac:dyDescent="0.25">
      <c r="A1439" s="92"/>
      <c r="F1439" s="786"/>
      <c r="G1439" s="795"/>
      <c r="H1439" s="93"/>
      <c r="I1439" s="810"/>
      <c r="J1439" s="810"/>
    </row>
    <row r="1440" spans="1:10" x14ac:dyDescent="0.25">
      <c r="A1440" s="92"/>
      <c r="F1440" s="786"/>
      <c r="G1440" s="795"/>
      <c r="H1440" s="93"/>
      <c r="I1440" s="810"/>
      <c r="J1440" s="810"/>
    </row>
    <row r="1441" spans="1:10" x14ac:dyDescent="0.25">
      <c r="A1441" s="92"/>
      <c r="F1441" s="786"/>
      <c r="G1441" s="795"/>
      <c r="H1441" s="93"/>
      <c r="I1441" s="810"/>
      <c r="J1441" s="810"/>
    </row>
    <row r="1442" spans="1:10" x14ac:dyDescent="0.25">
      <c r="A1442" s="92"/>
      <c r="F1442" s="786"/>
      <c r="G1442" s="795"/>
      <c r="H1442" s="93"/>
      <c r="I1442" s="810"/>
      <c r="J1442" s="810"/>
    </row>
    <row r="1443" spans="1:10" x14ac:dyDescent="0.25">
      <c r="A1443" s="92"/>
      <c r="F1443" s="786"/>
      <c r="G1443" s="795"/>
      <c r="H1443" s="93"/>
      <c r="I1443" s="810"/>
      <c r="J1443" s="810"/>
    </row>
    <row r="1444" spans="1:10" x14ac:dyDescent="0.25">
      <c r="A1444" s="92"/>
      <c r="F1444" s="786"/>
      <c r="G1444" s="795"/>
      <c r="H1444" s="93"/>
      <c r="I1444" s="810"/>
      <c r="J1444" s="810"/>
    </row>
    <row r="1445" spans="1:10" x14ac:dyDescent="0.25">
      <c r="A1445" s="92"/>
      <c r="F1445" s="786"/>
      <c r="G1445" s="795"/>
      <c r="H1445" s="93"/>
      <c r="I1445" s="810"/>
      <c r="J1445" s="810"/>
    </row>
    <row r="1446" spans="1:10" x14ac:dyDescent="0.25">
      <c r="A1446" s="92"/>
      <c r="F1446" s="786"/>
      <c r="G1446" s="795"/>
      <c r="H1446" s="93"/>
      <c r="I1446" s="810"/>
      <c r="J1446" s="810"/>
    </row>
    <row r="1447" spans="1:10" x14ac:dyDescent="0.25">
      <c r="A1447" s="92"/>
      <c r="F1447" s="786"/>
      <c r="G1447" s="795"/>
      <c r="H1447" s="93"/>
      <c r="I1447" s="810"/>
      <c r="J1447" s="810"/>
    </row>
    <row r="1448" spans="1:10" x14ac:dyDescent="0.25">
      <c r="A1448" s="92"/>
      <c r="F1448" s="786"/>
      <c r="G1448" s="795"/>
      <c r="H1448" s="93"/>
      <c r="I1448" s="810"/>
      <c r="J1448" s="810"/>
    </row>
    <row r="1449" spans="1:10" x14ac:dyDescent="0.25">
      <c r="A1449" s="92"/>
      <c r="F1449" s="786"/>
      <c r="G1449" s="795"/>
      <c r="H1449" s="93"/>
      <c r="I1449" s="810"/>
      <c r="J1449" s="810"/>
    </row>
    <row r="1450" spans="1:10" x14ac:dyDescent="0.25">
      <c r="A1450" s="92"/>
      <c r="F1450" s="786"/>
      <c r="G1450" s="795"/>
      <c r="H1450" s="93"/>
      <c r="I1450" s="810"/>
      <c r="J1450" s="810"/>
    </row>
    <row r="1451" spans="1:10" x14ac:dyDescent="0.25">
      <c r="A1451" s="92"/>
      <c r="F1451" s="786"/>
      <c r="G1451" s="795"/>
      <c r="H1451" s="93"/>
      <c r="I1451" s="810"/>
      <c r="J1451" s="810"/>
    </row>
    <row r="1452" spans="1:10" x14ac:dyDescent="0.25">
      <c r="A1452" s="92"/>
      <c r="F1452" s="786"/>
      <c r="G1452" s="795"/>
      <c r="H1452" s="93"/>
      <c r="I1452" s="810"/>
      <c r="J1452" s="810"/>
    </row>
    <row r="1453" spans="1:10" x14ac:dyDescent="0.25">
      <c r="A1453" s="92"/>
      <c r="F1453" s="786"/>
      <c r="G1453" s="795"/>
      <c r="H1453" s="93"/>
      <c r="I1453" s="810"/>
      <c r="J1453" s="810"/>
    </row>
    <row r="1454" spans="1:10" x14ac:dyDescent="0.25">
      <c r="A1454" s="92"/>
      <c r="F1454" s="786"/>
      <c r="G1454" s="795"/>
      <c r="H1454" s="93"/>
      <c r="I1454" s="810"/>
      <c r="J1454" s="810"/>
    </row>
    <row r="1455" spans="1:10" x14ac:dyDescent="0.25">
      <c r="A1455" s="92"/>
      <c r="F1455" s="786"/>
      <c r="G1455" s="795"/>
      <c r="H1455" s="93"/>
      <c r="I1455" s="810"/>
      <c r="J1455" s="810"/>
    </row>
    <row r="1456" spans="1:10" x14ac:dyDescent="0.25">
      <c r="A1456" s="92"/>
      <c r="F1456" s="786"/>
      <c r="G1456" s="795"/>
      <c r="H1456" s="93"/>
      <c r="I1456" s="810"/>
      <c r="J1456" s="810"/>
    </row>
    <row r="1457" spans="1:10" x14ac:dyDescent="0.25">
      <c r="A1457" s="92"/>
      <c r="F1457" s="786"/>
      <c r="G1457" s="795"/>
      <c r="H1457" s="93"/>
      <c r="I1457" s="810"/>
      <c r="J1457" s="810"/>
    </row>
    <row r="1458" spans="1:10" x14ac:dyDescent="0.25">
      <c r="A1458" s="92"/>
      <c r="F1458" s="786"/>
      <c r="G1458" s="795"/>
      <c r="H1458" s="93"/>
      <c r="I1458" s="810"/>
      <c r="J1458" s="810"/>
    </row>
    <row r="1459" spans="1:10" x14ac:dyDescent="0.25">
      <c r="A1459" s="92"/>
      <c r="F1459" s="786"/>
      <c r="G1459" s="795"/>
      <c r="H1459" s="93"/>
      <c r="I1459" s="810"/>
      <c r="J1459" s="810"/>
    </row>
    <row r="1460" spans="1:10" x14ac:dyDescent="0.25">
      <c r="A1460" s="92"/>
      <c r="F1460" s="786"/>
      <c r="G1460" s="795"/>
      <c r="H1460" s="93"/>
      <c r="I1460" s="810"/>
      <c r="J1460" s="810"/>
    </row>
    <row r="1461" spans="1:10" x14ac:dyDescent="0.25">
      <c r="A1461" s="92"/>
      <c r="F1461" s="786"/>
      <c r="G1461" s="795"/>
      <c r="H1461" s="93"/>
      <c r="I1461" s="810"/>
      <c r="J1461" s="810"/>
    </row>
    <row r="1462" spans="1:10" x14ac:dyDescent="0.25">
      <c r="A1462" s="92"/>
      <c r="F1462" s="786"/>
      <c r="G1462" s="795"/>
      <c r="H1462" s="93"/>
      <c r="I1462" s="810"/>
      <c r="J1462" s="810"/>
    </row>
    <row r="1463" spans="1:10" x14ac:dyDescent="0.25">
      <c r="A1463" s="92"/>
      <c r="F1463" s="786"/>
      <c r="G1463" s="795"/>
      <c r="H1463" s="93"/>
      <c r="I1463" s="810"/>
      <c r="J1463" s="810"/>
    </row>
    <row r="1464" spans="1:10" x14ac:dyDescent="0.25">
      <c r="A1464" s="92"/>
      <c r="F1464" s="786"/>
      <c r="G1464" s="795"/>
      <c r="H1464" s="93"/>
      <c r="I1464" s="810"/>
      <c r="J1464" s="810"/>
    </row>
    <row r="1465" spans="1:10" x14ac:dyDescent="0.25">
      <c r="A1465" s="92"/>
      <c r="F1465" s="786"/>
      <c r="G1465" s="795"/>
      <c r="H1465" s="93"/>
      <c r="I1465" s="810"/>
      <c r="J1465" s="810"/>
    </row>
    <row r="1466" spans="1:10" x14ac:dyDescent="0.25">
      <c r="A1466" s="92"/>
      <c r="F1466" s="786"/>
      <c r="G1466" s="795"/>
      <c r="H1466" s="93"/>
      <c r="I1466" s="810"/>
      <c r="J1466" s="810"/>
    </row>
    <row r="1467" spans="1:10" x14ac:dyDescent="0.25">
      <c r="A1467" s="92"/>
      <c r="F1467" s="786"/>
      <c r="G1467" s="795"/>
      <c r="H1467" s="93"/>
      <c r="I1467" s="810"/>
      <c r="J1467" s="810"/>
    </row>
    <row r="1468" spans="1:10" x14ac:dyDescent="0.25">
      <c r="A1468" s="92"/>
      <c r="F1468" s="786"/>
      <c r="G1468" s="795"/>
      <c r="H1468" s="93"/>
      <c r="I1468" s="810"/>
      <c r="J1468" s="810"/>
    </row>
    <row r="1469" spans="1:10" x14ac:dyDescent="0.25">
      <c r="A1469" s="92"/>
      <c r="F1469" s="786"/>
      <c r="G1469" s="795"/>
      <c r="H1469" s="93"/>
      <c r="I1469" s="810"/>
      <c r="J1469" s="810"/>
    </row>
    <row r="1470" spans="1:10" x14ac:dyDescent="0.25">
      <c r="A1470" s="92"/>
      <c r="F1470" s="786"/>
      <c r="G1470" s="795"/>
      <c r="H1470" s="93"/>
      <c r="I1470" s="810"/>
      <c r="J1470" s="810"/>
    </row>
    <row r="1471" spans="1:10" x14ac:dyDescent="0.25">
      <c r="A1471" s="92"/>
      <c r="F1471" s="786"/>
      <c r="G1471" s="795"/>
      <c r="H1471" s="93"/>
      <c r="I1471" s="810"/>
      <c r="J1471" s="810"/>
    </row>
    <row r="1472" spans="1:10" x14ac:dyDescent="0.25">
      <c r="A1472" s="92"/>
      <c r="F1472" s="786"/>
      <c r="G1472" s="795"/>
      <c r="H1472" s="93"/>
      <c r="I1472" s="810"/>
      <c r="J1472" s="810"/>
    </row>
    <row r="1473" spans="1:10" x14ac:dyDescent="0.25">
      <c r="A1473" s="92"/>
      <c r="F1473" s="786"/>
      <c r="G1473" s="795"/>
      <c r="H1473" s="93"/>
      <c r="I1473" s="810"/>
      <c r="J1473" s="810"/>
    </row>
    <row r="1474" spans="1:10" x14ac:dyDescent="0.25">
      <c r="A1474" s="92"/>
      <c r="F1474" s="786"/>
      <c r="G1474" s="795"/>
      <c r="H1474" s="93"/>
      <c r="I1474" s="810"/>
      <c r="J1474" s="810"/>
    </row>
    <row r="1475" spans="1:10" x14ac:dyDescent="0.25">
      <c r="A1475" s="92"/>
      <c r="F1475" s="786"/>
      <c r="G1475" s="795"/>
      <c r="H1475" s="93"/>
      <c r="I1475" s="810"/>
      <c r="J1475" s="810"/>
    </row>
    <row r="1476" spans="1:10" x14ac:dyDescent="0.25">
      <c r="A1476" s="92"/>
      <c r="F1476" s="786"/>
      <c r="G1476" s="795"/>
      <c r="H1476" s="93"/>
      <c r="I1476" s="810"/>
      <c r="J1476" s="810"/>
    </row>
    <row r="1477" spans="1:10" x14ac:dyDescent="0.25">
      <c r="A1477" s="92"/>
      <c r="F1477" s="786"/>
      <c r="G1477" s="795"/>
      <c r="H1477" s="93"/>
      <c r="I1477" s="810"/>
      <c r="J1477" s="810"/>
    </row>
    <row r="1478" spans="1:10" x14ac:dyDescent="0.25">
      <c r="A1478" s="92"/>
      <c r="F1478" s="786"/>
      <c r="G1478" s="795"/>
      <c r="H1478" s="93"/>
      <c r="I1478" s="810"/>
      <c r="J1478" s="810"/>
    </row>
    <row r="1479" spans="1:10" x14ac:dyDescent="0.25">
      <c r="A1479" s="92"/>
      <c r="F1479" s="786"/>
      <c r="G1479" s="795"/>
      <c r="H1479" s="93"/>
      <c r="I1479" s="810"/>
      <c r="J1479" s="810"/>
    </row>
    <row r="1480" spans="1:10" x14ac:dyDescent="0.25">
      <c r="A1480" s="92"/>
      <c r="F1480" s="786"/>
      <c r="G1480" s="795"/>
      <c r="H1480" s="93"/>
      <c r="I1480" s="810"/>
      <c r="J1480" s="810"/>
    </row>
    <row r="1481" spans="1:10" x14ac:dyDescent="0.25">
      <c r="A1481" s="92"/>
      <c r="F1481" s="786"/>
      <c r="G1481" s="795"/>
      <c r="H1481" s="93"/>
      <c r="I1481" s="810"/>
      <c r="J1481" s="810"/>
    </row>
    <row r="1482" spans="1:10" x14ac:dyDescent="0.25">
      <c r="A1482" s="92"/>
      <c r="F1482" s="786"/>
      <c r="G1482" s="795"/>
      <c r="H1482" s="93"/>
      <c r="I1482" s="810"/>
      <c r="J1482" s="810"/>
    </row>
    <row r="1483" spans="1:10" x14ac:dyDescent="0.25">
      <c r="A1483" s="92"/>
      <c r="F1483" s="786"/>
      <c r="G1483" s="795"/>
      <c r="H1483" s="93"/>
      <c r="I1483" s="810"/>
      <c r="J1483" s="810"/>
    </row>
    <row r="1484" spans="1:10" x14ac:dyDescent="0.25">
      <c r="A1484" s="92"/>
      <c r="F1484" s="786"/>
      <c r="G1484" s="795"/>
      <c r="H1484" s="93"/>
      <c r="I1484" s="810"/>
      <c r="J1484" s="810"/>
    </row>
    <row r="1485" spans="1:10" x14ac:dyDescent="0.25">
      <c r="A1485" s="92"/>
      <c r="F1485" s="786"/>
      <c r="G1485" s="795"/>
      <c r="H1485" s="93"/>
      <c r="I1485" s="810"/>
      <c r="J1485" s="810"/>
    </row>
    <row r="1486" spans="1:10" x14ac:dyDescent="0.25">
      <c r="A1486" s="92"/>
      <c r="F1486" s="786"/>
      <c r="G1486" s="795"/>
      <c r="H1486" s="93"/>
      <c r="I1486" s="810"/>
      <c r="J1486" s="810"/>
    </row>
    <row r="1487" spans="1:10" x14ac:dyDescent="0.25">
      <c r="A1487" s="92"/>
      <c r="F1487" s="786"/>
      <c r="G1487" s="795"/>
      <c r="H1487" s="93"/>
      <c r="I1487" s="810"/>
      <c r="J1487" s="810"/>
    </row>
    <row r="1488" spans="1:10" x14ac:dyDescent="0.25">
      <c r="A1488" s="92"/>
      <c r="F1488" s="786"/>
      <c r="G1488" s="795"/>
      <c r="H1488" s="93"/>
      <c r="I1488" s="810"/>
      <c r="J1488" s="810"/>
    </row>
    <row r="1489" spans="1:10" x14ac:dyDescent="0.25">
      <c r="A1489" s="92"/>
      <c r="F1489" s="786"/>
      <c r="G1489" s="795"/>
      <c r="H1489" s="93"/>
      <c r="I1489" s="810"/>
      <c r="J1489" s="810"/>
    </row>
    <row r="1490" spans="1:10" x14ac:dyDescent="0.25">
      <c r="A1490" s="92"/>
      <c r="F1490" s="786"/>
      <c r="G1490" s="795"/>
      <c r="H1490" s="93"/>
      <c r="I1490" s="810"/>
      <c r="J1490" s="810"/>
    </row>
    <row r="1491" spans="1:10" x14ac:dyDescent="0.25">
      <c r="A1491" s="92"/>
      <c r="F1491" s="786"/>
      <c r="G1491" s="795"/>
      <c r="H1491" s="93"/>
      <c r="I1491" s="810"/>
      <c r="J1491" s="810"/>
    </row>
    <row r="1492" spans="1:10" x14ac:dyDescent="0.25">
      <c r="A1492" s="92"/>
      <c r="F1492" s="786"/>
      <c r="G1492" s="795"/>
      <c r="H1492" s="93"/>
      <c r="I1492" s="810"/>
      <c r="J1492" s="810"/>
    </row>
    <row r="1493" spans="1:10" x14ac:dyDescent="0.25">
      <c r="A1493" s="92"/>
      <c r="F1493" s="786"/>
      <c r="G1493" s="795"/>
      <c r="H1493" s="93"/>
      <c r="I1493" s="810"/>
      <c r="J1493" s="810"/>
    </row>
    <row r="1494" spans="1:10" x14ac:dyDescent="0.25">
      <c r="A1494" s="92"/>
      <c r="F1494" s="786"/>
      <c r="G1494" s="795"/>
      <c r="H1494" s="93"/>
      <c r="I1494" s="810"/>
      <c r="J1494" s="810"/>
    </row>
    <row r="1495" spans="1:10" x14ac:dyDescent="0.25">
      <c r="A1495" s="92"/>
      <c r="F1495" s="786"/>
      <c r="G1495" s="795"/>
      <c r="H1495" s="93"/>
      <c r="I1495" s="810"/>
      <c r="J1495" s="810"/>
    </row>
    <row r="1496" spans="1:10" x14ac:dyDescent="0.25">
      <c r="A1496" s="92"/>
      <c r="F1496" s="786"/>
      <c r="G1496" s="795"/>
      <c r="H1496" s="93"/>
      <c r="I1496" s="810"/>
      <c r="J1496" s="810"/>
    </row>
    <row r="1497" spans="1:10" x14ac:dyDescent="0.25">
      <c r="A1497" s="92"/>
      <c r="F1497" s="786"/>
      <c r="G1497" s="795"/>
      <c r="H1497" s="93"/>
      <c r="I1497" s="810"/>
      <c r="J1497" s="810"/>
    </row>
    <row r="1498" spans="1:10" x14ac:dyDescent="0.25">
      <c r="A1498" s="92"/>
      <c r="F1498" s="786"/>
      <c r="G1498" s="795"/>
      <c r="H1498" s="93"/>
      <c r="I1498" s="810"/>
      <c r="J1498" s="810"/>
    </row>
    <row r="1499" spans="1:10" x14ac:dyDescent="0.25">
      <c r="A1499" s="92"/>
      <c r="F1499" s="786"/>
      <c r="G1499" s="795"/>
      <c r="H1499" s="93"/>
      <c r="I1499" s="810"/>
      <c r="J1499" s="810"/>
    </row>
    <row r="1500" spans="1:10" x14ac:dyDescent="0.25">
      <c r="A1500" s="92"/>
      <c r="F1500" s="786"/>
      <c r="G1500" s="795"/>
      <c r="H1500" s="93"/>
      <c r="I1500" s="810"/>
      <c r="J1500" s="810"/>
    </row>
    <row r="1501" spans="1:10" x14ac:dyDescent="0.25">
      <c r="A1501" s="92"/>
      <c r="F1501" s="786"/>
      <c r="G1501" s="795"/>
      <c r="H1501" s="93"/>
      <c r="I1501" s="810"/>
      <c r="J1501" s="810"/>
    </row>
    <row r="1502" spans="1:10" x14ac:dyDescent="0.25">
      <c r="A1502" s="92"/>
      <c r="F1502" s="786"/>
      <c r="G1502" s="795"/>
      <c r="H1502" s="93"/>
      <c r="I1502" s="810"/>
      <c r="J1502" s="810"/>
    </row>
    <row r="1503" spans="1:10" x14ac:dyDescent="0.25">
      <c r="A1503" s="92"/>
      <c r="F1503" s="786"/>
      <c r="G1503" s="795"/>
      <c r="H1503" s="93"/>
      <c r="I1503" s="810"/>
      <c r="J1503" s="810"/>
    </row>
    <row r="1504" spans="1:10" x14ac:dyDescent="0.25">
      <c r="A1504" s="92"/>
      <c r="F1504" s="786"/>
      <c r="G1504" s="795"/>
      <c r="H1504" s="93"/>
      <c r="I1504" s="810"/>
      <c r="J1504" s="810"/>
    </row>
    <row r="1505" spans="1:10" x14ac:dyDescent="0.25">
      <c r="A1505" s="92"/>
      <c r="F1505" s="786"/>
      <c r="G1505" s="795"/>
      <c r="H1505" s="93"/>
      <c r="I1505" s="810"/>
      <c r="J1505" s="810"/>
    </row>
    <row r="1506" spans="1:10" x14ac:dyDescent="0.25">
      <c r="A1506" s="92"/>
      <c r="F1506" s="786"/>
      <c r="G1506" s="795"/>
      <c r="H1506" s="93"/>
      <c r="I1506" s="810"/>
      <c r="J1506" s="810"/>
    </row>
    <row r="1507" spans="1:10" x14ac:dyDescent="0.25">
      <c r="A1507" s="92"/>
      <c r="F1507" s="786"/>
      <c r="G1507" s="795"/>
      <c r="H1507" s="93"/>
      <c r="I1507" s="810"/>
      <c r="J1507" s="810"/>
    </row>
    <row r="1508" spans="1:10" x14ac:dyDescent="0.25">
      <c r="A1508" s="92"/>
      <c r="F1508" s="786"/>
      <c r="G1508" s="795"/>
      <c r="H1508" s="93"/>
      <c r="I1508" s="810"/>
      <c r="J1508" s="810"/>
    </row>
    <row r="1509" spans="1:10" x14ac:dyDescent="0.25">
      <c r="A1509" s="92"/>
      <c r="F1509" s="786"/>
      <c r="G1509" s="795"/>
      <c r="H1509" s="93"/>
      <c r="I1509" s="810"/>
      <c r="J1509" s="810"/>
    </row>
    <row r="1510" spans="1:10" x14ac:dyDescent="0.25">
      <c r="A1510" s="92"/>
      <c r="F1510" s="786"/>
      <c r="G1510" s="795"/>
      <c r="H1510" s="93"/>
      <c r="I1510" s="810"/>
      <c r="J1510" s="810"/>
    </row>
    <row r="1511" spans="1:10" x14ac:dyDescent="0.25">
      <c r="A1511" s="92"/>
      <c r="F1511" s="786"/>
      <c r="G1511" s="795"/>
      <c r="H1511" s="93"/>
      <c r="I1511" s="810"/>
      <c r="J1511" s="810"/>
    </row>
    <row r="1512" spans="1:10" x14ac:dyDescent="0.25">
      <c r="A1512" s="92"/>
      <c r="F1512" s="786"/>
      <c r="G1512" s="795"/>
      <c r="H1512" s="93"/>
      <c r="I1512" s="810"/>
      <c r="J1512" s="810"/>
    </row>
    <row r="1513" spans="1:10" x14ac:dyDescent="0.25">
      <c r="A1513" s="92"/>
      <c r="F1513" s="786"/>
      <c r="G1513" s="795"/>
      <c r="H1513" s="93"/>
      <c r="I1513" s="810"/>
      <c r="J1513" s="810"/>
    </row>
    <row r="1514" spans="1:10" x14ac:dyDescent="0.25">
      <c r="A1514" s="92"/>
      <c r="F1514" s="786"/>
      <c r="G1514" s="795"/>
      <c r="H1514" s="93"/>
      <c r="I1514" s="810"/>
      <c r="J1514" s="810"/>
    </row>
    <row r="1515" spans="1:10" x14ac:dyDescent="0.25">
      <c r="A1515" s="92"/>
      <c r="F1515" s="786"/>
      <c r="G1515" s="795"/>
      <c r="H1515" s="93"/>
      <c r="I1515" s="810"/>
      <c r="J1515" s="810"/>
    </row>
    <row r="1516" spans="1:10" x14ac:dyDescent="0.25">
      <c r="A1516" s="92"/>
      <c r="F1516" s="786"/>
      <c r="G1516" s="795"/>
      <c r="H1516" s="93"/>
      <c r="I1516" s="810"/>
      <c r="J1516" s="810"/>
    </row>
    <row r="1517" spans="1:10" x14ac:dyDescent="0.25">
      <c r="A1517" s="92"/>
      <c r="F1517" s="786"/>
      <c r="G1517" s="795"/>
      <c r="H1517" s="93"/>
      <c r="I1517" s="810"/>
      <c r="J1517" s="810"/>
    </row>
    <row r="1518" spans="1:10" x14ac:dyDescent="0.25">
      <c r="A1518" s="92"/>
      <c r="F1518" s="786"/>
      <c r="G1518" s="795"/>
      <c r="H1518" s="93"/>
      <c r="I1518" s="810"/>
      <c r="J1518" s="810"/>
    </row>
    <row r="1519" spans="1:10" x14ac:dyDescent="0.25">
      <c r="A1519" s="92"/>
      <c r="F1519" s="786"/>
      <c r="G1519" s="795"/>
      <c r="H1519" s="93"/>
      <c r="I1519" s="810"/>
      <c r="J1519" s="810"/>
    </row>
    <row r="1520" spans="1:10" x14ac:dyDescent="0.25">
      <c r="A1520" s="92"/>
      <c r="F1520" s="786"/>
      <c r="G1520" s="795"/>
      <c r="H1520" s="93"/>
      <c r="I1520" s="810"/>
      <c r="J1520" s="810"/>
    </row>
    <row r="1521" spans="1:10" x14ac:dyDescent="0.25">
      <c r="A1521" s="92"/>
      <c r="F1521" s="786"/>
      <c r="G1521" s="795"/>
      <c r="H1521" s="93"/>
      <c r="I1521" s="810"/>
      <c r="J1521" s="810"/>
    </row>
    <row r="1522" spans="1:10" x14ac:dyDescent="0.25">
      <c r="A1522" s="92"/>
      <c r="F1522" s="786"/>
      <c r="G1522" s="795"/>
      <c r="H1522" s="93"/>
      <c r="I1522" s="810"/>
      <c r="J1522" s="810"/>
    </row>
    <row r="1523" spans="1:10" x14ac:dyDescent="0.25">
      <c r="A1523" s="92"/>
      <c r="F1523" s="786"/>
      <c r="G1523" s="795"/>
      <c r="H1523" s="93"/>
      <c r="I1523" s="810"/>
      <c r="J1523" s="810"/>
    </row>
    <row r="1524" spans="1:10" x14ac:dyDescent="0.25">
      <c r="A1524" s="92"/>
      <c r="F1524" s="786"/>
      <c r="G1524" s="795"/>
      <c r="H1524" s="93"/>
      <c r="I1524" s="810"/>
      <c r="J1524" s="810"/>
    </row>
    <row r="1525" spans="1:10" x14ac:dyDescent="0.25">
      <c r="A1525" s="92"/>
      <c r="F1525" s="786"/>
      <c r="G1525" s="795"/>
      <c r="H1525" s="93"/>
      <c r="I1525" s="810"/>
      <c r="J1525" s="810"/>
    </row>
    <row r="1526" spans="1:10" x14ac:dyDescent="0.25">
      <c r="A1526" s="92"/>
      <c r="F1526" s="786"/>
      <c r="G1526" s="795"/>
      <c r="H1526" s="93"/>
      <c r="I1526" s="810"/>
      <c r="J1526" s="810"/>
    </row>
    <row r="1527" spans="1:10" x14ac:dyDescent="0.25">
      <c r="A1527" s="92"/>
      <c r="F1527" s="786"/>
      <c r="G1527" s="795"/>
      <c r="H1527" s="93"/>
      <c r="I1527" s="810"/>
      <c r="J1527" s="810"/>
    </row>
    <row r="1528" spans="1:10" x14ac:dyDescent="0.25">
      <c r="A1528" s="92"/>
      <c r="F1528" s="786"/>
      <c r="G1528" s="795"/>
      <c r="H1528" s="93"/>
      <c r="I1528" s="810"/>
      <c r="J1528" s="810"/>
    </row>
    <row r="1529" spans="1:10" x14ac:dyDescent="0.25">
      <c r="A1529" s="92"/>
      <c r="F1529" s="786"/>
      <c r="G1529" s="795"/>
      <c r="H1529" s="93"/>
      <c r="I1529" s="810"/>
      <c r="J1529" s="810"/>
    </row>
    <row r="1530" spans="1:10" x14ac:dyDescent="0.25">
      <c r="A1530" s="92"/>
      <c r="F1530" s="786"/>
      <c r="G1530" s="795"/>
      <c r="H1530" s="93"/>
      <c r="I1530" s="810"/>
      <c r="J1530" s="810"/>
    </row>
    <row r="1531" spans="1:10" x14ac:dyDescent="0.25">
      <c r="A1531" s="92"/>
      <c r="F1531" s="786"/>
      <c r="G1531" s="795"/>
      <c r="H1531" s="93"/>
      <c r="I1531" s="810"/>
      <c r="J1531" s="810"/>
    </row>
    <row r="1532" spans="1:10" x14ac:dyDescent="0.25">
      <c r="A1532" s="92"/>
      <c r="F1532" s="786"/>
      <c r="G1532" s="795"/>
      <c r="H1532" s="93"/>
      <c r="I1532" s="810"/>
      <c r="J1532" s="810"/>
    </row>
    <row r="1533" spans="1:10" x14ac:dyDescent="0.25">
      <c r="A1533" s="92"/>
      <c r="F1533" s="786"/>
      <c r="G1533" s="795"/>
      <c r="H1533" s="93"/>
      <c r="I1533" s="810"/>
      <c r="J1533" s="810"/>
    </row>
    <row r="1534" spans="1:10" x14ac:dyDescent="0.25">
      <c r="A1534" s="92"/>
      <c r="F1534" s="786"/>
      <c r="G1534" s="795"/>
      <c r="H1534" s="93"/>
      <c r="I1534" s="810"/>
      <c r="J1534" s="810"/>
    </row>
    <row r="1535" spans="1:10" x14ac:dyDescent="0.25">
      <c r="A1535" s="92"/>
      <c r="F1535" s="786"/>
      <c r="G1535" s="795"/>
      <c r="H1535" s="93"/>
      <c r="I1535" s="810"/>
      <c r="J1535" s="810"/>
    </row>
    <row r="1536" spans="1:10" x14ac:dyDescent="0.25">
      <c r="A1536" s="92"/>
      <c r="F1536" s="786"/>
      <c r="G1536" s="795"/>
      <c r="H1536" s="93"/>
      <c r="I1536" s="810"/>
      <c r="J1536" s="810"/>
    </row>
    <row r="1537" spans="1:10" x14ac:dyDescent="0.25">
      <c r="A1537" s="92"/>
      <c r="F1537" s="786"/>
      <c r="G1537" s="795"/>
      <c r="H1537" s="93"/>
      <c r="I1537" s="810"/>
      <c r="J1537" s="810"/>
    </row>
    <row r="1538" spans="1:10" x14ac:dyDescent="0.25">
      <c r="A1538" s="92"/>
      <c r="F1538" s="786"/>
      <c r="G1538" s="795"/>
      <c r="H1538" s="93"/>
      <c r="I1538" s="810"/>
      <c r="J1538" s="810"/>
    </row>
    <row r="1539" spans="1:10" x14ac:dyDescent="0.25">
      <c r="A1539" s="92"/>
      <c r="F1539" s="786"/>
      <c r="G1539" s="795"/>
      <c r="H1539" s="93"/>
      <c r="I1539" s="810"/>
      <c r="J1539" s="810"/>
    </row>
    <row r="1540" spans="1:10" x14ac:dyDescent="0.25">
      <c r="A1540" s="92"/>
      <c r="F1540" s="786"/>
      <c r="G1540" s="795"/>
      <c r="H1540" s="93"/>
      <c r="I1540" s="810"/>
      <c r="J1540" s="810"/>
    </row>
    <row r="1541" spans="1:10" x14ac:dyDescent="0.25">
      <c r="A1541" s="92"/>
      <c r="F1541" s="786"/>
      <c r="G1541" s="795"/>
      <c r="H1541" s="93"/>
      <c r="I1541" s="810"/>
      <c r="J1541" s="810"/>
    </row>
    <row r="1542" spans="1:10" x14ac:dyDescent="0.25">
      <c r="A1542" s="92"/>
      <c r="F1542" s="786"/>
      <c r="G1542" s="795"/>
      <c r="H1542" s="93"/>
      <c r="I1542" s="810"/>
      <c r="J1542" s="810"/>
    </row>
    <row r="1543" spans="1:10" x14ac:dyDescent="0.25">
      <c r="A1543" s="92"/>
      <c r="F1543" s="786"/>
      <c r="G1543" s="795"/>
      <c r="H1543" s="93"/>
      <c r="I1543" s="810"/>
      <c r="J1543" s="810"/>
    </row>
    <row r="1544" spans="1:10" x14ac:dyDescent="0.25">
      <c r="A1544" s="92"/>
      <c r="F1544" s="786"/>
      <c r="G1544" s="795"/>
      <c r="H1544" s="93"/>
      <c r="I1544" s="810"/>
      <c r="J1544" s="810"/>
    </row>
    <row r="1545" spans="1:10" x14ac:dyDescent="0.25">
      <c r="A1545" s="92"/>
      <c r="F1545" s="786"/>
      <c r="G1545" s="795"/>
      <c r="H1545" s="93"/>
      <c r="I1545" s="810"/>
      <c r="J1545" s="810"/>
    </row>
    <row r="1546" spans="1:10" x14ac:dyDescent="0.25">
      <c r="A1546" s="92"/>
      <c r="F1546" s="786"/>
      <c r="G1546" s="795"/>
      <c r="H1546" s="93"/>
      <c r="I1546" s="810"/>
      <c r="J1546" s="810"/>
    </row>
    <row r="1547" spans="1:10" x14ac:dyDescent="0.25">
      <c r="A1547" s="92"/>
      <c r="F1547" s="786"/>
      <c r="G1547" s="795"/>
      <c r="H1547" s="93"/>
      <c r="I1547" s="810"/>
      <c r="J1547" s="810"/>
    </row>
    <row r="1548" spans="1:10" x14ac:dyDescent="0.25">
      <c r="A1548" s="92"/>
      <c r="F1548" s="786"/>
      <c r="G1548" s="795"/>
      <c r="H1548" s="93"/>
      <c r="I1548" s="810"/>
      <c r="J1548" s="810"/>
    </row>
    <row r="1549" spans="1:10" x14ac:dyDescent="0.25">
      <c r="A1549" s="92"/>
      <c r="F1549" s="786"/>
      <c r="G1549" s="795"/>
      <c r="H1549" s="93"/>
      <c r="I1549" s="810"/>
      <c r="J1549" s="810"/>
    </row>
    <row r="1550" spans="1:10" x14ac:dyDescent="0.25">
      <c r="A1550" s="92"/>
      <c r="F1550" s="786"/>
      <c r="G1550" s="795"/>
      <c r="H1550" s="93"/>
      <c r="I1550" s="810"/>
      <c r="J1550" s="810"/>
    </row>
    <row r="1551" spans="1:10" x14ac:dyDescent="0.25">
      <c r="A1551" s="92"/>
      <c r="F1551" s="786"/>
      <c r="G1551" s="795"/>
      <c r="H1551" s="93"/>
      <c r="I1551" s="810"/>
      <c r="J1551" s="810"/>
    </row>
    <row r="1552" spans="1:10" x14ac:dyDescent="0.25">
      <c r="A1552" s="92"/>
      <c r="F1552" s="786"/>
      <c r="G1552" s="795"/>
      <c r="H1552" s="93"/>
      <c r="I1552" s="810"/>
      <c r="J1552" s="810"/>
    </row>
    <row r="1553" spans="1:10" x14ac:dyDescent="0.25">
      <c r="A1553" s="92"/>
      <c r="F1553" s="786"/>
      <c r="G1553" s="795"/>
      <c r="H1553" s="93"/>
      <c r="I1553" s="810"/>
      <c r="J1553" s="810"/>
    </row>
    <row r="1554" spans="1:10" x14ac:dyDescent="0.25">
      <c r="A1554" s="92"/>
      <c r="F1554" s="786"/>
      <c r="G1554" s="795"/>
      <c r="H1554" s="93"/>
      <c r="I1554" s="810"/>
      <c r="J1554" s="810"/>
    </row>
    <row r="1555" spans="1:10" x14ac:dyDescent="0.25">
      <c r="A1555" s="92"/>
      <c r="F1555" s="786"/>
      <c r="G1555" s="795"/>
      <c r="H1555" s="93"/>
      <c r="I1555" s="810"/>
      <c r="J1555" s="810"/>
    </row>
    <row r="1556" spans="1:10" x14ac:dyDescent="0.25">
      <c r="A1556" s="92"/>
      <c r="F1556" s="786"/>
      <c r="G1556" s="795"/>
      <c r="H1556" s="93"/>
      <c r="I1556" s="810"/>
      <c r="J1556" s="810"/>
    </row>
    <row r="1557" spans="1:10" x14ac:dyDescent="0.25">
      <c r="A1557" s="92"/>
      <c r="F1557" s="786"/>
      <c r="G1557" s="795"/>
      <c r="H1557" s="93"/>
      <c r="I1557" s="810"/>
      <c r="J1557" s="810"/>
    </row>
    <row r="1558" spans="1:10" x14ac:dyDescent="0.25">
      <c r="A1558" s="92"/>
      <c r="F1558" s="786"/>
      <c r="G1558" s="795"/>
      <c r="H1558" s="93"/>
      <c r="I1558" s="810"/>
      <c r="J1558" s="810"/>
    </row>
    <row r="1559" spans="1:10" x14ac:dyDescent="0.25">
      <c r="A1559" s="92"/>
      <c r="F1559" s="786"/>
      <c r="G1559" s="795"/>
      <c r="H1559" s="93"/>
      <c r="I1559" s="810"/>
      <c r="J1559" s="810"/>
    </row>
    <row r="1560" spans="1:10" x14ac:dyDescent="0.25">
      <c r="A1560" s="92"/>
      <c r="F1560" s="786"/>
      <c r="G1560" s="795"/>
      <c r="H1560" s="93"/>
      <c r="I1560" s="810"/>
      <c r="J1560" s="810"/>
    </row>
    <row r="1561" spans="1:10" x14ac:dyDescent="0.25">
      <c r="A1561" s="92"/>
      <c r="F1561" s="786"/>
      <c r="G1561" s="795"/>
      <c r="H1561" s="93"/>
      <c r="I1561" s="810"/>
      <c r="J1561" s="810"/>
    </row>
    <row r="1562" spans="1:10" x14ac:dyDescent="0.25">
      <c r="A1562" s="92"/>
      <c r="F1562" s="786"/>
      <c r="G1562" s="795"/>
      <c r="H1562" s="93"/>
      <c r="I1562" s="810"/>
      <c r="J1562" s="810"/>
    </row>
    <row r="1563" spans="1:10" x14ac:dyDescent="0.25">
      <c r="A1563" s="92"/>
      <c r="F1563" s="786"/>
      <c r="G1563" s="795"/>
      <c r="H1563" s="93"/>
      <c r="I1563" s="810"/>
      <c r="J1563" s="810"/>
    </row>
    <row r="1564" spans="1:10" x14ac:dyDescent="0.25">
      <c r="A1564" s="92"/>
      <c r="F1564" s="786"/>
      <c r="G1564" s="795"/>
      <c r="H1564" s="93"/>
      <c r="I1564" s="810"/>
      <c r="J1564" s="810"/>
    </row>
    <row r="1565" spans="1:10" x14ac:dyDescent="0.25">
      <c r="A1565" s="92"/>
      <c r="F1565" s="786"/>
      <c r="G1565" s="795"/>
      <c r="H1565" s="93"/>
      <c r="I1565" s="810"/>
      <c r="J1565" s="810"/>
    </row>
    <row r="1566" spans="1:10" x14ac:dyDescent="0.25">
      <c r="A1566" s="92"/>
      <c r="F1566" s="786"/>
      <c r="G1566" s="795"/>
      <c r="H1566" s="93"/>
      <c r="I1566" s="810"/>
      <c r="J1566" s="810"/>
    </row>
    <row r="1567" spans="1:10" x14ac:dyDescent="0.25">
      <c r="A1567" s="92"/>
      <c r="F1567" s="786"/>
      <c r="G1567" s="795"/>
      <c r="H1567" s="93"/>
      <c r="I1567" s="810"/>
      <c r="J1567" s="810"/>
    </row>
    <row r="1568" spans="1:10" x14ac:dyDescent="0.25">
      <c r="A1568" s="92"/>
      <c r="F1568" s="786"/>
      <c r="G1568" s="795"/>
      <c r="H1568" s="93"/>
      <c r="I1568" s="810"/>
      <c r="J1568" s="810"/>
    </row>
    <row r="1569" spans="1:10" x14ac:dyDescent="0.25">
      <c r="A1569" s="92"/>
      <c r="F1569" s="786"/>
      <c r="G1569" s="795"/>
      <c r="H1569" s="93"/>
      <c r="I1569" s="810"/>
      <c r="J1569" s="810"/>
    </row>
    <row r="1570" spans="1:10" x14ac:dyDescent="0.25">
      <c r="A1570" s="92"/>
      <c r="F1570" s="786"/>
      <c r="G1570" s="795"/>
      <c r="H1570" s="93"/>
      <c r="I1570" s="810"/>
      <c r="J1570" s="810"/>
    </row>
    <row r="1571" spans="1:10" x14ac:dyDescent="0.25">
      <c r="A1571" s="92"/>
      <c r="F1571" s="786"/>
      <c r="G1571" s="795"/>
      <c r="H1571" s="93"/>
      <c r="I1571" s="810"/>
      <c r="J1571" s="810"/>
    </row>
    <row r="1572" spans="1:10" x14ac:dyDescent="0.25">
      <c r="A1572" s="92"/>
      <c r="F1572" s="786"/>
      <c r="G1572" s="795"/>
      <c r="H1572" s="93"/>
      <c r="I1572" s="810"/>
      <c r="J1572" s="810"/>
    </row>
    <row r="1573" spans="1:10" x14ac:dyDescent="0.25">
      <c r="A1573" s="92"/>
      <c r="F1573" s="786"/>
      <c r="G1573" s="795"/>
      <c r="H1573" s="93"/>
      <c r="I1573" s="810"/>
      <c r="J1573" s="810"/>
    </row>
    <row r="1574" spans="1:10" x14ac:dyDescent="0.25">
      <c r="A1574" s="92"/>
      <c r="F1574" s="786"/>
      <c r="G1574" s="795"/>
      <c r="H1574" s="93"/>
      <c r="I1574" s="810"/>
      <c r="J1574" s="810"/>
    </row>
    <row r="1575" spans="1:10" x14ac:dyDescent="0.25">
      <c r="A1575" s="92"/>
      <c r="F1575" s="786"/>
      <c r="G1575" s="795"/>
      <c r="H1575" s="93"/>
      <c r="I1575" s="810"/>
      <c r="J1575" s="810"/>
    </row>
    <row r="1576" spans="1:10" x14ac:dyDescent="0.25">
      <c r="A1576" s="92"/>
      <c r="F1576" s="786"/>
      <c r="G1576" s="795"/>
      <c r="H1576" s="93"/>
      <c r="I1576" s="810"/>
      <c r="J1576" s="810"/>
    </row>
    <row r="1577" spans="1:10" x14ac:dyDescent="0.25">
      <c r="A1577" s="92"/>
      <c r="F1577" s="786"/>
      <c r="G1577" s="795"/>
      <c r="H1577" s="93"/>
      <c r="I1577" s="810"/>
      <c r="J1577" s="810"/>
    </row>
    <row r="1578" spans="1:10" x14ac:dyDescent="0.25">
      <c r="A1578" s="92"/>
      <c r="F1578" s="786"/>
      <c r="G1578" s="795"/>
      <c r="H1578" s="93"/>
      <c r="I1578" s="810"/>
      <c r="J1578" s="810"/>
    </row>
    <row r="1579" spans="1:10" x14ac:dyDescent="0.25">
      <c r="A1579" s="92"/>
      <c r="F1579" s="786"/>
      <c r="G1579" s="795"/>
      <c r="H1579" s="93"/>
      <c r="I1579" s="810"/>
      <c r="J1579" s="810"/>
    </row>
    <row r="1580" spans="1:10" x14ac:dyDescent="0.25">
      <c r="A1580" s="92"/>
      <c r="F1580" s="786"/>
      <c r="G1580" s="795"/>
      <c r="H1580" s="93"/>
      <c r="I1580" s="810"/>
      <c r="J1580" s="810"/>
    </row>
    <row r="1581" spans="1:10" x14ac:dyDescent="0.25">
      <c r="A1581" s="92"/>
      <c r="F1581" s="786"/>
      <c r="G1581" s="795"/>
      <c r="H1581" s="93"/>
      <c r="I1581" s="810"/>
      <c r="J1581" s="810"/>
    </row>
    <row r="1582" spans="1:10" x14ac:dyDescent="0.25">
      <c r="A1582" s="92"/>
      <c r="F1582" s="786"/>
      <c r="G1582" s="795"/>
      <c r="H1582" s="93"/>
      <c r="I1582" s="810"/>
      <c r="J1582" s="810"/>
    </row>
    <row r="1583" spans="1:10" x14ac:dyDescent="0.25">
      <c r="A1583" s="92"/>
      <c r="F1583" s="786"/>
      <c r="G1583" s="795"/>
      <c r="H1583" s="93"/>
      <c r="I1583" s="810"/>
      <c r="J1583" s="810"/>
    </row>
    <row r="1584" spans="1:10" x14ac:dyDescent="0.25">
      <c r="A1584" s="92"/>
      <c r="F1584" s="786"/>
      <c r="G1584" s="795"/>
      <c r="H1584" s="93"/>
      <c r="I1584" s="810"/>
      <c r="J1584" s="810"/>
    </row>
    <row r="1585" spans="1:10" x14ac:dyDescent="0.25">
      <c r="A1585" s="92"/>
      <c r="F1585" s="786"/>
      <c r="G1585" s="795"/>
      <c r="H1585" s="93"/>
      <c r="I1585" s="810"/>
      <c r="J1585" s="810"/>
    </row>
    <row r="1586" spans="1:10" x14ac:dyDescent="0.25">
      <c r="A1586" s="92"/>
      <c r="F1586" s="786"/>
      <c r="G1586" s="795"/>
      <c r="H1586" s="93"/>
      <c r="I1586" s="810"/>
      <c r="J1586" s="810"/>
    </row>
    <row r="1587" spans="1:10" x14ac:dyDescent="0.25">
      <c r="A1587" s="92"/>
      <c r="F1587" s="786"/>
      <c r="G1587" s="795"/>
      <c r="H1587" s="93"/>
      <c r="I1587" s="810"/>
      <c r="J1587" s="810"/>
    </row>
    <row r="1588" spans="1:10" x14ac:dyDescent="0.25">
      <c r="A1588" s="92"/>
      <c r="F1588" s="786"/>
      <c r="G1588" s="795"/>
      <c r="H1588" s="93"/>
      <c r="I1588" s="810"/>
      <c r="J1588" s="810"/>
    </row>
    <row r="1589" spans="1:10" x14ac:dyDescent="0.25">
      <c r="A1589" s="92"/>
      <c r="F1589" s="786"/>
      <c r="G1589" s="795"/>
      <c r="H1589" s="93"/>
      <c r="I1589" s="810"/>
      <c r="J1589" s="810"/>
    </row>
    <row r="1590" spans="1:10" x14ac:dyDescent="0.25">
      <c r="A1590" s="92"/>
      <c r="F1590" s="786"/>
      <c r="G1590" s="795"/>
      <c r="H1590" s="93"/>
      <c r="I1590" s="810"/>
      <c r="J1590" s="810"/>
    </row>
    <row r="1591" spans="1:10" x14ac:dyDescent="0.25">
      <c r="A1591" s="92"/>
      <c r="F1591" s="786"/>
      <c r="G1591" s="795"/>
      <c r="H1591" s="93"/>
      <c r="I1591" s="810"/>
      <c r="J1591" s="810"/>
    </row>
    <row r="1592" spans="1:10" x14ac:dyDescent="0.25">
      <c r="A1592" s="92"/>
      <c r="F1592" s="786"/>
      <c r="G1592" s="795"/>
      <c r="H1592" s="93"/>
      <c r="I1592" s="810"/>
      <c r="J1592" s="810"/>
    </row>
    <row r="1593" spans="1:10" x14ac:dyDescent="0.25">
      <c r="A1593" s="92"/>
      <c r="F1593" s="786"/>
      <c r="G1593" s="795"/>
      <c r="H1593" s="93"/>
      <c r="I1593" s="810"/>
      <c r="J1593" s="810"/>
    </row>
    <row r="1594" spans="1:10" x14ac:dyDescent="0.25">
      <c r="A1594" s="92"/>
      <c r="F1594" s="786"/>
      <c r="G1594" s="795"/>
      <c r="H1594" s="93"/>
      <c r="I1594" s="810"/>
      <c r="J1594" s="810"/>
    </row>
    <row r="1595" spans="1:10" x14ac:dyDescent="0.25">
      <c r="A1595" s="92"/>
      <c r="F1595" s="786"/>
      <c r="G1595" s="795"/>
      <c r="H1595" s="93"/>
      <c r="I1595" s="810"/>
      <c r="J1595" s="810"/>
    </row>
    <row r="1596" spans="1:10" x14ac:dyDescent="0.25">
      <c r="A1596" s="92"/>
      <c r="F1596" s="786"/>
      <c r="G1596" s="795"/>
      <c r="H1596" s="93"/>
      <c r="I1596" s="810"/>
      <c r="J1596" s="810"/>
    </row>
    <row r="1597" spans="1:10" x14ac:dyDescent="0.25">
      <c r="A1597" s="92"/>
      <c r="F1597" s="786"/>
      <c r="G1597" s="795"/>
      <c r="H1597" s="93"/>
      <c r="I1597" s="810"/>
      <c r="J1597" s="810"/>
    </row>
    <row r="1598" spans="1:10" x14ac:dyDescent="0.25">
      <c r="A1598" s="92"/>
      <c r="F1598" s="786"/>
      <c r="G1598" s="795"/>
      <c r="H1598" s="93"/>
      <c r="I1598" s="810"/>
      <c r="J1598" s="810"/>
    </row>
    <row r="1599" spans="1:10" x14ac:dyDescent="0.25">
      <c r="A1599" s="92"/>
      <c r="F1599" s="786"/>
      <c r="G1599" s="795"/>
      <c r="H1599" s="93"/>
      <c r="I1599" s="810"/>
      <c r="J1599" s="810"/>
    </row>
    <row r="1600" spans="1:10" x14ac:dyDescent="0.25">
      <c r="A1600" s="92"/>
      <c r="F1600" s="786"/>
      <c r="G1600" s="795"/>
      <c r="H1600" s="93"/>
      <c r="I1600" s="810"/>
      <c r="J1600" s="810"/>
    </row>
    <row r="1601" spans="1:10" x14ac:dyDescent="0.25">
      <c r="A1601" s="92"/>
      <c r="F1601" s="786"/>
      <c r="G1601" s="795"/>
      <c r="H1601" s="93"/>
      <c r="I1601" s="810"/>
      <c r="J1601" s="810"/>
    </row>
    <row r="1602" spans="1:10" x14ac:dyDescent="0.25">
      <c r="A1602" s="92"/>
      <c r="F1602" s="786"/>
      <c r="G1602" s="795"/>
      <c r="H1602" s="93"/>
      <c r="I1602" s="810"/>
      <c r="J1602" s="810"/>
    </row>
    <row r="1603" spans="1:10" x14ac:dyDescent="0.25">
      <c r="A1603" s="92"/>
      <c r="F1603" s="786"/>
      <c r="G1603" s="795"/>
      <c r="H1603" s="93"/>
      <c r="I1603" s="810"/>
      <c r="J1603" s="810"/>
    </row>
    <row r="1604" spans="1:10" x14ac:dyDescent="0.25">
      <c r="A1604" s="92"/>
      <c r="F1604" s="786"/>
      <c r="G1604" s="795"/>
      <c r="H1604" s="93"/>
      <c r="I1604" s="810"/>
      <c r="J1604" s="810"/>
    </row>
    <row r="1605" spans="1:10" x14ac:dyDescent="0.25">
      <c r="A1605" s="92"/>
      <c r="F1605" s="786"/>
      <c r="G1605" s="795"/>
      <c r="H1605" s="93"/>
      <c r="I1605" s="810"/>
      <c r="J1605" s="810"/>
    </row>
    <row r="1606" spans="1:10" x14ac:dyDescent="0.25">
      <c r="A1606" s="92"/>
      <c r="F1606" s="786"/>
      <c r="G1606" s="795"/>
      <c r="H1606" s="93"/>
      <c r="I1606" s="810"/>
      <c r="J1606" s="810"/>
    </row>
    <row r="1607" spans="1:10" x14ac:dyDescent="0.25">
      <c r="A1607" s="92"/>
      <c r="F1607" s="786"/>
      <c r="G1607" s="795"/>
      <c r="H1607" s="93"/>
      <c r="I1607" s="810"/>
      <c r="J1607" s="810"/>
    </row>
    <row r="1608" spans="1:10" x14ac:dyDescent="0.25">
      <c r="A1608" s="92"/>
      <c r="F1608" s="786"/>
      <c r="G1608" s="795"/>
      <c r="H1608" s="93"/>
      <c r="I1608" s="810"/>
      <c r="J1608" s="810"/>
    </row>
    <row r="1609" spans="1:10" x14ac:dyDescent="0.25">
      <c r="A1609" s="92"/>
      <c r="F1609" s="786"/>
      <c r="G1609" s="795"/>
      <c r="H1609" s="93"/>
      <c r="I1609" s="810"/>
      <c r="J1609" s="810"/>
    </row>
    <row r="1610" spans="1:10" x14ac:dyDescent="0.25">
      <c r="A1610" s="92"/>
      <c r="F1610" s="786"/>
      <c r="G1610" s="795"/>
      <c r="H1610" s="93"/>
      <c r="I1610" s="810"/>
      <c r="J1610" s="810"/>
    </row>
    <row r="1611" spans="1:10" x14ac:dyDescent="0.25">
      <c r="A1611" s="92"/>
      <c r="F1611" s="786"/>
      <c r="G1611" s="795"/>
      <c r="H1611" s="93"/>
      <c r="I1611" s="810"/>
      <c r="J1611" s="810"/>
    </row>
    <row r="1612" spans="1:10" x14ac:dyDescent="0.25">
      <c r="A1612" s="92"/>
      <c r="F1612" s="786"/>
      <c r="G1612" s="795"/>
      <c r="H1612" s="93"/>
      <c r="I1612" s="810"/>
      <c r="J1612" s="810"/>
    </row>
    <row r="1613" spans="1:10" x14ac:dyDescent="0.25">
      <c r="A1613" s="92"/>
      <c r="F1613" s="786"/>
      <c r="G1613" s="795"/>
      <c r="H1613" s="93"/>
      <c r="I1613" s="810"/>
      <c r="J1613" s="810"/>
    </row>
    <row r="1614" spans="1:10" x14ac:dyDescent="0.25">
      <c r="A1614" s="92"/>
      <c r="F1614" s="786"/>
      <c r="G1614" s="795"/>
      <c r="H1614" s="93"/>
      <c r="I1614" s="810"/>
      <c r="J1614" s="810"/>
    </row>
    <row r="1615" spans="1:10" x14ac:dyDescent="0.25">
      <c r="A1615" s="92"/>
      <c r="F1615" s="786"/>
      <c r="G1615" s="795"/>
      <c r="H1615" s="93"/>
      <c r="I1615" s="810"/>
      <c r="J1615" s="810"/>
    </row>
    <row r="1616" spans="1:10" x14ac:dyDescent="0.25">
      <c r="A1616" s="92"/>
      <c r="F1616" s="786"/>
      <c r="G1616" s="795"/>
      <c r="H1616" s="93"/>
      <c r="I1616" s="810"/>
      <c r="J1616" s="810"/>
    </row>
    <row r="1617" spans="1:10" x14ac:dyDescent="0.25">
      <c r="A1617" s="92"/>
      <c r="F1617" s="786"/>
      <c r="G1617" s="795"/>
      <c r="H1617" s="93"/>
      <c r="I1617" s="810"/>
      <c r="J1617" s="810"/>
    </row>
    <row r="1618" spans="1:10" x14ac:dyDescent="0.25">
      <c r="A1618" s="92"/>
      <c r="F1618" s="786"/>
      <c r="G1618" s="795"/>
      <c r="H1618" s="93"/>
      <c r="I1618" s="810"/>
      <c r="J1618" s="810"/>
    </row>
    <row r="1619" spans="1:10" x14ac:dyDescent="0.25">
      <c r="A1619" s="92"/>
      <c r="F1619" s="786"/>
      <c r="G1619" s="795"/>
      <c r="H1619" s="93"/>
      <c r="I1619" s="810"/>
      <c r="J1619" s="810"/>
    </row>
    <row r="1620" spans="1:10" x14ac:dyDescent="0.25">
      <c r="A1620" s="92"/>
      <c r="F1620" s="786"/>
      <c r="G1620" s="795"/>
      <c r="H1620" s="93"/>
      <c r="I1620" s="810"/>
      <c r="J1620" s="810"/>
    </row>
    <row r="1621" spans="1:10" x14ac:dyDescent="0.25">
      <c r="A1621" s="92"/>
      <c r="F1621" s="786"/>
      <c r="G1621" s="795"/>
      <c r="H1621" s="93"/>
      <c r="I1621" s="810"/>
      <c r="J1621" s="810"/>
    </row>
    <row r="1622" spans="1:10" x14ac:dyDescent="0.25">
      <c r="A1622" s="92"/>
      <c r="F1622" s="786"/>
      <c r="G1622" s="795"/>
      <c r="H1622" s="93"/>
      <c r="I1622" s="810"/>
      <c r="J1622" s="810"/>
    </row>
    <row r="1623" spans="1:10" x14ac:dyDescent="0.25">
      <c r="A1623" s="92"/>
      <c r="F1623" s="786"/>
      <c r="G1623" s="795"/>
      <c r="H1623" s="93"/>
      <c r="I1623" s="810"/>
      <c r="J1623" s="810"/>
    </row>
    <row r="1624" spans="1:10" x14ac:dyDescent="0.25">
      <c r="A1624" s="92"/>
      <c r="F1624" s="786"/>
      <c r="G1624" s="795"/>
      <c r="H1624" s="93"/>
      <c r="I1624" s="810"/>
      <c r="J1624" s="810"/>
    </row>
    <row r="1625" spans="1:10" x14ac:dyDescent="0.25">
      <c r="A1625" s="92"/>
      <c r="F1625" s="786"/>
      <c r="G1625" s="795"/>
      <c r="H1625" s="93"/>
      <c r="I1625" s="810"/>
      <c r="J1625" s="810"/>
    </row>
    <row r="1626" spans="1:10" x14ac:dyDescent="0.25">
      <c r="A1626" s="92"/>
      <c r="F1626" s="786"/>
      <c r="G1626" s="795"/>
      <c r="H1626" s="93"/>
      <c r="I1626" s="810"/>
      <c r="J1626" s="810"/>
    </row>
    <row r="1627" spans="1:10" x14ac:dyDescent="0.25">
      <c r="A1627" s="92"/>
      <c r="F1627" s="786"/>
      <c r="G1627" s="795"/>
      <c r="H1627" s="93"/>
      <c r="I1627" s="810"/>
      <c r="J1627" s="810"/>
    </row>
    <row r="1628" spans="1:10" x14ac:dyDescent="0.25">
      <c r="A1628" s="92"/>
      <c r="F1628" s="786"/>
      <c r="G1628" s="795"/>
      <c r="H1628" s="93"/>
      <c r="I1628" s="810"/>
      <c r="J1628" s="810"/>
    </row>
    <row r="1629" spans="1:10" x14ac:dyDescent="0.25">
      <c r="A1629" s="92"/>
      <c r="F1629" s="786"/>
      <c r="G1629" s="795"/>
      <c r="H1629" s="93"/>
      <c r="I1629" s="810"/>
      <c r="J1629" s="810"/>
    </row>
    <row r="1630" spans="1:10" x14ac:dyDescent="0.25">
      <c r="A1630" s="92"/>
      <c r="F1630" s="786"/>
      <c r="G1630" s="795"/>
      <c r="H1630" s="93"/>
      <c r="I1630" s="810"/>
      <c r="J1630" s="810"/>
    </row>
    <row r="1631" spans="1:10" x14ac:dyDescent="0.25">
      <c r="A1631" s="92"/>
      <c r="F1631" s="786"/>
      <c r="G1631" s="795"/>
      <c r="H1631" s="93"/>
      <c r="I1631" s="810"/>
      <c r="J1631" s="810"/>
    </row>
    <row r="1632" spans="1:10" x14ac:dyDescent="0.25">
      <c r="A1632" s="92"/>
      <c r="F1632" s="786"/>
      <c r="G1632" s="795"/>
      <c r="H1632" s="93"/>
      <c r="I1632" s="810"/>
      <c r="J1632" s="810"/>
    </row>
    <row r="1633" spans="1:10" x14ac:dyDescent="0.25">
      <c r="A1633" s="92"/>
      <c r="F1633" s="786"/>
      <c r="G1633" s="795"/>
      <c r="H1633" s="93"/>
      <c r="I1633" s="810"/>
      <c r="J1633" s="810"/>
    </row>
    <row r="1634" spans="1:10" x14ac:dyDescent="0.25">
      <c r="A1634" s="92"/>
      <c r="F1634" s="786"/>
      <c r="G1634" s="795"/>
      <c r="H1634" s="93"/>
      <c r="I1634" s="810"/>
      <c r="J1634" s="810"/>
    </row>
    <row r="1635" spans="1:10" x14ac:dyDescent="0.25">
      <c r="A1635" s="92"/>
      <c r="F1635" s="786"/>
      <c r="G1635" s="795"/>
      <c r="H1635" s="93"/>
      <c r="I1635" s="810"/>
      <c r="J1635" s="810"/>
    </row>
    <row r="1636" spans="1:10" x14ac:dyDescent="0.25">
      <c r="A1636" s="92"/>
      <c r="F1636" s="786"/>
      <c r="G1636" s="795"/>
      <c r="H1636" s="93"/>
      <c r="I1636" s="810"/>
      <c r="J1636" s="810"/>
    </row>
    <row r="1637" spans="1:10" x14ac:dyDescent="0.25">
      <c r="A1637" s="92"/>
      <c r="F1637" s="786"/>
      <c r="G1637" s="795"/>
      <c r="H1637" s="93"/>
      <c r="I1637" s="810"/>
      <c r="J1637" s="810"/>
    </row>
    <row r="1638" spans="1:10" x14ac:dyDescent="0.25">
      <c r="A1638" s="92"/>
      <c r="F1638" s="786"/>
      <c r="G1638" s="795"/>
      <c r="H1638" s="93"/>
      <c r="I1638" s="810"/>
      <c r="J1638" s="810"/>
    </row>
    <row r="1639" spans="1:10" x14ac:dyDescent="0.25">
      <c r="A1639" s="92"/>
      <c r="F1639" s="786"/>
      <c r="G1639" s="795"/>
      <c r="H1639" s="93"/>
      <c r="I1639" s="810"/>
      <c r="J1639" s="810"/>
    </row>
    <row r="1640" spans="1:10" x14ac:dyDescent="0.25">
      <c r="A1640" s="92"/>
      <c r="F1640" s="786"/>
      <c r="G1640" s="795"/>
      <c r="H1640" s="93"/>
      <c r="I1640" s="810"/>
      <c r="J1640" s="810"/>
    </row>
    <row r="1641" spans="1:10" x14ac:dyDescent="0.25">
      <c r="A1641" s="92"/>
      <c r="F1641" s="786"/>
      <c r="G1641" s="795"/>
      <c r="H1641" s="93"/>
      <c r="I1641" s="810"/>
      <c r="J1641" s="810"/>
    </row>
    <row r="1642" spans="1:10" x14ac:dyDescent="0.25">
      <c r="A1642" s="92"/>
      <c r="F1642" s="786"/>
      <c r="G1642" s="795"/>
      <c r="H1642" s="93"/>
      <c r="I1642" s="810"/>
      <c r="J1642" s="810"/>
    </row>
    <row r="1643" spans="1:10" x14ac:dyDescent="0.25">
      <c r="A1643" s="92"/>
      <c r="F1643" s="786"/>
      <c r="G1643" s="795"/>
      <c r="H1643" s="93"/>
      <c r="I1643" s="810"/>
      <c r="J1643" s="810"/>
    </row>
    <row r="1644" spans="1:10" x14ac:dyDescent="0.25">
      <c r="A1644" s="92"/>
      <c r="F1644" s="786"/>
      <c r="G1644" s="795"/>
      <c r="H1644" s="93"/>
      <c r="I1644" s="810"/>
      <c r="J1644" s="810"/>
    </row>
    <row r="1645" spans="1:10" x14ac:dyDescent="0.25">
      <c r="A1645" s="92"/>
      <c r="F1645" s="786"/>
      <c r="G1645" s="795"/>
      <c r="H1645" s="93"/>
      <c r="I1645" s="810"/>
      <c r="J1645" s="810"/>
    </row>
    <row r="1646" spans="1:10" x14ac:dyDescent="0.25">
      <c r="A1646" s="92"/>
      <c r="F1646" s="786"/>
      <c r="G1646" s="795"/>
      <c r="H1646" s="93"/>
      <c r="I1646" s="810"/>
      <c r="J1646" s="810"/>
    </row>
    <row r="1647" spans="1:10" x14ac:dyDescent="0.25">
      <c r="A1647" s="92"/>
      <c r="F1647" s="786"/>
      <c r="G1647" s="795"/>
      <c r="H1647" s="93"/>
      <c r="I1647" s="810"/>
      <c r="J1647" s="810"/>
    </row>
    <row r="1648" spans="1:10" x14ac:dyDescent="0.25">
      <c r="A1648" s="92"/>
      <c r="F1648" s="786"/>
      <c r="G1648" s="795"/>
      <c r="H1648" s="93"/>
      <c r="I1648" s="810"/>
      <c r="J1648" s="810"/>
    </row>
    <row r="1649" spans="1:10" x14ac:dyDescent="0.25">
      <c r="A1649" s="92"/>
      <c r="F1649" s="786"/>
      <c r="G1649" s="795"/>
      <c r="H1649" s="93"/>
      <c r="I1649" s="810"/>
      <c r="J1649" s="810"/>
    </row>
    <row r="1650" spans="1:10" x14ac:dyDescent="0.25">
      <c r="A1650" s="92"/>
      <c r="F1650" s="786"/>
      <c r="G1650" s="795"/>
      <c r="H1650" s="93"/>
      <c r="I1650" s="810"/>
      <c r="J1650" s="810"/>
    </row>
    <row r="1651" spans="1:10" x14ac:dyDescent="0.25">
      <c r="A1651" s="92"/>
      <c r="F1651" s="786"/>
      <c r="G1651" s="795"/>
      <c r="H1651" s="93"/>
      <c r="I1651" s="810"/>
      <c r="J1651" s="810"/>
    </row>
    <row r="1652" spans="1:10" x14ac:dyDescent="0.25">
      <c r="A1652" s="92"/>
      <c r="F1652" s="786"/>
      <c r="G1652" s="795"/>
      <c r="H1652" s="93"/>
      <c r="I1652" s="810"/>
      <c r="J1652" s="810"/>
    </row>
    <row r="1653" spans="1:10" x14ac:dyDescent="0.25">
      <c r="A1653" s="92"/>
      <c r="F1653" s="786"/>
      <c r="G1653" s="795"/>
      <c r="H1653" s="93"/>
      <c r="I1653" s="810"/>
      <c r="J1653" s="810"/>
    </row>
    <row r="1654" spans="1:10" x14ac:dyDescent="0.25">
      <c r="A1654" s="92"/>
      <c r="F1654" s="786"/>
      <c r="G1654" s="795"/>
      <c r="H1654" s="93"/>
      <c r="I1654" s="810"/>
      <c r="J1654" s="810"/>
    </row>
    <row r="1655" spans="1:10" x14ac:dyDescent="0.25">
      <c r="A1655" s="92"/>
      <c r="F1655" s="786"/>
      <c r="G1655" s="795"/>
      <c r="H1655" s="93"/>
      <c r="I1655" s="810"/>
      <c r="J1655" s="810"/>
    </row>
    <row r="1656" spans="1:10" x14ac:dyDescent="0.25">
      <c r="A1656" s="92"/>
      <c r="F1656" s="786"/>
      <c r="G1656" s="795"/>
      <c r="H1656" s="93"/>
      <c r="I1656" s="810"/>
      <c r="J1656" s="810"/>
    </row>
    <row r="1657" spans="1:10" x14ac:dyDescent="0.25">
      <c r="A1657" s="92"/>
      <c r="F1657" s="786"/>
      <c r="G1657" s="795"/>
      <c r="H1657" s="93"/>
      <c r="I1657" s="810"/>
      <c r="J1657" s="810"/>
    </row>
    <row r="1658" spans="1:10" x14ac:dyDescent="0.25">
      <c r="A1658" s="92"/>
      <c r="F1658" s="786"/>
      <c r="G1658" s="795"/>
      <c r="H1658" s="93"/>
      <c r="I1658" s="810"/>
      <c r="J1658" s="810"/>
    </row>
    <row r="1659" spans="1:10" x14ac:dyDescent="0.25">
      <c r="A1659" s="92"/>
      <c r="F1659" s="786"/>
      <c r="G1659" s="795"/>
      <c r="H1659" s="93"/>
      <c r="I1659" s="810"/>
      <c r="J1659" s="810"/>
    </row>
    <row r="1660" spans="1:10" x14ac:dyDescent="0.25">
      <c r="A1660" s="92"/>
      <c r="F1660" s="786"/>
      <c r="G1660" s="795"/>
      <c r="H1660" s="93"/>
      <c r="I1660" s="810"/>
      <c r="J1660" s="810"/>
    </row>
    <row r="1661" spans="1:10" x14ac:dyDescent="0.25">
      <c r="A1661" s="92"/>
      <c r="F1661" s="786"/>
      <c r="G1661" s="795"/>
      <c r="H1661" s="93"/>
      <c r="I1661" s="810"/>
      <c r="J1661" s="810"/>
    </row>
    <row r="1662" spans="1:10" x14ac:dyDescent="0.25">
      <c r="A1662" s="92"/>
      <c r="F1662" s="786"/>
      <c r="G1662" s="795"/>
      <c r="H1662" s="93"/>
      <c r="I1662" s="810"/>
      <c r="J1662" s="810"/>
    </row>
    <row r="1663" spans="1:10" x14ac:dyDescent="0.25">
      <c r="A1663" s="92"/>
      <c r="F1663" s="786"/>
      <c r="G1663" s="795"/>
      <c r="H1663" s="93"/>
      <c r="I1663" s="810"/>
      <c r="J1663" s="810"/>
    </row>
    <row r="1664" spans="1:10" x14ac:dyDescent="0.25">
      <c r="A1664" s="92"/>
      <c r="F1664" s="786"/>
      <c r="G1664" s="795"/>
      <c r="H1664" s="93"/>
      <c r="I1664" s="810"/>
      <c r="J1664" s="810"/>
    </row>
    <row r="1665" spans="1:10" x14ac:dyDescent="0.25">
      <c r="A1665" s="92"/>
      <c r="F1665" s="786"/>
      <c r="G1665" s="795"/>
      <c r="H1665" s="93"/>
      <c r="I1665" s="810"/>
      <c r="J1665" s="810"/>
    </row>
    <row r="1666" spans="1:10" x14ac:dyDescent="0.25">
      <c r="A1666" s="92"/>
      <c r="F1666" s="786"/>
      <c r="G1666" s="795"/>
      <c r="H1666" s="93"/>
      <c r="I1666" s="810"/>
      <c r="J1666" s="810"/>
    </row>
    <row r="1667" spans="1:10" x14ac:dyDescent="0.25">
      <c r="A1667" s="92"/>
      <c r="F1667" s="786"/>
      <c r="G1667" s="795"/>
      <c r="H1667" s="93"/>
      <c r="I1667" s="810"/>
      <c r="J1667" s="810"/>
    </row>
    <row r="1668" spans="1:10" x14ac:dyDescent="0.25">
      <c r="A1668" s="92"/>
      <c r="F1668" s="786"/>
      <c r="G1668" s="795"/>
      <c r="H1668" s="93"/>
      <c r="I1668" s="810"/>
      <c r="J1668" s="810"/>
    </row>
    <row r="1669" spans="1:10" x14ac:dyDescent="0.25">
      <c r="A1669" s="92"/>
      <c r="F1669" s="786"/>
      <c r="G1669" s="795"/>
      <c r="H1669" s="93"/>
      <c r="I1669" s="810"/>
      <c r="J1669" s="810"/>
    </row>
    <row r="1670" spans="1:10" x14ac:dyDescent="0.25">
      <c r="A1670" s="92"/>
      <c r="F1670" s="786"/>
      <c r="G1670" s="795"/>
      <c r="H1670" s="93"/>
      <c r="I1670" s="810"/>
      <c r="J1670" s="810"/>
    </row>
    <row r="1671" spans="1:10" x14ac:dyDescent="0.25">
      <c r="A1671" s="92"/>
      <c r="F1671" s="786"/>
      <c r="G1671" s="795"/>
      <c r="H1671" s="93"/>
      <c r="I1671" s="810"/>
      <c r="J1671" s="810"/>
    </row>
    <row r="1672" spans="1:10" x14ac:dyDescent="0.25">
      <c r="A1672" s="92"/>
      <c r="F1672" s="786"/>
      <c r="G1672" s="795"/>
      <c r="H1672" s="93"/>
      <c r="I1672" s="810"/>
      <c r="J1672" s="810"/>
    </row>
    <row r="1673" spans="1:10" x14ac:dyDescent="0.25">
      <c r="A1673" s="92"/>
      <c r="F1673" s="786"/>
      <c r="G1673" s="795"/>
      <c r="H1673" s="93"/>
      <c r="I1673" s="810"/>
      <c r="J1673" s="810"/>
    </row>
    <row r="1674" spans="1:10" x14ac:dyDescent="0.25">
      <c r="A1674" s="92"/>
      <c r="F1674" s="786"/>
      <c r="G1674" s="795"/>
      <c r="H1674" s="93"/>
      <c r="I1674" s="810"/>
      <c r="J1674" s="810"/>
    </row>
    <row r="1675" spans="1:10" x14ac:dyDescent="0.25">
      <c r="A1675" s="92"/>
      <c r="F1675" s="786"/>
      <c r="G1675" s="795"/>
      <c r="H1675" s="93"/>
      <c r="I1675" s="810"/>
      <c r="J1675" s="810"/>
    </row>
    <row r="1676" spans="1:10" x14ac:dyDescent="0.25">
      <c r="A1676" s="92"/>
      <c r="F1676" s="786"/>
      <c r="G1676" s="795"/>
      <c r="H1676" s="93"/>
      <c r="I1676" s="810"/>
      <c r="J1676" s="810"/>
    </row>
    <row r="1677" spans="1:10" x14ac:dyDescent="0.25">
      <c r="A1677" s="92"/>
      <c r="F1677" s="786"/>
      <c r="G1677" s="795"/>
      <c r="H1677" s="93"/>
      <c r="I1677" s="810"/>
      <c r="J1677" s="810"/>
    </row>
    <row r="1678" spans="1:10" x14ac:dyDescent="0.25">
      <c r="A1678" s="92"/>
      <c r="F1678" s="786"/>
      <c r="G1678" s="795"/>
      <c r="H1678" s="93"/>
      <c r="I1678" s="810"/>
      <c r="J1678" s="810"/>
    </row>
    <row r="1679" spans="1:10" x14ac:dyDescent="0.25">
      <c r="A1679" s="92"/>
      <c r="F1679" s="786"/>
      <c r="G1679" s="795"/>
      <c r="H1679" s="93"/>
      <c r="I1679" s="810"/>
      <c r="J1679" s="810"/>
    </row>
    <row r="1680" spans="1:10" x14ac:dyDescent="0.25">
      <c r="A1680" s="92"/>
      <c r="F1680" s="786"/>
      <c r="G1680" s="795"/>
      <c r="H1680" s="93"/>
      <c r="I1680" s="810"/>
      <c r="J1680" s="810"/>
    </row>
    <row r="1681" spans="1:10" x14ac:dyDescent="0.25">
      <c r="A1681" s="92"/>
      <c r="F1681" s="786"/>
      <c r="G1681" s="795"/>
      <c r="H1681" s="93"/>
      <c r="I1681" s="810"/>
      <c r="J1681" s="810"/>
    </row>
    <row r="1682" spans="1:10" x14ac:dyDescent="0.25">
      <c r="A1682" s="92"/>
      <c r="F1682" s="786"/>
      <c r="G1682" s="795"/>
      <c r="H1682" s="93"/>
      <c r="I1682" s="810"/>
      <c r="J1682" s="810"/>
    </row>
    <row r="1683" spans="1:10" x14ac:dyDescent="0.25">
      <c r="A1683" s="92"/>
      <c r="F1683" s="786"/>
      <c r="G1683" s="795"/>
      <c r="H1683" s="93"/>
      <c r="I1683" s="810"/>
      <c r="J1683" s="810"/>
    </row>
    <row r="1684" spans="1:10" x14ac:dyDescent="0.25">
      <c r="A1684" s="92"/>
      <c r="F1684" s="786"/>
      <c r="G1684" s="795"/>
      <c r="H1684" s="93"/>
      <c r="I1684" s="810"/>
      <c r="J1684" s="810"/>
    </row>
    <row r="1685" spans="1:10" x14ac:dyDescent="0.25">
      <c r="A1685" s="92"/>
      <c r="F1685" s="786"/>
      <c r="G1685" s="795"/>
      <c r="H1685" s="93"/>
      <c r="I1685" s="810"/>
      <c r="J1685" s="810"/>
    </row>
    <row r="1686" spans="1:10" x14ac:dyDescent="0.25">
      <c r="A1686" s="92"/>
      <c r="F1686" s="786"/>
      <c r="G1686" s="795"/>
      <c r="H1686" s="93"/>
      <c r="I1686" s="810"/>
      <c r="J1686" s="810"/>
    </row>
    <row r="1687" spans="1:10" x14ac:dyDescent="0.25">
      <c r="A1687" s="92"/>
      <c r="F1687" s="786"/>
      <c r="G1687" s="795"/>
      <c r="H1687" s="93"/>
      <c r="I1687" s="810"/>
      <c r="J1687" s="810"/>
    </row>
    <row r="1688" spans="1:10" x14ac:dyDescent="0.25">
      <c r="A1688" s="92"/>
      <c r="F1688" s="786"/>
      <c r="G1688" s="795"/>
      <c r="H1688" s="93"/>
      <c r="I1688" s="810"/>
      <c r="J1688" s="810"/>
    </row>
    <row r="1689" spans="1:10" x14ac:dyDescent="0.25">
      <c r="A1689" s="92"/>
      <c r="F1689" s="786"/>
      <c r="G1689" s="795"/>
      <c r="H1689" s="93"/>
      <c r="I1689" s="810"/>
      <c r="J1689" s="810"/>
    </row>
    <row r="1690" spans="1:10" x14ac:dyDescent="0.25">
      <c r="A1690" s="92"/>
      <c r="F1690" s="786"/>
      <c r="G1690" s="795"/>
      <c r="H1690" s="93"/>
      <c r="I1690" s="810"/>
      <c r="J1690" s="810"/>
    </row>
    <row r="1691" spans="1:10" x14ac:dyDescent="0.25">
      <c r="A1691" s="92"/>
      <c r="F1691" s="786"/>
      <c r="G1691" s="795"/>
      <c r="H1691" s="93"/>
      <c r="I1691" s="810"/>
      <c r="J1691" s="810"/>
    </row>
    <row r="1692" spans="1:10" x14ac:dyDescent="0.25">
      <c r="A1692" s="92"/>
      <c r="F1692" s="786"/>
      <c r="G1692" s="795"/>
      <c r="H1692" s="93"/>
      <c r="I1692" s="810"/>
      <c r="J1692" s="810"/>
    </row>
    <row r="1693" spans="1:10" x14ac:dyDescent="0.25">
      <c r="A1693" s="92"/>
      <c r="F1693" s="786"/>
      <c r="G1693" s="795"/>
      <c r="H1693" s="93"/>
      <c r="I1693" s="810"/>
      <c r="J1693" s="810"/>
    </row>
    <row r="1694" spans="1:10" x14ac:dyDescent="0.25">
      <c r="A1694" s="92"/>
      <c r="F1694" s="786"/>
      <c r="G1694" s="795"/>
      <c r="H1694" s="93"/>
      <c r="I1694" s="810"/>
      <c r="J1694" s="810"/>
    </row>
    <row r="1695" spans="1:10" x14ac:dyDescent="0.25">
      <c r="A1695" s="92"/>
      <c r="F1695" s="786"/>
      <c r="G1695" s="795"/>
      <c r="H1695" s="93"/>
      <c r="I1695" s="810"/>
      <c r="J1695" s="810"/>
    </row>
    <row r="1696" spans="1:10" x14ac:dyDescent="0.25">
      <c r="A1696" s="92"/>
      <c r="F1696" s="786"/>
      <c r="G1696" s="795"/>
      <c r="H1696" s="93"/>
      <c r="I1696" s="810"/>
      <c r="J1696" s="810"/>
    </row>
    <row r="1697" spans="1:10" x14ac:dyDescent="0.25">
      <c r="A1697" s="92"/>
      <c r="F1697" s="786"/>
      <c r="G1697" s="795"/>
      <c r="H1697" s="93"/>
      <c r="I1697" s="810"/>
      <c r="J1697" s="810"/>
    </row>
    <row r="1698" spans="1:10" x14ac:dyDescent="0.25">
      <c r="A1698" s="92"/>
      <c r="F1698" s="786"/>
      <c r="G1698" s="795"/>
      <c r="H1698" s="93"/>
      <c r="I1698" s="810"/>
      <c r="J1698" s="810"/>
    </row>
    <row r="1699" spans="1:10" x14ac:dyDescent="0.25">
      <c r="A1699" s="92"/>
      <c r="F1699" s="786"/>
      <c r="G1699" s="795"/>
      <c r="H1699" s="93"/>
      <c r="I1699" s="810"/>
      <c r="J1699" s="810"/>
    </row>
    <row r="1700" spans="1:10" x14ac:dyDescent="0.25">
      <c r="A1700" s="92"/>
      <c r="F1700" s="786"/>
      <c r="G1700" s="795"/>
      <c r="H1700" s="93"/>
      <c r="I1700" s="810"/>
      <c r="J1700" s="810"/>
    </row>
    <row r="1701" spans="1:10" x14ac:dyDescent="0.25">
      <c r="A1701" s="92"/>
      <c r="F1701" s="786"/>
      <c r="G1701" s="795"/>
      <c r="H1701" s="93"/>
      <c r="I1701" s="810"/>
      <c r="J1701" s="810"/>
    </row>
    <row r="1702" spans="1:10" x14ac:dyDescent="0.25">
      <c r="A1702" s="92"/>
      <c r="F1702" s="786"/>
      <c r="G1702" s="795"/>
      <c r="H1702" s="93"/>
      <c r="I1702" s="810"/>
      <c r="J1702" s="810"/>
    </row>
    <row r="1703" spans="1:10" x14ac:dyDescent="0.25">
      <c r="A1703" s="92"/>
      <c r="F1703" s="786"/>
      <c r="G1703" s="795"/>
      <c r="H1703" s="93"/>
      <c r="I1703" s="810"/>
      <c r="J1703" s="810"/>
    </row>
    <row r="1704" spans="1:10" x14ac:dyDescent="0.25">
      <c r="A1704" s="92"/>
      <c r="F1704" s="786"/>
      <c r="G1704" s="795"/>
      <c r="H1704" s="93"/>
      <c r="I1704" s="810"/>
      <c r="J1704" s="810"/>
    </row>
    <row r="1705" spans="1:10" x14ac:dyDescent="0.25">
      <c r="A1705" s="92"/>
      <c r="F1705" s="786"/>
      <c r="G1705" s="795"/>
      <c r="H1705" s="93"/>
      <c r="I1705" s="810"/>
      <c r="J1705" s="810"/>
    </row>
    <row r="1706" spans="1:10" x14ac:dyDescent="0.25">
      <c r="A1706" s="92"/>
      <c r="F1706" s="786"/>
      <c r="G1706" s="795"/>
      <c r="H1706" s="93"/>
      <c r="I1706" s="810"/>
      <c r="J1706" s="810"/>
    </row>
    <row r="1707" spans="1:10" x14ac:dyDescent="0.25">
      <c r="A1707" s="92"/>
      <c r="F1707" s="786"/>
      <c r="G1707" s="795"/>
      <c r="H1707" s="93"/>
      <c r="I1707" s="810"/>
      <c r="J1707" s="810"/>
    </row>
    <row r="1708" spans="1:10" x14ac:dyDescent="0.25">
      <c r="A1708" s="92"/>
      <c r="F1708" s="786"/>
      <c r="G1708" s="795"/>
      <c r="H1708" s="93"/>
      <c r="I1708" s="810"/>
      <c r="J1708" s="810"/>
    </row>
    <row r="1709" spans="1:10" x14ac:dyDescent="0.25">
      <c r="A1709" s="92"/>
      <c r="F1709" s="786"/>
      <c r="G1709" s="795"/>
      <c r="H1709" s="93"/>
      <c r="I1709" s="810"/>
      <c r="J1709" s="810"/>
    </row>
    <row r="1710" spans="1:10" x14ac:dyDescent="0.25">
      <c r="A1710" s="92"/>
      <c r="F1710" s="786"/>
      <c r="G1710" s="795"/>
      <c r="H1710" s="93"/>
      <c r="I1710" s="810"/>
      <c r="J1710" s="810"/>
    </row>
    <row r="1711" spans="1:10" x14ac:dyDescent="0.25">
      <c r="A1711" s="92"/>
      <c r="F1711" s="786"/>
      <c r="G1711" s="795"/>
      <c r="H1711" s="93"/>
      <c r="I1711" s="810"/>
      <c r="J1711" s="810"/>
    </row>
    <row r="1712" spans="1:10" x14ac:dyDescent="0.25">
      <c r="A1712" s="92"/>
      <c r="F1712" s="786"/>
      <c r="G1712" s="795"/>
      <c r="H1712" s="93"/>
      <c r="I1712" s="810"/>
      <c r="J1712" s="810"/>
    </row>
    <row r="1713" spans="1:10" x14ac:dyDescent="0.25">
      <c r="A1713" s="92"/>
      <c r="F1713" s="786"/>
      <c r="G1713" s="795"/>
      <c r="H1713" s="93"/>
      <c r="I1713" s="810"/>
      <c r="J1713" s="810"/>
    </row>
    <row r="1714" spans="1:10" x14ac:dyDescent="0.25">
      <c r="A1714" s="92"/>
      <c r="F1714" s="786"/>
      <c r="G1714" s="795"/>
      <c r="H1714" s="93"/>
      <c r="I1714" s="810"/>
      <c r="J1714" s="810"/>
    </row>
    <row r="1715" spans="1:10" x14ac:dyDescent="0.25">
      <c r="A1715" s="92"/>
      <c r="F1715" s="786"/>
      <c r="G1715" s="795"/>
      <c r="H1715" s="93"/>
      <c r="I1715" s="810"/>
      <c r="J1715" s="810"/>
    </row>
    <row r="1716" spans="1:10" x14ac:dyDescent="0.25">
      <c r="A1716" s="92"/>
      <c r="F1716" s="786"/>
      <c r="G1716" s="795"/>
      <c r="H1716" s="93"/>
      <c r="I1716" s="810"/>
      <c r="J1716" s="810"/>
    </row>
    <row r="1717" spans="1:10" x14ac:dyDescent="0.25">
      <c r="A1717" s="92"/>
      <c r="F1717" s="786"/>
      <c r="G1717" s="795"/>
      <c r="H1717" s="93"/>
      <c r="I1717" s="810"/>
      <c r="J1717" s="810"/>
    </row>
    <row r="1718" spans="1:10" x14ac:dyDescent="0.25">
      <c r="A1718" s="92"/>
      <c r="F1718" s="786"/>
      <c r="G1718" s="795"/>
      <c r="H1718" s="93"/>
      <c r="I1718" s="810"/>
      <c r="J1718" s="810"/>
    </row>
    <row r="1719" spans="1:10" x14ac:dyDescent="0.25">
      <c r="A1719" s="92"/>
      <c r="F1719" s="786"/>
      <c r="G1719" s="795"/>
      <c r="H1719" s="93"/>
      <c r="I1719" s="810"/>
      <c r="J1719" s="810"/>
    </row>
    <row r="1720" spans="1:10" x14ac:dyDescent="0.25">
      <c r="A1720" s="92"/>
      <c r="F1720" s="786"/>
      <c r="G1720" s="795"/>
      <c r="H1720" s="93"/>
      <c r="I1720" s="810"/>
      <c r="J1720" s="810"/>
    </row>
    <row r="1721" spans="1:10" x14ac:dyDescent="0.25">
      <c r="A1721" s="92"/>
      <c r="F1721" s="786"/>
      <c r="G1721" s="795"/>
      <c r="H1721" s="93"/>
      <c r="I1721" s="810"/>
      <c r="J1721" s="810"/>
    </row>
    <row r="1722" spans="1:10" x14ac:dyDescent="0.25">
      <c r="A1722" s="92"/>
      <c r="F1722" s="786"/>
      <c r="G1722" s="795"/>
      <c r="H1722" s="93"/>
      <c r="I1722" s="810"/>
      <c r="J1722" s="810"/>
    </row>
    <row r="1723" spans="1:10" x14ac:dyDescent="0.25">
      <c r="A1723" s="92"/>
      <c r="F1723" s="786"/>
      <c r="G1723" s="795"/>
      <c r="H1723" s="93"/>
      <c r="I1723" s="810"/>
      <c r="J1723" s="810"/>
    </row>
    <row r="1724" spans="1:10" x14ac:dyDescent="0.25">
      <c r="A1724" s="92"/>
      <c r="F1724" s="786"/>
      <c r="G1724" s="795"/>
      <c r="H1724" s="93"/>
      <c r="I1724" s="810"/>
      <c r="J1724" s="810"/>
    </row>
    <row r="1725" spans="1:10" x14ac:dyDescent="0.25">
      <c r="A1725" s="92"/>
      <c r="F1725" s="786"/>
      <c r="G1725" s="795"/>
      <c r="H1725" s="93"/>
      <c r="I1725" s="810"/>
      <c r="J1725" s="810"/>
    </row>
    <row r="1726" spans="1:10" x14ac:dyDescent="0.25">
      <c r="A1726" s="92"/>
      <c r="F1726" s="786"/>
      <c r="G1726" s="795"/>
      <c r="H1726" s="93"/>
      <c r="I1726" s="810"/>
      <c r="J1726" s="810"/>
    </row>
    <row r="1727" spans="1:10" x14ac:dyDescent="0.25">
      <c r="A1727" s="92"/>
      <c r="F1727" s="786"/>
      <c r="G1727" s="795"/>
      <c r="H1727" s="93"/>
      <c r="I1727" s="810"/>
      <c r="J1727" s="810"/>
    </row>
    <row r="1728" spans="1:10" x14ac:dyDescent="0.25">
      <c r="A1728" s="92"/>
      <c r="F1728" s="786"/>
      <c r="G1728" s="795"/>
      <c r="H1728" s="93"/>
      <c r="I1728" s="810"/>
      <c r="J1728" s="810"/>
    </row>
    <row r="1729" spans="1:10" x14ac:dyDescent="0.25">
      <c r="A1729" s="92"/>
      <c r="F1729" s="786"/>
      <c r="G1729" s="795"/>
      <c r="H1729" s="93"/>
      <c r="I1729" s="810"/>
      <c r="J1729" s="810"/>
    </row>
    <row r="1730" spans="1:10" x14ac:dyDescent="0.25">
      <c r="A1730" s="92"/>
      <c r="F1730" s="786"/>
      <c r="G1730" s="795"/>
      <c r="H1730" s="93"/>
      <c r="I1730" s="810"/>
      <c r="J1730" s="810"/>
    </row>
    <row r="1731" spans="1:10" x14ac:dyDescent="0.25">
      <c r="A1731" s="92"/>
      <c r="F1731" s="786"/>
      <c r="G1731" s="795"/>
      <c r="H1731" s="93"/>
      <c r="I1731" s="810"/>
      <c r="J1731" s="810"/>
    </row>
    <row r="1732" spans="1:10" x14ac:dyDescent="0.25">
      <c r="A1732" s="92"/>
      <c r="F1732" s="786"/>
      <c r="G1732" s="795"/>
      <c r="H1732" s="93"/>
      <c r="I1732" s="810"/>
      <c r="J1732" s="810"/>
    </row>
    <row r="1733" spans="1:10" x14ac:dyDescent="0.25">
      <c r="A1733" s="92"/>
      <c r="F1733" s="786"/>
      <c r="G1733" s="795"/>
      <c r="H1733" s="93"/>
      <c r="I1733" s="810"/>
      <c r="J1733" s="810"/>
    </row>
    <row r="1734" spans="1:10" x14ac:dyDescent="0.25">
      <c r="A1734" s="92"/>
      <c r="F1734" s="786"/>
      <c r="G1734" s="795"/>
      <c r="H1734" s="93"/>
      <c r="I1734" s="810"/>
      <c r="J1734" s="810"/>
    </row>
    <row r="1735" spans="1:10" x14ac:dyDescent="0.25">
      <c r="A1735" s="92"/>
      <c r="F1735" s="786"/>
      <c r="G1735" s="795"/>
      <c r="H1735" s="93"/>
      <c r="I1735" s="810"/>
      <c r="J1735" s="810"/>
    </row>
    <row r="1736" spans="1:10" x14ac:dyDescent="0.25">
      <c r="A1736" s="92"/>
      <c r="F1736" s="786"/>
      <c r="G1736" s="795"/>
      <c r="H1736" s="93"/>
      <c r="I1736" s="810"/>
      <c r="J1736" s="810"/>
    </row>
    <row r="1737" spans="1:10" x14ac:dyDescent="0.25">
      <c r="A1737" s="92"/>
      <c r="F1737" s="786"/>
      <c r="G1737" s="795"/>
      <c r="H1737" s="93"/>
      <c r="I1737" s="810"/>
      <c r="J1737" s="810"/>
    </row>
    <row r="1738" spans="1:10" x14ac:dyDescent="0.25">
      <c r="A1738" s="92"/>
      <c r="F1738" s="786"/>
      <c r="G1738" s="795"/>
      <c r="H1738" s="93"/>
      <c r="I1738" s="810"/>
      <c r="J1738" s="810"/>
    </row>
    <row r="1739" spans="1:10" x14ac:dyDescent="0.25">
      <c r="A1739" s="92"/>
      <c r="F1739" s="786"/>
      <c r="G1739" s="795"/>
      <c r="H1739" s="93"/>
      <c r="I1739" s="810"/>
      <c r="J1739" s="810"/>
    </row>
    <row r="1740" spans="1:10" x14ac:dyDescent="0.25">
      <c r="A1740" s="92"/>
      <c r="F1740" s="786"/>
      <c r="G1740" s="795"/>
      <c r="H1740" s="93"/>
      <c r="I1740" s="810"/>
      <c r="J1740" s="810"/>
    </row>
    <row r="1741" spans="1:10" x14ac:dyDescent="0.25">
      <c r="A1741" s="92"/>
      <c r="F1741" s="786"/>
      <c r="G1741" s="795"/>
      <c r="H1741" s="93"/>
      <c r="I1741" s="810"/>
      <c r="J1741" s="810"/>
    </row>
    <row r="1742" spans="1:10" x14ac:dyDescent="0.25">
      <c r="A1742" s="92"/>
      <c r="F1742" s="786"/>
      <c r="G1742" s="795"/>
      <c r="H1742" s="93"/>
      <c r="I1742" s="810"/>
      <c r="J1742" s="810"/>
    </row>
    <row r="1743" spans="1:10" x14ac:dyDescent="0.25">
      <c r="A1743" s="92"/>
      <c r="F1743" s="786"/>
      <c r="G1743" s="795"/>
      <c r="H1743" s="93"/>
      <c r="I1743" s="810"/>
      <c r="J1743" s="810"/>
    </row>
    <row r="1744" spans="1:10" x14ac:dyDescent="0.25">
      <c r="A1744" s="92"/>
      <c r="F1744" s="786"/>
      <c r="G1744" s="795"/>
      <c r="H1744" s="93"/>
      <c r="I1744" s="810"/>
      <c r="J1744" s="810"/>
    </row>
    <row r="1745" spans="1:10" x14ac:dyDescent="0.25">
      <c r="A1745" s="92"/>
      <c r="F1745" s="786"/>
      <c r="G1745" s="795"/>
      <c r="H1745" s="93"/>
      <c r="I1745" s="810"/>
      <c r="J1745" s="810"/>
    </row>
    <row r="1746" spans="1:10" x14ac:dyDescent="0.25">
      <c r="A1746" s="92"/>
      <c r="F1746" s="786"/>
      <c r="G1746" s="795"/>
      <c r="H1746" s="93"/>
      <c r="I1746" s="810"/>
      <c r="J1746" s="810"/>
    </row>
    <row r="1747" spans="1:10" x14ac:dyDescent="0.25">
      <c r="A1747" s="92"/>
      <c r="F1747" s="786"/>
      <c r="G1747" s="795"/>
      <c r="H1747" s="93"/>
      <c r="I1747" s="810"/>
      <c r="J1747" s="810"/>
    </row>
    <row r="1748" spans="1:10" x14ac:dyDescent="0.25">
      <c r="A1748" s="92"/>
      <c r="F1748" s="786"/>
      <c r="G1748" s="795"/>
      <c r="H1748" s="93"/>
      <c r="I1748" s="810"/>
      <c r="J1748" s="810"/>
    </row>
    <row r="1749" spans="1:10" x14ac:dyDescent="0.25">
      <c r="A1749" s="92"/>
      <c r="F1749" s="786"/>
      <c r="G1749" s="795"/>
      <c r="H1749" s="93"/>
      <c r="I1749" s="810"/>
      <c r="J1749" s="810"/>
    </row>
    <row r="1750" spans="1:10" x14ac:dyDescent="0.25">
      <c r="A1750" s="92"/>
      <c r="F1750" s="786"/>
      <c r="G1750" s="795"/>
      <c r="H1750" s="93"/>
      <c r="I1750" s="810"/>
      <c r="J1750" s="810"/>
    </row>
    <row r="1751" spans="1:10" x14ac:dyDescent="0.25">
      <c r="A1751" s="92"/>
      <c r="F1751" s="786"/>
      <c r="G1751" s="795"/>
      <c r="H1751" s="93"/>
      <c r="I1751" s="810"/>
      <c r="J1751" s="810"/>
    </row>
    <row r="1752" spans="1:10" x14ac:dyDescent="0.25">
      <c r="A1752" s="92"/>
      <c r="F1752" s="786"/>
      <c r="G1752" s="795"/>
      <c r="H1752" s="93"/>
      <c r="I1752" s="810"/>
      <c r="J1752" s="810"/>
    </row>
    <row r="1753" spans="1:10" x14ac:dyDescent="0.25">
      <c r="A1753" s="92"/>
      <c r="F1753" s="786"/>
      <c r="G1753" s="795"/>
      <c r="H1753" s="93"/>
      <c r="I1753" s="810"/>
      <c r="J1753" s="810"/>
    </row>
    <row r="1754" spans="1:10" x14ac:dyDescent="0.25">
      <c r="A1754" s="92"/>
      <c r="F1754" s="786"/>
      <c r="G1754" s="795"/>
      <c r="H1754" s="93"/>
      <c r="I1754" s="810"/>
      <c r="J1754" s="810"/>
    </row>
    <row r="1755" spans="1:10" x14ac:dyDescent="0.25">
      <c r="A1755" s="92"/>
      <c r="F1755" s="786"/>
      <c r="G1755" s="795"/>
      <c r="H1755" s="93"/>
      <c r="I1755" s="810"/>
      <c r="J1755" s="810"/>
    </row>
    <row r="1756" spans="1:10" x14ac:dyDescent="0.25">
      <c r="A1756" s="92"/>
      <c r="F1756" s="786"/>
      <c r="G1756" s="795"/>
      <c r="H1756" s="93"/>
      <c r="I1756" s="810"/>
      <c r="J1756" s="810"/>
    </row>
    <row r="1757" spans="1:10" x14ac:dyDescent="0.25">
      <c r="A1757" s="92"/>
      <c r="F1757" s="786"/>
      <c r="G1757" s="795"/>
      <c r="H1757" s="93"/>
      <c r="I1757" s="810"/>
      <c r="J1757" s="810"/>
    </row>
    <row r="1758" spans="1:10" x14ac:dyDescent="0.25">
      <c r="A1758" s="92"/>
      <c r="F1758" s="786"/>
      <c r="G1758" s="795"/>
      <c r="H1758" s="93"/>
      <c r="I1758" s="810"/>
      <c r="J1758" s="810"/>
    </row>
    <row r="1759" spans="1:10" x14ac:dyDescent="0.25">
      <c r="A1759" s="92"/>
      <c r="F1759" s="786"/>
      <c r="G1759" s="795"/>
      <c r="H1759" s="93"/>
      <c r="I1759" s="810"/>
      <c r="J1759" s="810"/>
    </row>
    <row r="1760" spans="1:10" x14ac:dyDescent="0.25">
      <c r="A1760" s="92"/>
      <c r="F1760" s="786"/>
      <c r="G1760" s="795"/>
      <c r="H1760" s="93"/>
      <c r="I1760" s="810"/>
      <c r="J1760" s="810"/>
    </row>
    <row r="1761" spans="1:10" x14ac:dyDescent="0.25">
      <c r="A1761" s="92"/>
      <c r="F1761" s="786"/>
      <c r="G1761" s="795"/>
      <c r="H1761" s="93"/>
      <c r="I1761" s="810"/>
      <c r="J1761" s="810"/>
    </row>
    <row r="1762" spans="1:10" x14ac:dyDescent="0.25">
      <c r="A1762" s="92"/>
      <c r="F1762" s="786"/>
      <c r="G1762" s="795"/>
      <c r="H1762" s="93"/>
      <c r="I1762" s="810"/>
      <c r="J1762" s="810"/>
    </row>
    <row r="1763" spans="1:10" x14ac:dyDescent="0.25">
      <c r="A1763" s="92"/>
      <c r="F1763" s="786"/>
      <c r="G1763" s="795"/>
      <c r="H1763" s="93"/>
      <c r="I1763" s="810"/>
      <c r="J1763" s="810"/>
    </row>
    <row r="1764" spans="1:10" x14ac:dyDescent="0.25">
      <c r="A1764" s="92"/>
      <c r="F1764" s="786"/>
      <c r="G1764" s="795"/>
      <c r="H1764" s="93"/>
      <c r="I1764" s="810"/>
      <c r="J1764" s="810"/>
    </row>
    <row r="1765" spans="1:10" x14ac:dyDescent="0.25">
      <c r="A1765" s="92"/>
      <c r="F1765" s="786"/>
      <c r="G1765" s="795"/>
      <c r="H1765" s="93"/>
      <c r="I1765" s="810"/>
      <c r="J1765" s="810"/>
    </row>
    <row r="1766" spans="1:10" x14ac:dyDescent="0.25">
      <c r="A1766" s="92"/>
      <c r="F1766" s="786"/>
      <c r="G1766" s="795"/>
      <c r="H1766" s="93"/>
      <c r="I1766" s="810"/>
      <c r="J1766" s="810"/>
    </row>
    <row r="1767" spans="1:10" x14ac:dyDescent="0.25">
      <c r="A1767" s="92"/>
      <c r="F1767" s="786"/>
      <c r="G1767" s="795"/>
      <c r="H1767" s="93"/>
      <c r="I1767" s="810"/>
      <c r="J1767" s="810"/>
    </row>
    <row r="1768" spans="1:10" x14ac:dyDescent="0.25">
      <c r="A1768" s="92"/>
      <c r="F1768" s="786"/>
      <c r="G1768" s="795"/>
      <c r="H1768" s="93"/>
      <c r="I1768" s="810"/>
      <c r="J1768" s="810"/>
    </row>
    <row r="1769" spans="1:10" x14ac:dyDescent="0.25">
      <c r="A1769" s="92"/>
      <c r="F1769" s="786"/>
      <c r="G1769" s="795"/>
      <c r="H1769" s="93"/>
      <c r="I1769" s="810"/>
      <c r="J1769" s="810"/>
    </row>
    <row r="1770" spans="1:10" x14ac:dyDescent="0.25">
      <c r="A1770" s="92"/>
      <c r="F1770" s="786"/>
      <c r="G1770" s="795"/>
      <c r="H1770" s="93"/>
      <c r="I1770" s="810"/>
      <c r="J1770" s="810"/>
    </row>
    <row r="1771" spans="1:10" x14ac:dyDescent="0.25">
      <c r="A1771" s="92"/>
      <c r="F1771" s="786"/>
      <c r="G1771" s="795"/>
      <c r="H1771" s="93"/>
      <c r="I1771" s="810"/>
      <c r="J1771" s="810"/>
    </row>
    <row r="1772" spans="1:10" x14ac:dyDescent="0.25">
      <c r="A1772" s="92"/>
      <c r="F1772" s="786"/>
      <c r="G1772" s="795"/>
      <c r="H1772" s="93"/>
      <c r="I1772" s="810"/>
      <c r="J1772" s="810"/>
    </row>
    <row r="1773" spans="1:10" x14ac:dyDescent="0.25">
      <c r="A1773" s="92"/>
      <c r="F1773" s="786"/>
      <c r="G1773" s="795"/>
      <c r="H1773" s="93"/>
      <c r="I1773" s="810"/>
      <c r="J1773" s="810"/>
    </row>
    <row r="1774" spans="1:10" x14ac:dyDescent="0.25">
      <c r="A1774" s="92"/>
      <c r="F1774" s="786"/>
      <c r="G1774" s="795"/>
      <c r="H1774" s="93"/>
      <c r="I1774" s="810"/>
      <c r="J1774" s="810"/>
    </row>
    <row r="1775" spans="1:10" x14ac:dyDescent="0.25">
      <c r="A1775" s="92"/>
      <c r="F1775" s="786"/>
      <c r="G1775" s="795"/>
      <c r="H1775" s="93"/>
      <c r="I1775" s="810"/>
      <c r="J1775" s="810"/>
    </row>
    <row r="1776" spans="1:10" x14ac:dyDescent="0.25">
      <c r="A1776" s="92"/>
      <c r="F1776" s="786"/>
      <c r="G1776" s="795"/>
      <c r="H1776" s="93"/>
      <c r="I1776" s="810"/>
      <c r="J1776" s="810"/>
    </row>
    <row r="1777" spans="1:10" x14ac:dyDescent="0.25">
      <c r="A1777" s="92"/>
      <c r="F1777" s="786"/>
      <c r="G1777" s="795"/>
      <c r="H1777" s="93"/>
      <c r="I1777" s="810"/>
      <c r="J1777" s="810"/>
    </row>
    <row r="1778" spans="1:10" x14ac:dyDescent="0.25">
      <c r="A1778" s="92"/>
      <c r="F1778" s="786"/>
      <c r="G1778" s="795"/>
      <c r="H1778" s="93"/>
      <c r="I1778" s="810"/>
      <c r="J1778" s="810"/>
    </row>
    <row r="1779" spans="1:10" x14ac:dyDescent="0.25">
      <c r="A1779" s="92"/>
      <c r="F1779" s="786"/>
      <c r="G1779" s="795"/>
      <c r="H1779" s="93"/>
      <c r="I1779" s="810"/>
      <c r="J1779" s="810"/>
    </row>
    <row r="1780" spans="1:10" x14ac:dyDescent="0.25">
      <c r="A1780" s="92"/>
      <c r="F1780" s="786"/>
      <c r="G1780" s="795"/>
      <c r="H1780" s="93"/>
      <c r="I1780" s="810"/>
      <c r="J1780" s="810"/>
    </row>
    <row r="1781" spans="1:10" x14ac:dyDescent="0.25">
      <c r="A1781" s="92"/>
      <c r="F1781" s="786"/>
      <c r="G1781" s="795"/>
      <c r="H1781" s="93"/>
      <c r="I1781" s="810"/>
      <c r="J1781" s="810"/>
    </row>
    <row r="1782" spans="1:10" x14ac:dyDescent="0.25">
      <c r="A1782" s="92"/>
      <c r="F1782" s="786"/>
      <c r="G1782" s="795"/>
      <c r="H1782" s="93"/>
      <c r="I1782" s="810"/>
      <c r="J1782" s="810"/>
    </row>
    <row r="1783" spans="1:10" x14ac:dyDescent="0.25">
      <c r="A1783" s="92"/>
      <c r="F1783" s="786"/>
      <c r="G1783" s="795"/>
      <c r="H1783" s="93"/>
      <c r="I1783" s="810"/>
      <c r="J1783" s="810"/>
    </row>
    <row r="1784" spans="1:10" x14ac:dyDescent="0.25">
      <c r="A1784" s="92"/>
      <c r="F1784" s="786"/>
      <c r="G1784" s="795"/>
      <c r="H1784" s="93"/>
      <c r="I1784" s="810"/>
      <c r="J1784" s="810"/>
    </row>
    <row r="1785" spans="1:10" x14ac:dyDescent="0.25">
      <c r="A1785" s="92"/>
      <c r="F1785" s="786"/>
      <c r="G1785" s="795"/>
      <c r="H1785" s="93"/>
      <c r="I1785" s="810"/>
      <c r="J1785" s="810"/>
    </row>
    <row r="1786" spans="1:10" x14ac:dyDescent="0.25">
      <c r="A1786" s="92"/>
      <c r="F1786" s="786"/>
      <c r="G1786" s="795"/>
      <c r="H1786" s="93"/>
      <c r="I1786" s="810"/>
      <c r="J1786" s="810"/>
    </row>
    <row r="1787" spans="1:10" x14ac:dyDescent="0.25">
      <c r="A1787" s="92"/>
      <c r="F1787" s="786"/>
      <c r="G1787" s="795"/>
      <c r="H1787" s="93"/>
      <c r="I1787" s="810"/>
      <c r="J1787" s="810"/>
    </row>
    <row r="1788" spans="1:10" x14ac:dyDescent="0.25">
      <c r="A1788" s="92"/>
      <c r="F1788" s="786"/>
      <c r="G1788" s="795"/>
      <c r="H1788" s="93"/>
      <c r="I1788" s="810"/>
      <c r="J1788" s="810"/>
    </row>
    <row r="1789" spans="1:10" x14ac:dyDescent="0.25">
      <c r="A1789" s="92"/>
      <c r="F1789" s="786"/>
      <c r="G1789" s="795"/>
      <c r="H1789" s="93"/>
      <c r="I1789" s="810"/>
      <c r="J1789" s="810"/>
    </row>
    <row r="1790" spans="1:10" x14ac:dyDescent="0.25">
      <c r="A1790" s="92"/>
      <c r="F1790" s="786"/>
      <c r="G1790" s="795"/>
      <c r="H1790" s="93"/>
      <c r="I1790" s="810"/>
      <c r="J1790" s="810"/>
    </row>
    <row r="1791" spans="1:10" x14ac:dyDescent="0.25">
      <c r="A1791" s="92"/>
      <c r="F1791" s="786"/>
      <c r="G1791" s="795"/>
      <c r="H1791" s="93"/>
      <c r="I1791" s="810"/>
      <c r="J1791" s="810"/>
    </row>
    <row r="1792" spans="1:10" x14ac:dyDescent="0.25">
      <c r="A1792" s="92"/>
      <c r="F1792" s="786"/>
      <c r="G1792" s="795"/>
      <c r="H1792" s="93"/>
      <c r="I1792" s="810"/>
      <c r="J1792" s="810"/>
    </row>
    <row r="1793" spans="1:10" x14ac:dyDescent="0.25">
      <c r="A1793" s="92"/>
      <c r="F1793" s="786"/>
      <c r="G1793" s="795"/>
      <c r="H1793" s="93"/>
      <c r="I1793" s="810"/>
      <c r="J1793" s="810"/>
    </row>
    <row r="1794" spans="1:10" x14ac:dyDescent="0.25">
      <c r="A1794" s="92"/>
      <c r="F1794" s="786"/>
      <c r="G1794" s="795"/>
      <c r="H1794" s="93"/>
      <c r="I1794" s="810"/>
      <c r="J1794" s="810"/>
    </row>
    <row r="1795" spans="1:10" x14ac:dyDescent="0.25">
      <c r="A1795" s="92"/>
      <c r="F1795" s="786"/>
      <c r="G1795" s="795"/>
      <c r="H1795" s="93"/>
      <c r="I1795" s="810"/>
      <c r="J1795" s="810"/>
    </row>
    <row r="1796" spans="1:10" x14ac:dyDescent="0.25">
      <c r="A1796" s="92"/>
      <c r="F1796" s="786"/>
      <c r="G1796" s="795"/>
      <c r="H1796" s="93"/>
      <c r="I1796" s="810"/>
      <c r="J1796" s="810"/>
    </row>
    <row r="1797" spans="1:10" x14ac:dyDescent="0.25">
      <c r="A1797" s="92"/>
      <c r="F1797" s="786"/>
      <c r="G1797" s="795"/>
      <c r="H1797" s="93"/>
      <c r="I1797" s="810"/>
      <c r="J1797" s="810"/>
    </row>
    <row r="1798" spans="1:10" x14ac:dyDescent="0.25">
      <c r="A1798" s="92"/>
      <c r="F1798" s="786"/>
      <c r="G1798" s="795"/>
      <c r="H1798" s="93"/>
      <c r="I1798" s="810"/>
      <c r="J1798" s="810"/>
    </row>
    <row r="1799" spans="1:10" x14ac:dyDescent="0.25">
      <c r="A1799" s="92"/>
      <c r="F1799" s="786"/>
      <c r="G1799" s="795"/>
      <c r="H1799" s="93"/>
      <c r="I1799" s="810"/>
      <c r="J1799" s="810"/>
    </row>
    <row r="1800" spans="1:10" x14ac:dyDescent="0.25">
      <c r="A1800" s="92"/>
      <c r="F1800" s="786"/>
      <c r="G1800" s="795"/>
      <c r="H1800" s="93"/>
      <c r="I1800" s="810"/>
      <c r="J1800" s="810"/>
    </row>
    <row r="1801" spans="1:10" x14ac:dyDescent="0.25">
      <c r="A1801" s="92"/>
      <c r="F1801" s="786"/>
      <c r="G1801" s="795"/>
      <c r="H1801" s="93"/>
      <c r="I1801" s="810"/>
      <c r="J1801" s="810"/>
    </row>
    <row r="1802" spans="1:10" x14ac:dyDescent="0.25">
      <c r="A1802" s="92"/>
      <c r="F1802" s="786"/>
      <c r="G1802" s="795"/>
      <c r="H1802" s="93"/>
      <c r="I1802" s="810"/>
      <c r="J1802" s="810"/>
    </row>
    <row r="1803" spans="1:10" x14ac:dyDescent="0.25">
      <c r="A1803" s="92"/>
      <c r="F1803" s="786"/>
      <c r="G1803" s="795"/>
      <c r="H1803" s="93"/>
      <c r="I1803" s="810"/>
      <c r="J1803" s="810"/>
    </row>
    <row r="1804" spans="1:10" x14ac:dyDescent="0.25">
      <c r="H1804" s="93"/>
      <c r="I1804" s="810"/>
      <c r="J1804" s="810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30" zoomScaleNormal="100" workbookViewId="0">
      <selection activeCell="G125" sqref="G125"/>
    </sheetView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4" width="12.7109375" style="613" customWidth="1"/>
    <col min="5" max="5" width="15.140625" style="613" bestFit="1" customWidth="1"/>
    <col min="6" max="6" width="17.42578125" style="619" customWidth="1"/>
    <col min="7" max="7" width="16.140625" style="628" bestFit="1" customWidth="1"/>
    <col min="8" max="8" width="16.28515625" style="10" customWidth="1"/>
    <col min="9" max="9" width="18.7109375" customWidth="1"/>
    <col min="10" max="10" width="13.7109375" style="799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176">
        <f ca="1">TODAY()</f>
        <v>44440</v>
      </c>
      <c r="C1" s="1177"/>
      <c r="D1" s="631" t="s">
        <v>0</v>
      </c>
      <c r="E1" s="607">
        <f>COUNTA(B7:B125)</f>
        <v>107</v>
      </c>
      <c r="F1" s="614" t="s">
        <v>1</v>
      </c>
      <c r="G1" s="621" t="s">
        <v>206</v>
      </c>
      <c r="H1" s="187"/>
      <c r="I1" s="188"/>
      <c r="J1" s="811"/>
    </row>
    <row r="2" spans="1:12" s="3" customFormat="1" x14ac:dyDescent="0.2">
      <c r="A2" s="189"/>
      <c r="B2" s="190"/>
      <c r="C2" s="191"/>
      <c r="D2" s="632"/>
      <c r="E2" s="608"/>
      <c r="F2" s="615" t="s">
        <v>750</v>
      </c>
      <c r="G2" s="622">
        <f>SUM(D6:D176)-SUM(E6:E176)</f>
        <v>55700</v>
      </c>
      <c r="H2" s="196"/>
      <c r="I2" s="196"/>
      <c r="J2" s="812"/>
      <c r="K2" s="42"/>
      <c r="L2" s="42"/>
    </row>
    <row r="3" spans="1:12" s="3" customFormat="1" x14ac:dyDescent="0.2">
      <c r="A3" s="189"/>
      <c r="B3" s="190"/>
      <c r="C3" s="191"/>
      <c r="D3" s="633"/>
      <c r="E3" s="609"/>
      <c r="F3" s="616" t="s">
        <v>237</v>
      </c>
      <c r="G3" s="623">
        <f>-G2</f>
        <v>-55700</v>
      </c>
      <c r="H3" s="256">
        <v>-28106.77</v>
      </c>
      <c r="I3" s="196"/>
      <c r="J3" s="812"/>
      <c r="K3" s="42"/>
      <c r="L3" s="42"/>
    </row>
    <row r="4" spans="1:12" s="3" customFormat="1" x14ac:dyDescent="0.25">
      <c r="A4" s="183"/>
      <c r="B4" s="198"/>
      <c r="C4" s="241"/>
      <c r="D4" s="634"/>
      <c r="E4" s="608"/>
      <c r="F4" s="615" t="s">
        <v>751</v>
      </c>
      <c r="G4" s="624">
        <v>373084.27720000001</v>
      </c>
      <c r="H4" s="200"/>
      <c r="I4" s="201"/>
      <c r="J4" s="813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35" t="s">
        <v>9</v>
      </c>
      <c r="E5" s="610" t="s">
        <v>64</v>
      </c>
      <c r="F5" s="617" t="s">
        <v>10</v>
      </c>
      <c r="G5" s="624">
        <f>+G2+G4+G3</f>
        <v>373084.27720000001</v>
      </c>
      <c r="H5" s="200">
        <f>+H4+H3+H2</f>
        <v>-28106.77</v>
      </c>
      <c r="I5" s="242">
        <f>+G5+H5</f>
        <v>344977.50719999999</v>
      </c>
      <c r="J5" s="807"/>
      <c r="K5" s="42"/>
      <c r="L5" s="42"/>
    </row>
    <row r="6" spans="1:12" x14ac:dyDescent="0.25">
      <c r="A6" s="264" t="s">
        <v>11</v>
      </c>
      <c r="B6" s="265">
        <v>43466</v>
      </c>
      <c r="C6" s="264" t="s">
        <v>12</v>
      </c>
      <c r="D6" s="611">
        <v>0</v>
      </c>
      <c r="E6" s="611"/>
      <c r="F6" s="618"/>
      <c r="G6" s="625"/>
    </row>
    <row r="7" spans="1:12" x14ac:dyDescent="0.25">
      <c r="A7" s="264"/>
      <c r="B7" s="265">
        <v>43469</v>
      </c>
      <c r="C7" s="264" t="s">
        <v>13</v>
      </c>
      <c r="D7" s="611">
        <f>25000</f>
        <v>25000</v>
      </c>
      <c r="E7" s="611"/>
      <c r="F7" s="618"/>
      <c r="G7" s="626"/>
      <c r="H7" s="11"/>
      <c r="I7" s="12"/>
    </row>
    <row r="8" spans="1:12" x14ac:dyDescent="0.25">
      <c r="A8" s="264"/>
      <c r="B8" s="265">
        <v>43483</v>
      </c>
      <c r="C8" s="264" t="s">
        <v>19</v>
      </c>
      <c r="D8" s="611">
        <f>+D7/2</f>
        <v>12500</v>
      </c>
      <c r="E8" s="611"/>
      <c r="F8" s="618"/>
      <c r="G8" s="626"/>
      <c r="H8" s="11"/>
      <c r="I8" s="12"/>
    </row>
    <row r="9" spans="1:12" x14ac:dyDescent="0.25">
      <c r="A9" s="264"/>
      <c r="B9" s="265">
        <v>43486</v>
      </c>
      <c r="C9" s="264" t="s">
        <v>207</v>
      </c>
      <c r="D9" s="611"/>
      <c r="E9" s="611">
        <v>2500</v>
      </c>
      <c r="F9" s="618"/>
      <c r="G9" s="626"/>
      <c r="H9" s="11"/>
      <c r="I9" s="12"/>
    </row>
    <row r="10" spans="1:12" x14ac:dyDescent="0.25">
      <c r="A10" s="264"/>
      <c r="B10" s="265">
        <v>43469</v>
      </c>
      <c r="C10" s="264" t="s">
        <v>181</v>
      </c>
      <c r="D10" s="611"/>
      <c r="E10" s="611">
        <v>2500</v>
      </c>
      <c r="F10" s="618"/>
      <c r="G10" s="626"/>
      <c r="H10" s="11"/>
      <c r="I10" s="12"/>
    </row>
    <row r="11" spans="1:12" x14ac:dyDescent="0.25">
      <c r="A11" s="264"/>
      <c r="B11" s="265">
        <v>43472</v>
      </c>
      <c r="C11" s="264" t="s">
        <v>207</v>
      </c>
      <c r="D11" s="611"/>
      <c r="E11" s="611">
        <v>6000</v>
      </c>
      <c r="F11" s="618"/>
      <c r="G11" s="626"/>
      <c r="H11" s="11"/>
      <c r="I11" s="12"/>
    </row>
    <row r="12" spans="1:12" x14ac:dyDescent="0.25">
      <c r="A12" s="264"/>
      <c r="B12" s="265">
        <v>43472</v>
      </c>
      <c r="C12" s="264" t="s">
        <v>172</v>
      </c>
      <c r="D12" s="611"/>
      <c r="E12" s="611">
        <v>5900</v>
      </c>
      <c r="F12" s="618"/>
      <c r="G12" s="626"/>
      <c r="H12" s="11"/>
      <c r="I12" s="12"/>
    </row>
    <row r="13" spans="1:12" x14ac:dyDescent="0.25">
      <c r="A13" s="264"/>
      <c r="B13" s="265">
        <v>43469</v>
      </c>
      <c r="C13" s="264" t="s">
        <v>55</v>
      </c>
      <c r="D13" s="611"/>
      <c r="E13" s="611">
        <f>600*3</f>
        <v>1800</v>
      </c>
      <c r="F13" s="618"/>
      <c r="G13" s="626"/>
      <c r="H13" s="11"/>
      <c r="I13" s="12"/>
    </row>
    <row r="14" spans="1:12" x14ac:dyDescent="0.25">
      <c r="A14" s="264"/>
      <c r="B14" s="265">
        <v>43469</v>
      </c>
      <c r="C14" s="264" t="s">
        <v>39</v>
      </c>
      <c r="D14" s="611"/>
      <c r="E14" s="611">
        <v>200</v>
      </c>
      <c r="F14" s="618"/>
      <c r="G14" s="626"/>
      <c r="H14" s="11"/>
      <c r="I14" s="12"/>
    </row>
    <row r="15" spans="1:12" x14ac:dyDescent="0.25">
      <c r="A15" s="264"/>
      <c r="B15" s="265">
        <v>43469</v>
      </c>
      <c r="C15" s="264" t="s">
        <v>243</v>
      </c>
      <c r="D15" s="611"/>
      <c r="E15" s="611">
        <v>600</v>
      </c>
      <c r="F15" s="618"/>
      <c r="G15" s="626"/>
      <c r="H15" s="11"/>
      <c r="I15" s="12"/>
    </row>
    <row r="16" spans="1:12" x14ac:dyDescent="0.25">
      <c r="A16" s="264"/>
      <c r="B16" s="265">
        <v>43462</v>
      </c>
      <c r="C16" s="264" t="s">
        <v>248</v>
      </c>
      <c r="D16" s="611"/>
      <c r="E16" s="611">
        <v>3000</v>
      </c>
      <c r="F16" s="618"/>
      <c r="G16" s="626"/>
      <c r="H16" s="11"/>
      <c r="I16" s="12"/>
    </row>
    <row r="17" spans="1:11" x14ac:dyDescent="0.25">
      <c r="A17" s="264"/>
      <c r="B17" s="265">
        <v>43496</v>
      </c>
      <c r="C17" s="264" t="s">
        <v>15</v>
      </c>
      <c r="D17" s="611"/>
      <c r="E17" s="611">
        <v>5000</v>
      </c>
      <c r="F17" s="618"/>
      <c r="G17" s="626"/>
      <c r="H17" s="98"/>
      <c r="I17" s="12"/>
    </row>
    <row r="18" spans="1:11" x14ac:dyDescent="0.25">
      <c r="A18" s="264"/>
      <c r="B18" s="265"/>
      <c r="C18" s="264"/>
      <c r="D18" s="611"/>
      <c r="E18" s="611"/>
      <c r="F18" s="618">
        <f>SUM(D6:D18)-SUM(E6:E18)</f>
        <v>10000</v>
      </c>
      <c r="G18" s="627">
        <v>214530.39</v>
      </c>
      <c r="H18" s="98"/>
      <c r="I18" s="12"/>
    </row>
    <row r="19" spans="1:11" x14ac:dyDescent="0.25">
      <c r="A19" s="264" t="s">
        <v>16</v>
      </c>
      <c r="B19" s="265">
        <v>43501</v>
      </c>
      <c r="C19" s="264" t="s">
        <v>13</v>
      </c>
      <c r="D19" s="611">
        <v>25000</v>
      </c>
      <c r="E19" s="611"/>
      <c r="F19" s="618"/>
      <c r="G19" s="627"/>
      <c r="H19" s="11"/>
      <c r="I19" s="90"/>
    </row>
    <row r="20" spans="1:11" x14ac:dyDescent="0.25">
      <c r="A20" s="264"/>
      <c r="B20" s="265">
        <v>43501</v>
      </c>
      <c r="C20" s="264" t="s">
        <v>181</v>
      </c>
      <c r="D20" s="611"/>
      <c r="E20" s="611">
        <v>2500</v>
      </c>
      <c r="F20" s="618"/>
      <c r="G20" s="627"/>
      <c r="H20" s="11"/>
      <c r="I20" s="90"/>
    </row>
    <row r="21" spans="1:11" x14ac:dyDescent="0.25">
      <c r="A21" s="264"/>
      <c r="B21" s="265">
        <v>43502</v>
      </c>
      <c r="C21" s="264" t="s">
        <v>207</v>
      </c>
      <c r="D21" s="611"/>
      <c r="E21" s="611">
        <v>3000</v>
      </c>
      <c r="F21" s="618"/>
      <c r="G21" s="627"/>
      <c r="H21" s="11"/>
      <c r="I21" s="90"/>
    </row>
    <row r="22" spans="1:11" x14ac:dyDescent="0.25">
      <c r="A22" s="264"/>
      <c r="B22" s="265">
        <v>43502</v>
      </c>
      <c r="C22" s="264" t="s">
        <v>172</v>
      </c>
      <c r="D22" s="611"/>
      <c r="E22" s="611">
        <v>10000</v>
      </c>
      <c r="F22" s="618"/>
      <c r="G22" s="627"/>
      <c r="H22" s="11"/>
      <c r="I22" s="90"/>
    </row>
    <row r="23" spans="1:11" x14ac:dyDescent="0.25">
      <c r="A23" s="264"/>
      <c r="B23" s="265">
        <v>43507</v>
      </c>
      <c r="C23" s="264" t="s">
        <v>55</v>
      </c>
      <c r="D23" s="611"/>
      <c r="E23" s="611">
        <v>1500</v>
      </c>
      <c r="F23" s="618"/>
      <c r="G23" s="627"/>
      <c r="H23" s="11"/>
      <c r="I23" s="90"/>
    </row>
    <row r="24" spans="1:11" x14ac:dyDescent="0.25">
      <c r="A24" s="264"/>
      <c r="B24" s="265">
        <v>43500</v>
      </c>
      <c r="C24" s="264" t="s">
        <v>39</v>
      </c>
      <c r="D24" s="611"/>
      <c r="E24" s="611">
        <v>500</v>
      </c>
      <c r="F24" s="618"/>
      <c r="G24" s="627"/>
      <c r="H24" s="11"/>
      <c r="I24" s="90"/>
    </row>
    <row r="25" spans="1:11" x14ac:dyDescent="0.25">
      <c r="A25" s="264"/>
      <c r="B25" s="265">
        <v>43501</v>
      </c>
      <c r="C25" s="264" t="s">
        <v>243</v>
      </c>
      <c r="D25" s="611"/>
      <c r="E25" s="611">
        <v>700</v>
      </c>
      <c r="F25" s="618"/>
      <c r="G25" s="627"/>
      <c r="H25" s="11"/>
      <c r="I25" s="90"/>
    </row>
    <row r="26" spans="1:11" x14ac:dyDescent="0.25">
      <c r="A26" s="264"/>
      <c r="B26" s="265">
        <v>43504</v>
      </c>
      <c r="C26" s="264" t="s">
        <v>248</v>
      </c>
      <c r="D26" s="611"/>
      <c r="E26" s="611">
        <v>3000</v>
      </c>
      <c r="F26" s="618"/>
      <c r="G26" s="627"/>
      <c r="H26" s="11"/>
      <c r="I26" s="90"/>
    </row>
    <row r="27" spans="1:11" x14ac:dyDescent="0.25">
      <c r="A27" s="264"/>
      <c r="B27" s="265">
        <v>43524</v>
      </c>
      <c r="C27" s="264" t="s">
        <v>15</v>
      </c>
      <c r="D27" s="611"/>
      <c r="E27" s="611">
        <v>800</v>
      </c>
      <c r="F27" s="618"/>
      <c r="G27" s="627"/>
      <c r="H27" s="11"/>
      <c r="I27" s="90"/>
    </row>
    <row r="28" spans="1:11" x14ac:dyDescent="0.25">
      <c r="A28" s="264"/>
      <c r="B28" s="265"/>
      <c r="C28" s="264"/>
      <c r="D28" s="611"/>
      <c r="E28" s="611"/>
      <c r="F28" s="618">
        <f>SUM(D18:D28)-SUM(E18:E28)</f>
        <v>3000</v>
      </c>
      <c r="G28" s="627">
        <v>245446.26</v>
      </c>
      <c r="H28" s="98"/>
      <c r="I28" s="12"/>
      <c r="K28" s="107"/>
    </row>
    <row r="29" spans="1:11" x14ac:dyDescent="0.25">
      <c r="A29" s="264" t="s">
        <v>17</v>
      </c>
      <c r="B29" s="265">
        <v>43532</v>
      </c>
      <c r="C29" s="264" t="s">
        <v>13</v>
      </c>
      <c r="D29" s="611">
        <v>20000</v>
      </c>
      <c r="E29" s="611"/>
      <c r="F29" s="618"/>
      <c r="G29" s="627"/>
      <c r="H29" s="207"/>
      <c r="I29" s="12"/>
    </row>
    <row r="30" spans="1:11" x14ac:dyDescent="0.25">
      <c r="A30" s="264"/>
      <c r="B30" s="265">
        <v>43522</v>
      </c>
      <c r="C30" s="264" t="s">
        <v>13</v>
      </c>
      <c r="D30" s="611">
        <v>3600</v>
      </c>
      <c r="E30" s="611"/>
      <c r="F30" s="618"/>
      <c r="G30" s="627"/>
      <c r="H30" s="207"/>
      <c r="I30" s="12"/>
    </row>
    <row r="31" spans="1:11" x14ac:dyDescent="0.25">
      <c r="A31" s="264"/>
      <c r="B31" s="265">
        <v>43539</v>
      </c>
      <c r="C31" s="264" t="s">
        <v>13</v>
      </c>
      <c r="D31" s="611">
        <v>1400</v>
      </c>
      <c r="E31" s="611"/>
      <c r="F31" s="618"/>
      <c r="G31" s="627"/>
      <c r="H31" s="207"/>
      <c r="I31" s="12"/>
    </row>
    <row r="32" spans="1:11" x14ac:dyDescent="0.25">
      <c r="A32" s="264"/>
      <c r="B32" s="265">
        <v>43539</v>
      </c>
      <c r="C32" s="264" t="s">
        <v>748</v>
      </c>
      <c r="D32" s="611">
        <v>2500</v>
      </c>
      <c r="E32" s="611"/>
      <c r="F32" s="618"/>
      <c r="G32" s="627"/>
      <c r="H32" s="207"/>
      <c r="I32" s="12"/>
    </row>
    <row r="33" spans="1:13" x14ac:dyDescent="0.25">
      <c r="A33" s="264"/>
      <c r="B33" s="265">
        <v>43539</v>
      </c>
      <c r="C33" s="264" t="s">
        <v>207</v>
      </c>
      <c r="D33" s="611"/>
      <c r="E33" s="611">
        <v>2500</v>
      </c>
      <c r="F33" s="618"/>
      <c r="G33" s="627"/>
      <c r="H33" s="207"/>
      <c r="I33" s="12"/>
    </row>
    <row r="34" spans="1:13" x14ac:dyDescent="0.25">
      <c r="A34" s="264"/>
      <c r="B34" s="265">
        <v>43531</v>
      </c>
      <c r="C34" s="264" t="s">
        <v>181</v>
      </c>
      <c r="D34" s="611"/>
      <c r="E34" s="611">
        <v>2500</v>
      </c>
      <c r="F34" s="618"/>
      <c r="G34" s="627"/>
      <c r="H34" s="207"/>
      <c r="I34" s="12"/>
      <c r="L34" s="131"/>
      <c r="M34" s="131"/>
    </row>
    <row r="35" spans="1:13" x14ac:dyDescent="0.25">
      <c r="A35" s="264"/>
      <c r="B35" s="265">
        <v>43535</v>
      </c>
      <c r="C35" s="264" t="s">
        <v>207</v>
      </c>
      <c r="D35" s="611"/>
      <c r="E35" s="611">
        <v>7000</v>
      </c>
      <c r="F35" s="618"/>
      <c r="G35" s="627"/>
      <c r="H35" s="207"/>
      <c r="I35" s="12"/>
      <c r="L35" s="131"/>
    </row>
    <row r="36" spans="1:13" x14ac:dyDescent="0.25">
      <c r="A36" s="264"/>
      <c r="B36" s="265">
        <v>43535</v>
      </c>
      <c r="C36" s="264" t="s">
        <v>172</v>
      </c>
      <c r="D36" s="611"/>
      <c r="E36" s="611">
        <v>5600</v>
      </c>
      <c r="F36" s="618"/>
      <c r="G36" s="627"/>
      <c r="H36" s="207"/>
      <c r="I36" s="12"/>
    </row>
    <row r="37" spans="1:13" x14ac:dyDescent="0.25">
      <c r="A37" s="264"/>
      <c r="B37" s="265">
        <v>43524</v>
      </c>
      <c r="C37" s="264" t="s">
        <v>39</v>
      </c>
      <c r="D37" s="611"/>
      <c r="E37" s="611">
        <v>800</v>
      </c>
      <c r="F37" s="618"/>
      <c r="G37" s="627"/>
      <c r="H37" s="207"/>
      <c r="I37" s="12"/>
    </row>
    <row r="38" spans="1:13" x14ac:dyDescent="0.25">
      <c r="A38" s="264"/>
      <c r="B38" s="265">
        <v>43535</v>
      </c>
      <c r="C38" s="264" t="s">
        <v>243</v>
      </c>
      <c r="D38" s="611"/>
      <c r="E38" s="611">
        <v>700</v>
      </c>
      <c r="F38" s="618"/>
      <c r="G38" s="627"/>
      <c r="H38" s="207"/>
      <c r="I38" s="12"/>
    </row>
    <row r="39" spans="1:13" x14ac:dyDescent="0.25">
      <c r="A39" s="264"/>
      <c r="B39" s="265">
        <v>43533</v>
      </c>
      <c r="C39" s="264" t="s">
        <v>248</v>
      </c>
      <c r="D39" s="611"/>
      <c r="E39" s="611">
        <v>3000</v>
      </c>
      <c r="F39" s="618"/>
      <c r="G39" s="627"/>
      <c r="H39" s="207"/>
      <c r="I39" s="12"/>
    </row>
    <row r="40" spans="1:13" x14ac:dyDescent="0.25">
      <c r="A40" s="264"/>
      <c r="B40" s="265">
        <v>43555</v>
      </c>
      <c r="C40" s="264" t="s">
        <v>15</v>
      </c>
      <c r="D40" s="611"/>
      <c r="E40" s="611">
        <v>2000</v>
      </c>
      <c r="F40" s="618"/>
      <c r="G40" s="627"/>
      <c r="H40" s="207"/>
      <c r="I40" s="12"/>
    </row>
    <row r="41" spans="1:13" x14ac:dyDescent="0.25">
      <c r="A41" s="264"/>
      <c r="B41" s="265"/>
      <c r="C41" s="264"/>
      <c r="D41" s="611"/>
      <c r="E41" s="611"/>
      <c r="F41" s="618">
        <f>SUM(D28:D41)-SUM(E28:E41)</f>
        <v>3400</v>
      </c>
      <c r="G41" s="627">
        <v>250194.99</v>
      </c>
      <c r="H41" s="98"/>
      <c r="I41" s="12"/>
      <c r="K41" s="28"/>
    </row>
    <row r="42" spans="1:13" x14ac:dyDescent="0.25">
      <c r="A42" s="264" t="s">
        <v>18</v>
      </c>
      <c r="B42" s="265">
        <v>43559</v>
      </c>
      <c r="C42" s="264" t="s">
        <v>13</v>
      </c>
      <c r="D42" s="611">
        <v>25000</v>
      </c>
      <c r="E42" s="611"/>
      <c r="F42" s="618"/>
      <c r="G42" s="627"/>
      <c r="H42" s="98"/>
      <c r="I42" s="12"/>
      <c r="K42" s="28"/>
    </row>
    <row r="43" spans="1:13" x14ac:dyDescent="0.25">
      <c r="A43" s="264"/>
      <c r="B43" s="265">
        <v>43556</v>
      </c>
      <c r="C43" s="264" t="s">
        <v>181</v>
      </c>
      <c r="D43" s="611"/>
      <c r="E43" s="611">
        <v>2500</v>
      </c>
      <c r="F43" s="618"/>
      <c r="G43" s="627"/>
      <c r="H43" s="98"/>
      <c r="I43" s="12"/>
      <c r="K43" s="28"/>
    </row>
    <row r="44" spans="1:13" x14ac:dyDescent="0.25">
      <c r="A44" s="264"/>
      <c r="B44" s="265">
        <v>43560</v>
      </c>
      <c r="C44" s="264" t="s">
        <v>207</v>
      </c>
      <c r="D44" s="611"/>
      <c r="E44" s="611">
        <v>6400</v>
      </c>
      <c r="F44" s="618"/>
      <c r="G44" s="627"/>
      <c r="H44" s="98"/>
      <c r="I44" s="12"/>
      <c r="K44" s="28"/>
    </row>
    <row r="45" spans="1:13" x14ac:dyDescent="0.25">
      <c r="A45" s="264"/>
      <c r="B45" s="265">
        <v>43567</v>
      </c>
      <c r="C45" s="264" t="s">
        <v>172</v>
      </c>
      <c r="D45" s="611"/>
      <c r="E45" s="611">
        <v>4900</v>
      </c>
      <c r="F45" s="618"/>
      <c r="G45" s="627"/>
      <c r="H45" s="98"/>
      <c r="I45" s="12"/>
      <c r="K45" s="28"/>
      <c r="L45" s="28"/>
    </row>
    <row r="46" spans="1:13" x14ac:dyDescent="0.25">
      <c r="A46" s="264"/>
      <c r="B46" s="265">
        <v>43556</v>
      </c>
      <c r="C46" s="264" t="s">
        <v>55</v>
      </c>
      <c r="D46" s="611"/>
      <c r="E46" s="611">
        <v>800</v>
      </c>
      <c r="F46" s="618"/>
      <c r="G46" s="627"/>
      <c r="H46" s="98"/>
      <c r="I46" s="12"/>
    </row>
    <row r="47" spans="1:13" x14ac:dyDescent="0.25">
      <c r="A47" s="264"/>
      <c r="B47" s="265">
        <v>43558</v>
      </c>
      <c r="C47" s="264" t="s">
        <v>39</v>
      </c>
      <c r="D47" s="611"/>
      <c r="E47" s="611">
        <v>1000</v>
      </c>
      <c r="F47" s="618"/>
      <c r="G47" s="627"/>
      <c r="H47" s="98"/>
      <c r="I47" s="12"/>
    </row>
    <row r="48" spans="1:13" x14ac:dyDescent="0.25">
      <c r="A48" s="264"/>
      <c r="B48" s="265">
        <v>43553</v>
      </c>
      <c r="C48" s="264" t="s">
        <v>747</v>
      </c>
      <c r="D48" s="611"/>
      <c r="E48" s="611">
        <v>1700</v>
      </c>
      <c r="F48" s="618"/>
      <c r="G48" s="627"/>
      <c r="H48" s="98"/>
      <c r="I48" s="12"/>
    </row>
    <row r="49" spans="1:16" x14ac:dyDescent="0.25">
      <c r="A49" s="264"/>
      <c r="B49" s="265">
        <v>43556</v>
      </c>
      <c r="C49" s="264" t="s">
        <v>243</v>
      </c>
      <c r="D49" s="611"/>
      <c r="E49" s="611">
        <v>700</v>
      </c>
      <c r="F49" s="618"/>
      <c r="G49" s="627"/>
      <c r="H49" s="98"/>
      <c r="I49" s="12"/>
    </row>
    <row r="50" spans="1:16" x14ac:dyDescent="0.25">
      <c r="A50" s="264"/>
      <c r="B50" s="265">
        <v>43555</v>
      </c>
      <c r="C50" s="264" t="s">
        <v>248</v>
      </c>
      <c r="D50" s="611"/>
      <c r="E50" s="611">
        <v>4000</v>
      </c>
      <c r="F50" s="618"/>
      <c r="G50" s="627"/>
      <c r="H50" s="98"/>
      <c r="I50" s="12"/>
    </row>
    <row r="51" spans="1:16" x14ac:dyDescent="0.25">
      <c r="A51" s="264"/>
      <c r="B51" s="265"/>
      <c r="C51" s="264"/>
      <c r="D51" s="611"/>
      <c r="E51" s="611"/>
      <c r="F51" s="618">
        <f>SUM(D41:D51)-SUM(E41:E51)</f>
        <v>3000</v>
      </c>
      <c r="G51" s="627">
        <v>256194.99</v>
      </c>
      <c r="H51" s="11"/>
      <c r="I51" s="12"/>
      <c r="N51" s="77"/>
      <c r="O51" s="77"/>
      <c r="P51" s="77"/>
    </row>
    <row r="52" spans="1:16" x14ac:dyDescent="0.25">
      <c r="A52" s="264" t="s">
        <v>20</v>
      </c>
      <c r="B52" s="265">
        <v>43591</v>
      </c>
      <c r="C52" s="264" t="s">
        <v>13</v>
      </c>
      <c r="D52" s="611">
        <v>25000</v>
      </c>
      <c r="E52" s="611"/>
      <c r="F52" s="618"/>
      <c r="G52" s="627"/>
      <c r="H52" s="149"/>
      <c r="I52" s="12"/>
      <c r="K52" s="131"/>
      <c r="N52" s="77"/>
      <c r="O52" s="77"/>
      <c r="P52" s="77"/>
    </row>
    <row r="53" spans="1:16" x14ac:dyDescent="0.25">
      <c r="A53" s="264"/>
      <c r="B53" s="265">
        <v>43591</v>
      </c>
      <c r="C53" s="264" t="s">
        <v>181</v>
      </c>
      <c r="D53" s="611"/>
      <c r="E53" s="611">
        <v>2500</v>
      </c>
      <c r="F53" s="618"/>
      <c r="G53" s="627"/>
      <c r="H53" s="149"/>
      <c r="I53" s="12"/>
      <c r="K53" s="131"/>
      <c r="N53" s="77"/>
      <c r="O53" s="77"/>
      <c r="P53" s="77"/>
    </row>
    <row r="54" spans="1:16" x14ac:dyDescent="0.25">
      <c r="A54" s="264"/>
      <c r="B54" s="265">
        <v>43592</v>
      </c>
      <c r="C54" s="264" t="s">
        <v>207</v>
      </c>
      <c r="D54" s="611"/>
      <c r="E54" s="611">
        <v>8000</v>
      </c>
      <c r="F54" s="618"/>
      <c r="G54" s="627"/>
      <c r="H54" s="76"/>
      <c r="I54" s="12"/>
      <c r="K54" s="131"/>
      <c r="N54" s="77"/>
      <c r="O54" s="77"/>
      <c r="P54" s="77"/>
    </row>
    <row r="55" spans="1:16" x14ac:dyDescent="0.25">
      <c r="A55" s="264"/>
      <c r="B55" s="265">
        <v>43598</v>
      </c>
      <c r="C55" s="264" t="s">
        <v>172</v>
      </c>
      <c r="D55" s="611"/>
      <c r="E55" s="611">
        <v>4600</v>
      </c>
      <c r="F55" s="618"/>
      <c r="G55" s="627"/>
      <c r="H55" s="76"/>
      <c r="I55" s="102"/>
      <c r="K55" s="131"/>
      <c r="N55" s="77"/>
      <c r="O55" s="77"/>
      <c r="P55" s="77"/>
    </row>
    <row r="56" spans="1:16" x14ac:dyDescent="0.25">
      <c r="A56" s="264"/>
      <c r="B56" s="265">
        <v>43598</v>
      </c>
      <c r="C56" s="264" t="s">
        <v>39</v>
      </c>
      <c r="D56" s="611"/>
      <c r="E56" s="611">
        <v>300</v>
      </c>
      <c r="F56" s="618"/>
      <c r="G56" s="627"/>
      <c r="H56" s="76"/>
      <c r="I56" s="12"/>
      <c r="K56" s="131"/>
      <c r="N56" s="77"/>
      <c r="O56" s="77"/>
      <c r="P56" s="77"/>
    </row>
    <row r="57" spans="1:16" x14ac:dyDescent="0.25">
      <c r="A57" s="264"/>
      <c r="B57" s="265">
        <v>43592</v>
      </c>
      <c r="C57" s="264" t="s">
        <v>747</v>
      </c>
      <c r="D57" s="611"/>
      <c r="E57" s="611">
        <v>2000</v>
      </c>
      <c r="F57" s="618"/>
      <c r="G57" s="627"/>
      <c r="H57" s="76"/>
      <c r="I57" s="12"/>
      <c r="K57" s="131"/>
      <c r="N57" s="77"/>
      <c r="O57" s="77"/>
      <c r="P57" s="77"/>
    </row>
    <row r="58" spans="1:16" x14ac:dyDescent="0.25">
      <c r="A58" s="264"/>
      <c r="B58" s="265">
        <v>43583</v>
      </c>
      <c r="C58" s="264" t="s">
        <v>248</v>
      </c>
      <c r="D58" s="611"/>
      <c r="E58" s="611">
        <v>3000</v>
      </c>
      <c r="F58" s="618"/>
      <c r="G58" s="627"/>
      <c r="H58" s="76"/>
      <c r="I58" s="12"/>
      <c r="K58" s="131"/>
      <c r="N58" s="77"/>
      <c r="O58" s="77"/>
      <c r="P58" s="77"/>
    </row>
    <row r="59" spans="1:16" x14ac:dyDescent="0.25">
      <c r="A59" s="264"/>
      <c r="B59" s="265"/>
      <c r="C59" s="264"/>
      <c r="D59" s="611"/>
      <c r="E59" s="611"/>
      <c r="F59" s="618">
        <f>SUM(D51:D59)-SUM(E51:E59)</f>
        <v>4600</v>
      </c>
      <c r="G59" s="627">
        <v>256863.69</v>
      </c>
      <c r="H59" s="76"/>
      <c r="I59" s="12"/>
      <c r="K59" s="131"/>
    </row>
    <row r="60" spans="1:16" x14ac:dyDescent="0.25">
      <c r="A60" s="264" t="s">
        <v>21</v>
      </c>
      <c r="B60" s="265">
        <v>43620</v>
      </c>
      <c r="C60" s="264" t="s">
        <v>13</v>
      </c>
      <c r="D60" s="611">
        <v>35000</v>
      </c>
      <c r="E60" s="611"/>
      <c r="F60" s="618"/>
      <c r="G60" s="627"/>
      <c r="H60" s="98"/>
      <c r="I60" s="102"/>
      <c r="K60" s="131"/>
    </row>
    <row r="61" spans="1:16" x14ac:dyDescent="0.25">
      <c r="A61" s="264"/>
      <c r="B61" s="265">
        <v>43621</v>
      </c>
      <c r="C61" s="264" t="s">
        <v>181</v>
      </c>
      <c r="D61" s="611"/>
      <c r="E61" s="611">
        <v>2500</v>
      </c>
      <c r="F61" s="618"/>
      <c r="G61" s="627"/>
      <c r="H61" s="98"/>
      <c r="I61" s="102"/>
      <c r="J61" s="800"/>
      <c r="K61" s="131"/>
      <c r="L61" s="104"/>
    </row>
    <row r="62" spans="1:16" x14ac:dyDescent="0.25">
      <c r="A62" s="264"/>
      <c r="B62" s="265">
        <v>43622</v>
      </c>
      <c r="C62" s="264" t="s">
        <v>207</v>
      </c>
      <c r="D62" s="611"/>
      <c r="E62" s="611">
        <v>14000</v>
      </c>
      <c r="F62" s="618"/>
      <c r="G62" s="627"/>
      <c r="H62" s="98"/>
      <c r="I62" s="102"/>
      <c r="J62" s="800"/>
      <c r="K62" s="131"/>
      <c r="L62" s="104"/>
    </row>
    <row r="63" spans="1:16" x14ac:dyDescent="0.25">
      <c r="A63" s="264"/>
      <c r="B63" s="265">
        <v>43622</v>
      </c>
      <c r="C63" s="264" t="s">
        <v>172</v>
      </c>
      <c r="D63" s="611"/>
      <c r="E63" s="611">
        <v>1000</v>
      </c>
      <c r="F63" s="618"/>
      <c r="G63" s="627"/>
      <c r="H63" s="485"/>
      <c r="I63" s="463"/>
      <c r="J63" s="800"/>
      <c r="K63" s="263"/>
      <c r="L63" s="263"/>
    </row>
    <row r="64" spans="1:16" x14ac:dyDescent="0.25">
      <c r="A64" s="264"/>
      <c r="B64" s="265">
        <v>43622</v>
      </c>
      <c r="C64" s="264" t="s">
        <v>172</v>
      </c>
      <c r="D64" s="611"/>
      <c r="E64" s="611">
        <v>8200</v>
      </c>
      <c r="F64" s="618"/>
      <c r="G64" s="627"/>
      <c r="H64" s="98"/>
      <c r="I64" s="102"/>
      <c r="J64" s="800"/>
      <c r="K64" s="131"/>
      <c r="L64" s="104"/>
    </row>
    <row r="65" spans="1:13" x14ac:dyDescent="0.25">
      <c r="A65" s="264"/>
      <c r="B65" s="265">
        <v>43621</v>
      </c>
      <c r="C65" s="264" t="s">
        <v>39</v>
      </c>
      <c r="D65" s="611"/>
      <c r="E65" s="611">
        <v>1100</v>
      </c>
      <c r="F65" s="618"/>
      <c r="G65" s="627"/>
      <c r="H65" s="98"/>
      <c r="I65" s="102"/>
      <c r="J65" s="800"/>
      <c r="K65" s="131"/>
    </row>
    <row r="66" spans="1:13" x14ac:dyDescent="0.25">
      <c r="A66" s="264"/>
      <c r="B66" s="265">
        <v>43620</v>
      </c>
      <c r="C66" s="264" t="s">
        <v>747</v>
      </c>
      <c r="D66" s="611"/>
      <c r="E66" s="611">
        <f>1800+200</f>
        <v>2000</v>
      </c>
      <c r="F66" s="618"/>
      <c r="G66" s="627"/>
      <c r="H66" s="98"/>
      <c r="I66" s="102"/>
      <c r="J66" s="800"/>
      <c r="K66" s="131"/>
    </row>
    <row r="67" spans="1:13" x14ac:dyDescent="0.25">
      <c r="A67" s="264"/>
      <c r="B67" s="265">
        <v>43621</v>
      </c>
      <c r="C67" s="264" t="s">
        <v>243</v>
      </c>
      <c r="D67" s="611"/>
      <c r="E67" s="611">
        <v>600</v>
      </c>
      <c r="F67" s="618"/>
      <c r="G67" s="627"/>
      <c r="H67" s="98"/>
      <c r="I67" s="102"/>
      <c r="J67" s="800"/>
      <c r="K67" s="131"/>
    </row>
    <row r="68" spans="1:13" x14ac:dyDescent="0.25">
      <c r="A68" s="264"/>
      <c r="B68" s="265">
        <v>43646</v>
      </c>
      <c r="C68" s="264" t="s">
        <v>15</v>
      </c>
      <c r="D68" s="611"/>
      <c r="E68" s="611">
        <v>500</v>
      </c>
      <c r="F68" s="618"/>
      <c r="G68" s="627"/>
      <c r="H68" s="98"/>
      <c r="I68" s="651"/>
      <c r="J68" s="843"/>
      <c r="K68" s="647"/>
      <c r="L68" s="647"/>
      <c r="M68" s="647"/>
    </row>
    <row r="69" spans="1:13" x14ac:dyDescent="0.25">
      <c r="A69" s="264"/>
      <c r="B69" s="265"/>
      <c r="C69" s="264"/>
      <c r="D69" s="611"/>
      <c r="E69" s="611"/>
      <c r="F69" s="618">
        <f>SUM(D59:D69)-SUM(E59:E69)</f>
        <v>5100</v>
      </c>
      <c r="G69" s="627">
        <v>263598.28999999998</v>
      </c>
      <c r="H69" s="11"/>
      <c r="I69" s="652"/>
      <c r="J69" s="801"/>
      <c r="K69" s="648"/>
      <c r="L69" s="648"/>
      <c r="M69" s="648"/>
    </row>
    <row r="70" spans="1:13" x14ac:dyDescent="0.25">
      <c r="A70" s="264" t="s">
        <v>22</v>
      </c>
      <c r="B70" s="265">
        <v>43651</v>
      </c>
      <c r="C70" s="264" t="s">
        <v>13</v>
      </c>
      <c r="D70" s="611">
        <v>35000</v>
      </c>
      <c r="E70" s="611"/>
      <c r="F70" s="618"/>
      <c r="G70" s="627"/>
      <c r="H70" s="98"/>
      <c r="I70" s="652"/>
      <c r="J70" s="801"/>
      <c r="K70" s="648"/>
      <c r="L70" s="648"/>
      <c r="M70" s="648"/>
    </row>
    <row r="71" spans="1:13" x14ac:dyDescent="0.25">
      <c r="A71" s="264"/>
      <c r="B71" s="265">
        <v>43658</v>
      </c>
      <c r="C71" s="264" t="s">
        <v>754</v>
      </c>
      <c r="D71" s="611">
        <v>23700</v>
      </c>
      <c r="E71" s="611"/>
      <c r="F71" s="618"/>
      <c r="G71" s="627"/>
      <c r="H71" s="485"/>
      <c r="I71" s="652"/>
      <c r="J71" s="801"/>
      <c r="K71" s="648"/>
      <c r="L71" s="648"/>
      <c r="M71" s="648"/>
    </row>
    <row r="72" spans="1:13" x14ac:dyDescent="0.25">
      <c r="A72" s="264"/>
      <c r="B72" s="265">
        <v>43651</v>
      </c>
      <c r="C72" s="264" t="s">
        <v>181</v>
      </c>
      <c r="D72" s="611"/>
      <c r="E72" s="611">
        <v>2500</v>
      </c>
      <c r="F72" s="618"/>
      <c r="G72" s="627"/>
      <c r="H72" s="98"/>
      <c r="I72" s="649"/>
      <c r="J72" s="802"/>
      <c r="K72" s="648"/>
      <c r="L72" s="648"/>
      <c r="M72" s="648"/>
    </row>
    <row r="73" spans="1:13" x14ac:dyDescent="0.25">
      <c r="A73" s="264"/>
      <c r="B73" s="265">
        <v>43658</v>
      </c>
      <c r="C73" s="264" t="s">
        <v>207</v>
      </c>
      <c r="D73" s="611"/>
      <c r="E73" s="611">
        <v>9100</v>
      </c>
      <c r="F73" s="618"/>
      <c r="G73" s="627"/>
      <c r="H73" s="485"/>
      <c r="I73" s="650"/>
      <c r="J73" s="803"/>
      <c r="K73" s="648"/>
      <c r="L73" s="648"/>
      <c r="M73" s="648"/>
    </row>
    <row r="74" spans="1:13" x14ac:dyDescent="0.25">
      <c r="A74" s="264"/>
      <c r="B74" s="265">
        <v>43656</v>
      </c>
      <c r="C74" s="264" t="s">
        <v>207</v>
      </c>
      <c r="D74" s="611"/>
      <c r="E74" s="611">
        <v>9800</v>
      </c>
      <c r="F74" s="618"/>
      <c r="G74" s="627"/>
      <c r="H74" s="98"/>
      <c r="L74" s="648"/>
      <c r="M74" s="648"/>
    </row>
    <row r="75" spans="1:13" x14ac:dyDescent="0.25">
      <c r="A75" s="264"/>
      <c r="B75" s="265">
        <v>43658</v>
      </c>
      <c r="C75" s="264" t="s">
        <v>172</v>
      </c>
      <c r="D75" s="611"/>
      <c r="E75" s="611">
        <v>14600</v>
      </c>
      <c r="F75" s="618"/>
      <c r="G75" s="627"/>
      <c r="H75" s="98"/>
      <c r="I75" s="649"/>
      <c r="J75" s="802"/>
      <c r="K75" s="648"/>
      <c r="L75" s="648"/>
      <c r="M75" s="648"/>
    </row>
    <row r="76" spans="1:13" x14ac:dyDescent="0.25">
      <c r="A76" s="264"/>
      <c r="B76" s="265">
        <v>43643</v>
      </c>
      <c r="C76" s="264" t="s">
        <v>747</v>
      </c>
      <c r="D76" s="611"/>
      <c r="E76" s="611">
        <v>2000</v>
      </c>
      <c r="F76" s="618"/>
      <c r="G76" s="627"/>
      <c r="H76" s="98"/>
      <c r="I76" s="650"/>
      <c r="J76" s="803"/>
      <c r="K76" s="648"/>
    </row>
    <row r="77" spans="1:13" x14ac:dyDescent="0.25">
      <c r="A77" s="264"/>
      <c r="B77" s="265">
        <v>43651</v>
      </c>
      <c r="C77" s="264" t="s">
        <v>243</v>
      </c>
      <c r="D77" s="611"/>
      <c r="E77" s="611">
        <v>700</v>
      </c>
      <c r="F77" s="618"/>
      <c r="G77" s="627"/>
      <c r="H77" s="98"/>
      <c r="I77" s="650"/>
      <c r="J77" s="802"/>
      <c r="K77" s="648"/>
      <c r="L77" s="648"/>
      <c r="M77" s="648"/>
    </row>
    <row r="78" spans="1:13" x14ac:dyDescent="0.25">
      <c r="A78" s="264"/>
      <c r="B78" s="265">
        <v>43665</v>
      </c>
      <c r="C78" s="264" t="s">
        <v>624</v>
      </c>
      <c r="D78" s="611"/>
      <c r="E78" s="611">
        <v>20000</v>
      </c>
      <c r="F78" s="618"/>
      <c r="G78" s="627"/>
      <c r="H78" s="11"/>
      <c r="I78" s="652"/>
      <c r="J78" s="844"/>
      <c r="K78" s="653"/>
      <c r="L78" s="648"/>
      <c r="M78" s="648"/>
    </row>
    <row r="79" spans="1:13" x14ac:dyDescent="0.25">
      <c r="A79" s="264"/>
      <c r="B79" s="265"/>
      <c r="C79" s="264"/>
      <c r="D79" s="611"/>
      <c r="E79" s="611"/>
      <c r="F79" s="618">
        <f>SUM(D70:D79)-SUM(E70:E79)</f>
        <v>0</v>
      </c>
      <c r="G79" s="627">
        <v>252935.34</v>
      </c>
      <c r="H79" s="11"/>
      <c r="I79" s="654"/>
      <c r="J79" s="814"/>
      <c r="K79" s="653"/>
      <c r="L79" s="648"/>
      <c r="M79" s="648"/>
    </row>
    <row r="80" spans="1:13" x14ac:dyDescent="0.25">
      <c r="A80" s="264" t="s">
        <v>23</v>
      </c>
      <c r="B80" s="265">
        <v>43685</v>
      </c>
      <c r="C80" s="264" t="s">
        <v>13</v>
      </c>
      <c r="D80" s="611">
        <v>35000</v>
      </c>
      <c r="E80" s="611"/>
      <c r="F80" s="618"/>
      <c r="G80" s="627"/>
      <c r="H80" s="149"/>
      <c r="I80" s="11"/>
      <c r="J80" s="785"/>
      <c r="K80" s="165"/>
      <c r="L80" s="646"/>
      <c r="M80" s="646"/>
    </row>
    <row r="81" spans="1:12" x14ac:dyDescent="0.25">
      <c r="A81" s="264"/>
      <c r="B81" s="265">
        <v>43690</v>
      </c>
      <c r="C81" s="264" t="s">
        <v>181</v>
      </c>
      <c r="D81" s="611"/>
      <c r="E81" s="611">
        <v>3800</v>
      </c>
      <c r="F81" s="618"/>
      <c r="G81" s="627"/>
      <c r="H81" s="149"/>
      <c r="I81" s="12"/>
      <c r="J81" s="806"/>
      <c r="K81" s="105"/>
    </row>
    <row r="82" spans="1:12" x14ac:dyDescent="0.25">
      <c r="A82" s="264"/>
      <c r="B82" s="265">
        <v>43686</v>
      </c>
      <c r="C82" s="264" t="s">
        <v>207</v>
      </c>
      <c r="D82" s="611"/>
      <c r="E82" s="611">
        <v>11000</v>
      </c>
      <c r="F82" s="618"/>
      <c r="G82" s="627"/>
      <c r="H82" s="11"/>
      <c r="I82" s="12"/>
      <c r="J82" s="806"/>
      <c r="K82" s="105"/>
    </row>
    <row r="83" spans="1:12" x14ac:dyDescent="0.25">
      <c r="A83" s="264"/>
      <c r="B83" s="265">
        <v>43689</v>
      </c>
      <c r="C83" s="264" t="s">
        <v>172</v>
      </c>
      <c r="D83" s="611"/>
      <c r="E83" s="611">
        <v>15900</v>
      </c>
      <c r="F83" s="618"/>
      <c r="G83" s="627"/>
      <c r="H83" s="11"/>
      <c r="I83" s="12"/>
      <c r="J83" s="806"/>
      <c r="K83" s="105"/>
    </row>
    <row r="84" spans="1:12" x14ac:dyDescent="0.25">
      <c r="A84" s="264"/>
      <c r="B84" s="265">
        <v>43682</v>
      </c>
      <c r="C84" s="264" t="s">
        <v>39</v>
      </c>
      <c r="D84" s="611"/>
      <c r="E84" s="611">
        <v>1000</v>
      </c>
      <c r="F84" s="618"/>
      <c r="G84" s="627"/>
      <c r="H84" s="11"/>
      <c r="I84" s="12"/>
      <c r="J84" s="806"/>
      <c r="K84" s="105"/>
    </row>
    <row r="85" spans="1:12" x14ac:dyDescent="0.25">
      <c r="A85" s="264"/>
      <c r="B85" s="265">
        <v>43687</v>
      </c>
      <c r="C85" s="264" t="s">
        <v>747</v>
      </c>
      <c r="D85" s="611"/>
      <c r="E85" s="611">
        <v>1800</v>
      </c>
      <c r="F85" s="618"/>
      <c r="G85" s="627"/>
      <c r="H85" s="11"/>
      <c r="I85" s="12"/>
      <c r="J85" s="806"/>
      <c r="K85" s="425"/>
    </row>
    <row r="86" spans="1:12" x14ac:dyDescent="0.25">
      <c r="A86" s="264"/>
      <c r="B86" s="265">
        <v>43682</v>
      </c>
      <c r="C86" s="264" t="s">
        <v>243</v>
      </c>
      <c r="D86" s="611"/>
      <c r="E86" s="611">
        <v>700</v>
      </c>
      <c r="F86" s="618"/>
      <c r="G86" s="627"/>
      <c r="H86" s="11"/>
      <c r="I86" s="12"/>
      <c r="J86" s="806"/>
      <c r="K86" s="425"/>
    </row>
    <row r="87" spans="1:12" x14ac:dyDescent="0.25">
      <c r="A87" s="264"/>
      <c r="B87" s="265"/>
      <c r="C87" s="264"/>
      <c r="D87" s="611"/>
      <c r="E87" s="611"/>
      <c r="F87" s="618">
        <f>SUM(D79:D87)-SUM(E79:E87)</f>
        <v>800</v>
      </c>
      <c r="G87" s="627">
        <v>285119.31</v>
      </c>
      <c r="H87" s="11"/>
      <c r="I87" s="12"/>
      <c r="J87" s="806"/>
      <c r="K87" s="105"/>
    </row>
    <row r="88" spans="1:12" x14ac:dyDescent="0.25">
      <c r="A88" s="264" t="s">
        <v>24</v>
      </c>
      <c r="B88" s="265">
        <v>43710</v>
      </c>
      <c r="C88" s="264" t="s">
        <v>13</v>
      </c>
      <c r="D88" s="611">
        <v>35000</v>
      </c>
      <c r="E88" s="611"/>
      <c r="F88" s="618"/>
      <c r="G88" s="627"/>
      <c r="H88" s="11"/>
      <c r="I88" s="12"/>
      <c r="J88" s="806"/>
      <c r="K88" s="15"/>
    </row>
    <row r="89" spans="1:12" x14ac:dyDescent="0.25">
      <c r="A89" s="264"/>
      <c r="B89" s="265">
        <v>43717</v>
      </c>
      <c r="C89" s="264" t="s">
        <v>181</v>
      </c>
      <c r="D89" s="611"/>
      <c r="E89" s="611">
        <v>3800</v>
      </c>
      <c r="F89" s="618"/>
      <c r="G89" s="627"/>
      <c r="H89" s="11"/>
      <c r="I89" s="12"/>
      <c r="J89" s="806"/>
      <c r="K89" s="15"/>
    </row>
    <row r="90" spans="1:12" x14ac:dyDescent="0.25">
      <c r="A90" s="264"/>
      <c r="B90" s="265">
        <v>43718</v>
      </c>
      <c r="C90" s="264" t="s">
        <v>207</v>
      </c>
      <c r="D90" s="611"/>
      <c r="E90" s="611">
        <v>2000</v>
      </c>
      <c r="F90" s="618"/>
      <c r="G90" s="627"/>
      <c r="H90" s="11"/>
      <c r="I90" s="12"/>
    </row>
    <row r="91" spans="1:12" x14ac:dyDescent="0.25">
      <c r="A91" s="264"/>
      <c r="B91" s="265">
        <v>43725</v>
      </c>
      <c r="C91" s="264" t="s">
        <v>172</v>
      </c>
      <c r="D91" s="611"/>
      <c r="E91" s="611">
        <v>13600</v>
      </c>
      <c r="F91" s="618"/>
      <c r="G91" s="627"/>
      <c r="H91" s="11"/>
      <c r="I91" s="12"/>
    </row>
    <row r="92" spans="1:12" x14ac:dyDescent="0.25">
      <c r="A92" s="264"/>
      <c r="B92" s="265">
        <v>43714</v>
      </c>
      <c r="C92" s="264" t="s">
        <v>185</v>
      </c>
      <c r="D92" s="611"/>
      <c r="E92" s="611">
        <v>400</v>
      </c>
      <c r="F92" s="618"/>
      <c r="G92" s="627"/>
      <c r="H92" s="11"/>
      <c r="I92" s="12"/>
    </row>
    <row r="93" spans="1:12" x14ac:dyDescent="0.25">
      <c r="A93" s="264"/>
      <c r="B93" s="265">
        <v>43738</v>
      </c>
      <c r="C93" s="264" t="s">
        <v>39</v>
      </c>
      <c r="D93" s="611"/>
      <c r="E93" s="611">
        <v>1200</v>
      </c>
      <c r="F93" s="618"/>
      <c r="G93" s="627"/>
      <c r="H93" s="11"/>
      <c r="I93" s="12"/>
      <c r="L93" s="104"/>
    </row>
    <row r="94" spans="1:12" x14ac:dyDescent="0.25">
      <c r="A94" s="264"/>
      <c r="B94" s="265">
        <v>43718</v>
      </c>
      <c r="C94" s="264" t="s">
        <v>747</v>
      </c>
      <c r="D94" s="611"/>
      <c r="E94" s="611">
        <v>1800</v>
      </c>
      <c r="F94" s="618"/>
      <c r="G94" s="627"/>
      <c r="H94" s="11"/>
      <c r="I94" s="12"/>
      <c r="L94" s="263"/>
    </row>
    <row r="95" spans="1:12" x14ac:dyDescent="0.25">
      <c r="A95" s="264"/>
      <c r="B95" s="265">
        <v>43698</v>
      </c>
      <c r="C95" s="264" t="s">
        <v>243</v>
      </c>
      <c r="D95" s="611"/>
      <c r="E95" s="611">
        <v>700</v>
      </c>
      <c r="F95" s="618"/>
      <c r="G95" s="627"/>
      <c r="H95" s="11"/>
      <c r="I95" s="12"/>
      <c r="K95" s="15"/>
      <c r="L95" s="263"/>
    </row>
    <row r="96" spans="1:12" x14ac:dyDescent="0.25">
      <c r="A96" s="264"/>
      <c r="B96" s="265">
        <v>43714</v>
      </c>
      <c r="C96" s="264" t="s">
        <v>248</v>
      </c>
      <c r="D96" s="611"/>
      <c r="E96" s="611">
        <v>4000</v>
      </c>
      <c r="F96" s="618"/>
      <c r="G96" s="627"/>
      <c r="H96" s="11"/>
      <c r="I96" s="12"/>
      <c r="J96" s="806"/>
      <c r="K96" s="15"/>
      <c r="L96" s="104"/>
    </row>
    <row r="97" spans="1:13" x14ac:dyDescent="0.25">
      <c r="A97" s="264"/>
      <c r="B97" s="265"/>
      <c r="C97" s="264"/>
      <c r="D97" s="611"/>
      <c r="E97" s="611"/>
      <c r="F97" s="618">
        <f>SUM(D87:D97)-SUM(E87:E97)</f>
        <v>7500</v>
      </c>
      <c r="G97" s="627">
        <v>323622.58</v>
      </c>
      <c r="H97" s="11"/>
      <c r="I97" s="12"/>
      <c r="J97" s="806"/>
      <c r="K97" s="23"/>
    </row>
    <row r="98" spans="1:13" x14ac:dyDescent="0.25">
      <c r="A98" s="264" t="s">
        <v>25</v>
      </c>
      <c r="B98" s="265">
        <v>43742</v>
      </c>
      <c r="C98" s="264" t="s">
        <v>13</v>
      </c>
      <c r="D98" s="611">
        <v>35000</v>
      </c>
      <c r="E98" s="611"/>
      <c r="F98" s="618"/>
      <c r="G98" s="627"/>
      <c r="H98" s="11"/>
      <c r="I98" s="12"/>
      <c r="J98" s="806"/>
      <c r="K98" s="15"/>
      <c r="L98" s="104"/>
    </row>
    <row r="99" spans="1:13" x14ac:dyDescent="0.25">
      <c r="A99" s="264"/>
      <c r="B99" s="265">
        <v>43748</v>
      </c>
      <c r="C99" s="264" t="s">
        <v>181</v>
      </c>
      <c r="D99" s="611"/>
      <c r="E99" s="611">
        <v>3800</v>
      </c>
      <c r="F99" s="618"/>
      <c r="G99" s="627"/>
      <c r="H99" s="11"/>
      <c r="I99" s="12"/>
      <c r="J99" s="806"/>
      <c r="K99" s="15"/>
      <c r="L99" s="48"/>
    </row>
    <row r="100" spans="1:13" x14ac:dyDescent="0.25">
      <c r="A100" s="264"/>
      <c r="B100" s="265">
        <v>43750</v>
      </c>
      <c r="C100" s="264" t="s">
        <v>207</v>
      </c>
      <c r="D100" s="611"/>
      <c r="E100" s="611">
        <v>10800</v>
      </c>
      <c r="F100" s="618"/>
      <c r="G100" s="627"/>
      <c r="H100" s="11"/>
      <c r="I100" s="12"/>
      <c r="L100" s="644"/>
    </row>
    <row r="101" spans="1:13" x14ac:dyDescent="0.25">
      <c r="A101" s="264"/>
      <c r="B101" s="265">
        <v>43760</v>
      </c>
      <c r="C101" s="264" t="s">
        <v>172</v>
      </c>
      <c r="D101" s="611"/>
      <c r="E101" s="611">
        <v>9900</v>
      </c>
      <c r="F101" s="618"/>
      <c r="G101" s="627"/>
      <c r="H101" s="11"/>
      <c r="I101" s="12"/>
      <c r="L101" s="644"/>
    </row>
    <row r="102" spans="1:13" x14ac:dyDescent="0.25">
      <c r="A102" s="264"/>
      <c r="B102" s="265">
        <v>43738</v>
      </c>
      <c r="C102" s="264" t="s">
        <v>39</v>
      </c>
      <c r="D102" s="611"/>
      <c r="E102" s="611">
        <v>1200</v>
      </c>
      <c r="F102" s="618"/>
      <c r="G102" s="627"/>
      <c r="H102" s="11"/>
      <c r="I102" s="12"/>
      <c r="L102" s="644"/>
      <c r="M102" s="104"/>
    </row>
    <row r="103" spans="1:13" x14ac:dyDescent="0.25">
      <c r="A103" s="264"/>
      <c r="B103" s="265">
        <v>43748</v>
      </c>
      <c r="C103" s="264" t="s">
        <v>747</v>
      </c>
      <c r="D103" s="611"/>
      <c r="E103" s="611">
        <v>1800</v>
      </c>
      <c r="F103" s="618"/>
      <c r="G103" s="627"/>
      <c r="H103" s="11"/>
      <c r="I103" s="12"/>
      <c r="L103" s="644"/>
      <c r="M103" s="263"/>
    </row>
    <row r="104" spans="1:13" x14ac:dyDescent="0.25">
      <c r="A104" s="264"/>
      <c r="B104" s="265">
        <v>43739</v>
      </c>
      <c r="C104" s="264" t="s">
        <v>243</v>
      </c>
      <c r="D104" s="611"/>
      <c r="E104" s="611">
        <v>700</v>
      </c>
      <c r="F104" s="618"/>
      <c r="G104" s="627"/>
      <c r="H104" s="11"/>
      <c r="I104" s="12"/>
      <c r="L104" s="644"/>
      <c r="M104" s="263"/>
    </row>
    <row r="105" spans="1:13" x14ac:dyDescent="0.25">
      <c r="A105" s="264"/>
      <c r="B105" s="265">
        <v>43748</v>
      </c>
      <c r="C105" s="264" t="s">
        <v>248</v>
      </c>
      <c r="D105" s="611"/>
      <c r="E105" s="611">
        <v>4000</v>
      </c>
      <c r="F105" s="618"/>
      <c r="G105" s="627"/>
      <c r="H105" s="11"/>
      <c r="I105" s="12"/>
      <c r="J105" s="806"/>
      <c r="K105" s="15"/>
      <c r="L105" s="644"/>
      <c r="M105" s="104"/>
    </row>
    <row r="106" spans="1:13" x14ac:dyDescent="0.25">
      <c r="A106" s="264"/>
      <c r="B106" s="265">
        <v>43769</v>
      </c>
      <c r="C106" s="264" t="s">
        <v>15</v>
      </c>
      <c r="D106" s="611"/>
      <c r="E106" s="611">
        <v>1500</v>
      </c>
      <c r="F106" s="618"/>
      <c r="G106" s="627"/>
      <c r="H106" s="11"/>
      <c r="I106" s="11"/>
      <c r="J106" s="845"/>
      <c r="K106" s="15"/>
      <c r="L106" s="104"/>
      <c r="M106" s="104"/>
    </row>
    <row r="107" spans="1:13" x14ac:dyDescent="0.25">
      <c r="A107" s="264"/>
      <c r="B107" s="265"/>
      <c r="C107" s="264"/>
      <c r="D107" s="611"/>
      <c r="E107" s="611"/>
      <c r="F107" s="618">
        <f>SUM(D97:D107)-SUM(E97:E107)</f>
        <v>1300</v>
      </c>
      <c r="G107" s="627">
        <v>337046.24</v>
      </c>
      <c r="H107" s="98"/>
      <c r="I107" s="12"/>
      <c r="J107" s="806"/>
      <c r="K107" s="15"/>
      <c r="M107" s="104"/>
    </row>
    <row r="108" spans="1:13" x14ac:dyDescent="0.25">
      <c r="A108" s="264" t="s">
        <v>26</v>
      </c>
      <c r="B108" s="265">
        <v>43753</v>
      </c>
      <c r="C108" s="264" t="s">
        <v>13</v>
      </c>
      <c r="D108" s="611">
        <v>36500</v>
      </c>
      <c r="E108" s="611"/>
      <c r="F108" s="618"/>
      <c r="G108" s="627"/>
      <c r="H108" s="11"/>
      <c r="I108" s="12"/>
      <c r="J108" s="806"/>
      <c r="K108" s="15"/>
      <c r="L108" s="88"/>
      <c r="M108" s="104"/>
    </row>
    <row r="109" spans="1:13" x14ac:dyDescent="0.25">
      <c r="A109" s="264"/>
      <c r="B109" s="265">
        <v>43779</v>
      </c>
      <c r="C109" s="264" t="s">
        <v>181</v>
      </c>
      <c r="D109" s="611"/>
      <c r="E109" s="611">
        <v>3800</v>
      </c>
      <c r="F109" s="618"/>
      <c r="G109" s="627"/>
      <c r="H109" s="11"/>
      <c r="I109" s="12"/>
      <c r="J109" s="806"/>
      <c r="K109" s="15"/>
      <c r="L109" s="88"/>
      <c r="M109" s="104"/>
    </row>
    <row r="110" spans="1:13" x14ac:dyDescent="0.25">
      <c r="A110" s="264"/>
      <c r="B110" s="265">
        <v>43781</v>
      </c>
      <c r="C110" s="264" t="s">
        <v>207</v>
      </c>
      <c r="D110" s="611"/>
      <c r="E110" s="611">
        <v>9200</v>
      </c>
      <c r="F110" s="618"/>
      <c r="G110" s="627"/>
      <c r="H110" s="11"/>
      <c r="I110" s="12"/>
      <c r="L110" s="88"/>
      <c r="M110" s="104"/>
    </row>
    <row r="111" spans="1:13" x14ac:dyDescent="0.25">
      <c r="A111" s="264"/>
      <c r="B111" s="265">
        <v>43788</v>
      </c>
      <c r="C111" s="264" t="s">
        <v>172</v>
      </c>
      <c r="D111" s="611"/>
      <c r="E111" s="611">
        <v>7600</v>
      </c>
      <c r="F111" s="618"/>
      <c r="G111" s="627"/>
      <c r="H111" s="11"/>
      <c r="I111" s="12"/>
      <c r="L111" s="88"/>
      <c r="M111" s="104"/>
    </row>
    <row r="112" spans="1:13" x14ac:dyDescent="0.25">
      <c r="A112" s="264"/>
      <c r="B112" s="265">
        <v>43799</v>
      </c>
      <c r="C112" s="264" t="s">
        <v>39</v>
      </c>
      <c r="D112" s="611"/>
      <c r="E112" s="611">
        <v>1200</v>
      </c>
      <c r="F112" s="618"/>
      <c r="G112" s="627"/>
      <c r="H112" s="11"/>
      <c r="I112" s="12"/>
      <c r="M112" s="104"/>
    </row>
    <row r="113" spans="1:13" x14ac:dyDescent="0.25">
      <c r="A113" s="264"/>
      <c r="B113" s="265">
        <v>43779</v>
      </c>
      <c r="C113" s="264" t="s">
        <v>747</v>
      </c>
      <c r="D113" s="611"/>
      <c r="E113" s="611">
        <v>1800</v>
      </c>
      <c r="F113" s="618"/>
      <c r="G113" s="627"/>
      <c r="H113" s="11"/>
      <c r="I113" s="12"/>
      <c r="M113" s="263"/>
    </row>
    <row r="114" spans="1:13" x14ac:dyDescent="0.25">
      <c r="A114" s="264"/>
      <c r="B114" s="265">
        <v>43779</v>
      </c>
      <c r="C114" s="264" t="s">
        <v>243</v>
      </c>
      <c r="D114" s="611"/>
      <c r="E114" s="611">
        <v>900</v>
      </c>
      <c r="F114" s="618"/>
      <c r="M114" s="263"/>
    </row>
    <row r="115" spans="1:13" x14ac:dyDescent="0.25">
      <c r="A115" s="264"/>
      <c r="B115" s="265">
        <v>43779</v>
      </c>
      <c r="C115" s="264" t="s">
        <v>248</v>
      </c>
      <c r="D115" s="611"/>
      <c r="E115" s="611">
        <v>5000</v>
      </c>
      <c r="F115" s="618"/>
      <c r="G115" s="627"/>
      <c r="H115" s="11"/>
      <c r="I115" s="12"/>
      <c r="J115" s="806"/>
      <c r="K115" s="15"/>
      <c r="M115" s="104"/>
    </row>
    <row r="116" spans="1:13" x14ac:dyDescent="0.25">
      <c r="A116" s="264"/>
      <c r="B116" s="265"/>
      <c r="C116" s="264"/>
      <c r="D116" s="611"/>
      <c r="E116" s="611"/>
      <c r="F116" s="618">
        <f>SUM(D107:D116)-SUM(E107:E116)</f>
        <v>7000</v>
      </c>
      <c r="G116" s="627">
        <v>359753.07</v>
      </c>
      <c r="H116" s="485"/>
      <c r="I116" s="12"/>
      <c r="J116" s="806"/>
      <c r="K116" s="15"/>
    </row>
    <row r="117" spans="1:13" x14ac:dyDescent="0.25">
      <c r="A117" s="264" t="s">
        <v>27</v>
      </c>
      <c r="B117" s="265">
        <v>43782</v>
      </c>
      <c r="C117" s="264" t="s">
        <v>13</v>
      </c>
      <c r="D117" s="611">
        <v>36500</v>
      </c>
      <c r="E117" s="611"/>
      <c r="F117" s="618"/>
      <c r="G117" s="627"/>
      <c r="H117" s="11"/>
      <c r="I117" s="12"/>
      <c r="J117" s="806"/>
      <c r="K117" s="15"/>
    </row>
    <row r="118" spans="1:13" x14ac:dyDescent="0.25">
      <c r="A118" s="264"/>
      <c r="B118" s="265">
        <v>43809</v>
      </c>
      <c r="C118" s="264" t="s">
        <v>181</v>
      </c>
      <c r="D118" s="611"/>
      <c r="E118" s="611">
        <v>3800</v>
      </c>
      <c r="F118" s="618"/>
      <c r="G118" s="627"/>
      <c r="H118" s="11"/>
      <c r="I118" s="12"/>
      <c r="J118" s="806"/>
      <c r="K118" s="15"/>
    </row>
    <row r="119" spans="1:13" x14ac:dyDescent="0.25">
      <c r="A119" s="264"/>
      <c r="B119" s="265">
        <v>43809</v>
      </c>
      <c r="C119" s="264" t="s">
        <v>207</v>
      </c>
      <c r="D119" s="611"/>
      <c r="E119" s="611">
        <v>10100</v>
      </c>
      <c r="F119" s="618"/>
      <c r="G119" s="627"/>
      <c r="H119" s="11"/>
      <c r="I119" s="12"/>
    </row>
    <row r="120" spans="1:13" x14ac:dyDescent="0.25">
      <c r="A120" s="264"/>
      <c r="B120" s="265">
        <v>43816</v>
      </c>
      <c r="C120" s="264" t="s">
        <v>172</v>
      </c>
      <c r="D120" s="611"/>
      <c r="E120" s="611">
        <v>3400</v>
      </c>
      <c r="F120" s="618"/>
      <c r="G120" s="627"/>
      <c r="H120" s="11"/>
      <c r="I120" s="12"/>
    </row>
    <row r="121" spans="1:13" x14ac:dyDescent="0.25">
      <c r="A121" s="264"/>
      <c r="B121" s="265">
        <v>43830</v>
      </c>
      <c r="C121" s="264" t="s">
        <v>39</v>
      </c>
      <c r="D121" s="611"/>
      <c r="E121" s="611">
        <v>1200</v>
      </c>
      <c r="F121" s="618"/>
      <c r="G121" s="627"/>
      <c r="H121" s="11"/>
      <c r="I121" s="12"/>
      <c r="M121" s="104"/>
    </row>
    <row r="122" spans="1:13" x14ac:dyDescent="0.25">
      <c r="A122" s="264"/>
      <c r="B122" s="265">
        <v>43811</v>
      </c>
      <c r="C122" s="264" t="s">
        <v>747</v>
      </c>
      <c r="D122" s="611"/>
      <c r="E122" s="611">
        <v>2300</v>
      </c>
      <c r="F122" s="618"/>
      <c r="G122" s="627"/>
      <c r="H122" s="11"/>
      <c r="I122" s="12"/>
      <c r="M122" s="263"/>
    </row>
    <row r="123" spans="1:13" x14ac:dyDescent="0.25">
      <c r="A123" s="264"/>
      <c r="B123" s="265">
        <v>43809</v>
      </c>
      <c r="C123" s="264" t="s">
        <v>243</v>
      </c>
      <c r="D123" s="611"/>
      <c r="E123" s="611">
        <v>700</v>
      </c>
      <c r="F123" s="618"/>
      <c r="G123" s="627"/>
      <c r="M123" s="263"/>
    </row>
    <row r="124" spans="1:13" x14ac:dyDescent="0.25">
      <c r="A124" s="264"/>
      <c r="B124" s="265">
        <v>43809</v>
      </c>
      <c r="C124" s="264" t="s">
        <v>248</v>
      </c>
      <c r="D124" s="611"/>
      <c r="E124" s="611">
        <v>5000</v>
      </c>
      <c r="F124" s="618"/>
      <c r="G124" s="627"/>
      <c r="H124" s="11"/>
      <c r="I124" s="12"/>
      <c r="J124" s="806"/>
      <c r="K124" s="15"/>
      <c r="M124" s="104"/>
    </row>
    <row r="125" spans="1:13" x14ac:dyDescent="0.25">
      <c r="A125" s="264"/>
      <c r="B125" s="265"/>
      <c r="C125" s="264"/>
      <c r="D125" s="611"/>
      <c r="E125" s="611"/>
      <c r="F125" s="618">
        <f>SUM(D116:D125)-SUM(E116:E125)</f>
        <v>10000</v>
      </c>
      <c r="G125" s="627">
        <v>373084.27720000001</v>
      </c>
      <c r="H125" s="98"/>
      <c r="I125" s="212"/>
      <c r="J125" s="767"/>
      <c r="K125" s="212"/>
      <c r="L125" s="211"/>
    </row>
    <row r="126" spans="1:13" x14ac:dyDescent="0.25">
      <c r="A126" s="19"/>
      <c r="D126" s="612"/>
      <c r="E126" s="612"/>
      <c r="H126" s="98"/>
      <c r="I126" s="12"/>
    </row>
    <row r="127" spans="1:13" x14ac:dyDescent="0.25">
      <c r="A127" s="19"/>
      <c r="D127" s="612"/>
      <c r="E127" s="612"/>
    </row>
    <row r="128" spans="1:13" x14ac:dyDescent="0.25">
      <c r="A128" s="19"/>
      <c r="D128" s="612"/>
      <c r="E128" s="612"/>
    </row>
    <row r="129" spans="1:11" x14ac:dyDescent="0.25">
      <c r="A129" s="19"/>
      <c r="D129" s="612"/>
      <c r="E129" s="612"/>
    </row>
    <row r="130" spans="1:11" x14ac:dyDescent="0.25">
      <c r="A130" s="19"/>
      <c r="D130" s="612"/>
      <c r="E130" s="612"/>
      <c r="I130" s="599" t="s">
        <v>28</v>
      </c>
      <c r="J130" s="805">
        <f>+J131/36</f>
        <v>5965.9858333333332</v>
      </c>
      <c r="K130" s="599"/>
    </row>
    <row r="131" spans="1:11" x14ac:dyDescent="0.25">
      <c r="A131" s="19"/>
      <c r="D131" s="612"/>
      <c r="E131" s="612"/>
      <c r="I131" s="599"/>
      <c r="J131" s="805">
        <v>214775.49</v>
      </c>
      <c r="K131" s="599"/>
    </row>
    <row r="132" spans="1:11" x14ac:dyDescent="0.25">
      <c r="A132" s="19"/>
      <c r="D132" s="612"/>
      <c r="E132" s="612"/>
      <c r="I132" s="599" t="s">
        <v>144</v>
      </c>
      <c r="J132" s="805" t="s">
        <v>145</v>
      </c>
      <c r="K132" s="599" t="s">
        <v>146</v>
      </c>
    </row>
    <row r="133" spans="1:11" x14ac:dyDescent="0.25">
      <c r="A133" s="19"/>
      <c r="D133" s="612"/>
      <c r="E133" s="612"/>
      <c r="I133" s="600">
        <f>_ENE19v</f>
        <v>214530.39</v>
      </c>
      <c r="J133" s="805">
        <f>+I133-J131</f>
        <v>-245.09999999997672</v>
      </c>
      <c r="K133" s="601">
        <f>(+J133*100/J131)/100</f>
        <v>-1.1411916694962574E-3</v>
      </c>
    </row>
    <row r="134" spans="1:11" x14ac:dyDescent="0.25">
      <c r="A134" s="19"/>
      <c r="D134" s="612"/>
      <c r="E134" s="612"/>
      <c r="I134" s="600">
        <f>_FEB19v</f>
        <v>245446.26</v>
      </c>
      <c r="J134" s="805">
        <f t="shared" ref="J134:J142" si="0">+I134-I133</f>
        <v>30915.869999999995</v>
      </c>
      <c r="K134" s="601">
        <f t="shared" ref="K134:K142" si="1">(+J134*100/I133)/100</f>
        <v>0.14410951287600787</v>
      </c>
    </row>
    <row r="135" spans="1:11" x14ac:dyDescent="0.25">
      <c r="A135" s="19"/>
      <c r="D135" s="612"/>
      <c r="E135" s="612"/>
      <c r="I135" s="600">
        <f>_MAR19v</f>
        <v>250194.99</v>
      </c>
      <c r="J135" s="805">
        <f t="shared" si="0"/>
        <v>4748.7299999999814</v>
      </c>
      <c r="K135" s="601">
        <f t="shared" si="1"/>
        <v>1.9347330857679319E-2</v>
      </c>
    </row>
    <row r="136" spans="1:11" x14ac:dyDescent="0.25">
      <c r="A136" s="19"/>
      <c r="D136" s="612"/>
      <c r="E136" s="612"/>
      <c r="I136" s="600">
        <f>_ABR19v</f>
        <v>256194.99</v>
      </c>
      <c r="J136" s="805">
        <f t="shared" si="0"/>
        <v>6000</v>
      </c>
      <c r="K136" s="601">
        <f t="shared" si="1"/>
        <v>2.3981295548723816E-2</v>
      </c>
    </row>
    <row r="137" spans="1:11" x14ac:dyDescent="0.25">
      <c r="A137" s="19"/>
      <c r="D137" s="612"/>
      <c r="E137" s="612"/>
      <c r="I137" s="600">
        <f>_MAY19v</f>
        <v>256863.69</v>
      </c>
      <c r="J137" s="805">
        <f t="shared" si="0"/>
        <v>668.70000000001164</v>
      </c>
      <c r="K137" s="601">
        <f t="shared" si="1"/>
        <v>2.6101212986249715E-3</v>
      </c>
    </row>
    <row r="138" spans="1:11" x14ac:dyDescent="0.25">
      <c r="A138" s="19"/>
      <c r="D138" s="612"/>
      <c r="E138" s="612"/>
      <c r="I138" s="600">
        <f>_JUN19v</f>
        <v>263598.28999999998</v>
      </c>
      <c r="J138" s="805">
        <f t="shared" si="0"/>
        <v>6734.5999999999767</v>
      </c>
      <c r="K138" s="601">
        <f t="shared" si="1"/>
        <v>2.6218575307393494E-2</v>
      </c>
    </row>
    <row r="139" spans="1:11" x14ac:dyDescent="0.25">
      <c r="A139" s="19"/>
      <c r="D139" s="612"/>
      <c r="E139" s="612"/>
      <c r="I139" s="600">
        <f>_JUL19v</f>
        <v>252935.34</v>
      </c>
      <c r="J139" s="805">
        <f t="shared" si="0"/>
        <v>-10662.949999999983</v>
      </c>
      <c r="K139" s="601">
        <f t="shared" si="1"/>
        <v>-4.0451514309899288E-2</v>
      </c>
    </row>
    <row r="140" spans="1:11" x14ac:dyDescent="0.25">
      <c r="A140" s="19"/>
      <c r="D140" s="612"/>
      <c r="E140" s="612"/>
      <c r="I140" s="600">
        <f>_AGO19v</f>
        <v>285119.31</v>
      </c>
      <c r="J140" s="805">
        <f t="shared" si="0"/>
        <v>32183.97</v>
      </c>
      <c r="K140" s="601">
        <f t="shared" si="1"/>
        <v>0.12724188719535989</v>
      </c>
    </row>
    <row r="141" spans="1:11" x14ac:dyDescent="0.25">
      <c r="A141" s="19"/>
      <c r="D141" s="612"/>
      <c r="E141" s="612"/>
      <c r="I141" s="600">
        <f>_SEP19v</f>
        <v>323622.58</v>
      </c>
      <c r="J141" s="805">
        <f t="shared" si="0"/>
        <v>38503.270000000019</v>
      </c>
      <c r="K141" s="601">
        <f t="shared" si="1"/>
        <v>0.13504265986053354</v>
      </c>
    </row>
    <row r="142" spans="1:11" x14ac:dyDescent="0.25">
      <c r="A142" s="19"/>
      <c r="D142" s="612"/>
      <c r="E142" s="612"/>
      <c r="I142" s="600">
        <f>_OCT19v</f>
        <v>337046.24</v>
      </c>
      <c r="J142" s="805">
        <f t="shared" si="0"/>
        <v>13423.659999999974</v>
      </c>
      <c r="K142" s="601">
        <f t="shared" si="1"/>
        <v>4.1479367725206238E-2</v>
      </c>
    </row>
    <row r="143" spans="1:11" x14ac:dyDescent="0.25">
      <c r="A143" s="19"/>
      <c r="D143" s="612"/>
      <c r="E143" s="612"/>
      <c r="I143" s="600">
        <f>_NOV19v</f>
        <v>359753.07</v>
      </c>
      <c r="J143" s="805">
        <f>+I143-I142</f>
        <v>22706.830000000016</v>
      </c>
      <c r="K143" s="601">
        <f>(+J143*100/I142)/100</f>
        <v>6.7370073613638351E-2</v>
      </c>
    </row>
    <row r="144" spans="1:11" x14ac:dyDescent="0.25">
      <c r="A144" s="19"/>
      <c r="D144" s="612"/>
      <c r="E144" s="612"/>
      <c r="I144" s="600">
        <f>_DIC19v</f>
        <v>373084.27720000001</v>
      </c>
      <c r="J144" s="805">
        <f>+I144-I143</f>
        <v>13331.207200000004</v>
      </c>
      <c r="K144" s="601">
        <f>(+J144*100/I143)/100</f>
        <v>3.7056548815552856E-2</v>
      </c>
    </row>
    <row r="145" spans="1:15" x14ac:dyDescent="0.25">
      <c r="A145" s="19"/>
      <c r="D145" s="612"/>
      <c r="E145" s="612"/>
      <c r="I145" s="600"/>
      <c r="J145" s="805">
        <f>SUM(J133:J144)</f>
        <v>158308.78720000002</v>
      </c>
      <c r="K145" s="601">
        <f>SUM(K133:K144)</f>
        <v>0.58286466711932483</v>
      </c>
      <c r="L145" s="28"/>
    </row>
    <row r="146" spans="1:15" x14ac:dyDescent="0.25">
      <c r="A146" s="19"/>
      <c r="D146" s="612"/>
      <c r="E146" s="612"/>
      <c r="G146" s="629"/>
      <c r="I146" s="600" t="s">
        <v>944</v>
      </c>
      <c r="J146" s="805">
        <f>SUM(D6:D176)-SUM(E6:E176)</f>
        <v>55700</v>
      </c>
      <c r="K146" s="601"/>
      <c r="M146" s="104"/>
    </row>
    <row r="147" spans="1:15" x14ac:dyDescent="0.25">
      <c r="A147" s="92"/>
      <c r="F147" s="620"/>
      <c r="G147" s="629"/>
      <c r="I147" s="600" t="s">
        <v>945</v>
      </c>
      <c r="J147" s="805">
        <f>+J145-J146</f>
        <v>102608.78720000002</v>
      </c>
      <c r="K147" s="601"/>
      <c r="L147" s="32"/>
      <c r="M147" s="33"/>
      <c r="N147" s="33"/>
    </row>
    <row r="148" spans="1:15" x14ac:dyDescent="0.25">
      <c r="A148" s="92"/>
      <c r="F148" s="620"/>
      <c r="G148" s="629"/>
      <c r="H148" s="30"/>
      <c r="I148" s="31"/>
      <c r="J148" s="815"/>
      <c r="K148" s="12"/>
      <c r="L148" s="33"/>
      <c r="M148" s="33"/>
      <c r="N148" s="33"/>
    </row>
    <row r="149" spans="1:15" x14ac:dyDescent="0.25">
      <c r="A149" s="92"/>
      <c r="D149" s="612"/>
      <c r="E149" s="612"/>
      <c r="F149" s="620"/>
      <c r="G149" s="630"/>
      <c r="H149" s="34"/>
      <c r="I149" s="31"/>
      <c r="J149" s="800"/>
      <c r="K149" s="12"/>
      <c r="L149" s="33"/>
      <c r="M149" s="33"/>
      <c r="N149" s="33"/>
    </row>
    <row r="150" spans="1:15" x14ac:dyDescent="0.25">
      <c r="A150" s="92"/>
      <c r="F150" s="620"/>
      <c r="G150" s="630"/>
      <c r="H150" s="34"/>
      <c r="I150" s="35"/>
      <c r="J150" s="800"/>
    </row>
    <row r="151" spans="1:15" x14ac:dyDescent="0.25">
      <c r="A151" s="92"/>
      <c r="F151" s="620"/>
      <c r="G151" s="630"/>
      <c r="H151" s="93"/>
      <c r="I151" s="38"/>
      <c r="J151" s="809"/>
      <c r="K151" s="104"/>
      <c r="L151" s="104"/>
      <c r="M151" s="104"/>
      <c r="O151" s="104"/>
    </row>
    <row r="152" spans="1:15" x14ac:dyDescent="0.25">
      <c r="A152" s="92"/>
      <c r="F152" s="620"/>
      <c r="G152" s="630"/>
      <c r="H152" s="93"/>
      <c r="I152" s="38"/>
      <c r="J152" s="809"/>
      <c r="K152" s="104"/>
      <c r="L152" s="104"/>
      <c r="M152" s="104"/>
      <c r="O152" s="104"/>
    </row>
    <row r="153" spans="1:15" x14ac:dyDescent="0.25">
      <c r="A153" s="92"/>
      <c r="F153" s="620"/>
      <c r="G153" s="630"/>
      <c r="H153" s="93"/>
      <c r="I153" s="38"/>
      <c r="J153" s="809"/>
      <c r="K153" s="104"/>
      <c r="L153" s="104"/>
      <c r="M153" s="104"/>
      <c r="O153" s="104"/>
    </row>
    <row r="154" spans="1:15" x14ac:dyDescent="0.25">
      <c r="A154" s="92"/>
      <c r="F154" s="620"/>
      <c r="G154" s="630"/>
      <c r="H154" s="93"/>
      <c r="I154" s="38"/>
      <c r="J154" s="809"/>
      <c r="K154" s="104"/>
      <c r="L154" s="104"/>
      <c r="M154" s="104"/>
      <c r="O154" s="104"/>
    </row>
    <row r="155" spans="1:15" x14ac:dyDescent="0.25">
      <c r="A155" s="92"/>
      <c r="F155" s="620"/>
      <c r="G155" s="630"/>
      <c r="H155" s="93"/>
      <c r="I155" s="38"/>
      <c r="J155" s="809"/>
    </row>
    <row r="156" spans="1:15" x14ac:dyDescent="0.25">
      <c r="A156" s="92"/>
      <c r="F156" s="620"/>
      <c r="G156" s="630"/>
      <c r="H156" s="93"/>
      <c r="I156" s="41"/>
      <c r="J156" s="810"/>
    </row>
    <row r="157" spans="1:15" x14ac:dyDescent="0.25">
      <c r="A157" s="92"/>
      <c r="F157" s="620"/>
      <c r="G157" s="630"/>
      <c r="H157" s="93"/>
      <c r="I157" s="41"/>
      <c r="J157" s="810"/>
    </row>
    <row r="158" spans="1:15" x14ac:dyDescent="0.25">
      <c r="A158" s="92"/>
      <c r="F158" s="620"/>
      <c r="G158" s="630"/>
      <c r="H158" s="93"/>
      <c r="I158" s="41"/>
      <c r="J158" s="810"/>
    </row>
    <row r="159" spans="1:15" x14ac:dyDescent="0.25">
      <c r="A159" s="92"/>
      <c r="F159" s="620"/>
      <c r="G159" s="630"/>
      <c r="H159" s="93"/>
      <c r="I159" s="41"/>
      <c r="J159" s="810"/>
    </row>
    <row r="160" spans="1:15" x14ac:dyDescent="0.25">
      <c r="A160" s="92"/>
      <c r="F160" s="620"/>
      <c r="G160" s="630"/>
      <c r="H160" s="93"/>
      <c r="I160" s="41"/>
      <c r="J160" s="810"/>
    </row>
    <row r="161" spans="1:10" x14ac:dyDescent="0.25">
      <c r="A161" s="92"/>
      <c r="F161" s="620"/>
      <c r="G161" s="630"/>
      <c r="H161" s="93"/>
      <c r="I161" s="41"/>
      <c r="J161" s="810"/>
    </row>
    <row r="162" spans="1:10" x14ac:dyDescent="0.25">
      <c r="A162" s="92"/>
      <c r="F162" s="620"/>
      <c r="G162" s="630"/>
      <c r="H162" s="93"/>
      <c r="I162" s="41"/>
      <c r="J162" s="810"/>
    </row>
    <row r="163" spans="1:10" x14ac:dyDescent="0.25">
      <c r="A163" s="92"/>
      <c r="F163" s="620"/>
      <c r="G163" s="630"/>
      <c r="H163" s="93"/>
      <c r="I163" s="41"/>
      <c r="J163" s="810"/>
    </row>
    <row r="164" spans="1:10" x14ac:dyDescent="0.25">
      <c r="A164" s="92"/>
      <c r="F164" s="620"/>
      <c r="G164" s="630"/>
      <c r="H164" s="93"/>
      <c r="I164" s="41"/>
      <c r="J164" s="810"/>
    </row>
    <row r="165" spans="1:10" x14ac:dyDescent="0.25">
      <c r="A165" s="92"/>
      <c r="F165" s="620"/>
      <c r="G165" s="630"/>
      <c r="H165" s="93"/>
      <c r="I165" s="41"/>
      <c r="J165" s="810"/>
    </row>
    <row r="166" spans="1:10" x14ac:dyDescent="0.25">
      <c r="A166" s="92"/>
      <c r="F166" s="620"/>
      <c r="G166" s="630"/>
      <c r="H166" s="93"/>
      <c r="I166" s="41"/>
      <c r="J166" s="810"/>
    </row>
    <row r="167" spans="1:10" x14ac:dyDescent="0.25">
      <c r="A167" s="92"/>
      <c r="F167" s="620"/>
      <c r="G167" s="630"/>
      <c r="H167" s="93"/>
      <c r="I167" s="41"/>
      <c r="J167" s="810"/>
    </row>
    <row r="168" spans="1:10" x14ac:dyDescent="0.25">
      <c r="A168" s="92"/>
      <c r="F168" s="620"/>
      <c r="G168" s="630"/>
      <c r="H168" s="93"/>
      <c r="I168" s="41"/>
      <c r="J168" s="810"/>
    </row>
    <row r="169" spans="1:10" x14ac:dyDescent="0.25">
      <c r="A169" s="92"/>
      <c r="B169" s="26" t="s">
        <v>32</v>
      </c>
      <c r="C169" s="26" t="s">
        <v>33</v>
      </c>
      <c r="F169" s="620"/>
      <c r="G169" s="630"/>
      <c r="H169" s="93"/>
      <c r="I169" s="41"/>
      <c r="J169" s="810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20"/>
      <c r="G170" s="630"/>
      <c r="H170" s="93"/>
      <c r="I170" s="41"/>
      <c r="J170" s="810"/>
    </row>
    <row r="171" spans="1:10" x14ac:dyDescent="0.25">
      <c r="A171" s="92"/>
      <c r="B171" s="74">
        <f>+B170-C170</f>
        <v>55700</v>
      </c>
      <c r="F171" s="620"/>
      <c r="G171" s="630"/>
      <c r="H171" s="93"/>
      <c r="I171" s="41"/>
      <c r="J171" s="810"/>
    </row>
    <row r="172" spans="1:10" x14ac:dyDescent="0.25">
      <c r="A172" s="92"/>
      <c r="F172" s="620"/>
      <c r="G172" s="630"/>
      <c r="H172" s="93"/>
      <c r="I172" s="41"/>
      <c r="J172" s="810"/>
    </row>
    <row r="173" spans="1:10" x14ac:dyDescent="0.25">
      <c r="A173" s="92"/>
      <c r="F173" s="620"/>
      <c r="G173" s="630"/>
      <c r="H173" s="93"/>
      <c r="I173" s="41"/>
      <c r="J173" s="810"/>
    </row>
    <row r="174" spans="1:10" x14ac:dyDescent="0.25">
      <c r="A174" s="92"/>
      <c r="F174" s="620"/>
      <c r="G174" s="630"/>
      <c r="H174" s="93"/>
      <c r="I174" s="41"/>
      <c r="J174" s="810"/>
    </row>
    <row r="175" spans="1:10" x14ac:dyDescent="0.25">
      <c r="A175" s="92"/>
      <c r="F175" s="620"/>
      <c r="G175" s="630"/>
      <c r="H175" s="93"/>
      <c r="I175" s="41"/>
      <c r="J175" s="810"/>
    </row>
    <row r="176" spans="1:10" x14ac:dyDescent="0.25">
      <c r="A176" s="92"/>
      <c r="F176" s="620"/>
      <c r="G176" s="630"/>
      <c r="H176" s="93"/>
      <c r="I176" s="41"/>
      <c r="J176" s="810"/>
    </row>
    <row r="177" spans="1:10" x14ac:dyDescent="0.25">
      <c r="A177" s="92"/>
      <c r="F177" s="620"/>
      <c r="G177" s="630"/>
      <c r="H177" s="93"/>
      <c r="I177" s="41"/>
      <c r="J177" s="810"/>
    </row>
    <row r="178" spans="1:10" x14ac:dyDescent="0.25">
      <c r="A178" s="92"/>
      <c r="F178" s="620"/>
      <c r="G178" s="630"/>
      <c r="H178" s="93"/>
      <c r="I178" s="41"/>
      <c r="J178" s="810"/>
    </row>
    <row r="179" spans="1:10" x14ac:dyDescent="0.25">
      <c r="A179" s="92"/>
      <c r="F179" s="620"/>
      <c r="G179" s="630"/>
      <c r="H179" s="93"/>
      <c r="I179" s="41"/>
      <c r="J179" s="810"/>
    </row>
    <row r="180" spans="1:10" x14ac:dyDescent="0.25">
      <c r="A180" s="92"/>
      <c r="F180" s="620"/>
      <c r="G180" s="630"/>
      <c r="H180" s="93"/>
      <c r="I180" s="41"/>
      <c r="J180" s="810"/>
    </row>
    <row r="181" spans="1:10" x14ac:dyDescent="0.25">
      <c r="A181" s="92"/>
      <c r="F181" s="620"/>
      <c r="G181" s="630"/>
      <c r="H181" s="93"/>
      <c r="I181" s="41"/>
      <c r="J181" s="810"/>
    </row>
    <row r="182" spans="1:10" x14ac:dyDescent="0.25">
      <c r="A182" s="92"/>
      <c r="F182" s="620"/>
      <c r="G182" s="630"/>
      <c r="H182" s="93"/>
      <c r="I182" s="41"/>
      <c r="J182" s="810"/>
    </row>
    <row r="183" spans="1:10" x14ac:dyDescent="0.25">
      <c r="A183" s="92"/>
      <c r="F183" s="620"/>
      <c r="G183" s="630"/>
      <c r="H183" s="93"/>
      <c r="I183" s="41"/>
      <c r="J183" s="810"/>
    </row>
    <row r="184" spans="1:10" x14ac:dyDescent="0.25">
      <c r="A184" s="92"/>
      <c r="F184" s="620"/>
      <c r="G184" s="630"/>
      <c r="H184" s="93"/>
      <c r="I184" s="41"/>
      <c r="J184" s="810"/>
    </row>
    <row r="185" spans="1:10" x14ac:dyDescent="0.25">
      <c r="A185" s="92"/>
      <c r="F185" s="620"/>
      <c r="G185" s="630"/>
      <c r="H185" s="93"/>
      <c r="I185" s="41"/>
      <c r="J185" s="810"/>
    </row>
    <row r="186" spans="1:10" x14ac:dyDescent="0.25">
      <c r="A186" s="92"/>
      <c r="F186" s="620"/>
      <c r="G186" s="630"/>
      <c r="H186" s="93"/>
      <c r="I186" s="41"/>
      <c r="J186" s="810"/>
    </row>
    <row r="187" spans="1:10" x14ac:dyDescent="0.25">
      <c r="A187" s="92"/>
      <c r="F187" s="620"/>
      <c r="G187" s="630"/>
      <c r="H187" s="93"/>
      <c r="I187" s="41"/>
      <c r="J187" s="810"/>
    </row>
    <row r="188" spans="1:10" x14ac:dyDescent="0.25">
      <c r="A188" s="92"/>
      <c r="F188" s="620"/>
      <c r="G188" s="630"/>
      <c r="H188" s="93"/>
      <c r="I188" s="41"/>
      <c r="J188" s="810"/>
    </row>
    <row r="189" spans="1:10" x14ac:dyDescent="0.25">
      <c r="A189" s="92"/>
      <c r="F189" s="620"/>
      <c r="G189" s="630"/>
      <c r="H189" s="93"/>
      <c r="I189" s="41"/>
      <c r="J189" s="810"/>
    </row>
    <row r="190" spans="1:10" x14ac:dyDescent="0.25">
      <c r="A190" s="92"/>
      <c r="F190" s="620"/>
      <c r="G190" s="630"/>
      <c r="H190" s="93"/>
      <c r="I190" s="41"/>
      <c r="J190" s="810"/>
    </row>
    <row r="191" spans="1:10" x14ac:dyDescent="0.25">
      <c r="A191" s="92"/>
      <c r="F191" s="620"/>
      <c r="G191" s="630"/>
      <c r="H191" s="93"/>
      <c r="I191" s="41"/>
      <c r="J191" s="810"/>
    </row>
    <row r="192" spans="1:10" x14ac:dyDescent="0.25">
      <c r="A192" s="92"/>
      <c r="F192" s="620"/>
      <c r="G192" s="630"/>
      <c r="H192" s="93"/>
      <c r="I192" s="41"/>
      <c r="J192" s="810"/>
    </row>
    <row r="193" spans="1:10" x14ac:dyDescent="0.25">
      <c r="A193" s="92"/>
      <c r="F193" s="620"/>
      <c r="G193" s="630"/>
      <c r="H193" s="93"/>
      <c r="I193" s="41"/>
      <c r="J193" s="810"/>
    </row>
    <row r="194" spans="1:10" x14ac:dyDescent="0.25">
      <c r="A194" s="92"/>
      <c r="F194" s="620"/>
      <c r="G194" s="630"/>
      <c r="H194" s="93"/>
      <c r="I194" s="41"/>
      <c r="J194" s="810"/>
    </row>
    <row r="195" spans="1:10" x14ac:dyDescent="0.25">
      <c r="A195" s="92"/>
      <c r="F195" s="620"/>
      <c r="G195" s="630"/>
      <c r="H195" s="93"/>
      <c r="I195" s="41"/>
      <c r="J195" s="810"/>
    </row>
    <row r="196" spans="1:10" x14ac:dyDescent="0.25">
      <c r="A196" s="92"/>
      <c r="F196" s="620"/>
      <c r="G196" s="630"/>
      <c r="H196" s="93"/>
      <c r="I196" s="41"/>
      <c r="J196" s="810"/>
    </row>
    <row r="197" spans="1:10" x14ac:dyDescent="0.25">
      <c r="A197" s="92"/>
      <c r="F197" s="620"/>
      <c r="G197" s="630"/>
      <c r="H197" s="93"/>
      <c r="I197" s="41"/>
      <c r="J197" s="810"/>
    </row>
    <row r="198" spans="1:10" x14ac:dyDescent="0.25">
      <c r="A198" s="92"/>
      <c r="F198" s="620"/>
      <c r="G198" s="630"/>
      <c r="H198" s="93"/>
      <c r="I198" s="41"/>
      <c r="J198" s="810"/>
    </row>
    <row r="199" spans="1:10" x14ac:dyDescent="0.25">
      <c r="A199" s="92"/>
      <c r="F199" s="620"/>
      <c r="G199" s="630"/>
      <c r="H199" s="93"/>
      <c r="I199" s="41"/>
      <c r="J199" s="810"/>
    </row>
    <row r="200" spans="1:10" x14ac:dyDescent="0.25">
      <c r="A200" s="92"/>
      <c r="F200" s="620"/>
      <c r="G200" s="630"/>
      <c r="H200" s="93"/>
      <c r="I200" s="41"/>
      <c r="J200" s="810"/>
    </row>
    <row r="201" spans="1:10" x14ac:dyDescent="0.25">
      <c r="A201" s="92"/>
      <c r="F201" s="620"/>
      <c r="G201" s="630"/>
      <c r="H201" s="93"/>
      <c r="I201" s="41"/>
      <c r="J201" s="810"/>
    </row>
    <row r="202" spans="1:10" x14ac:dyDescent="0.25">
      <c r="A202" s="92"/>
      <c r="F202" s="620"/>
      <c r="G202" s="630"/>
      <c r="H202" s="93"/>
      <c r="I202" s="41"/>
      <c r="J202" s="810"/>
    </row>
    <row r="203" spans="1:10" x14ac:dyDescent="0.25">
      <c r="A203" s="92"/>
      <c r="F203" s="620"/>
      <c r="G203" s="630"/>
      <c r="H203" s="93"/>
      <c r="I203" s="41"/>
      <c r="J203" s="810"/>
    </row>
    <row r="204" spans="1:10" x14ac:dyDescent="0.25">
      <c r="A204" s="92"/>
      <c r="F204" s="620"/>
      <c r="G204" s="630"/>
      <c r="H204" s="93"/>
      <c r="I204" s="41"/>
      <c r="J204" s="810"/>
    </row>
    <row r="205" spans="1:10" x14ac:dyDescent="0.25">
      <c r="A205" s="92"/>
      <c r="F205" s="620"/>
      <c r="G205" s="630"/>
      <c r="H205" s="93"/>
      <c r="I205" s="41"/>
      <c r="J205" s="810"/>
    </row>
    <row r="206" spans="1:10" x14ac:dyDescent="0.25">
      <c r="A206" s="92"/>
      <c r="F206" s="620"/>
      <c r="G206" s="630"/>
      <c r="H206" s="93"/>
      <c r="I206" s="41"/>
      <c r="J206" s="810"/>
    </row>
    <row r="207" spans="1:10" x14ac:dyDescent="0.25">
      <c r="A207" s="92"/>
      <c r="F207" s="620"/>
      <c r="G207" s="630"/>
      <c r="H207" s="93"/>
      <c r="I207" s="41"/>
      <c r="J207" s="810"/>
    </row>
    <row r="208" spans="1:10" x14ac:dyDescent="0.25">
      <c r="A208" s="92"/>
      <c r="F208" s="620"/>
      <c r="G208" s="630"/>
      <c r="H208" s="93"/>
      <c r="I208" s="41"/>
      <c r="J208" s="810"/>
    </row>
    <row r="209" spans="1:10" x14ac:dyDescent="0.25">
      <c r="A209" s="92"/>
      <c r="F209" s="620"/>
      <c r="G209" s="630"/>
      <c r="H209" s="93"/>
      <c r="I209" s="41"/>
      <c r="J209" s="810"/>
    </row>
    <row r="210" spans="1:10" x14ac:dyDescent="0.25">
      <c r="A210" s="92"/>
      <c r="F210" s="620"/>
      <c r="G210" s="630"/>
      <c r="H210" s="93"/>
      <c r="I210" s="41"/>
      <c r="J210" s="810"/>
    </row>
    <row r="211" spans="1:10" x14ac:dyDescent="0.25">
      <c r="A211" s="92"/>
      <c r="F211" s="620"/>
      <c r="G211" s="630"/>
      <c r="H211" s="93"/>
      <c r="I211" s="41"/>
      <c r="J211" s="810"/>
    </row>
    <row r="212" spans="1:10" x14ac:dyDescent="0.25">
      <c r="A212" s="92"/>
      <c r="F212" s="620"/>
      <c r="G212" s="630"/>
      <c r="H212" s="93"/>
      <c r="I212" s="41"/>
      <c r="J212" s="810"/>
    </row>
    <row r="213" spans="1:10" x14ac:dyDescent="0.25">
      <c r="A213" s="92"/>
      <c r="F213" s="620"/>
      <c r="G213" s="630"/>
      <c r="H213" s="93"/>
      <c r="I213" s="41"/>
      <c r="J213" s="810"/>
    </row>
    <row r="214" spans="1:10" x14ac:dyDescent="0.25">
      <c r="A214" s="92"/>
      <c r="F214" s="620"/>
      <c r="G214" s="630"/>
      <c r="H214" s="93"/>
      <c r="I214" s="41"/>
      <c r="J214" s="810"/>
    </row>
    <row r="215" spans="1:10" x14ac:dyDescent="0.25">
      <c r="A215" s="92"/>
      <c r="F215" s="620"/>
      <c r="G215" s="630"/>
      <c r="H215" s="93"/>
      <c r="I215" s="41"/>
      <c r="J215" s="810"/>
    </row>
    <row r="216" spans="1:10" x14ac:dyDescent="0.25">
      <c r="A216" s="92"/>
      <c r="F216" s="620"/>
      <c r="G216" s="630"/>
      <c r="H216" s="93"/>
      <c r="I216" s="41"/>
      <c r="J216" s="810"/>
    </row>
    <row r="217" spans="1:10" x14ac:dyDescent="0.25">
      <c r="A217" s="92"/>
      <c r="F217" s="620"/>
      <c r="G217" s="630"/>
      <c r="H217" s="93"/>
      <c r="I217" s="41"/>
      <c r="J217" s="810"/>
    </row>
    <row r="218" spans="1:10" x14ac:dyDescent="0.25">
      <c r="A218" s="92"/>
      <c r="F218" s="620"/>
      <c r="G218" s="630"/>
      <c r="H218" s="93"/>
      <c r="I218" s="41"/>
      <c r="J218" s="810"/>
    </row>
    <row r="219" spans="1:10" x14ac:dyDescent="0.25">
      <c r="A219" s="92"/>
      <c r="F219" s="620"/>
      <c r="G219" s="630"/>
      <c r="H219" s="93"/>
      <c r="I219" s="41"/>
      <c r="J219" s="810"/>
    </row>
    <row r="220" spans="1:10" x14ac:dyDescent="0.25">
      <c r="A220" s="92"/>
      <c r="F220" s="620"/>
      <c r="G220" s="630"/>
      <c r="H220" s="93"/>
      <c r="I220" s="41"/>
      <c r="J220" s="810"/>
    </row>
    <row r="221" spans="1:10" x14ac:dyDescent="0.25">
      <c r="A221" s="92"/>
      <c r="F221" s="620"/>
      <c r="G221" s="630"/>
      <c r="H221" s="93"/>
      <c r="I221" s="41"/>
      <c r="J221" s="810"/>
    </row>
    <row r="222" spans="1:10" x14ac:dyDescent="0.25">
      <c r="A222" s="92"/>
      <c r="F222" s="620"/>
      <c r="G222" s="630"/>
      <c r="H222" s="93"/>
      <c r="I222" s="41"/>
      <c r="J222" s="810"/>
    </row>
    <row r="223" spans="1:10" x14ac:dyDescent="0.25">
      <c r="A223" s="92"/>
      <c r="F223" s="620"/>
      <c r="G223" s="630"/>
      <c r="H223" s="93"/>
      <c r="I223" s="41"/>
      <c r="J223" s="810"/>
    </row>
    <row r="224" spans="1:10" x14ac:dyDescent="0.25">
      <c r="A224" s="92"/>
      <c r="F224" s="620"/>
      <c r="G224" s="630"/>
      <c r="H224" s="93"/>
      <c r="I224" s="41"/>
      <c r="J224" s="810"/>
    </row>
    <row r="225" spans="1:10" x14ac:dyDescent="0.25">
      <c r="A225" s="92"/>
      <c r="F225" s="620"/>
      <c r="G225" s="630"/>
      <c r="H225" s="93"/>
      <c r="I225" s="41"/>
      <c r="J225" s="810"/>
    </row>
    <row r="226" spans="1:10" x14ac:dyDescent="0.25">
      <c r="A226" s="92"/>
      <c r="F226" s="620"/>
      <c r="G226" s="630"/>
      <c r="H226" s="93"/>
      <c r="I226" s="41"/>
      <c r="J226" s="810"/>
    </row>
    <row r="227" spans="1:10" x14ac:dyDescent="0.25">
      <c r="A227" s="92"/>
      <c r="F227" s="620"/>
      <c r="G227" s="630"/>
      <c r="H227" s="93"/>
      <c r="I227" s="41"/>
      <c r="J227" s="810"/>
    </row>
    <row r="228" spans="1:10" x14ac:dyDescent="0.25">
      <c r="A228" s="92"/>
      <c r="F228" s="620"/>
      <c r="G228" s="630"/>
      <c r="H228" s="93"/>
      <c r="I228" s="41"/>
      <c r="J228" s="810"/>
    </row>
    <row r="229" spans="1:10" x14ac:dyDescent="0.25">
      <c r="A229" s="92"/>
      <c r="F229" s="620"/>
      <c r="G229" s="630"/>
      <c r="H229" s="93"/>
      <c r="I229" s="41"/>
      <c r="J229" s="810"/>
    </row>
    <row r="230" spans="1:10" x14ac:dyDescent="0.25">
      <c r="A230" s="92"/>
      <c r="F230" s="620"/>
      <c r="G230" s="630"/>
      <c r="H230" s="93"/>
      <c r="I230" s="41"/>
      <c r="J230" s="810"/>
    </row>
    <row r="231" spans="1:10" x14ac:dyDescent="0.25">
      <c r="A231" s="92"/>
      <c r="F231" s="620"/>
      <c r="G231" s="630"/>
      <c r="H231" s="93"/>
      <c r="I231" s="41"/>
      <c r="J231" s="810"/>
    </row>
    <row r="232" spans="1:10" x14ac:dyDescent="0.25">
      <c r="A232" s="92"/>
      <c r="F232" s="620"/>
      <c r="G232" s="630"/>
      <c r="H232" s="93"/>
      <c r="I232" s="41"/>
      <c r="J232" s="810"/>
    </row>
    <row r="233" spans="1:10" x14ac:dyDescent="0.25">
      <c r="A233" s="92"/>
      <c r="F233" s="620"/>
      <c r="G233" s="630"/>
      <c r="H233" s="93"/>
      <c r="I233" s="41"/>
      <c r="J233" s="810"/>
    </row>
    <row r="234" spans="1:10" x14ac:dyDescent="0.25">
      <c r="A234" s="92"/>
      <c r="F234" s="620"/>
      <c r="G234" s="630"/>
      <c r="H234" s="93"/>
      <c r="I234" s="41"/>
      <c r="J234" s="810"/>
    </row>
    <row r="235" spans="1:10" x14ac:dyDescent="0.25">
      <c r="A235" s="92"/>
      <c r="F235" s="620"/>
      <c r="G235" s="630"/>
      <c r="H235" s="93"/>
      <c r="I235" s="41"/>
      <c r="J235" s="810"/>
    </row>
    <row r="236" spans="1:10" x14ac:dyDescent="0.25">
      <c r="A236" s="92"/>
      <c r="F236" s="620"/>
      <c r="G236" s="630"/>
      <c r="H236" s="93"/>
      <c r="I236" s="41"/>
      <c r="J236" s="810"/>
    </row>
    <row r="237" spans="1:10" x14ac:dyDescent="0.25">
      <c r="A237" s="92"/>
      <c r="F237" s="620"/>
      <c r="G237" s="630"/>
      <c r="H237" s="93"/>
      <c r="I237" s="41"/>
      <c r="J237" s="810"/>
    </row>
    <row r="238" spans="1:10" x14ac:dyDescent="0.25">
      <c r="A238" s="92"/>
      <c r="F238" s="620"/>
      <c r="G238" s="630"/>
      <c r="H238" s="93"/>
      <c r="I238" s="41"/>
      <c r="J238" s="810"/>
    </row>
    <row r="239" spans="1:10" x14ac:dyDescent="0.25">
      <c r="A239" s="92"/>
      <c r="F239" s="620"/>
      <c r="G239" s="630"/>
      <c r="H239" s="93"/>
      <c r="I239" s="41"/>
      <c r="J239" s="810"/>
    </row>
    <row r="240" spans="1:10" x14ac:dyDescent="0.25">
      <c r="A240" s="92"/>
      <c r="F240" s="620"/>
      <c r="G240" s="630"/>
      <c r="H240" s="93"/>
      <c r="I240" s="41"/>
      <c r="J240" s="810"/>
    </row>
    <row r="241" spans="1:10" x14ac:dyDescent="0.25">
      <c r="A241" s="92"/>
      <c r="F241" s="620"/>
      <c r="G241" s="630"/>
      <c r="H241" s="93"/>
      <c r="I241" s="41"/>
      <c r="J241" s="810"/>
    </row>
    <row r="242" spans="1:10" x14ac:dyDescent="0.25">
      <c r="A242" s="92"/>
      <c r="F242" s="620"/>
      <c r="G242" s="630"/>
      <c r="H242" s="93"/>
      <c r="I242" s="41"/>
      <c r="J242" s="810"/>
    </row>
    <row r="243" spans="1:10" x14ac:dyDescent="0.25">
      <c r="A243" s="92"/>
      <c r="F243" s="620"/>
      <c r="G243" s="630"/>
      <c r="H243" s="93"/>
      <c r="I243" s="41"/>
      <c r="J243" s="810"/>
    </row>
    <row r="244" spans="1:10" x14ac:dyDescent="0.25">
      <c r="A244" s="92"/>
      <c r="F244" s="620"/>
      <c r="G244" s="630"/>
      <c r="H244" s="93"/>
      <c r="I244" s="41"/>
      <c r="J244" s="810"/>
    </row>
    <row r="245" spans="1:10" x14ac:dyDescent="0.25">
      <c r="A245" s="92"/>
      <c r="F245" s="620"/>
      <c r="G245" s="630"/>
      <c r="H245" s="93"/>
      <c r="I245" s="41"/>
      <c r="J245" s="810"/>
    </row>
    <row r="246" spans="1:10" x14ac:dyDescent="0.25">
      <c r="A246" s="92"/>
      <c r="F246" s="620"/>
      <c r="G246" s="630"/>
      <c r="H246" s="93"/>
      <c r="I246" s="41"/>
      <c r="J246" s="810"/>
    </row>
    <row r="247" spans="1:10" x14ac:dyDescent="0.25">
      <c r="A247" s="92"/>
      <c r="F247" s="620"/>
      <c r="G247" s="630"/>
      <c r="H247" s="93"/>
      <c r="I247" s="41"/>
      <c r="J247" s="810"/>
    </row>
    <row r="248" spans="1:10" x14ac:dyDescent="0.25">
      <c r="A248" s="92"/>
      <c r="F248" s="620"/>
      <c r="G248" s="630"/>
      <c r="H248" s="93"/>
      <c r="I248" s="41"/>
      <c r="J248" s="810"/>
    </row>
    <row r="249" spans="1:10" x14ac:dyDescent="0.25">
      <c r="A249" s="92"/>
      <c r="F249" s="620"/>
      <c r="G249" s="630"/>
      <c r="H249" s="93"/>
      <c r="I249" s="41"/>
      <c r="J249" s="810"/>
    </row>
    <row r="250" spans="1:10" x14ac:dyDescent="0.25">
      <c r="A250" s="92"/>
      <c r="F250" s="620"/>
      <c r="G250" s="630"/>
      <c r="H250" s="93"/>
      <c r="I250" s="41"/>
      <c r="J250" s="810"/>
    </row>
    <row r="251" spans="1:10" x14ac:dyDescent="0.25">
      <c r="A251" s="92"/>
      <c r="F251" s="620"/>
      <c r="G251" s="630"/>
      <c r="H251" s="93"/>
      <c r="I251" s="41"/>
      <c r="J251" s="810"/>
    </row>
    <row r="252" spans="1:10" x14ac:dyDescent="0.25">
      <c r="A252" s="92"/>
      <c r="F252" s="620"/>
      <c r="G252" s="630"/>
      <c r="H252" s="93"/>
      <c r="I252" s="41"/>
      <c r="J252" s="810"/>
    </row>
    <row r="253" spans="1:10" x14ac:dyDescent="0.25">
      <c r="A253" s="92"/>
      <c r="F253" s="620"/>
      <c r="G253" s="630"/>
      <c r="H253" s="93"/>
      <c r="I253" s="41"/>
      <c r="J253" s="810"/>
    </row>
    <row r="254" spans="1:10" x14ac:dyDescent="0.25">
      <c r="A254" s="92"/>
      <c r="F254" s="620"/>
      <c r="G254" s="630"/>
      <c r="H254" s="93"/>
      <c r="I254" s="41"/>
      <c r="J254" s="810"/>
    </row>
    <row r="255" spans="1:10" x14ac:dyDescent="0.25">
      <c r="A255" s="92"/>
      <c r="F255" s="620"/>
      <c r="G255" s="630"/>
      <c r="H255" s="93"/>
      <c r="I255" s="41"/>
      <c r="J255" s="810"/>
    </row>
    <row r="256" spans="1:10" x14ac:dyDescent="0.25">
      <c r="A256" s="92"/>
      <c r="F256" s="620"/>
      <c r="G256" s="630"/>
      <c r="H256" s="93"/>
      <c r="I256" s="41"/>
      <c r="J256" s="810"/>
    </row>
    <row r="257" spans="1:10" x14ac:dyDescent="0.25">
      <c r="A257" s="92"/>
      <c r="F257" s="620"/>
      <c r="G257" s="630"/>
      <c r="H257" s="93"/>
      <c r="I257" s="41"/>
      <c r="J257" s="810"/>
    </row>
    <row r="258" spans="1:10" x14ac:dyDescent="0.25">
      <c r="A258" s="92"/>
      <c r="F258" s="620"/>
      <c r="G258" s="630"/>
      <c r="H258" s="93"/>
      <c r="I258" s="41"/>
      <c r="J258" s="810"/>
    </row>
    <row r="259" spans="1:10" x14ac:dyDescent="0.25">
      <c r="A259" s="92"/>
      <c r="F259" s="620"/>
      <c r="G259" s="630"/>
      <c r="H259" s="93"/>
      <c r="I259" s="41"/>
      <c r="J259" s="810"/>
    </row>
    <row r="260" spans="1:10" x14ac:dyDescent="0.25">
      <c r="A260" s="92"/>
      <c r="F260" s="620"/>
      <c r="G260" s="630"/>
      <c r="H260" s="93"/>
      <c r="I260" s="41"/>
      <c r="J260" s="810"/>
    </row>
    <row r="261" spans="1:10" x14ac:dyDescent="0.25">
      <c r="A261" s="92"/>
      <c r="F261" s="620"/>
      <c r="G261" s="630"/>
      <c r="H261" s="93"/>
      <c r="I261" s="41"/>
      <c r="J261" s="810"/>
    </row>
    <row r="262" spans="1:10" x14ac:dyDescent="0.25">
      <c r="A262" s="92"/>
      <c r="F262" s="620"/>
      <c r="G262" s="630"/>
      <c r="H262" s="93"/>
      <c r="I262" s="41"/>
      <c r="J262" s="810"/>
    </row>
    <row r="263" spans="1:10" x14ac:dyDescent="0.25">
      <c r="A263" s="92"/>
      <c r="F263" s="620"/>
      <c r="G263" s="630"/>
      <c r="H263" s="93"/>
      <c r="I263" s="41"/>
      <c r="J263" s="810"/>
    </row>
    <row r="264" spans="1:10" x14ac:dyDescent="0.25">
      <c r="A264" s="92"/>
      <c r="F264" s="620"/>
      <c r="G264" s="630"/>
      <c r="H264" s="93"/>
      <c r="I264" s="41"/>
      <c r="J264" s="810"/>
    </row>
    <row r="265" spans="1:10" x14ac:dyDescent="0.25">
      <c r="A265" s="92"/>
      <c r="F265" s="620"/>
      <c r="G265" s="630"/>
      <c r="H265" s="93"/>
      <c r="I265" s="41"/>
      <c r="J265" s="810"/>
    </row>
    <row r="266" spans="1:10" x14ac:dyDescent="0.25">
      <c r="A266" s="92"/>
      <c r="F266" s="620"/>
      <c r="G266" s="630"/>
      <c r="H266" s="93"/>
      <c r="I266" s="41"/>
      <c r="J266" s="810"/>
    </row>
    <row r="267" spans="1:10" x14ac:dyDescent="0.25">
      <c r="A267" s="92"/>
      <c r="F267" s="620"/>
      <c r="G267" s="630"/>
      <c r="H267" s="93"/>
      <c r="I267" s="41"/>
      <c r="J267" s="810"/>
    </row>
    <row r="268" spans="1:10" x14ac:dyDescent="0.25">
      <c r="A268" s="92"/>
      <c r="F268" s="620"/>
      <c r="G268" s="630"/>
      <c r="H268" s="93"/>
      <c r="I268" s="41"/>
      <c r="J268" s="810"/>
    </row>
    <row r="269" spans="1:10" x14ac:dyDescent="0.25">
      <c r="A269" s="92"/>
      <c r="F269" s="620"/>
      <c r="G269" s="630"/>
      <c r="H269" s="93"/>
      <c r="I269" s="41"/>
      <c r="J269" s="810"/>
    </row>
    <row r="270" spans="1:10" x14ac:dyDescent="0.25">
      <c r="A270" s="92"/>
      <c r="F270" s="620"/>
      <c r="G270" s="630"/>
      <c r="H270" s="93"/>
      <c r="I270" s="41"/>
      <c r="J270" s="810"/>
    </row>
    <row r="271" spans="1:10" x14ac:dyDescent="0.25">
      <c r="A271" s="92"/>
      <c r="F271" s="620"/>
      <c r="G271" s="630"/>
      <c r="H271" s="93"/>
      <c r="I271" s="41"/>
      <c r="J271" s="810"/>
    </row>
    <row r="272" spans="1:10" x14ac:dyDescent="0.25">
      <c r="A272" s="92"/>
      <c r="F272" s="620"/>
      <c r="G272" s="630"/>
      <c r="H272" s="93"/>
      <c r="I272" s="41"/>
      <c r="J272" s="810"/>
    </row>
    <row r="273" spans="1:10" x14ac:dyDescent="0.25">
      <c r="A273" s="92"/>
      <c r="F273" s="620"/>
      <c r="G273" s="630"/>
      <c r="H273" s="93"/>
      <c r="I273" s="41"/>
      <c r="J273" s="810"/>
    </row>
    <row r="274" spans="1:10" x14ac:dyDescent="0.25">
      <c r="A274" s="92"/>
      <c r="F274" s="620"/>
      <c r="G274" s="630"/>
      <c r="H274" s="93"/>
      <c r="I274" s="41"/>
      <c r="J274" s="810"/>
    </row>
    <row r="275" spans="1:10" x14ac:dyDescent="0.25">
      <c r="A275" s="92"/>
      <c r="F275" s="620"/>
      <c r="G275" s="630"/>
      <c r="H275" s="93"/>
      <c r="I275" s="41"/>
      <c r="J275" s="810"/>
    </row>
    <row r="276" spans="1:10" x14ac:dyDescent="0.25">
      <c r="A276" s="92"/>
      <c r="F276" s="620"/>
      <c r="G276" s="630"/>
      <c r="H276" s="93"/>
      <c r="I276" s="41"/>
      <c r="J276" s="810"/>
    </row>
    <row r="277" spans="1:10" x14ac:dyDescent="0.25">
      <c r="A277" s="92"/>
      <c r="F277" s="620"/>
      <c r="G277" s="630"/>
      <c r="H277" s="93"/>
      <c r="I277" s="41"/>
      <c r="J277" s="810"/>
    </row>
    <row r="278" spans="1:10" x14ac:dyDescent="0.25">
      <c r="A278" s="92"/>
      <c r="F278" s="620"/>
      <c r="G278" s="630"/>
      <c r="H278" s="93"/>
      <c r="I278" s="41"/>
      <c r="J278" s="810"/>
    </row>
    <row r="279" spans="1:10" x14ac:dyDescent="0.25">
      <c r="A279" s="92"/>
      <c r="F279" s="620"/>
      <c r="G279" s="630"/>
      <c r="H279" s="93"/>
      <c r="I279" s="41"/>
      <c r="J279" s="810"/>
    </row>
    <row r="280" spans="1:10" x14ac:dyDescent="0.25">
      <c r="A280" s="92"/>
      <c r="F280" s="620"/>
      <c r="G280" s="630"/>
      <c r="H280" s="93"/>
      <c r="I280" s="41"/>
      <c r="J280" s="810"/>
    </row>
    <row r="281" spans="1:10" x14ac:dyDescent="0.25">
      <c r="A281" s="92"/>
      <c r="F281" s="620"/>
      <c r="G281" s="630"/>
      <c r="H281" s="93"/>
      <c r="I281" s="41"/>
      <c r="J281" s="810"/>
    </row>
    <row r="282" spans="1:10" x14ac:dyDescent="0.25">
      <c r="A282" s="92"/>
      <c r="F282" s="620"/>
      <c r="G282" s="630"/>
      <c r="H282" s="93"/>
      <c r="I282" s="41"/>
      <c r="J282" s="810"/>
    </row>
    <row r="283" spans="1:10" x14ac:dyDescent="0.25">
      <c r="A283" s="92"/>
      <c r="F283" s="620"/>
      <c r="G283" s="630"/>
      <c r="H283" s="93"/>
      <c r="I283" s="41"/>
      <c r="J283" s="810"/>
    </row>
    <row r="284" spans="1:10" x14ac:dyDescent="0.25">
      <c r="A284" s="92"/>
      <c r="F284" s="620"/>
      <c r="G284" s="630"/>
      <c r="H284" s="93"/>
      <c r="I284" s="41"/>
      <c r="J284" s="810"/>
    </row>
    <row r="285" spans="1:10" x14ac:dyDescent="0.25">
      <c r="A285" s="92"/>
      <c r="F285" s="620"/>
      <c r="G285" s="630"/>
      <c r="H285" s="93"/>
      <c r="I285" s="41"/>
      <c r="J285" s="810"/>
    </row>
    <row r="286" spans="1:10" x14ac:dyDescent="0.25">
      <c r="A286" s="92"/>
      <c r="F286" s="620"/>
      <c r="G286" s="630"/>
      <c r="H286" s="93"/>
      <c r="I286" s="41"/>
      <c r="J286" s="810"/>
    </row>
    <row r="287" spans="1:10" x14ac:dyDescent="0.25">
      <c r="A287" s="92"/>
      <c r="F287" s="620"/>
      <c r="G287" s="630"/>
      <c r="H287" s="93"/>
      <c r="I287" s="41"/>
      <c r="J287" s="810"/>
    </row>
    <row r="288" spans="1:10" x14ac:dyDescent="0.25">
      <c r="A288" s="92"/>
      <c r="F288" s="620"/>
      <c r="G288" s="630"/>
      <c r="H288" s="93"/>
      <c r="I288" s="41"/>
      <c r="J288" s="810"/>
    </row>
    <row r="289" spans="1:10" x14ac:dyDescent="0.25">
      <c r="A289" s="92"/>
      <c r="F289" s="620"/>
      <c r="G289" s="630"/>
      <c r="H289" s="93"/>
      <c r="I289" s="41"/>
      <c r="J289" s="810"/>
    </row>
    <row r="290" spans="1:10" x14ac:dyDescent="0.25">
      <c r="A290" s="92"/>
      <c r="F290" s="620"/>
      <c r="G290" s="630"/>
      <c r="H290" s="93"/>
      <c r="I290" s="41"/>
      <c r="J290" s="810"/>
    </row>
    <row r="291" spans="1:10" x14ac:dyDescent="0.25">
      <c r="A291" s="92"/>
      <c r="F291" s="620"/>
      <c r="G291" s="630"/>
      <c r="H291" s="93"/>
      <c r="I291" s="41"/>
      <c r="J291" s="810"/>
    </row>
    <row r="292" spans="1:10" x14ac:dyDescent="0.25">
      <c r="A292" s="92"/>
      <c r="F292" s="620"/>
      <c r="G292" s="630"/>
      <c r="H292" s="93"/>
      <c r="I292" s="41"/>
      <c r="J292" s="810"/>
    </row>
    <row r="293" spans="1:10" x14ac:dyDescent="0.25">
      <c r="A293" s="92"/>
      <c r="F293" s="620"/>
      <c r="G293" s="630"/>
      <c r="H293" s="93"/>
      <c r="I293" s="41"/>
      <c r="J293" s="810"/>
    </row>
    <row r="294" spans="1:10" x14ac:dyDescent="0.25">
      <c r="A294" s="92"/>
      <c r="F294" s="620"/>
      <c r="G294" s="630"/>
      <c r="H294" s="93"/>
      <c r="I294" s="41"/>
      <c r="J294" s="810"/>
    </row>
    <row r="295" spans="1:10" x14ac:dyDescent="0.25">
      <c r="A295" s="92"/>
      <c r="F295" s="620"/>
      <c r="G295" s="630"/>
      <c r="H295" s="93"/>
      <c r="I295" s="41"/>
      <c r="J295" s="810"/>
    </row>
    <row r="296" spans="1:10" x14ac:dyDescent="0.25">
      <c r="A296" s="92"/>
      <c r="F296" s="620"/>
      <c r="G296" s="630"/>
      <c r="H296" s="93"/>
      <c r="I296" s="41"/>
      <c r="J296" s="810"/>
    </row>
    <row r="297" spans="1:10" x14ac:dyDescent="0.25">
      <c r="A297" s="92"/>
      <c r="F297" s="620"/>
      <c r="G297" s="630"/>
      <c r="H297" s="93"/>
      <c r="I297" s="41"/>
      <c r="J297" s="810"/>
    </row>
    <row r="298" spans="1:10" x14ac:dyDescent="0.25">
      <c r="A298" s="92"/>
      <c r="F298" s="620"/>
      <c r="G298" s="630"/>
      <c r="H298" s="93"/>
      <c r="I298" s="41"/>
      <c r="J298" s="810"/>
    </row>
    <row r="299" spans="1:10" x14ac:dyDescent="0.25">
      <c r="A299" s="92"/>
      <c r="F299" s="620"/>
      <c r="G299" s="630"/>
      <c r="H299" s="93"/>
      <c r="I299" s="41"/>
      <c r="J299" s="810"/>
    </row>
    <row r="300" spans="1:10" x14ac:dyDescent="0.25">
      <c r="A300" s="92"/>
      <c r="F300" s="620"/>
      <c r="G300" s="630"/>
      <c r="H300" s="93"/>
      <c r="I300" s="41"/>
      <c r="J300" s="810"/>
    </row>
    <row r="301" spans="1:10" x14ac:dyDescent="0.25">
      <c r="A301" s="92"/>
      <c r="F301" s="620"/>
      <c r="G301" s="630"/>
      <c r="H301" s="93"/>
      <c r="I301" s="41"/>
      <c r="J301" s="810"/>
    </row>
    <row r="302" spans="1:10" x14ac:dyDescent="0.25">
      <c r="A302" s="92"/>
      <c r="F302" s="620"/>
      <c r="G302" s="630"/>
      <c r="H302" s="93"/>
      <c r="I302" s="41"/>
      <c r="J302" s="810"/>
    </row>
    <row r="303" spans="1:10" x14ac:dyDescent="0.25">
      <c r="A303" s="92"/>
      <c r="F303" s="620"/>
      <c r="G303" s="630"/>
      <c r="H303" s="93"/>
      <c r="I303" s="41"/>
      <c r="J303" s="810"/>
    </row>
    <row r="304" spans="1:10" x14ac:dyDescent="0.25">
      <c r="A304" s="92"/>
      <c r="F304" s="620"/>
      <c r="G304" s="630"/>
      <c r="H304" s="93"/>
      <c r="I304" s="41"/>
      <c r="J304" s="810"/>
    </row>
    <row r="305" spans="1:10" x14ac:dyDescent="0.25">
      <c r="A305" s="92"/>
      <c r="F305" s="620"/>
      <c r="G305" s="630"/>
      <c r="H305" s="93"/>
      <c r="I305" s="41"/>
      <c r="J305" s="810"/>
    </row>
    <row r="306" spans="1:10" x14ac:dyDescent="0.25">
      <c r="A306" s="92"/>
      <c r="F306" s="620"/>
      <c r="G306" s="630"/>
      <c r="H306" s="93"/>
      <c r="I306" s="41"/>
      <c r="J306" s="810"/>
    </row>
    <row r="307" spans="1:10" x14ac:dyDescent="0.25">
      <c r="A307" s="92"/>
      <c r="F307" s="620"/>
      <c r="G307" s="630"/>
      <c r="H307" s="93"/>
      <c r="I307" s="41"/>
      <c r="J307" s="810"/>
    </row>
    <row r="308" spans="1:10" x14ac:dyDescent="0.25">
      <c r="A308" s="92"/>
      <c r="F308" s="620"/>
      <c r="G308" s="630"/>
      <c r="H308" s="93"/>
      <c r="I308" s="41"/>
      <c r="J308" s="810"/>
    </row>
    <row r="309" spans="1:10" x14ac:dyDescent="0.25">
      <c r="A309" s="92"/>
      <c r="F309" s="620"/>
      <c r="G309" s="630"/>
      <c r="H309" s="93"/>
      <c r="I309" s="41"/>
      <c r="J309" s="810"/>
    </row>
    <row r="310" spans="1:10" x14ac:dyDescent="0.25">
      <c r="A310" s="92"/>
      <c r="F310" s="620"/>
      <c r="G310" s="630"/>
      <c r="H310" s="93"/>
      <c r="I310" s="41"/>
      <c r="J310" s="810"/>
    </row>
    <row r="311" spans="1:10" x14ac:dyDescent="0.25">
      <c r="A311" s="92"/>
      <c r="F311" s="620"/>
      <c r="G311" s="630"/>
      <c r="H311" s="93"/>
      <c r="I311" s="41"/>
      <c r="J311" s="810"/>
    </row>
    <row r="312" spans="1:10" x14ac:dyDescent="0.25">
      <c r="A312" s="92"/>
      <c r="F312" s="620"/>
      <c r="G312" s="630"/>
      <c r="H312" s="93"/>
      <c r="I312" s="41"/>
      <c r="J312" s="810"/>
    </row>
    <row r="313" spans="1:10" x14ac:dyDescent="0.25">
      <c r="A313" s="92"/>
      <c r="F313" s="620"/>
      <c r="G313" s="630"/>
      <c r="H313" s="93"/>
      <c r="I313" s="41"/>
      <c r="J313" s="810"/>
    </row>
    <row r="314" spans="1:10" x14ac:dyDescent="0.25">
      <c r="A314" s="92"/>
      <c r="F314" s="620"/>
      <c r="G314" s="630"/>
      <c r="H314" s="93"/>
      <c r="I314" s="41"/>
      <c r="J314" s="810"/>
    </row>
    <row r="315" spans="1:10" x14ac:dyDescent="0.25">
      <c r="A315" s="92"/>
      <c r="F315" s="620"/>
      <c r="G315" s="630"/>
      <c r="H315" s="93"/>
      <c r="I315" s="41"/>
      <c r="J315" s="810"/>
    </row>
    <row r="316" spans="1:10" x14ac:dyDescent="0.25">
      <c r="A316" s="92"/>
      <c r="F316" s="620"/>
      <c r="G316" s="630"/>
      <c r="H316" s="93"/>
      <c r="I316" s="41"/>
      <c r="J316" s="810"/>
    </row>
    <row r="317" spans="1:10" x14ac:dyDescent="0.25">
      <c r="A317" s="92"/>
      <c r="F317" s="620"/>
      <c r="G317" s="630"/>
      <c r="H317" s="93"/>
      <c r="I317" s="41"/>
      <c r="J317" s="810"/>
    </row>
    <row r="318" spans="1:10" x14ac:dyDescent="0.25">
      <c r="A318" s="92"/>
      <c r="F318" s="620"/>
      <c r="G318" s="630"/>
      <c r="H318" s="93"/>
      <c r="I318" s="41"/>
      <c r="J318" s="810"/>
    </row>
    <row r="319" spans="1:10" x14ac:dyDescent="0.25">
      <c r="A319" s="92"/>
      <c r="F319" s="620"/>
      <c r="G319" s="630"/>
      <c r="H319" s="93"/>
      <c r="I319" s="41"/>
      <c r="J319" s="810"/>
    </row>
    <row r="320" spans="1:10" x14ac:dyDescent="0.25">
      <c r="A320" s="92"/>
      <c r="F320" s="620"/>
      <c r="G320" s="630"/>
      <c r="H320" s="93"/>
      <c r="I320" s="41"/>
      <c r="J320" s="810"/>
    </row>
    <row r="321" spans="1:10" x14ac:dyDescent="0.25">
      <c r="A321" s="92"/>
      <c r="F321" s="620"/>
      <c r="G321" s="630"/>
      <c r="H321" s="93"/>
      <c r="I321" s="41"/>
      <c r="J321" s="810"/>
    </row>
    <row r="322" spans="1:10" x14ac:dyDescent="0.25">
      <c r="A322" s="92"/>
      <c r="F322" s="620"/>
      <c r="G322" s="630"/>
      <c r="H322" s="93"/>
      <c r="I322" s="41"/>
      <c r="J322" s="810"/>
    </row>
    <row r="323" spans="1:10" x14ac:dyDescent="0.25">
      <c r="A323" s="92"/>
      <c r="F323" s="620"/>
      <c r="G323" s="630"/>
      <c r="H323" s="93"/>
      <c r="I323" s="41"/>
      <c r="J323" s="810"/>
    </row>
    <row r="324" spans="1:10" x14ac:dyDescent="0.25">
      <c r="A324" s="92"/>
      <c r="F324" s="620"/>
      <c r="G324" s="630"/>
      <c r="H324" s="93"/>
      <c r="I324" s="41"/>
      <c r="J324" s="810"/>
    </row>
    <row r="325" spans="1:10" x14ac:dyDescent="0.25">
      <c r="A325" s="92"/>
      <c r="F325" s="620"/>
      <c r="G325" s="630"/>
      <c r="H325" s="93"/>
      <c r="I325" s="41"/>
      <c r="J325" s="810"/>
    </row>
    <row r="326" spans="1:10" x14ac:dyDescent="0.25">
      <c r="A326" s="92"/>
      <c r="F326" s="620"/>
      <c r="G326" s="630"/>
      <c r="H326" s="93"/>
      <c r="I326" s="41"/>
      <c r="J326" s="810"/>
    </row>
    <row r="327" spans="1:10" x14ac:dyDescent="0.25">
      <c r="A327" s="92"/>
      <c r="F327" s="620"/>
      <c r="G327" s="630"/>
      <c r="H327" s="93"/>
      <c r="I327" s="41"/>
      <c r="J327" s="810"/>
    </row>
    <row r="328" spans="1:10" x14ac:dyDescent="0.25">
      <c r="A328" s="92"/>
      <c r="F328" s="620"/>
      <c r="G328" s="630"/>
      <c r="H328" s="93"/>
      <c r="I328" s="41"/>
      <c r="J328" s="810"/>
    </row>
    <row r="329" spans="1:10" x14ac:dyDescent="0.25">
      <c r="A329" s="92"/>
      <c r="F329" s="620"/>
      <c r="G329" s="630"/>
      <c r="H329" s="93"/>
      <c r="I329" s="41"/>
      <c r="J329" s="810"/>
    </row>
    <row r="330" spans="1:10" x14ac:dyDescent="0.25">
      <c r="A330" s="92"/>
      <c r="F330" s="620"/>
      <c r="G330" s="630"/>
      <c r="H330" s="93"/>
      <c r="I330" s="41"/>
      <c r="J330" s="810"/>
    </row>
    <row r="331" spans="1:10" x14ac:dyDescent="0.25">
      <c r="A331" s="92"/>
      <c r="F331" s="620"/>
      <c r="G331" s="630"/>
      <c r="H331" s="93"/>
      <c r="I331" s="41"/>
      <c r="J331" s="810"/>
    </row>
    <row r="332" spans="1:10" x14ac:dyDescent="0.25">
      <c r="A332" s="92"/>
      <c r="F332" s="620"/>
      <c r="G332" s="630"/>
      <c r="H332" s="93"/>
      <c r="I332" s="41"/>
      <c r="J332" s="810"/>
    </row>
    <row r="333" spans="1:10" x14ac:dyDescent="0.25">
      <c r="A333" s="92"/>
      <c r="F333" s="620"/>
      <c r="G333" s="630"/>
      <c r="H333" s="93"/>
      <c r="I333" s="41"/>
      <c r="J333" s="810"/>
    </row>
    <row r="334" spans="1:10" x14ac:dyDescent="0.25">
      <c r="A334" s="92"/>
      <c r="F334" s="620"/>
      <c r="G334" s="630"/>
      <c r="H334" s="93"/>
      <c r="I334" s="41"/>
      <c r="J334" s="810"/>
    </row>
    <row r="335" spans="1:10" x14ac:dyDescent="0.25">
      <c r="A335" s="92"/>
      <c r="F335" s="620"/>
      <c r="G335" s="630"/>
      <c r="H335" s="93"/>
      <c r="I335" s="41"/>
      <c r="J335" s="810"/>
    </row>
    <row r="336" spans="1:10" x14ac:dyDescent="0.25">
      <c r="A336" s="92"/>
      <c r="F336" s="620"/>
      <c r="G336" s="630"/>
      <c r="H336" s="93"/>
      <c r="I336" s="41"/>
      <c r="J336" s="810"/>
    </row>
    <row r="337" spans="1:10" x14ac:dyDescent="0.25">
      <c r="A337" s="92"/>
      <c r="F337" s="620"/>
      <c r="G337" s="630"/>
      <c r="H337" s="93"/>
      <c r="I337" s="41"/>
      <c r="J337" s="810"/>
    </row>
    <row r="338" spans="1:10" x14ac:dyDescent="0.25">
      <c r="A338" s="92"/>
      <c r="F338" s="620"/>
      <c r="G338" s="630"/>
      <c r="H338" s="93"/>
      <c r="I338" s="41"/>
      <c r="J338" s="810"/>
    </row>
    <row r="339" spans="1:10" x14ac:dyDescent="0.25">
      <c r="A339" s="92"/>
      <c r="F339" s="620"/>
      <c r="G339" s="630"/>
      <c r="H339" s="93"/>
      <c r="I339" s="41"/>
      <c r="J339" s="810"/>
    </row>
    <row r="340" spans="1:10" x14ac:dyDescent="0.25">
      <c r="A340" s="92"/>
      <c r="F340" s="620"/>
      <c r="G340" s="630"/>
      <c r="H340" s="93"/>
      <c r="I340" s="41"/>
      <c r="J340" s="810"/>
    </row>
    <row r="341" spans="1:10" x14ac:dyDescent="0.25">
      <c r="A341" s="92"/>
      <c r="F341" s="620"/>
      <c r="G341" s="630"/>
      <c r="H341" s="93"/>
      <c r="I341" s="41"/>
      <c r="J341" s="810"/>
    </row>
    <row r="342" spans="1:10" x14ac:dyDescent="0.25">
      <c r="A342" s="92"/>
      <c r="F342" s="620"/>
      <c r="G342" s="630"/>
      <c r="H342" s="93"/>
      <c r="I342" s="41"/>
      <c r="J342" s="810"/>
    </row>
    <row r="343" spans="1:10" x14ac:dyDescent="0.25">
      <c r="A343" s="92"/>
      <c r="F343" s="620"/>
      <c r="G343" s="630"/>
      <c r="H343" s="93"/>
      <c r="I343" s="41"/>
      <c r="J343" s="810"/>
    </row>
    <row r="344" spans="1:10" x14ac:dyDescent="0.25">
      <c r="A344" s="92"/>
      <c r="F344" s="620"/>
      <c r="G344" s="630"/>
      <c r="H344" s="93"/>
      <c r="I344" s="41"/>
      <c r="J344" s="810"/>
    </row>
    <row r="345" spans="1:10" x14ac:dyDescent="0.25">
      <c r="A345" s="92"/>
      <c r="F345" s="620"/>
      <c r="G345" s="630"/>
      <c r="H345" s="93"/>
      <c r="I345" s="41"/>
      <c r="J345" s="810"/>
    </row>
    <row r="346" spans="1:10" x14ac:dyDescent="0.25">
      <c r="A346" s="92"/>
      <c r="F346" s="620"/>
      <c r="G346" s="630"/>
      <c r="H346" s="93"/>
      <c r="I346" s="41"/>
      <c r="J346" s="810"/>
    </row>
    <row r="347" spans="1:10" x14ac:dyDescent="0.25">
      <c r="A347" s="92"/>
      <c r="F347" s="620"/>
      <c r="G347" s="630"/>
      <c r="H347" s="93"/>
      <c r="I347" s="41"/>
      <c r="J347" s="810"/>
    </row>
    <row r="348" spans="1:10" x14ac:dyDescent="0.25">
      <c r="A348" s="92"/>
      <c r="F348" s="620"/>
      <c r="G348" s="630"/>
      <c r="H348" s="93"/>
      <c r="I348" s="41"/>
      <c r="J348" s="810"/>
    </row>
    <row r="349" spans="1:10" x14ac:dyDescent="0.25">
      <c r="A349" s="92"/>
      <c r="F349" s="620"/>
      <c r="G349" s="630"/>
      <c r="H349" s="93"/>
      <c r="I349" s="41"/>
      <c r="J349" s="810"/>
    </row>
    <row r="350" spans="1:10" x14ac:dyDescent="0.25">
      <c r="A350" s="92"/>
      <c r="F350" s="620"/>
      <c r="G350" s="630"/>
      <c r="H350" s="93"/>
      <c r="I350" s="41"/>
      <c r="J350" s="810"/>
    </row>
    <row r="351" spans="1:10" x14ac:dyDescent="0.25">
      <c r="A351" s="92"/>
      <c r="F351" s="620"/>
      <c r="G351" s="630"/>
      <c r="H351" s="93"/>
      <c r="I351" s="41"/>
      <c r="J351" s="810"/>
    </row>
    <row r="352" spans="1:10" x14ac:dyDescent="0.25">
      <c r="A352" s="92"/>
      <c r="F352" s="620"/>
      <c r="G352" s="630"/>
      <c r="H352" s="93"/>
      <c r="I352" s="41"/>
      <c r="J352" s="810"/>
    </row>
    <row r="353" spans="1:10" x14ac:dyDescent="0.25">
      <c r="A353" s="92"/>
      <c r="F353" s="620"/>
      <c r="G353" s="630"/>
      <c r="H353" s="93"/>
      <c r="I353" s="41"/>
      <c r="J353" s="810"/>
    </row>
    <row r="354" spans="1:10" x14ac:dyDescent="0.25">
      <c r="A354" s="92"/>
      <c r="F354" s="620"/>
      <c r="G354" s="630"/>
      <c r="H354" s="93"/>
      <c r="I354" s="41"/>
      <c r="J354" s="810"/>
    </row>
    <row r="355" spans="1:10" x14ac:dyDescent="0.25">
      <c r="A355" s="92"/>
      <c r="F355" s="620"/>
      <c r="G355" s="630"/>
      <c r="H355" s="93"/>
      <c r="I355" s="41"/>
      <c r="J355" s="810"/>
    </row>
    <row r="356" spans="1:10" x14ac:dyDescent="0.25">
      <c r="A356" s="92"/>
      <c r="F356" s="620"/>
      <c r="G356" s="630"/>
      <c r="H356" s="93"/>
      <c r="I356" s="41"/>
      <c r="J356" s="810"/>
    </row>
    <row r="357" spans="1:10" x14ac:dyDescent="0.25">
      <c r="A357" s="92"/>
      <c r="F357" s="620"/>
      <c r="G357" s="630"/>
      <c r="H357" s="93"/>
      <c r="I357" s="41"/>
      <c r="J357" s="810"/>
    </row>
    <row r="358" spans="1:10" x14ac:dyDescent="0.25">
      <c r="A358" s="92"/>
      <c r="F358" s="620"/>
      <c r="G358" s="630"/>
      <c r="H358" s="93"/>
      <c r="I358" s="41"/>
      <c r="J358" s="810"/>
    </row>
    <row r="359" spans="1:10" x14ac:dyDescent="0.25">
      <c r="A359" s="92"/>
      <c r="F359" s="620"/>
      <c r="G359" s="630"/>
      <c r="H359" s="93"/>
      <c r="I359" s="41"/>
      <c r="J359" s="810"/>
    </row>
    <row r="360" spans="1:10" x14ac:dyDescent="0.25">
      <c r="A360" s="92"/>
      <c r="F360" s="620"/>
      <c r="G360" s="630"/>
      <c r="H360" s="93"/>
      <c r="I360" s="41"/>
      <c r="J360" s="810"/>
    </row>
    <row r="361" spans="1:10" x14ac:dyDescent="0.25">
      <c r="A361" s="92"/>
      <c r="F361" s="620"/>
      <c r="G361" s="630"/>
      <c r="H361" s="93"/>
      <c r="I361" s="41"/>
      <c r="J361" s="810"/>
    </row>
    <row r="362" spans="1:10" x14ac:dyDescent="0.25">
      <c r="A362" s="92"/>
      <c r="F362" s="620"/>
      <c r="G362" s="630"/>
      <c r="H362" s="93"/>
      <c r="I362" s="41"/>
      <c r="J362" s="810"/>
    </row>
    <row r="363" spans="1:10" x14ac:dyDescent="0.25">
      <c r="A363" s="92"/>
      <c r="F363" s="620"/>
      <c r="G363" s="630"/>
      <c r="H363" s="93"/>
      <c r="I363" s="41"/>
      <c r="J363" s="810"/>
    </row>
    <row r="364" spans="1:10" x14ac:dyDescent="0.25">
      <c r="A364" s="92"/>
      <c r="F364" s="620"/>
      <c r="G364" s="630"/>
      <c r="H364" s="93"/>
      <c r="I364" s="41"/>
      <c r="J364" s="810"/>
    </row>
    <row r="365" spans="1:10" x14ac:dyDescent="0.25">
      <c r="A365" s="92"/>
      <c r="F365" s="620"/>
      <c r="G365" s="630"/>
      <c r="H365" s="93"/>
      <c r="I365" s="41"/>
      <c r="J365" s="810"/>
    </row>
    <row r="366" spans="1:10" x14ac:dyDescent="0.25">
      <c r="A366" s="92"/>
      <c r="F366" s="620"/>
      <c r="G366" s="630"/>
      <c r="H366" s="93"/>
      <c r="I366" s="41"/>
      <c r="J366" s="810"/>
    </row>
    <row r="367" spans="1:10" x14ac:dyDescent="0.25">
      <c r="A367" s="92"/>
      <c r="F367" s="620"/>
      <c r="G367" s="630"/>
      <c r="H367" s="93"/>
      <c r="I367" s="41"/>
      <c r="J367" s="810"/>
    </row>
    <row r="368" spans="1:10" x14ac:dyDescent="0.25">
      <c r="A368" s="92"/>
      <c r="F368" s="620"/>
      <c r="G368" s="630"/>
      <c r="H368" s="93"/>
      <c r="I368" s="41"/>
      <c r="J368" s="810"/>
    </row>
    <row r="369" spans="1:10" x14ac:dyDescent="0.25">
      <c r="A369" s="92"/>
      <c r="F369" s="620"/>
      <c r="G369" s="630"/>
      <c r="H369" s="93"/>
      <c r="I369" s="41"/>
      <c r="J369" s="810"/>
    </row>
    <row r="370" spans="1:10" x14ac:dyDescent="0.25">
      <c r="A370" s="92"/>
      <c r="F370" s="620"/>
      <c r="G370" s="630"/>
      <c r="H370" s="93"/>
      <c r="I370" s="41"/>
      <c r="J370" s="810"/>
    </row>
    <row r="371" spans="1:10" x14ac:dyDescent="0.25">
      <c r="A371" s="92"/>
      <c r="F371" s="620"/>
      <c r="G371" s="630"/>
      <c r="H371" s="93"/>
      <c r="I371" s="41"/>
      <c r="J371" s="810"/>
    </row>
    <row r="372" spans="1:10" x14ac:dyDescent="0.25">
      <c r="A372" s="92"/>
      <c r="F372" s="620"/>
      <c r="G372" s="630"/>
      <c r="H372" s="93"/>
      <c r="I372" s="41"/>
      <c r="J372" s="810"/>
    </row>
    <row r="373" spans="1:10" x14ac:dyDescent="0.25">
      <c r="A373" s="92"/>
      <c r="F373" s="620"/>
      <c r="G373" s="630"/>
      <c r="H373" s="93"/>
      <c r="I373" s="41"/>
      <c r="J373" s="810"/>
    </row>
    <row r="374" spans="1:10" x14ac:dyDescent="0.25">
      <c r="A374" s="92"/>
      <c r="F374" s="620"/>
      <c r="G374" s="630"/>
      <c r="H374" s="93"/>
      <c r="I374" s="41"/>
      <c r="J374" s="810"/>
    </row>
    <row r="375" spans="1:10" x14ac:dyDescent="0.25">
      <c r="A375" s="92"/>
      <c r="F375" s="620"/>
      <c r="G375" s="630"/>
      <c r="H375" s="93"/>
      <c r="I375" s="41"/>
      <c r="J375" s="810"/>
    </row>
    <row r="376" spans="1:10" x14ac:dyDescent="0.25">
      <c r="A376" s="92"/>
      <c r="F376" s="620"/>
      <c r="G376" s="630"/>
      <c r="H376" s="93"/>
      <c r="I376" s="41"/>
      <c r="J376" s="810"/>
    </row>
    <row r="377" spans="1:10" x14ac:dyDescent="0.25">
      <c r="A377" s="92"/>
      <c r="F377" s="620"/>
      <c r="G377" s="630"/>
      <c r="H377" s="93"/>
      <c r="I377" s="41"/>
      <c r="J377" s="810"/>
    </row>
    <row r="378" spans="1:10" x14ac:dyDescent="0.25">
      <c r="A378" s="92"/>
      <c r="F378" s="620"/>
      <c r="G378" s="630"/>
      <c r="H378" s="93"/>
      <c r="I378" s="41"/>
      <c r="J378" s="810"/>
    </row>
    <row r="379" spans="1:10" x14ac:dyDescent="0.25">
      <c r="A379" s="92"/>
      <c r="F379" s="620"/>
      <c r="G379" s="630"/>
      <c r="H379" s="93"/>
      <c r="I379" s="41"/>
      <c r="J379" s="810"/>
    </row>
    <row r="380" spans="1:10" x14ac:dyDescent="0.25">
      <c r="A380" s="92"/>
      <c r="F380" s="620"/>
      <c r="G380" s="630"/>
      <c r="H380" s="93"/>
      <c r="I380" s="41"/>
      <c r="J380" s="810"/>
    </row>
    <row r="381" spans="1:10" x14ac:dyDescent="0.25">
      <c r="A381" s="92"/>
      <c r="F381" s="620"/>
      <c r="G381" s="630"/>
      <c r="H381" s="93"/>
      <c r="I381" s="41"/>
      <c r="J381" s="810"/>
    </row>
    <row r="382" spans="1:10" x14ac:dyDescent="0.25">
      <c r="A382" s="92"/>
      <c r="F382" s="620"/>
      <c r="G382" s="630"/>
      <c r="H382" s="93"/>
      <c r="I382" s="41"/>
      <c r="J382" s="810"/>
    </row>
    <row r="383" spans="1:10" x14ac:dyDescent="0.25">
      <c r="A383" s="92"/>
      <c r="F383" s="620"/>
      <c r="G383" s="630"/>
      <c r="H383" s="93"/>
      <c r="I383" s="41"/>
      <c r="J383" s="810"/>
    </row>
    <row r="384" spans="1:10" x14ac:dyDescent="0.25">
      <c r="A384" s="92"/>
      <c r="F384" s="620"/>
      <c r="G384" s="630"/>
      <c r="H384" s="93"/>
      <c r="I384" s="41"/>
      <c r="J384" s="810"/>
    </row>
    <row r="385" spans="1:10" x14ac:dyDescent="0.25">
      <c r="A385" s="92"/>
      <c r="F385" s="620"/>
      <c r="G385" s="630"/>
      <c r="H385" s="93"/>
      <c r="I385" s="41"/>
      <c r="J385" s="810"/>
    </row>
    <row r="386" spans="1:10" x14ac:dyDescent="0.25">
      <c r="A386" s="92"/>
      <c r="F386" s="620"/>
      <c r="G386" s="630"/>
      <c r="H386" s="93"/>
      <c r="I386" s="41"/>
      <c r="J386" s="810"/>
    </row>
    <row r="387" spans="1:10" x14ac:dyDescent="0.25">
      <c r="A387" s="92"/>
      <c r="F387" s="620"/>
      <c r="G387" s="630"/>
      <c r="H387" s="93"/>
      <c r="I387" s="41"/>
      <c r="J387" s="810"/>
    </row>
    <row r="388" spans="1:10" x14ac:dyDescent="0.25">
      <c r="A388" s="92"/>
      <c r="F388" s="620"/>
      <c r="G388" s="630"/>
      <c r="H388" s="93"/>
      <c r="I388" s="41"/>
      <c r="J388" s="810"/>
    </row>
    <row r="389" spans="1:10" x14ac:dyDescent="0.25">
      <c r="A389" s="92"/>
      <c r="F389" s="620"/>
      <c r="G389" s="630"/>
      <c r="H389" s="93"/>
      <c r="I389" s="41"/>
      <c r="J389" s="810"/>
    </row>
    <row r="390" spans="1:10" x14ac:dyDescent="0.25">
      <c r="A390" s="92"/>
      <c r="F390" s="620"/>
      <c r="G390" s="630"/>
      <c r="H390" s="93"/>
      <c r="I390" s="41"/>
      <c r="J390" s="810"/>
    </row>
    <row r="391" spans="1:10" x14ac:dyDescent="0.25">
      <c r="A391" s="92"/>
      <c r="F391" s="620"/>
      <c r="G391" s="630"/>
      <c r="H391" s="93"/>
      <c r="I391" s="41"/>
      <c r="J391" s="810"/>
    </row>
    <row r="392" spans="1:10" x14ac:dyDescent="0.25">
      <c r="A392" s="92"/>
      <c r="F392" s="620"/>
      <c r="G392" s="630"/>
      <c r="H392" s="93"/>
      <c r="I392" s="41"/>
      <c r="J392" s="810"/>
    </row>
    <row r="393" spans="1:10" x14ac:dyDescent="0.25">
      <c r="A393" s="92"/>
      <c r="F393" s="620"/>
      <c r="G393" s="630"/>
      <c r="H393" s="93"/>
      <c r="I393" s="41"/>
      <c r="J393" s="810"/>
    </row>
    <row r="394" spans="1:10" x14ac:dyDescent="0.25">
      <c r="A394" s="92"/>
      <c r="F394" s="620"/>
      <c r="G394" s="630"/>
      <c r="H394" s="93"/>
      <c r="I394" s="41"/>
      <c r="J394" s="810"/>
    </row>
    <row r="395" spans="1:10" x14ac:dyDescent="0.25">
      <c r="A395" s="92"/>
      <c r="F395" s="620"/>
      <c r="G395" s="630"/>
      <c r="H395" s="93"/>
      <c r="I395" s="41"/>
      <c r="J395" s="810"/>
    </row>
    <row r="396" spans="1:10" x14ac:dyDescent="0.25">
      <c r="A396" s="92"/>
      <c r="F396" s="620"/>
      <c r="G396" s="630"/>
      <c r="H396" s="93"/>
      <c r="I396" s="41"/>
      <c r="J396" s="810"/>
    </row>
    <row r="397" spans="1:10" x14ac:dyDescent="0.25">
      <c r="A397" s="92"/>
      <c r="F397" s="620"/>
      <c r="G397" s="630"/>
      <c r="H397" s="93"/>
      <c r="I397" s="41"/>
      <c r="J397" s="810"/>
    </row>
    <row r="398" spans="1:10" x14ac:dyDescent="0.25">
      <c r="A398" s="92"/>
      <c r="F398" s="620"/>
      <c r="G398" s="630"/>
      <c r="H398" s="93"/>
      <c r="I398" s="41"/>
      <c r="J398" s="810"/>
    </row>
    <row r="399" spans="1:10" x14ac:dyDescent="0.25">
      <c r="A399" s="92"/>
      <c r="F399" s="620"/>
      <c r="G399" s="630"/>
      <c r="H399" s="93"/>
      <c r="I399" s="41"/>
      <c r="J399" s="810"/>
    </row>
    <row r="400" spans="1:10" x14ac:dyDescent="0.25">
      <c r="A400" s="92"/>
      <c r="F400" s="620"/>
      <c r="G400" s="630"/>
      <c r="H400" s="93"/>
      <c r="I400" s="41"/>
      <c r="J400" s="810"/>
    </row>
    <row r="401" spans="1:10" x14ac:dyDescent="0.25">
      <c r="A401" s="92"/>
      <c r="F401" s="620"/>
      <c r="G401" s="630"/>
      <c r="H401" s="93"/>
      <c r="I401" s="41"/>
      <c r="J401" s="810"/>
    </row>
    <row r="402" spans="1:10" x14ac:dyDescent="0.25">
      <c r="A402" s="92"/>
      <c r="F402" s="620"/>
      <c r="G402" s="630"/>
      <c r="H402" s="93"/>
      <c r="I402" s="41"/>
      <c r="J402" s="810"/>
    </row>
    <row r="403" spans="1:10" x14ac:dyDescent="0.25">
      <c r="A403" s="92"/>
      <c r="F403" s="620"/>
      <c r="G403" s="630"/>
      <c r="H403" s="93"/>
      <c r="I403" s="41"/>
      <c r="J403" s="810"/>
    </row>
    <row r="404" spans="1:10" x14ac:dyDescent="0.25">
      <c r="A404" s="92"/>
      <c r="F404" s="620"/>
      <c r="G404" s="630"/>
      <c r="H404" s="93"/>
      <c r="I404" s="41"/>
      <c r="J404" s="810"/>
    </row>
    <row r="405" spans="1:10" x14ac:dyDescent="0.25">
      <c r="A405" s="92"/>
      <c r="F405" s="620"/>
      <c r="G405" s="630"/>
      <c r="H405" s="93"/>
      <c r="I405" s="41"/>
      <c r="J405" s="810"/>
    </row>
    <row r="406" spans="1:10" x14ac:dyDescent="0.25">
      <c r="A406" s="92"/>
      <c r="F406" s="620"/>
      <c r="G406" s="630"/>
      <c r="H406" s="93"/>
      <c r="I406" s="41"/>
      <c r="J406" s="810"/>
    </row>
    <row r="407" spans="1:10" x14ac:dyDescent="0.25">
      <c r="A407" s="92"/>
      <c r="F407" s="620"/>
      <c r="G407" s="630"/>
      <c r="H407" s="93"/>
      <c r="I407" s="41"/>
      <c r="J407" s="810"/>
    </row>
    <row r="408" spans="1:10" x14ac:dyDescent="0.25">
      <c r="A408" s="92"/>
      <c r="F408" s="620"/>
      <c r="G408" s="630"/>
      <c r="H408" s="93"/>
      <c r="I408" s="41"/>
      <c r="J408" s="810"/>
    </row>
    <row r="409" spans="1:10" x14ac:dyDescent="0.25">
      <c r="A409" s="92"/>
      <c r="F409" s="620"/>
      <c r="G409" s="630"/>
      <c r="H409" s="93"/>
      <c r="I409" s="41"/>
      <c r="J409" s="810"/>
    </row>
    <row r="410" spans="1:10" x14ac:dyDescent="0.25">
      <c r="A410" s="92"/>
      <c r="F410" s="620"/>
      <c r="G410" s="630"/>
      <c r="H410" s="93"/>
      <c r="I410" s="41"/>
      <c r="J410" s="810"/>
    </row>
    <row r="411" spans="1:10" x14ac:dyDescent="0.25">
      <c r="A411" s="92"/>
      <c r="F411" s="620"/>
      <c r="G411" s="630"/>
      <c r="H411" s="93"/>
      <c r="I411" s="41"/>
      <c r="J411" s="810"/>
    </row>
    <row r="412" spans="1:10" x14ac:dyDescent="0.25">
      <c r="A412" s="92"/>
      <c r="F412" s="620"/>
      <c r="G412" s="630"/>
      <c r="H412" s="93"/>
      <c r="I412" s="41"/>
      <c r="J412" s="810"/>
    </row>
    <row r="413" spans="1:10" x14ac:dyDescent="0.25">
      <c r="A413" s="92"/>
      <c r="F413" s="620"/>
      <c r="G413" s="630"/>
      <c r="H413" s="93"/>
      <c r="I413" s="41"/>
      <c r="J413" s="810"/>
    </row>
    <row r="414" spans="1:10" x14ac:dyDescent="0.25">
      <c r="A414" s="92"/>
      <c r="F414" s="620"/>
      <c r="G414" s="630"/>
      <c r="H414" s="93"/>
      <c r="I414" s="41"/>
      <c r="J414" s="810"/>
    </row>
    <row r="415" spans="1:10" x14ac:dyDescent="0.25">
      <c r="A415" s="92"/>
      <c r="F415" s="620"/>
      <c r="G415" s="630"/>
      <c r="H415" s="93"/>
      <c r="I415" s="41"/>
      <c r="J415" s="810"/>
    </row>
    <row r="416" spans="1:10" x14ac:dyDescent="0.25">
      <c r="A416" s="92"/>
      <c r="F416" s="620"/>
      <c r="G416" s="630"/>
      <c r="H416" s="93"/>
      <c r="I416" s="41"/>
      <c r="J416" s="810"/>
    </row>
    <row r="417" spans="1:10" x14ac:dyDescent="0.25">
      <c r="A417" s="92"/>
      <c r="F417" s="620"/>
      <c r="G417" s="630"/>
      <c r="H417" s="93"/>
      <c r="I417" s="41"/>
      <c r="J417" s="810"/>
    </row>
    <row r="418" spans="1:10" x14ac:dyDescent="0.25">
      <c r="A418" s="92"/>
      <c r="F418" s="620"/>
      <c r="G418" s="630"/>
      <c r="H418" s="93"/>
      <c r="I418" s="41"/>
      <c r="J418" s="810"/>
    </row>
    <row r="419" spans="1:10" x14ac:dyDescent="0.25">
      <c r="A419" s="92"/>
      <c r="F419" s="620"/>
      <c r="G419" s="630"/>
      <c r="H419" s="93"/>
      <c r="I419" s="41"/>
      <c r="J419" s="810"/>
    </row>
    <row r="420" spans="1:10" x14ac:dyDescent="0.25">
      <c r="A420" s="92"/>
      <c r="F420" s="620"/>
      <c r="G420" s="630"/>
      <c r="H420" s="93"/>
      <c r="I420" s="41"/>
      <c r="J420" s="810"/>
    </row>
    <row r="421" spans="1:10" x14ac:dyDescent="0.25">
      <c r="A421" s="92"/>
      <c r="F421" s="620"/>
      <c r="G421" s="630"/>
      <c r="H421" s="93"/>
      <c r="I421" s="41"/>
      <c r="J421" s="810"/>
    </row>
    <row r="422" spans="1:10" x14ac:dyDescent="0.25">
      <c r="A422" s="92"/>
      <c r="F422" s="620"/>
      <c r="G422" s="630"/>
      <c r="H422" s="93"/>
      <c r="I422" s="41"/>
      <c r="J422" s="810"/>
    </row>
    <row r="423" spans="1:10" x14ac:dyDescent="0.25">
      <c r="A423" s="92"/>
      <c r="F423" s="620"/>
      <c r="G423" s="630"/>
      <c r="H423" s="93"/>
      <c r="I423" s="41"/>
      <c r="J423" s="810"/>
    </row>
    <row r="424" spans="1:10" x14ac:dyDescent="0.25">
      <c r="A424" s="92"/>
      <c r="F424" s="620"/>
      <c r="G424" s="630"/>
      <c r="H424" s="93"/>
      <c r="I424" s="41"/>
      <c r="J424" s="810"/>
    </row>
    <row r="425" spans="1:10" x14ac:dyDescent="0.25">
      <c r="A425" s="92"/>
      <c r="F425" s="620"/>
      <c r="G425" s="630"/>
      <c r="H425" s="93"/>
      <c r="I425" s="41"/>
      <c r="J425" s="810"/>
    </row>
    <row r="426" spans="1:10" x14ac:dyDescent="0.25">
      <c r="A426" s="92"/>
      <c r="F426" s="620"/>
      <c r="G426" s="630"/>
      <c r="H426" s="93"/>
      <c r="I426" s="41"/>
      <c r="J426" s="810"/>
    </row>
    <row r="427" spans="1:10" x14ac:dyDescent="0.25">
      <c r="A427" s="92"/>
      <c r="F427" s="620"/>
      <c r="G427" s="630"/>
      <c r="H427" s="93"/>
      <c r="I427" s="41"/>
      <c r="J427" s="810"/>
    </row>
    <row r="428" spans="1:10" x14ac:dyDescent="0.25">
      <c r="A428" s="92"/>
      <c r="F428" s="620"/>
      <c r="G428" s="630"/>
      <c r="H428" s="93"/>
      <c r="I428" s="41"/>
      <c r="J428" s="810"/>
    </row>
    <row r="429" spans="1:10" x14ac:dyDescent="0.25">
      <c r="A429" s="92"/>
      <c r="F429" s="620"/>
      <c r="G429" s="630"/>
      <c r="H429" s="93"/>
      <c r="I429" s="41"/>
      <c r="J429" s="810"/>
    </row>
    <row r="430" spans="1:10" x14ac:dyDescent="0.25">
      <c r="A430" s="92"/>
      <c r="F430" s="620"/>
      <c r="G430" s="630"/>
      <c r="H430" s="93"/>
      <c r="I430" s="41"/>
      <c r="J430" s="810"/>
    </row>
    <row r="431" spans="1:10" x14ac:dyDescent="0.25">
      <c r="A431" s="92"/>
      <c r="F431" s="620"/>
      <c r="G431" s="630"/>
      <c r="H431" s="93"/>
      <c r="I431" s="41"/>
      <c r="J431" s="810"/>
    </row>
    <row r="432" spans="1:10" x14ac:dyDescent="0.25">
      <c r="A432" s="92"/>
      <c r="F432" s="620"/>
      <c r="G432" s="630"/>
      <c r="H432" s="93"/>
      <c r="I432" s="41"/>
      <c r="J432" s="810"/>
    </row>
    <row r="433" spans="1:10" x14ac:dyDescent="0.25">
      <c r="A433" s="92"/>
      <c r="F433" s="620"/>
      <c r="G433" s="630"/>
      <c r="H433" s="93"/>
      <c r="I433" s="41"/>
      <c r="J433" s="810"/>
    </row>
    <row r="434" spans="1:10" x14ac:dyDescent="0.25">
      <c r="A434" s="92"/>
      <c r="F434" s="620"/>
      <c r="G434" s="630"/>
      <c r="H434" s="93"/>
      <c r="I434" s="41"/>
      <c r="J434" s="810"/>
    </row>
    <row r="435" spans="1:10" x14ac:dyDescent="0.25">
      <c r="A435" s="92"/>
      <c r="F435" s="620"/>
      <c r="G435" s="630"/>
      <c r="H435" s="93"/>
      <c r="I435" s="41"/>
      <c r="J435" s="810"/>
    </row>
    <row r="436" spans="1:10" x14ac:dyDescent="0.25">
      <c r="A436" s="92"/>
      <c r="F436" s="620"/>
      <c r="G436" s="630"/>
      <c r="H436" s="93"/>
      <c r="I436" s="41"/>
      <c r="J436" s="810"/>
    </row>
    <row r="437" spans="1:10" x14ac:dyDescent="0.25">
      <c r="A437" s="92"/>
      <c r="F437" s="620"/>
      <c r="G437" s="630"/>
      <c r="H437" s="93"/>
      <c r="I437" s="41"/>
      <c r="J437" s="810"/>
    </row>
    <row r="438" spans="1:10" x14ac:dyDescent="0.25">
      <c r="A438" s="92"/>
      <c r="F438" s="620"/>
      <c r="G438" s="630"/>
      <c r="H438" s="93"/>
      <c r="I438" s="41"/>
      <c r="J438" s="810"/>
    </row>
    <row r="439" spans="1:10" x14ac:dyDescent="0.25">
      <c r="A439" s="92"/>
      <c r="F439" s="620"/>
      <c r="G439" s="630"/>
      <c r="H439" s="93"/>
      <c r="I439" s="41"/>
      <c r="J439" s="810"/>
    </row>
    <row r="440" spans="1:10" x14ac:dyDescent="0.25">
      <c r="A440" s="92"/>
      <c r="F440" s="620"/>
      <c r="G440" s="630"/>
      <c r="H440" s="93"/>
      <c r="I440" s="41"/>
      <c r="J440" s="810"/>
    </row>
    <row r="441" spans="1:10" x14ac:dyDescent="0.25">
      <c r="A441" s="92"/>
      <c r="F441" s="620"/>
      <c r="G441" s="630"/>
      <c r="H441" s="93"/>
      <c r="I441" s="41"/>
      <c r="J441" s="810"/>
    </row>
    <row r="442" spans="1:10" x14ac:dyDescent="0.25">
      <c r="A442" s="92"/>
      <c r="F442" s="620"/>
      <c r="G442" s="630"/>
      <c r="H442" s="93"/>
      <c r="I442" s="41"/>
      <c r="J442" s="810"/>
    </row>
    <row r="443" spans="1:10" x14ac:dyDescent="0.25">
      <c r="A443" s="92"/>
      <c r="F443" s="620"/>
      <c r="G443" s="630"/>
      <c r="H443" s="93"/>
      <c r="I443" s="41"/>
      <c r="J443" s="810"/>
    </row>
    <row r="444" spans="1:10" x14ac:dyDescent="0.25">
      <c r="A444" s="92"/>
      <c r="F444" s="620"/>
      <c r="G444" s="630"/>
      <c r="H444" s="93"/>
      <c r="I444" s="41"/>
      <c r="J444" s="810"/>
    </row>
    <row r="445" spans="1:10" x14ac:dyDescent="0.25">
      <c r="A445" s="92"/>
      <c r="F445" s="620"/>
      <c r="G445" s="630"/>
      <c r="H445" s="93"/>
      <c r="I445" s="41"/>
      <c r="J445" s="810"/>
    </row>
    <row r="446" spans="1:10" x14ac:dyDescent="0.25">
      <c r="A446" s="92"/>
      <c r="F446" s="620"/>
      <c r="G446" s="630"/>
      <c r="H446" s="93"/>
      <c r="I446" s="41"/>
      <c r="J446" s="810"/>
    </row>
    <row r="447" spans="1:10" x14ac:dyDescent="0.25">
      <c r="A447" s="92"/>
      <c r="F447" s="620"/>
      <c r="G447" s="630"/>
      <c r="H447" s="93"/>
      <c r="I447" s="41"/>
      <c r="J447" s="810"/>
    </row>
    <row r="448" spans="1:10" x14ac:dyDescent="0.25">
      <c r="A448" s="92"/>
      <c r="F448" s="620"/>
      <c r="G448" s="630"/>
      <c r="H448" s="93"/>
      <c r="I448" s="41"/>
      <c r="J448" s="810"/>
    </row>
    <row r="449" spans="1:10" x14ac:dyDescent="0.25">
      <c r="A449" s="92"/>
      <c r="F449" s="620"/>
      <c r="G449" s="630"/>
      <c r="H449" s="93"/>
      <c r="I449" s="41"/>
      <c r="J449" s="810"/>
    </row>
    <row r="450" spans="1:10" x14ac:dyDescent="0.25">
      <c r="A450" s="92"/>
      <c r="F450" s="620"/>
      <c r="G450" s="630"/>
      <c r="H450" s="93"/>
      <c r="I450" s="41"/>
      <c r="J450" s="810"/>
    </row>
    <row r="451" spans="1:10" x14ac:dyDescent="0.25">
      <c r="A451" s="92"/>
      <c r="F451" s="620"/>
      <c r="G451" s="630"/>
      <c r="H451" s="93"/>
      <c r="I451" s="41"/>
      <c r="J451" s="810"/>
    </row>
    <row r="452" spans="1:10" x14ac:dyDescent="0.25">
      <c r="A452" s="92"/>
      <c r="F452" s="620"/>
      <c r="G452" s="630"/>
      <c r="H452" s="93"/>
      <c r="I452" s="41"/>
      <c r="J452" s="810"/>
    </row>
    <row r="453" spans="1:10" x14ac:dyDescent="0.25">
      <c r="A453" s="92"/>
      <c r="F453" s="620"/>
      <c r="G453" s="630"/>
      <c r="H453" s="93"/>
      <c r="I453" s="41"/>
      <c r="J453" s="810"/>
    </row>
    <row r="454" spans="1:10" x14ac:dyDescent="0.25">
      <c r="A454" s="92"/>
      <c r="F454" s="620"/>
      <c r="G454" s="630"/>
      <c r="H454" s="93"/>
      <c r="I454" s="41"/>
      <c r="J454" s="810"/>
    </row>
    <row r="455" spans="1:10" x14ac:dyDescent="0.25">
      <c r="A455" s="92"/>
      <c r="F455" s="620"/>
      <c r="G455" s="630"/>
      <c r="H455" s="93"/>
      <c r="I455" s="41"/>
      <c r="J455" s="810"/>
    </row>
    <row r="456" spans="1:10" x14ac:dyDescent="0.25">
      <c r="A456" s="92"/>
      <c r="F456" s="620"/>
      <c r="G456" s="630"/>
      <c r="H456" s="93"/>
      <c r="I456" s="41"/>
      <c r="J456" s="810"/>
    </row>
    <row r="457" spans="1:10" x14ac:dyDescent="0.25">
      <c r="A457" s="92"/>
      <c r="F457" s="620"/>
      <c r="G457" s="630"/>
      <c r="H457" s="93"/>
      <c r="I457" s="41"/>
      <c r="J457" s="810"/>
    </row>
    <row r="458" spans="1:10" x14ac:dyDescent="0.25">
      <c r="A458" s="92"/>
      <c r="F458" s="620"/>
      <c r="G458" s="630"/>
      <c r="H458" s="93"/>
      <c r="I458" s="41"/>
      <c r="J458" s="810"/>
    </row>
    <row r="459" spans="1:10" x14ac:dyDescent="0.25">
      <c r="A459" s="92"/>
      <c r="F459" s="620"/>
      <c r="G459" s="630"/>
      <c r="H459" s="93"/>
      <c r="I459" s="41"/>
      <c r="J459" s="810"/>
    </row>
    <row r="460" spans="1:10" x14ac:dyDescent="0.25">
      <c r="A460" s="92"/>
      <c r="F460" s="620"/>
      <c r="G460" s="630"/>
      <c r="H460" s="93"/>
      <c r="I460" s="41"/>
      <c r="J460" s="810"/>
    </row>
    <row r="461" spans="1:10" x14ac:dyDescent="0.25">
      <c r="A461" s="92"/>
      <c r="F461" s="620"/>
      <c r="G461" s="630"/>
      <c r="H461" s="93"/>
      <c r="I461" s="41"/>
      <c r="J461" s="810"/>
    </row>
    <row r="462" spans="1:10" x14ac:dyDescent="0.25">
      <c r="A462" s="92"/>
      <c r="F462" s="620"/>
      <c r="G462" s="630"/>
      <c r="H462" s="93"/>
      <c r="I462" s="41"/>
      <c r="J462" s="810"/>
    </row>
    <row r="463" spans="1:10" x14ac:dyDescent="0.25">
      <c r="A463" s="92"/>
      <c r="F463" s="620"/>
      <c r="G463" s="630"/>
      <c r="H463" s="93"/>
      <c r="I463" s="41"/>
      <c r="J463" s="810"/>
    </row>
    <row r="464" spans="1:10" x14ac:dyDescent="0.25">
      <c r="A464" s="92"/>
      <c r="F464" s="620"/>
      <c r="G464" s="630"/>
      <c r="H464" s="93"/>
      <c r="I464" s="41"/>
      <c r="J464" s="810"/>
    </row>
    <row r="465" spans="1:10" x14ac:dyDescent="0.25">
      <c r="A465" s="92"/>
      <c r="F465" s="620"/>
      <c r="G465" s="630"/>
      <c r="H465" s="93"/>
      <c r="I465" s="41"/>
      <c r="J465" s="810"/>
    </row>
    <row r="466" spans="1:10" x14ac:dyDescent="0.25">
      <c r="A466" s="92"/>
      <c r="F466" s="620"/>
      <c r="G466" s="630"/>
      <c r="H466" s="93"/>
      <c r="I466" s="41"/>
      <c r="J466" s="810"/>
    </row>
    <row r="467" spans="1:10" x14ac:dyDescent="0.25">
      <c r="A467" s="92"/>
      <c r="F467" s="620"/>
      <c r="G467" s="630"/>
      <c r="H467" s="93"/>
      <c r="I467" s="41"/>
      <c r="J467" s="810"/>
    </row>
    <row r="468" spans="1:10" x14ac:dyDescent="0.25">
      <c r="A468" s="92"/>
      <c r="F468" s="620"/>
      <c r="G468" s="630"/>
      <c r="H468" s="93"/>
      <c r="I468" s="41"/>
      <c r="J468" s="810"/>
    </row>
    <row r="469" spans="1:10" x14ac:dyDescent="0.25">
      <c r="A469" s="92"/>
      <c r="F469" s="620"/>
      <c r="G469" s="630"/>
      <c r="H469" s="93"/>
      <c r="I469" s="41"/>
      <c r="J469" s="810"/>
    </row>
    <row r="470" spans="1:10" x14ac:dyDescent="0.25">
      <c r="A470" s="92"/>
      <c r="F470" s="620"/>
      <c r="G470" s="630"/>
      <c r="H470" s="93"/>
      <c r="I470" s="41"/>
      <c r="J470" s="810"/>
    </row>
    <row r="471" spans="1:10" x14ac:dyDescent="0.25">
      <c r="A471" s="92"/>
      <c r="F471" s="620"/>
      <c r="G471" s="630"/>
      <c r="H471" s="93"/>
      <c r="I471" s="41"/>
      <c r="J471" s="810"/>
    </row>
    <row r="472" spans="1:10" x14ac:dyDescent="0.25">
      <c r="A472" s="92"/>
      <c r="F472" s="620"/>
      <c r="G472" s="630"/>
      <c r="H472" s="93"/>
      <c r="I472" s="41"/>
      <c r="J472" s="810"/>
    </row>
    <row r="473" spans="1:10" x14ac:dyDescent="0.25">
      <c r="A473" s="92"/>
      <c r="F473" s="620"/>
      <c r="G473" s="630"/>
      <c r="H473" s="93"/>
      <c r="I473" s="41"/>
      <c r="J473" s="810"/>
    </row>
    <row r="474" spans="1:10" x14ac:dyDescent="0.25">
      <c r="A474" s="92"/>
      <c r="F474" s="620"/>
      <c r="G474" s="630"/>
      <c r="H474" s="93"/>
      <c r="I474" s="41"/>
      <c r="J474" s="810"/>
    </row>
    <row r="475" spans="1:10" x14ac:dyDescent="0.25">
      <c r="A475" s="92"/>
      <c r="F475" s="620"/>
      <c r="G475" s="630"/>
      <c r="H475" s="93"/>
      <c r="I475" s="41"/>
      <c r="J475" s="810"/>
    </row>
    <row r="476" spans="1:10" x14ac:dyDescent="0.25">
      <c r="A476" s="92"/>
      <c r="F476" s="620"/>
      <c r="G476" s="630"/>
      <c r="H476" s="93"/>
      <c r="I476" s="41"/>
      <c r="J476" s="810"/>
    </row>
    <row r="477" spans="1:10" x14ac:dyDescent="0.25">
      <c r="A477" s="92"/>
      <c r="F477" s="620"/>
      <c r="G477" s="630"/>
      <c r="H477" s="93"/>
      <c r="I477" s="41"/>
      <c r="J477" s="810"/>
    </row>
    <row r="478" spans="1:10" x14ac:dyDescent="0.25">
      <c r="A478" s="92"/>
      <c r="F478" s="620"/>
      <c r="G478" s="630"/>
      <c r="H478" s="93"/>
      <c r="I478" s="41"/>
      <c r="J478" s="810"/>
    </row>
    <row r="479" spans="1:10" x14ac:dyDescent="0.25">
      <c r="A479" s="92"/>
      <c r="F479" s="620"/>
      <c r="G479" s="630"/>
      <c r="H479" s="93"/>
      <c r="I479" s="41"/>
      <c r="J479" s="810"/>
    </row>
    <row r="480" spans="1:10" x14ac:dyDescent="0.25">
      <c r="A480" s="92"/>
      <c r="F480" s="620"/>
      <c r="G480" s="630"/>
      <c r="H480" s="93"/>
      <c r="I480" s="41"/>
      <c r="J480" s="810"/>
    </row>
    <row r="481" spans="1:10" x14ac:dyDescent="0.25">
      <c r="A481" s="92"/>
      <c r="F481" s="620"/>
      <c r="G481" s="630"/>
      <c r="H481" s="93"/>
      <c r="I481" s="41"/>
      <c r="J481" s="810"/>
    </row>
    <row r="482" spans="1:10" x14ac:dyDescent="0.25">
      <c r="A482" s="92"/>
      <c r="F482" s="620"/>
      <c r="G482" s="630"/>
      <c r="H482" s="93"/>
      <c r="I482" s="41"/>
      <c r="J482" s="810"/>
    </row>
    <row r="483" spans="1:10" x14ac:dyDescent="0.25">
      <c r="A483" s="92"/>
      <c r="F483" s="620"/>
      <c r="G483" s="630"/>
      <c r="H483" s="93"/>
      <c r="I483" s="41"/>
      <c r="J483" s="810"/>
    </row>
    <row r="484" spans="1:10" x14ac:dyDescent="0.25">
      <c r="A484" s="92"/>
      <c r="F484" s="620"/>
      <c r="G484" s="630"/>
      <c r="H484" s="93"/>
      <c r="I484" s="41"/>
      <c r="J484" s="810"/>
    </row>
    <row r="485" spans="1:10" x14ac:dyDescent="0.25">
      <c r="A485" s="92"/>
      <c r="F485" s="620"/>
      <c r="G485" s="630"/>
      <c r="H485" s="93"/>
      <c r="I485" s="41"/>
      <c r="J485" s="810"/>
    </row>
    <row r="486" spans="1:10" x14ac:dyDescent="0.25">
      <c r="A486" s="92"/>
      <c r="F486" s="620"/>
      <c r="G486" s="630"/>
      <c r="H486" s="93"/>
      <c r="I486" s="41"/>
      <c r="J486" s="810"/>
    </row>
    <row r="487" spans="1:10" x14ac:dyDescent="0.25">
      <c r="A487" s="92"/>
      <c r="F487" s="620"/>
      <c r="G487" s="630"/>
      <c r="H487" s="93"/>
      <c r="I487" s="41"/>
      <c r="J487" s="810"/>
    </row>
    <row r="488" spans="1:10" x14ac:dyDescent="0.25">
      <c r="A488" s="92"/>
      <c r="F488" s="620"/>
      <c r="G488" s="630"/>
      <c r="H488" s="93"/>
      <c r="I488" s="41"/>
      <c r="J488" s="810"/>
    </row>
    <row r="489" spans="1:10" x14ac:dyDescent="0.25">
      <c r="A489" s="92"/>
      <c r="F489" s="620"/>
      <c r="G489" s="630"/>
      <c r="H489" s="93"/>
      <c r="I489" s="41"/>
      <c r="J489" s="810"/>
    </row>
    <row r="490" spans="1:10" x14ac:dyDescent="0.25">
      <c r="A490" s="92"/>
      <c r="F490" s="620"/>
      <c r="G490" s="630"/>
      <c r="H490" s="93"/>
      <c r="I490" s="41"/>
      <c r="J490" s="810"/>
    </row>
    <row r="491" spans="1:10" x14ac:dyDescent="0.25">
      <c r="A491" s="92"/>
      <c r="F491" s="620"/>
      <c r="G491" s="630"/>
      <c r="H491" s="93"/>
      <c r="I491" s="41"/>
      <c r="J491" s="810"/>
    </row>
    <row r="492" spans="1:10" x14ac:dyDescent="0.25">
      <c r="A492" s="92"/>
      <c r="F492" s="620"/>
      <c r="G492" s="630"/>
      <c r="H492" s="93"/>
      <c r="I492" s="41"/>
      <c r="J492" s="810"/>
    </row>
    <row r="493" spans="1:10" x14ac:dyDescent="0.25">
      <c r="A493" s="92"/>
      <c r="F493" s="620"/>
      <c r="G493" s="630"/>
      <c r="H493" s="93"/>
      <c r="I493" s="41"/>
      <c r="J493" s="810"/>
    </row>
    <row r="494" spans="1:10" x14ac:dyDescent="0.25">
      <c r="A494" s="92"/>
      <c r="F494" s="620"/>
      <c r="G494" s="630"/>
      <c r="H494" s="93"/>
      <c r="I494" s="41"/>
      <c r="J494" s="810"/>
    </row>
    <row r="495" spans="1:10" x14ac:dyDescent="0.25">
      <c r="A495" s="92"/>
      <c r="F495" s="620"/>
      <c r="G495" s="630"/>
      <c r="H495" s="93"/>
      <c r="I495" s="41"/>
      <c r="J495" s="810"/>
    </row>
    <row r="496" spans="1:10" x14ac:dyDescent="0.25">
      <c r="A496" s="92"/>
      <c r="F496" s="620"/>
      <c r="G496" s="630"/>
      <c r="H496" s="93"/>
      <c r="I496" s="41"/>
      <c r="J496" s="810"/>
    </row>
    <row r="497" spans="1:10" x14ac:dyDescent="0.25">
      <c r="A497" s="92"/>
      <c r="F497" s="620"/>
      <c r="G497" s="630"/>
      <c r="H497" s="93"/>
      <c r="I497" s="41"/>
      <c r="J497" s="810"/>
    </row>
    <row r="498" spans="1:10" x14ac:dyDescent="0.25">
      <c r="A498" s="92"/>
      <c r="F498" s="620"/>
      <c r="G498" s="630"/>
      <c r="H498" s="93"/>
      <c r="I498" s="41"/>
      <c r="J498" s="810"/>
    </row>
    <row r="499" spans="1:10" x14ac:dyDescent="0.25">
      <c r="A499" s="92"/>
      <c r="F499" s="620"/>
      <c r="G499" s="630"/>
      <c r="H499" s="93"/>
      <c r="I499" s="41"/>
      <c r="J499" s="810"/>
    </row>
    <row r="500" spans="1:10" x14ac:dyDescent="0.25">
      <c r="A500" s="92"/>
      <c r="F500" s="620"/>
      <c r="G500" s="630"/>
      <c r="H500" s="93"/>
      <c r="I500" s="41"/>
      <c r="J500" s="810"/>
    </row>
    <row r="501" spans="1:10" x14ac:dyDescent="0.25">
      <c r="A501" s="92"/>
      <c r="F501" s="620"/>
      <c r="G501" s="630"/>
      <c r="H501" s="93"/>
      <c r="I501" s="41"/>
      <c r="J501" s="810"/>
    </row>
    <row r="502" spans="1:10" x14ac:dyDescent="0.25">
      <c r="A502" s="92"/>
      <c r="F502" s="620"/>
      <c r="G502" s="630"/>
      <c r="H502" s="93"/>
      <c r="I502" s="41"/>
      <c r="J502" s="810"/>
    </row>
    <row r="503" spans="1:10" x14ac:dyDescent="0.25">
      <c r="A503" s="92"/>
      <c r="F503" s="620"/>
      <c r="G503" s="630"/>
      <c r="H503" s="93"/>
      <c r="I503" s="41"/>
      <c r="J503" s="810"/>
    </row>
    <row r="504" spans="1:10" x14ac:dyDescent="0.25">
      <c r="A504" s="92"/>
      <c r="F504" s="620"/>
      <c r="G504" s="630"/>
      <c r="H504" s="93"/>
      <c r="I504" s="41"/>
      <c r="J504" s="810"/>
    </row>
    <row r="505" spans="1:10" x14ac:dyDescent="0.25">
      <c r="A505" s="92"/>
      <c r="F505" s="620"/>
      <c r="G505" s="630"/>
      <c r="H505" s="93"/>
      <c r="I505" s="41"/>
      <c r="J505" s="810"/>
    </row>
    <row r="506" spans="1:10" x14ac:dyDescent="0.25">
      <c r="A506" s="92"/>
      <c r="F506" s="620"/>
      <c r="G506" s="630"/>
      <c r="H506" s="93"/>
      <c r="I506" s="41"/>
      <c r="J506" s="810"/>
    </row>
    <row r="507" spans="1:10" x14ac:dyDescent="0.25">
      <c r="A507" s="92"/>
      <c r="F507" s="620"/>
      <c r="G507" s="630"/>
      <c r="H507" s="93"/>
      <c r="I507" s="41"/>
      <c r="J507" s="810"/>
    </row>
    <row r="508" spans="1:10" x14ac:dyDescent="0.25">
      <c r="A508" s="92"/>
      <c r="F508" s="620"/>
      <c r="G508" s="630"/>
      <c r="H508" s="93"/>
      <c r="I508" s="41"/>
      <c r="J508" s="810"/>
    </row>
    <row r="509" spans="1:10" x14ac:dyDescent="0.25">
      <c r="A509" s="92"/>
      <c r="F509" s="620"/>
      <c r="G509" s="630"/>
      <c r="H509" s="93"/>
      <c r="I509" s="41"/>
      <c r="J509" s="810"/>
    </row>
    <row r="510" spans="1:10" x14ac:dyDescent="0.25">
      <c r="A510" s="92"/>
      <c r="F510" s="620"/>
      <c r="G510" s="630"/>
      <c r="H510" s="93"/>
      <c r="I510" s="41"/>
      <c r="J510" s="810"/>
    </row>
    <row r="511" spans="1:10" x14ac:dyDescent="0.25">
      <c r="A511" s="92"/>
      <c r="F511" s="620"/>
      <c r="G511" s="630"/>
      <c r="H511" s="93"/>
      <c r="I511" s="41"/>
      <c r="J511" s="810"/>
    </row>
    <row r="512" spans="1:10" x14ac:dyDescent="0.25">
      <c r="A512" s="92"/>
      <c r="F512" s="620"/>
      <c r="G512" s="630"/>
      <c r="H512" s="93"/>
      <c r="I512" s="41"/>
      <c r="J512" s="810"/>
    </row>
    <row r="513" spans="1:10" x14ac:dyDescent="0.25">
      <c r="A513" s="92"/>
      <c r="F513" s="620"/>
      <c r="G513" s="630"/>
      <c r="H513" s="93"/>
      <c r="I513" s="41"/>
      <c r="J513" s="810"/>
    </row>
    <row r="514" spans="1:10" x14ac:dyDescent="0.25">
      <c r="A514" s="92"/>
      <c r="F514" s="620"/>
      <c r="G514" s="630"/>
      <c r="H514" s="93"/>
      <c r="I514" s="41"/>
      <c r="J514" s="810"/>
    </row>
    <row r="515" spans="1:10" x14ac:dyDescent="0.25">
      <c r="A515" s="92"/>
      <c r="F515" s="620"/>
      <c r="G515" s="630"/>
      <c r="H515" s="93"/>
      <c r="I515" s="41"/>
      <c r="J515" s="810"/>
    </row>
    <row r="516" spans="1:10" x14ac:dyDescent="0.25">
      <c r="A516" s="92"/>
      <c r="F516" s="620"/>
      <c r="G516" s="630"/>
      <c r="H516" s="93"/>
      <c r="I516" s="41"/>
      <c r="J516" s="810"/>
    </row>
    <row r="517" spans="1:10" x14ac:dyDescent="0.25">
      <c r="A517" s="92"/>
      <c r="F517" s="620"/>
      <c r="G517" s="630"/>
      <c r="H517" s="93"/>
      <c r="I517" s="41"/>
      <c r="J517" s="810"/>
    </row>
    <row r="518" spans="1:10" x14ac:dyDescent="0.25">
      <c r="A518" s="92"/>
      <c r="F518" s="620"/>
      <c r="G518" s="630"/>
      <c r="H518" s="93"/>
      <c r="I518" s="41"/>
      <c r="J518" s="810"/>
    </row>
    <row r="519" spans="1:10" x14ac:dyDescent="0.25">
      <c r="A519" s="92"/>
      <c r="F519" s="620"/>
      <c r="G519" s="630"/>
      <c r="H519" s="93"/>
      <c r="I519" s="41"/>
      <c r="J519" s="810"/>
    </row>
    <row r="520" spans="1:10" x14ac:dyDescent="0.25">
      <c r="A520" s="92"/>
      <c r="F520" s="620"/>
      <c r="G520" s="630"/>
      <c r="H520" s="93"/>
      <c r="I520" s="41"/>
      <c r="J520" s="810"/>
    </row>
    <row r="521" spans="1:10" x14ac:dyDescent="0.25">
      <c r="A521" s="92"/>
      <c r="F521" s="620"/>
      <c r="G521" s="630"/>
      <c r="H521" s="93"/>
      <c r="I521" s="41"/>
      <c r="J521" s="810"/>
    </row>
    <row r="522" spans="1:10" x14ac:dyDescent="0.25">
      <c r="A522" s="92"/>
      <c r="F522" s="620"/>
      <c r="G522" s="630"/>
      <c r="H522" s="93"/>
      <c r="I522" s="41"/>
      <c r="J522" s="810"/>
    </row>
    <row r="523" spans="1:10" x14ac:dyDescent="0.25">
      <c r="A523" s="92"/>
      <c r="F523" s="620"/>
      <c r="G523" s="630"/>
      <c r="H523" s="93"/>
      <c r="I523" s="41"/>
      <c r="J523" s="810"/>
    </row>
    <row r="524" spans="1:10" x14ac:dyDescent="0.25">
      <c r="A524" s="92"/>
      <c r="F524" s="620"/>
      <c r="G524" s="630"/>
      <c r="H524" s="93"/>
      <c r="I524" s="41"/>
      <c r="J524" s="810"/>
    </row>
    <row r="525" spans="1:10" x14ac:dyDescent="0.25">
      <c r="A525" s="92"/>
      <c r="F525" s="620"/>
      <c r="G525" s="630"/>
      <c r="H525" s="93"/>
      <c r="I525" s="41"/>
      <c r="J525" s="810"/>
    </row>
    <row r="526" spans="1:10" x14ac:dyDescent="0.25">
      <c r="A526" s="92"/>
      <c r="F526" s="620"/>
      <c r="G526" s="630"/>
      <c r="H526" s="93"/>
      <c r="I526" s="41"/>
      <c r="J526" s="810"/>
    </row>
    <row r="527" spans="1:10" x14ac:dyDescent="0.25">
      <c r="A527" s="92"/>
      <c r="F527" s="620"/>
      <c r="G527" s="630"/>
      <c r="H527" s="93"/>
      <c r="I527" s="41"/>
      <c r="J527" s="810"/>
    </row>
    <row r="528" spans="1:10" x14ac:dyDescent="0.25">
      <c r="A528" s="92"/>
      <c r="F528" s="620"/>
      <c r="G528" s="630"/>
      <c r="H528" s="93"/>
      <c r="I528" s="41"/>
      <c r="J528" s="810"/>
    </row>
    <row r="529" spans="1:10" x14ac:dyDescent="0.25">
      <c r="A529" s="92"/>
      <c r="F529" s="620"/>
      <c r="G529" s="630"/>
      <c r="H529" s="93"/>
      <c r="I529" s="41"/>
      <c r="J529" s="810"/>
    </row>
    <row r="530" spans="1:10" x14ac:dyDescent="0.25">
      <c r="A530" s="92"/>
      <c r="F530" s="620"/>
      <c r="G530" s="630"/>
      <c r="H530" s="93"/>
      <c r="I530" s="41"/>
      <c r="J530" s="810"/>
    </row>
    <row r="531" spans="1:10" x14ac:dyDescent="0.25">
      <c r="A531" s="92"/>
      <c r="F531" s="620"/>
      <c r="G531" s="630"/>
      <c r="H531" s="93"/>
      <c r="I531" s="41"/>
      <c r="J531" s="810"/>
    </row>
    <row r="532" spans="1:10" x14ac:dyDescent="0.25">
      <c r="A532" s="92"/>
      <c r="F532" s="620"/>
      <c r="G532" s="630"/>
      <c r="H532" s="93"/>
      <c r="I532" s="41"/>
      <c r="J532" s="810"/>
    </row>
    <row r="533" spans="1:10" x14ac:dyDescent="0.25">
      <c r="A533" s="92"/>
      <c r="F533" s="620"/>
      <c r="G533" s="630"/>
      <c r="H533" s="93"/>
      <c r="I533" s="41"/>
      <c r="J533" s="810"/>
    </row>
    <row r="534" spans="1:10" x14ac:dyDescent="0.25">
      <c r="A534" s="92"/>
      <c r="F534" s="620"/>
      <c r="G534" s="630"/>
      <c r="H534" s="93"/>
      <c r="I534" s="41"/>
      <c r="J534" s="810"/>
    </row>
    <row r="535" spans="1:10" x14ac:dyDescent="0.25">
      <c r="A535" s="92"/>
      <c r="F535" s="620"/>
      <c r="G535" s="630"/>
      <c r="H535" s="93"/>
      <c r="I535" s="41"/>
      <c r="J535" s="810"/>
    </row>
    <row r="536" spans="1:10" x14ac:dyDescent="0.25">
      <c r="A536" s="92"/>
      <c r="F536" s="620"/>
      <c r="G536" s="630"/>
      <c r="H536" s="93"/>
      <c r="I536" s="41"/>
      <c r="J536" s="810"/>
    </row>
    <row r="537" spans="1:10" x14ac:dyDescent="0.25">
      <c r="A537" s="92"/>
      <c r="F537" s="620"/>
      <c r="G537" s="630"/>
      <c r="H537" s="93"/>
      <c r="I537" s="41"/>
      <c r="J537" s="810"/>
    </row>
    <row r="538" spans="1:10" x14ac:dyDescent="0.25">
      <c r="A538" s="92"/>
      <c r="F538" s="620"/>
      <c r="G538" s="630"/>
      <c r="H538" s="93"/>
      <c r="I538" s="41"/>
      <c r="J538" s="810"/>
    </row>
    <row r="539" spans="1:10" x14ac:dyDescent="0.25">
      <c r="A539" s="92"/>
      <c r="F539" s="620"/>
      <c r="G539" s="630"/>
      <c r="H539" s="93"/>
      <c r="I539" s="41"/>
      <c r="J539" s="810"/>
    </row>
    <row r="540" spans="1:10" x14ac:dyDescent="0.25">
      <c r="A540" s="92"/>
      <c r="F540" s="620"/>
      <c r="G540" s="630"/>
      <c r="H540" s="93"/>
      <c r="I540" s="41"/>
      <c r="J540" s="810"/>
    </row>
    <row r="541" spans="1:10" x14ac:dyDescent="0.25">
      <c r="A541" s="92"/>
      <c r="F541" s="620"/>
      <c r="G541" s="630"/>
      <c r="H541" s="93"/>
      <c r="I541" s="41"/>
      <c r="J541" s="810"/>
    </row>
    <row r="542" spans="1:10" x14ac:dyDescent="0.25">
      <c r="A542" s="92"/>
      <c r="F542" s="620"/>
      <c r="G542" s="630"/>
      <c r="H542" s="93"/>
      <c r="I542" s="41"/>
      <c r="J542" s="810"/>
    </row>
    <row r="543" spans="1:10" x14ac:dyDescent="0.25">
      <c r="A543" s="92"/>
      <c r="F543" s="620"/>
      <c r="G543" s="630"/>
      <c r="H543" s="93"/>
      <c r="I543" s="41"/>
      <c r="J543" s="810"/>
    </row>
    <row r="544" spans="1:10" x14ac:dyDescent="0.25">
      <c r="A544" s="92"/>
      <c r="F544" s="620"/>
      <c r="G544" s="630"/>
      <c r="H544" s="93"/>
      <c r="I544" s="41"/>
      <c r="J544" s="810"/>
    </row>
    <row r="545" spans="1:10" x14ac:dyDescent="0.25">
      <c r="A545" s="92"/>
      <c r="F545" s="620"/>
      <c r="G545" s="630"/>
      <c r="H545" s="93"/>
      <c r="I545" s="41"/>
      <c r="J545" s="810"/>
    </row>
    <row r="546" spans="1:10" x14ac:dyDescent="0.25">
      <c r="A546" s="92"/>
      <c r="F546" s="620"/>
      <c r="G546" s="630"/>
      <c r="H546" s="93"/>
      <c r="I546" s="41"/>
      <c r="J546" s="810"/>
    </row>
    <row r="547" spans="1:10" x14ac:dyDescent="0.25">
      <c r="A547" s="92"/>
      <c r="F547" s="620"/>
      <c r="G547" s="630"/>
      <c r="H547" s="93"/>
      <c r="I547" s="41"/>
      <c r="J547" s="810"/>
    </row>
    <row r="548" spans="1:10" x14ac:dyDescent="0.25">
      <c r="A548" s="92"/>
      <c r="F548" s="620"/>
      <c r="G548" s="630"/>
      <c r="H548" s="93"/>
      <c r="I548" s="41"/>
      <c r="J548" s="810"/>
    </row>
    <row r="549" spans="1:10" x14ac:dyDescent="0.25">
      <c r="A549" s="92"/>
      <c r="F549" s="620"/>
      <c r="G549" s="630"/>
      <c r="H549" s="93"/>
      <c r="I549" s="41"/>
      <c r="J549" s="810"/>
    </row>
    <row r="550" spans="1:10" x14ac:dyDescent="0.25">
      <c r="A550" s="92"/>
      <c r="F550" s="620"/>
      <c r="G550" s="630"/>
      <c r="H550" s="93"/>
      <c r="I550" s="41"/>
      <c r="J550" s="810"/>
    </row>
    <row r="551" spans="1:10" x14ac:dyDescent="0.25">
      <c r="A551" s="92"/>
      <c r="F551" s="620"/>
      <c r="G551" s="630"/>
      <c r="H551" s="93"/>
      <c r="I551" s="41"/>
      <c r="J551" s="810"/>
    </row>
    <row r="552" spans="1:10" x14ac:dyDescent="0.25">
      <c r="A552" s="92"/>
      <c r="F552" s="620"/>
      <c r="G552" s="630"/>
      <c r="H552" s="93"/>
      <c r="I552" s="41"/>
      <c r="J552" s="810"/>
    </row>
    <row r="553" spans="1:10" x14ac:dyDescent="0.25">
      <c r="A553" s="92"/>
      <c r="F553" s="620"/>
      <c r="G553" s="630"/>
      <c r="H553" s="93"/>
      <c r="I553" s="41"/>
      <c r="J553" s="810"/>
    </row>
    <row r="554" spans="1:10" x14ac:dyDescent="0.25">
      <c r="A554" s="92"/>
      <c r="F554" s="620"/>
      <c r="G554" s="630"/>
      <c r="H554" s="93"/>
      <c r="I554" s="41"/>
      <c r="J554" s="810"/>
    </row>
    <row r="555" spans="1:10" x14ac:dyDescent="0.25">
      <c r="A555" s="92"/>
      <c r="F555" s="620"/>
      <c r="G555" s="630"/>
      <c r="H555" s="93"/>
      <c r="I555" s="41"/>
      <c r="J555" s="810"/>
    </row>
    <row r="556" spans="1:10" x14ac:dyDescent="0.25">
      <c r="A556" s="92"/>
      <c r="F556" s="620"/>
      <c r="G556" s="630"/>
      <c r="H556" s="93"/>
      <c r="I556" s="41"/>
      <c r="J556" s="810"/>
    </row>
    <row r="557" spans="1:10" x14ac:dyDescent="0.25">
      <c r="A557" s="92"/>
      <c r="F557" s="620"/>
      <c r="G557" s="630"/>
      <c r="H557" s="93"/>
      <c r="I557" s="41"/>
      <c r="J557" s="810"/>
    </row>
    <row r="558" spans="1:10" x14ac:dyDescent="0.25">
      <c r="A558" s="92"/>
      <c r="F558" s="620"/>
      <c r="G558" s="630"/>
      <c r="H558" s="93"/>
      <c r="I558" s="41"/>
      <c r="J558" s="810"/>
    </row>
    <row r="559" spans="1:10" x14ac:dyDescent="0.25">
      <c r="A559" s="92"/>
      <c r="F559" s="620"/>
      <c r="G559" s="630"/>
      <c r="H559" s="93"/>
      <c r="I559" s="41"/>
      <c r="J559" s="810"/>
    </row>
    <row r="560" spans="1:10" x14ac:dyDescent="0.25">
      <c r="A560" s="92"/>
      <c r="F560" s="620"/>
      <c r="G560" s="630"/>
      <c r="H560" s="93"/>
      <c r="I560" s="41"/>
      <c r="J560" s="810"/>
    </row>
    <row r="561" spans="1:10" x14ac:dyDescent="0.25">
      <c r="A561" s="92"/>
      <c r="F561" s="620"/>
      <c r="G561" s="630"/>
      <c r="H561" s="93"/>
      <c r="I561" s="41"/>
      <c r="J561" s="810"/>
    </row>
    <row r="562" spans="1:10" x14ac:dyDescent="0.25">
      <c r="A562" s="92"/>
      <c r="F562" s="620"/>
      <c r="G562" s="630"/>
      <c r="H562" s="93"/>
      <c r="I562" s="41"/>
      <c r="J562" s="810"/>
    </row>
    <row r="563" spans="1:10" x14ac:dyDescent="0.25">
      <c r="A563" s="92"/>
      <c r="F563" s="620"/>
      <c r="G563" s="630"/>
      <c r="H563" s="93"/>
      <c r="I563" s="41"/>
      <c r="J563" s="810"/>
    </row>
    <row r="564" spans="1:10" x14ac:dyDescent="0.25">
      <c r="A564" s="92"/>
      <c r="F564" s="620"/>
      <c r="G564" s="630"/>
      <c r="H564" s="93"/>
      <c r="I564" s="41"/>
      <c r="J564" s="810"/>
    </row>
    <row r="565" spans="1:10" x14ac:dyDescent="0.25">
      <c r="A565" s="92"/>
      <c r="F565" s="620"/>
      <c r="G565" s="630"/>
      <c r="H565" s="93"/>
      <c r="I565" s="41"/>
      <c r="J565" s="810"/>
    </row>
    <row r="566" spans="1:10" x14ac:dyDescent="0.25">
      <c r="A566" s="92"/>
      <c r="F566" s="620"/>
      <c r="G566" s="630"/>
      <c r="H566" s="93"/>
      <c r="I566" s="41"/>
      <c r="J566" s="810"/>
    </row>
    <row r="567" spans="1:10" x14ac:dyDescent="0.25">
      <c r="A567" s="92"/>
      <c r="F567" s="620"/>
      <c r="G567" s="630"/>
      <c r="H567" s="93"/>
      <c r="I567" s="41"/>
      <c r="J567" s="810"/>
    </row>
    <row r="568" spans="1:10" x14ac:dyDescent="0.25">
      <c r="A568" s="92"/>
      <c r="F568" s="620"/>
      <c r="G568" s="630"/>
      <c r="H568" s="93"/>
      <c r="I568" s="41"/>
      <c r="J568" s="810"/>
    </row>
    <row r="569" spans="1:10" x14ac:dyDescent="0.25">
      <c r="A569" s="92"/>
      <c r="F569" s="620"/>
      <c r="G569" s="630"/>
      <c r="H569" s="93"/>
      <c r="I569" s="41"/>
      <c r="J569" s="810"/>
    </row>
    <row r="570" spans="1:10" x14ac:dyDescent="0.25">
      <c r="A570" s="92"/>
      <c r="F570" s="620"/>
      <c r="G570" s="630"/>
      <c r="H570" s="93"/>
      <c r="I570" s="41"/>
      <c r="J570" s="810"/>
    </row>
    <row r="571" spans="1:10" x14ac:dyDescent="0.25">
      <c r="A571" s="92"/>
      <c r="F571" s="620"/>
      <c r="G571" s="630"/>
      <c r="H571" s="93"/>
      <c r="I571" s="41"/>
      <c r="J571" s="810"/>
    </row>
    <row r="572" spans="1:10" x14ac:dyDescent="0.25">
      <c r="A572" s="92"/>
      <c r="F572" s="620"/>
      <c r="G572" s="630"/>
      <c r="H572" s="93"/>
      <c r="I572" s="41"/>
      <c r="J572" s="810"/>
    </row>
    <row r="573" spans="1:10" x14ac:dyDescent="0.25">
      <c r="A573" s="92"/>
      <c r="F573" s="620"/>
      <c r="G573" s="630"/>
      <c r="H573" s="93"/>
      <c r="I573" s="41"/>
      <c r="J573" s="810"/>
    </row>
    <row r="574" spans="1:10" x14ac:dyDescent="0.25">
      <c r="A574" s="92"/>
      <c r="F574" s="620"/>
      <c r="G574" s="630"/>
      <c r="H574" s="93"/>
      <c r="I574" s="41"/>
      <c r="J574" s="810"/>
    </row>
    <row r="575" spans="1:10" x14ac:dyDescent="0.25">
      <c r="A575" s="92"/>
      <c r="F575" s="620"/>
      <c r="G575" s="630"/>
      <c r="H575" s="93"/>
      <c r="I575" s="41"/>
      <c r="J575" s="810"/>
    </row>
    <row r="576" spans="1:10" x14ac:dyDescent="0.25">
      <c r="A576" s="92"/>
      <c r="F576" s="620"/>
      <c r="G576" s="630"/>
      <c r="H576" s="93"/>
      <c r="I576" s="41"/>
      <c r="J576" s="810"/>
    </row>
    <row r="577" spans="1:10" x14ac:dyDescent="0.25">
      <c r="A577" s="92"/>
      <c r="F577" s="620"/>
      <c r="G577" s="630"/>
      <c r="H577" s="93"/>
      <c r="I577" s="41"/>
      <c r="J577" s="810"/>
    </row>
    <row r="578" spans="1:10" x14ac:dyDescent="0.25">
      <c r="A578" s="92"/>
      <c r="F578" s="620"/>
      <c r="G578" s="630"/>
      <c r="H578" s="93"/>
      <c r="I578" s="41"/>
      <c r="J578" s="810"/>
    </row>
    <row r="579" spans="1:10" x14ac:dyDescent="0.25">
      <c r="A579" s="92"/>
      <c r="F579" s="620"/>
      <c r="G579" s="630"/>
      <c r="H579" s="93"/>
      <c r="I579" s="41"/>
      <c r="J579" s="810"/>
    </row>
    <row r="580" spans="1:10" x14ac:dyDescent="0.25">
      <c r="A580" s="92"/>
      <c r="F580" s="620"/>
      <c r="G580" s="630"/>
      <c r="H580" s="93"/>
      <c r="I580" s="41"/>
      <c r="J580" s="810"/>
    </row>
    <row r="581" spans="1:10" x14ac:dyDescent="0.25">
      <c r="A581" s="92"/>
      <c r="F581" s="620"/>
      <c r="G581" s="630"/>
      <c r="H581" s="93"/>
      <c r="I581" s="41"/>
      <c r="J581" s="810"/>
    </row>
    <row r="582" spans="1:10" x14ac:dyDescent="0.25">
      <c r="A582" s="92"/>
      <c r="F582" s="620"/>
      <c r="G582" s="630"/>
      <c r="H582" s="93"/>
      <c r="I582" s="41"/>
      <c r="J582" s="810"/>
    </row>
    <row r="583" spans="1:10" x14ac:dyDescent="0.25">
      <c r="A583" s="92"/>
      <c r="F583" s="620"/>
      <c r="G583" s="630"/>
      <c r="H583" s="93"/>
      <c r="I583" s="41"/>
      <c r="J583" s="810"/>
    </row>
    <row r="584" spans="1:10" x14ac:dyDescent="0.25">
      <c r="A584" s="92"/>
      <c r="F584" s="620"/>
      <c r="G584" s="630"/>
      <c r="H584" s="93"/>
      <c r="I584" s="41"/>
      <c r="J584" s="810"/>
    </row>
    <row r="585" spans="1:10" x14ac:dyDescent="0.25">
      <c r="A585" s="92"/>
      <c r="F585" s="620"/>
      <c r="G585" s="630"/>
      <c r="H585" s="93"/>
      <c r="I585" s="41"/>
      <c r="J585" s="810"/>
    </row>
    <row r="586" spans="1:10" x14ac:dyDescent="0.25">
      <c r="A586" s="92"/>
      <c r="F586" s="620"/>
      <c r="G586" s="630"/>
      <c r="H586" s="93"/>
      <c r="I586" s="41"/>
      <c r="J586" s="810"/>
    </row>
    <row r="587" spans="1:10" x14ac:dyDescent="0.25">
      <c r="A587" s="92"/>
      <c r="F587" s="620"/>
      <c r="G587" s="630"/>
      <c r="H587" s="93"/>
      <c r="I587" s="41"/>
      <c r="J587" s="810"/>
    </row>
    <row r="588" spans="1:10" x14ac:dyDescent="0.25">
      <c r="A588" s="92"/>
      <c r="F588" s="620"/>
      <c r="G588" s="630"/>
      <c r="H588" s="93"/>
      <c r="I588" s="41"/>
      <c r="J588" s="810"/>
    </row>
    <row r="589" spans="1:10" x14ac:dyDescent="0.25">
      <c r="A589" s="92"/>
      <c r="F589" s="620"/>
      <c r="G589" s="630"/>
      <c r="H589" s="93"/>
      <c r="I589" s="41"/>
      <c r="J589" s="810"/>
    </row>
    <row r="590" spans="1:10" x14ac:dyDescent="0.25">
      <c r="A590" s="92"/>
      <c r="F590" s="620"/>
      <c r="G590" s="630"/>
      <c r="H590" s="93"/>
      <c r="I590" s="41"/>
      <c r="J590" s="810"/>
    </row>
    <row r="591" spans="1:10" x14ac:dyDescent="0.25">
      <c r="A591" s="92"/>
      <c r="F591" s="620"/>
      <c r="G591" s="630"/>
      <c r="H591" s="93"/>
      <c r="I591" s="41"/>
      <c r="J591" s="810"/>
    </row>
    <row r="592" spans="1:10" x14ac:dyDescent="0.25">
      <c r="A592" s="92"/>
      <c r="F592" s="620"/>
      <c r="G592" s="630"/>
      <c r="H592" s="93"/>
      <c r="I592" s="41"/>
      <c r="J592" s="810"/>
    </row>
    <row r="593" spans="1:10" x14ac:dyDescent="0.25">
      <c r="A593" s="92"/>
      <c r="F593" s="620"/>
      <c r="G593" s="630"/>
      <c r="H593" s="93"/>
      <c r="I593" s="41"/>
      <c r="J593" s="810"/>
    </row>
    <row r="594" spans="1:10" x14ac:dyDescent="0.25">
      <c r="A594" s="92"/>
      <c r="F594" s="620"/>
      <c r="G594" s="630"/>
      <c r="H594" s="93"/>
      <c r="I594" s="41"/>
      <c r="J594" s="810"/>
    </row>
    <row r="595" spans="1:10" x14ac:dyDescent="0.25">
      <c r="A595" s="92"/>
      <c r="F595" s="620"/>
      <c r="G595" s="630"/>
      <c r="H595" s="93"/>
      <c r="I595" s="41"/>
      <c r="J595" s="810"/>
    </row>
    <row r="596" spans="1:10" x14ac:dyDescent="0.25">
      <c r="A596" s="92"/>
      <c r="F596" s="620"/>
      <c r="G596" s="630"/>
      <c r="H596" s="93"/>
      <c r="I596" s="41"/>
      <c r="J596" s="810"/>
    </row>
    <row r="597" spans="1:10" x14ac:dyDescent="0.25">
      <c r="A597" s="92"/>
      <c r="F597" s="620"/>
      <c r="G597" s="630"/>
      <c r="H597" s="93"/>
      <c r="I597" s="41"/>
      <c r="J597" s="810"/>
    </row>
    <row r="598" spans="1:10" x14ac:dyDescent="0.25">
      <c r="A598" s="92"/>
      <c r="F598" s="620"/>
      <c r="G598" s="630"/>
      <c r="H598" s="93"/>
      <c r="I598" s="41"/>
      <c r="J598" s="810"/>
    </row>
    <row r="599" spans="1:10" x14ac:dyDescent="0.25">
      <c r="A599" s="92"/>
      <c r="F599" s="620"/>
      <c r="G599" s="630"/>
      <c r="H599" s="93"/>
      <c r="I599" s="41"/>
      <c r="J599" s="810"/>
    </row>
    <row r="600" spans="1:10" x14ac:dyDescent="0.25">
      <c r="A600" s="92"/>
      <c r="F600" s="620"/>
      <c r="G600" s="630"/>
      <c r="H600" s="93"/>
      <c r="I600" s="41"/>
      <c r="J600" s="810"/>
    </row>
    <row r="601" spans="1:10" x14ac:dyDescent="0.25">
      <c r="A601" s="92"/>
      <c r="F601" s="620"/>
      <c r="G601" s="630"/>
      <c r="H601" s="93"/>
      <c r="I601" s="41"/>
      <c r="J601" s="810"/>
    </row>
    <row r="602" spans="1:10" x14ac:dyDescent="0.25">
      <c r="A602" s="92"/>
      <c r="F602" s="620"/>
      <c r="G602" s="630"/>
      <c r="H602" s="93"/>
      <c r="I602" s="41"/>
      <c r="J602" s="810"/>
    </row>
    <row r="603" spans="1:10" x14ac:dyDescent="0.25">
      <c r="A603" s="92"/>
      <c r="F603" s="620"/>
      <c r="G603" s="630"/>
      <c r="H603" s="93"/>
      <c r="I603" s="41"/>
      <c r="J603" s="810"/>
    </row>
    <row r="604" spans="1:10" x14ac:dyDescent="0.25">
      <c r="A604" s="92"/>
      <c r="F604" s="620"/>
      <c r="G604" s="630"/>
      <c r="H604" s="93"/>
      <c r="I604" s="41"/>
      <c r="J604" s="810"/>
    </row>
    <row r="605" spans="1:10" x14ac:dyDescent="0.25">
      <c r="A605" s="92"/>
      <c r="F605" s="620"/>
      <c r="G605" s="630"/>
      <c r="H605" s="93"/>
      <c r="I605" s="41"/>
      <c r="J605" s="810"/>
    </row>
    <row r="606" spans="1:10" x14ac:dyDescent="0.25">
      <c r="A606" s="92"/>
      <c r="F606" s="620"/>
      <c r="G606" s="630"/>
      <c r="H606" s="93"/>
      <c r="I606" s="41"/>
      <c r="J606" s="810"/>
    </row>
    <row r="607" spans="1:10" x14ac:dyDescent="0.25">
      <c r="A607" s="92"/>
      <c r="F607" s="620"/>
      <c r="G607" s="630"/>
      <c r="H607" s="93"/>
      <c r="I607" s="41"/>
      <c r="J607" s="810"/>
    </row>
    <row r="608" spans="1:10" x14ac:dyDescent="0.25">
      <c r="A608" s="92"/>
      <c r="F608" s="620"/>
      <c r="G608" s="630"/>
      <c r="H608" s="93"/>
      <c r="I608" s="41"/>
      <c r="J608" s="810"/>
    </row>
    <row r="609" spans="1:10" x14ac:dyDescent="0.25">
      <c r="A609" s="92"/>
      <c r="F609" s="620"/>
      <c r="G609" s="630"/>
      <c r="H609" s="93"/>
      <c r="I609" s="41"/>
      <c r="J609" s="810"/>
    </row>
    <row r="610" spans="1:10" x14ac:dyDescent="0.25">
      <c r="A610" s="92"/>
      <c r="F610" s="620"/>
      <c r="G610" s="630"/>
      <c r="H610" s="93"/>
      <c r="I610" s="41"/>
      <c r="J610" s="810"/>
    </row>
    <row r="611" spans="1:10" x14ac:dyDescent="0.25">
      <c r="A611" s="92"/>
      <c r="F611" s="620"/>
      <c r="G611" s="630"/>
      <c r="H611" s="93"/>
      <c r="I611" s="41"/>
      <c r="J611" s="810"/>
    </row>
    <row r="612" spans="1:10" x14ac:dyDescent="0.25">
      <c r="A612" s="92"/>
      <c r="F612" s="620"/>
      <c r="G612" s="630"/>
      <c r="H612" s="93"/>
      <c r="I612" s="41"/>
      <c r="J612" s="810"/>
    </row>
    <row r="613" spans="1:10" x14ac:dyDescent="0.25">
      <c r="A613" s="92"/>
      <c r="F613" s="620"/>
      <c r="G613" s="630"/>
      <c r="H613" s="93"/>
      <c r="I613" s="41"/>
      <c r="J613" s="810"/>
    </row>
    <row r="614" spans="1:10" x14ac:dyDescent="0.25">
      <c r="A614" s="92"/>
      <c r="F614" s="620"/>
      <c r="G614" s="630"/>
      <c r="H614" s="93"/>
      <c r="I614" s="41"/>
      <c r="J614" s="810"/>
    </row>
    <row r="615" spans="1:10" x14ac:dyDescent="0.25">
      <c r="A615" s="92"/>
      <c r="F615" s="620"/>
      <c r="G615" s="630"/>
      <c r="H615" s="93"/>
      <c r="I615" s="41"/>
      <c r="J615" s="810"/>
    </row>
    <row r="616" spans="1:10" x14ac:dyDescent="0.25">
      <c r="A616" s="92"/>
      <c r="F616" s="620"/>
      <c r="G616" s="630"/>
      <c r="H616" s="93"/>
      <c r="I616" s="41"/>
      <c r="J616" s="810"/>
    </row>
    <row r="617" spans="1:10" x14ac:dyDescent="0.25">
      <c r="A617" s="92"/>
      <c r="F617" s="620"/>
      <c r="G617" s="630"/>
      <c r="H617" s="93"/>
      <c r="I617" s="41"/>
      <c r="J617" s="810"/>
    </row>
    <row r="618" spans="1:10" x14ac:dyDescent="0.25">
      <c r="A618" s="92"/>
      <c r="F618" s="620"/>
      <c r="G618" s="630"/>
      <c r="H618" s="93"/>
      <c r="I618" s="41"/>
      <c r="J618" s="810"/>
    </row>
    <row r="619" spans="1:10" x14ac:dyDescent="0.25">
      <c r="A619" s="92"/>
      <c r="F619" s="620"/>
      <c r="G619" s="630"/>
      <c r="H619" s="93"/>
      <c r="I619" s="41"/>
      <c r="J619" s="810"/>
    </row>
    <row r="620" spans="1:10" x14ac:dyDescent="0.25">
      <c r="A620" s="92"/>
      <c r="F620" s="620"/>
      <c r="G620" s="630"/>
      <c r="H620" s="93"/>
      <c r="I620" s="41"/>
      <c r="J620" s="810"/>
    </row>
    <row r="621" spans="1:10" x14ac:dyDescent="0.25">
      <c r="A621" s="92"/>
      <c r="F621" s="620"/>
      <c r="G621" s="630"/>
      <c r="H621" s="93"/>
      <c r="I621" s="41"/>
      <c r="J621" s="810"/>
    </row>
    <row r="622" spans="1:10" x14ac:dyDescent="0.25">
      <c r="A622" s="92"/>
      <c r="F622" s="620"/>
      <c r="G622" s="630"/>
      <c r="H622" s="93"/>
      <c r="I622" s="41"/>
      <c r="J622" s="810"/>
    </row>
    <row r="623" spans="1:10" x14ac:dyDescent="0.25">
      <c r="A623" s="92"/>
      <c r="F623" s="620"/>
      <c r="G623" s="630"/>
      <c r="H623" s="93"/>
      <c r="I623" s="41"/>
      <c r="J623" s="810"/>
    </row>
    <row r="624" spans="1:10" x14ac:dyDescent="0.25">
      <c r="A624" s="92"/>
      <c r="F624" s="620"/>
      <c r="G624" s="630"/>
      <c r="H624" s="93"/>
      <c r="I624" s="41"/>
      <c r="J624" s="810"/>
    </row>
    <row r="625" spans="1:10" x14ac:dyDescent="0.25">
      <c r="A625" s="92"/>
      <c r="F625" s="620"/>
      <c r="G625" s="630"/>
      <c r="H625" s="93"/>
      <c r="I625" s="41"/>
      <c r="J625" s="810"/>
    </row>
    <row r="626" spans="1:10" x14ac:dyDescent="0.25">
      <c r="A626" s="92"/>
      <c r="F626" s="620"/>
      <c r="G626" s="630"/>
      <c r="H626" s="93"/>
      <c r="I626" s="41"/>
      <c r="J626" s="810"/>
    </row>
    <row r="627" spans="1:10" x14ac:dyDescent="0.25">
      <c r="A627" s="92"/>
      <c r="F627" s="620"/>
      <c r="G627" s="630"/>
      <c r="H627" s="93"/>
      <c r="I627" s="41"/>
      <c r="J627" s="810"/>
    </row>
    <row r="628" spans="1:10" x14ac:dyDescent="0.25">
      <c r="A628" s="92"/>
      <c r="F628" s="620"/>
      <c r="G628" s="630"/>
      <c r="H628" s="93"/>
      <c r="I628" s="41"/>
      <c r="J628" s="810"/>
    </row>
    <row r="629" spans="1:10" x14ac:dyDescent="0.25">
      <c r="A629" s="92"/>
      <c r="F629" s="620"/>
      <c r="G629" s="630"/>
      <c r="H629" s="93"/>
      <c r="I629" s="41"/>
      <c r="J629" s="810"/>
    </row>
    <row r="630" spans="1:10" x14ac:dyDescent="0.25">
      <c r="A630" s="92"/>
      <c r="F630" s="620"/>
      <c r="G630" s="630"/>
      <c r="H630" s="93"/>
      <c r="I630" s="41"/>
      <c r="J630" s="810"/>
    </row>
    <row r="631" spans="1:10" x14ac:dyDescent="0.25">
      <c r="A631" s="92"/>
      <c r="F631" s="620"/>
      <c r="G631" s="630"/>
      <c r="H631" s="93"/>
      <c r="I631" s="41"/>
      <c r="J631" s="810"/>
    </row>
    <row r="632" spans="1:10" x14ac:dyDescent="0.25">
      <c r="A632" s="92"/>
      <c r="F632" s="620"/>
      <c r="G632" s="630"/>
      <c r="H632" s="93"/>
      <c r="I632" s="41"/>
      <c r="J632" s="810"/>
    </row>
    <row r="633" spans="1:10" x14ac:dyDescent="0.25">
      <c r="A633" s="92"/>
      <c r="F633" s="620"/>
      <c r="G633" s="630"/>
      <c r="H633" s="93"/>
      <c r="I633" s="41"/>
      <c r="J633" s="810"/>
    </row>
    <row r="634" spans="1:10" x14ac:dyDescent="0.25">
      <c r="A634" s="92"/>
      <c r="F634" s="620"/>
      <c r="G634" s="630"/>
      <c r="H634" s="93"/>
      <c r="I634" s="41"/>
      <c r="J634" s="810"/>
    </row>
    <row r="635" spans="1:10" x14ac:dyDescent="0.25">
      <c r="A635" s="92"/>
      <c r="F635" s="620"/>
      <c r="G635" s="630"/>
      <c r="H635" s="93"/>
      <c r="I635" s="41"/>
      <c r="J635" s="810"/>
    </row>
    <row r="636" spans="1:10" x14ac:dyDescent="0.25">
      <c r="A636" s="92"/>
      <c r="F636" s="620"/>
      <c r="G636" s="630"/>
      <c r="H636" s="93"/>
      <c r="I636" s="41"/>
      <c r="J636" s="810"/>
    </row>
    <row r="637" spans="1:10" x14ac:dyDescent="0.25">
      <c r="A637" s="92"/>
      <c r="F637" s="620"/>
      <c r="G637" s="630"/>
      <c r="H637" s="93"/>
      <c r="I637" s="41"/>
      <c r="J637" s="810"/>
    </row>
    <row r="638" spans="1:10" x14ac:dyDescent="0.25">
      <c r="A638" s="92"/>
      <c r="F638" s="620"/>
      <c r="G638" s="630"/>
      <c r="H638" s="93"/>
      <c r="I638" s="41"/>
      <c r="J638" s="810"/>
    </row>
    <row r="639" spans="1:10" x14ac:dyDescent="0.25">
      <c r="A639" s="92"/>
      <c r="F639" s="620"/>
      <c r="G639" s="630"/>
      <c r="H639" s="93"/>
      <c r="I639" s="41"/>
      <c r="J639" s="810"/>
    </row>
    <row r="640" spans="1:10" x14ac:dyDescent="0.25">
      <c r="A640" s="92"/>
      <c r="F640" s="620"/>
      <c r="G640" s="630"/>
      <c r="H640" s="93"/>
      <c r="I640" s="41"/>
      <c r="J640" s="810"/>
    </row>
    <row r="641" spans="1:10" x14ac:dyDescent="0.25">
      <c r="A641" s="92"/>
      <c r="F641" s="620"/>
      <c r="G641" s="630"/>
      <c r="H641" s="93"/>
      <c r="I641" s="41"/>
      <c r="J641" s="810"/>
    </row>
    <row r="642" spans="1:10" x14ac:dyDescent="0.25">
      <c r="A642" s="92"/>
      <c r="F642" s="620"/>
      <c r="G642" s="630"/>
      <c r="H642" s="93"/>
      <c r="I642" s="41"/>
      <c r="J642" s="810"/>
    </row>
    <row r="643" spans="1:10" x14ac:dyDescent="0.25">
      <c r="A643" s="92"/>
      <c r="F643" s="620"/>
      <c r="G643" s="630"/>
      <c r="H643" s="93"/>
      <c r="I643" s="41"/>
      <c r="J643" s="810"/>
    </row>
    <row r="644" spans="1:10" x14ac:dyDescent="0.25">
      <c r="A644" s="92"/>
      <c r="F644" s="620"/>
      <c r="G644" s="630"/>
      <c r="H644" s="93"/>
      <c r="I644" s="41"/>
      <c r="J644" s="810"/>
    </row>
    <row r="645" spans="1:10" x14ac:dyDescent="0.25">
      <c r="A645" s="92"/>
      <c r="F645" s="620"/>
      <c r="G645" s="630"/>
      <c r="H645" s="93"/>
      <c r="I645" s="41"/>
      <c r="J645" s="810"/>
    </row>
    <row r="646" spans="1:10" x14ac:dyDescent="0.25">
      <c r="A646" s="92"/>
      <c r="F646" s="620"/>
      <c r="G646" s="630"/>
      <c r="H646" s="93"/>
      <c r="I646" s="41"/>
      <c r="J646" s="810"/>
    </row>
    <row r="647" spans="1:10" x14ac:dyDescent="0.25">
      <c r="A647" s="92"/>
      <c r="F647" s="620"/>
      <c r="G647" s="630"/>
      <c r="H647" s="93"/>
      <c r="I647" s="41"/>
      <c r="J647" s="810"/>
    </row>
    <row r="648" spans="1:10" x14ac:dyDescent="0.25">
      <c r="A648" s="92"/>
      <c r="F648" s="620"/>
      <c r="G648" s="630"/>
      <c r="H648" s="93"/>
      <c r="I648" s="41"/>
      <c r="J648" s="810"/>
    </row>
    <row r="649" spans="1:10" x14ac:dyDescent="0.25">
      <c r="A649" s="92"/>
      <c r="F649" s="620"/>
      <c r="G649" s="630"/>
      <c r="H649" s="93"/>
      <c r="I649" s="41"/>
      <c r="J649" s="810"/>
    </row>
    <row r="650" spans="1:10" x14ac:dyDescent="0.25">
      <c r="A650" s="92"/>
      <c r="F650" s="620"/>
      <c r="G650" s="630"/>
      <c r="H650" s="93"/>
      <c r="I650" s="41"/>
      <c r="J650" s="810"/>
    </row>
    <row r="651" spans="1:10" x14ac:dyDescent="0.25">
      <c r="A651" s="92"/>
      <c r="F651" s="620"/>
      <c r="G651" s="630"/>
      <c r="H651" s="93"/>
      <c r="I651" s="41"/>
      <c r="J651" s="810"/>
    </row>
    <row r="652" spans="1:10" x14ac:dyDescent="0.25">
      <c r="A652" s="92"/>
      <c r="F652" s="620"/>
      <c r="G652" s="630"/>
      <c r="H652" s="93"/>
      <c r="I652" s="41"/>
      <c r="J652" s="810"/>
    </row>
    <row r="653" spans="1:10" x14ac:dyDescent="0.25">
      <c r="A653" s="92"/>
      <c r="F653" s="620"/>
      <c r="G653" s="630"/>
      <c r="H653" s="93"/>
      <c r="I653" s="41"/>
      <c r="J653" s="810"/>
    </row>
    <row r="654" spans="1:10" x14ac:dyDescent="0.25">
      <c r="A654" s="92"/>
      <c r="F654" s="620"/>
      <c r="G654" s="630"/>
      <c r="H654" s="93"/>
      <c r="I654" s="41"/>
      <c r="J654" s="810"/>
    </row>
    <row r="655" spans="1:10" x14ac:dyDescent="0.25">
      <c r="A655" s="92"/>
      <c r="F655" s="620"/>
      <c r="G655" s="630"/>
      <c r="H655" s="93"/>
      <c r="I655" s="41"/>
      <c r="J655" s="810"/>
    </row>
    <row r="656" spans="1:10" x14ac:dyDescent="0.25">
      <c r="A656" s="92"/>
      <c r="F656" s="620"/>
      <c r="G656" s="630"/>
      <c r="H656" s="93"/>
      <c r="I656" s="41"/>
      <c r="J656" s="810"/>
    </row>
    <row r="657" spans="1:10" x14ac:dyDescent="0.25">
      <c r="A657" s="92"/>
      <c r="F657" s="620"/>
      <c r="G657" s="630"/>
      <c r="H657" s="93"/>
      <c r="I657" s="41"/>
      <c r="J657" s="810"/>
    </row>
    <row r="658" spans="1:10" x14ac:dyDescent="0.25">
      <c r="A658" s="92"/>
      <c r="F658" s="620"/>
      <c r="G658" s="630"/>
      <c r="H658" s="93"/>
      <c r="I658" s="41"/>
      <c r="J658" s="810"/>
    </row>
    <row r="659" spans="1:10" x14ac:dyDescent="0.25">
      <c r="A659" s="92"/>
      <c r="F659" s="620"/>
      <c r="G659" s="630"/>
      <c r="H659" s="93"/>
      <c r="I659" s="41"/>
      <c r="J659" s="810"/>
    </row>
    <row r="660" spans="1:10" x14ac:dyDescent="0.25">
      <c r="A660" s="92"/>
      <c r="F660" s="620"/>
      <c r="G660" s="630"/>
      <c r="H660" s="93"/>
      <c r="I660" s="41"/>
      <c r="J660" s="810"/>
    </row>
    <row r="661" spans="1:10" x14ac:dyDescent="0.25">
      <c r="A661" s="92"/>
      <c r="F661" s="620"/>
      <c r="G661" s="630"/>
      <c r="H661" s="93"/>
      <c r="I661" s="41"/>
      <c r="J661" s="810"/>
    </row>
    <row r="662" spans="1:10" x14ac:dyDescent="0.25">
      <c r="A662" s="92"/>
      <c r="F662" s="620"/>
      <c r="G662" s="630"/>
      <c r="H662" s="93"/>
      <c r="I662" s="41"/>
      <c r="J662" s="810"/>
    </row>
    <row r="663" spans="1:10" x14ac:dyDescent="0.25">
      <c r="A663" s="92"/>
      <c r="F663" s="620"/>
      <c r="G663" s="630"/>
      <c r="H663" s="93"/>
      <c r="I663" s="41"/>
      <c r="J663" s="810"/>
    </row>
    <row r="664" spans="1:10" x14ac:dyDescent="0.25">
      <c r="A664" s="92"/>
      <c r="F664" s="620"/>
      <c r="G664" s="630"/>
      <c r="H664" s="93"/>
      <c r="I664" s="41"/>
      <c r="J664" s="810"/>
    </row>
    <row r="665" spans="1:10" x14ac:dyDescent="0.25">
      <c r="A665" s="92"/>
      <c r="F665" s="620"/>
      <c r="G665" s="630"/>
      <c r="H665" s="93"/>
      <c r="I665" s="41"/>
      <c r="J665" s="810"/>
    </row>
    <row r="666" spans="1:10" x14ac:dyDescent="0.25">
      <c r="A666" s="92"/>
      <c r="F666" s="620"/>
      <c r="G666" s="630"/>
      <c r="H666" s="93"/>
      <c r="I666" s="41"/>
      <c r="J666" s="810"/>
    </row>
    <row r="667" spans="1:10" x14ac:dyDescent="0.25">
      <c r="A667" s="92"/>
      <c r="F667" s="620"/>
      <c r="G667" s="630"/>
      <c r="H667" s="93"/>
      <c r="I667" s="41"/>
      <c r="J667" s="810"/>
    </row>
    <row r="668" spans="1:10" x14ac:dyDescent="0.25">
      <c r="A668" s="92"/>
      <c r="F668" s="620"/>
      <c r="G668" s="630"/>
      <c r="H668" s="93"/>
      <c r="I668" s="41"/>
      <c r="J668" s="810"/>
    </row>
    <row r="669" spans="1:10" x14ac:dyDescent="0.25">
      <c r="A669" s="92"/>
      <c r="F669" s="620"/>
      <c r="G669" s="630"/>
      <c r="H669" s="93"/>
      <c r="I669" s="41"/>
      <c r="J669" s="810"/>
    </row>
    <row r="670" spans="1:10" x14ac:dyDescent="0.25">
      <c r="A670" s="92"/>
      <c r="F670" s="620"/>
      <c r="G670" s="630"/>
      <c r="H670" s="93"/>
      <c r="I670" s="41"/>
      <c r="J670" s="810"/>
    </row>
    <row r="671" spans="1:10" x14ac:dyDescent="0.25">
      <c r="A671" s="92"/>
      <c r="F671" s="620"/>
      <c r="G671" s="630"/>
      <c r="H671" s="93"/>
      <c r="I671" s="41"/>
      <c r="J671" s="810"/>
    </row>
    <row r="672" spans="1:10" x14ac:dyDescent="0.25">
      <c r="A672" s="92"/>
      <c r="F672" s="620"/>
      <c r="G672" s="630"/>
      <c r="H672" s="93"/>
      <c r="I672" s="41"/>
      <c r="J672" s="810"/>
    </row>
    <row r="673" spans="1:10" x14ac:dyDescent="0.25">
      <c r="A673" s="92"/>
      <c r="F673" s="620"/>
      <c r="G673" s="630"/>
      <c r="H673" s="93"/>
      <c r="I673" s="41"/>
      <c r="J673" s="810"/>
    </row>
    <row r="674" spans="1:10" x14ac:dyDescent="0.25">
      <c r="A674" s="92"/>
      <c r="F674" s="620"/>
      <c r="G674" s="630"/>
      <c r="H674" s="93"/>
      <c r="I674" s="41"/>
      <c r="J674" s="810"/>
    </row>
    <row r="675" spans="1:10" x14ac:dyDescent="0.25">
      <c r="A675" s="92"/>
      <c r="F675" s="620"/>
      <c r="G675" s="630"/>
      <c r="H675" s="93"/>
      <c r="I675" s="41"/>
      <c r="J675" s="810"/>
    </row>
    <row r="676" spans="1:10" x14ac:dyDescent="0.25">
      <c r="A676" s="92"/>
      <c r="F676" s="620"/>
      <c r="G676" s="630"/>
      <c r="H676" s="93"/>
      <c r="I676" s="41"/>
      <c r="J676" s="810"/>
    </row>
    <row r="677" spans="1:10" x14ac:dyDescent="0.25">
      <c r="A677" s="92"/>
      <c r="F677" s="620"/>
      <c r="G677" s="630"/>
      <c r="H677" s="93"/>
      <c r="I677" s="41"/>
      <c r="J677" s="810"/>
    </row>
    <row r="678" spans="1:10" x14ac:dyDescent="0.25">
      <c r="A678" s="92"/>
      <c r="F678" s="620"/>
      <c r="G678" s="630"/>
      <c r="H678" s="93"/>
      <c r="I678" s="41"/>
      <c r="J678" s="810"/>
    </row>
    <row r="679" spans="1:10" x14ac:dyDescent="0.25">
      <c r="A679" s="92"/>
      <c r="F679" s="620"/>
      <c r="G679" s="630"/>
      <c r="H679" s="93"/>
      <c r="I679" s="41"/>
      <c r="J679" s="810"/>
    </row>
    <row r="680" spans="1:10" x14ac:dyDescent="0.25">
      <c r="A680" s="92"/>
      <c r="F680" s="620"/>
      <c r="G680" s="630"/>
      <c r="H680" s="93"/>
      <c r="I680" s="41"/>
      <c r="J680" s="810"/>
    </row>
    <row r="681" spans="1:10" x14ac:dyDescent="0.25">
      <c r="A681" s="92"/>
      <c r="F681" s="620"/>
      <c r="G681" s="630"/>
      <c r="H681" s="93"/>
      <c r="I681" s="41"/>
      <c r="J681" s="810"/>
    </row>
    <row r="682" spans="1:10" x14ac:dyDescent="0.25">
      <c r="A682" s="92"/>
      <c r="F682" s="620"/>
      <c r="G682" s="630"/>
      <c r="H682" s="93"/>
      <c r="I682" s="41"/>
      <c r="J682" s="810"/>
    </row>
    <row r="683" spans="1:10" x14ac:dyDescent="0.25">
      <c r="A683" s="92"/>
      <c r="F683" s="620"/>
      <c r="G683" s="630"/>
      <c r="H683" s="93"/>
      <c r="I683" s="41"/>
      <c r="J683" s="810"/>
    </row>
    <row r="684" spans="1:10" x14ac:dyDescent="0.25">
      <c r="A684" s="92"/>
      <c r="F684" s="620"/>
      <c r="G684" s="630"/>
      <c r="H684" s="93"/>
      <c r="I684" s="41"/>
      <c r="J684" s="810"/>
    </row>
    <row r="685" spans="1:10" x14ac:dyDescent="0.25">
      <c r="A685" s="92"/>
      <c r="F685" s="620"/>
      <c r="G685" s="630"/>
      <c r="H685" s="93"/>
      <c r="I685" s="41"/>
      <c r="J685" s="810"/>
    </row>
    <row r="686" spans="1:10" x14ac:dyDescent="0.25">
      <c r="A686" s="92"/>
      <c r="F686" s="620"/>
      <c r="G686" s="630"/>
      <c r="H686" s="93"/>
      <c r="I686" s="41"/>
      <c r="J686" s="810"/>
    </row>
    <row r="687" spans="1:10" x14ac:dyDescent="0.25">
      <c r="A687" s="92"/>
      <c r="F687" s="620"/>
      <c r="G687" s="630"/>
      <c r="H687" s="93"/>
      <c r="I687" s="41"/>
      <c r="J687" s="810"/>
    </row>
    <row r="688" spans="1:10" x14ac:dyDescent="0.25">
      <c r="A688" s="92"/>
      <c r="F688" s="620"/>
      <c r="G688" s="630"/>
      <c r="H688" s="93"/>
      <c r="I688" s="41"/>
      <c r="J688" s="810"/>
    </row>
    <row r="689" spans="1:10" x14ac:dyDescent="0.25">
      <c r="A689" s="92"/>
      <c r="F689" s="620"/>
      <c r="G689" s="630"/>
      <c r="H689" s="93"/>
      <c r="I689" s="41"/>
      <c r="J689" s="810"/>
    </row>
    <row r="690" spans="1:10" x14ac:dyDescent="0.25">
      <c r="A690" s="92"/>
      <c r="F690" s="620"/>
      <c r="G690" s="630"/>
      <c r="H690" s="93"/>
      <c r="I690" s="41"/>
      <c r="J690" s="810"/>
    </row>
    <row r="691" spans="1:10" x14ac:dyDescent="0.25">
      <c r="A691" s="92"/>
      <c r="F691" s="620"/>
      <c r="G691" s="630"/>
      <c r="H691" s="93"/>
      <c r="I691" s="41"/>
      <c r="J691" s="810"/>
    </row>
    <row r="692" spans="1:10" x14ac:dyDescent="0.25">
      <c r="A692" s="92"/>
      <c r="F692" s="620"/>
      <c r="G692" s="630"/>
      <c r="H692" s="93"/>
      <c r="I692" s="41"/>
      <c r="J692" s="810"/>
    </row>
    <row r="693" spans="1:10" x14ac:dyDescent="0.25">
      <c r="A693" s="92"/>
      <c r="F693" s="620"/>
      <c r="G693" s="630"/>
      <c r="H693" s="93"/>
      <c r="I693" s="41"/>
      <c r="J693" s="810"/>
    </row>
    <row r="694" spans="1:10" x14ac:dyDescent="0.25">
      <c r="A694" s="92"/>
      <c r="F694" s="620"/>
      <c r="G694" s="630"/>
      <c r="H694" s="93"/>
      <c r="I694" s="41"/>
      <c r="J694" s="810"/>
    </row>
    <row r="695" spans="1:10" x14ac:dyDescent="0.25">
      <c r="A695" s="92"/>
      <c r="F695" s="620"/>
      <c r="G695" s="630"/>
      <c r="H695" s="93"/>
      <c r="I695" s="41"/>
      <c r="J695" s="810"/>
    </row>
    <row r="696" spans="1:10" x14ac:dyDescent="0.25">
      <c r="A696" s="92"/>
      <c r="F696" s="620"/>
      <c r="G696" s="630"/>
      <c r="H696" s="93"/>
      <c r="I696" s="41"/>
      <c r="J696" s="810"/>
    </row>
    <row r="697" spans="1:10" x14ac:dyDescent="0.25">
      <c r="A697" s="92"/>
      <c r="F697" s="620"/>
      <c r="G697" s="630"/>
      <c r="H697" s="93"/>
      <c r="I697" s="41"/>
      <c r="J697" s="810"/>
    </row>
    <row r="698" spans="1:10" x14ac:dyDescent="0.25">
      <c r="A698" s="92"/>
      <c r="F698" s="620"/>
      <c r="G698" s="630"/>
      <c r="H698" s="93"/>
      <c r="I698" s="41"/>
      <c r="J698" s="810"/>
    </row>
    <row r="699" spans="1:10" x14ac:dyDescent="0.25">
      <c r="A699" s="92"/>
      <c r="F699" s="620"/>
      <c r="G699" s="630"/>
      <c r="H699" s="93"/>
      <c r="I699" s="41"/>
      <c r="J699" s="810"/>
    </row>
    <row r="700" spans="1:10" x14ac:dyDescent="0.25">
      <c r="A700" s="92"/>
      <c r="F700" s="620"/>
      <c r="G700" s="630"/>
      <c r="H700" s="93"/>
      <c r="I700" s="41"/>
      <c r="J700" s="810"/>
    </row>
    <row r="701" spans="1:10" x14ac:dyDescent="0.25">
      <c r="A701" s="92"/>
      <c r="F701" s="620"/>
      <c r="G701" s="630"/>
      <c r="H701" s="93"/>
      <c r="I701" s="41"/>
      <c r="J701" s="810"/>
    </row>
    <row r="702" spans="1:10" x14ac:dyDescent="0.25">
      <c r="A702" s="92"/>
      <c r="F702" s="620"/>
      <c r="G702" s="630"/>
      <c r="H702" s="93"/>
      <c r="I702" s="41"/>
      <c r="J702" s="810"/>
    </row>
    <row r="703" spans="1:10" x14ac:dyDescent="0.25">
      <c r="A703" s="92"/>
      <c r="F703" s="620"/>
      <c r="G703" s="630"/>
      <c r="H703" s="93"/>
      <c r="I703" s="41"/>
      <c r="J703" s="810"/>
    </row>
    <row r="704" spans="1:10" x14ac:dyDescent="0.25">
      <c r="A704" s="92"/>
      <c r="F704" s="620"/>
      <c r="G704" s="630"/>
      <c r="H704" s="93"/>
      <c r="I704" s="41"/>
      <c r="J704" s="810"/>
    </row>
    <row r="705" spans="1:10" x14ac:dyDescent="0.25">
      <c r="A705" s="92"/>
      <c r="F705" s="620"/>
      <c r="G705" s="630"/>
      <c r="H705" s="93"/>
      <c r="I705" s="41"/>
      <c r="J705" s="810"/>
    </row>
    <row r="706" spans="1:10" x14ac:dyDescent="0.25">
      <c r="A706" s="92"/>
      <c r="F706" s="620"/>
      <c r="G706" s="630"/>
      <c r="H706" s="93"/>
      <c r="I706" s="41"/>
      <c r="J706" s="810"/>
    </row>
    <row r="707" spans="1:10" x14ac:dyDescent="0.25">
      <c r="A707" s="92"/>
      <c r="F707" s="620"/>
      <c r="G707" s="630"/>
      <c r="H707" s="93"/>
      <c r="I707" s="41"/>
      <c r="J707" s="810"/>
    </row>
    <row r="708" spans="1:10" x14ac:dyDescent="0.25">
      <c r="A708" s="92"/>
      <c r="F708" s="620"/>
      <c r="G708" s="630"/>
      <c r="H708" s="93"/>
      <c r="I708" s="41"/>
      <c r="J708" s="810"/>
    </row>
    <row r="709" spans="1:10" x14ac:dyDescent="0.25">
      <c r="A709" s="92"/>
      <c r="F709" s="620"/>
      <c r="G709" s="630"/>
      <c r="H709" s="93"/>
      <c r="I709" s="41"/>
      <c r="J709" s="810"/>
    </row>
    <row r="710" spans="1:10" x14ac:dyDescent="0.25">
      <c r="A710" s="92"/>
      <c r="F710" s="620"/>
      <c r="G710" s="630"/>
      <c r="H710" s="93"/>
      <c r="I710" s="41"/>
      <c r="J710" s="810"/>
    </row>
    <row r="711" spans="1:10" x14ac:dyDescent="0.25">
      <c r="A711" s="92"/>
      <c r="F711" s="620"/>
      <c r="G711" s="630"/>
      <c r="H711" s="93"/>
      <c r="I711" s="41"/>
      <c r="J711" s="810"/>
    </row>
    <row r="712" spans="1:10" x14ac:dyDescent="0.25">
      <c r="A712" s="92"/>
      <c r="F712" s="620"/>
      <c r="G712" s="630"/>
      <c r="H712" s="93"/>
      <c r="I712" s="41"/>
      <c r="J712" s="810"/>
    </row>
    <row r="713" spans="1:10" x14ac:dyDescent="0.25">
      <c r="A713" s="92"/>
      <c r="F713" s="620"/>
      <c r="G713" s="630"/>
      <c r="H713" s="93"/>
      <c r="I713" s="41"/>
      <c r="J713" s="810"/>
    </row>
    <row r="714" spans="1:10" x14ac:dyDescent="0.25">
      <c r="A714" s="92"/>
      <c r="F714" s="620"/>
      <c r="G714" s="630"/>
      <c r="H714" s="93"/>
      <c r="I714" s="41"/>
      <c r="J714" s="810"/>
    </row>
    <row r="715" spans="1:10" x14ac:dyDescent="0.25">
      <c r="A715" s="92"/>
      <c r="F715" s="620"/>
      <c r="G715" s="630"/>
      <c r="H715" s="93"/>
      <c r="I715" s="41"/>
      <c r="J715" s="810"/>
    </row>
    <row r="716" spans="1:10" x14ac:dyDescent="0.25">
      <c r="A716" s="92"/>
      <c r="F716" s="620"/>
      <c r="G716" s="630"/>
      <c r="H716" s="93"/>
      <c r="I716" s="41"/>
      <c r="J716" s="810"/>
    </row>
    <row r="717" spans="1:10" x14ac:dyDescent="0.25">
      <c r="A717" s="92"/>
      <c r="F717" s="620"/>
      <c r="G717" s="630"/>
      <c r="H717" s="93"/>
      <c r="I717" s="41"/>
      <c r="J717" s="810"/>
    </row>
    <row r="718" spans="1:10" x14ac:dyDescent="0.25">
      <c r="A718" s="92"/>
      <c r="F718" s="620"/>
      <c r="G718" s="630"/>
      <c r="H718" s="93"/>
      <c r="I718" s="41"/>
      <c r="J718" s="810"/>
    </row>
    <row r="719" spans="1:10" x14ac:dyDescent="0.25">
      <c r="A719" s="92"/>
      <c r="F719" s="620"/>
      <c r="G719" s="630"/>
      <c r="H719" s="93"/>
      <c r="I719" s="41"/>
      <c r="J719" s="810"/>
    </row>
    <row r="720" spans="1:10" x14ac:dyDescent="0.25">
      <c r="A720" s="92"/>
      <c r="F720" s="620"/>
      <c r="G720" s="630"/>
      <c r="H720" s="93"/>
      <c r="I720" s="41"/>
      <c r="J720" s="810"/>
    </row>
    <row r="721" spans="1:10" x14ac:dyDescent="0.25">
      <c r="A721" s="92"/>
      <c r="F721" s="620"/>
      <c r="G721" s="630"/>
      <c r="H721" s="93"/>
      <c r="I721" s="41"/>
      <c r="J721" s="810"/>
    </row>
    <row r="722" spans="1:10" x14ac:dyDescent="0.25">
      <c r="A722" s="92"/>
      <c r="F722" s="620"/>
      <c r="G722" s="630"/>
      <c r="H722" s="93"/>
      <c r="I722" s="41"/>
      <c r="J722" s="810"/>
    </row>
    <row r="723" spans="1:10" x14ac:dyDescent="0.25">
      <c r="A723" s="92"/>
      <c r="F723" s="620"/>
      <c r="G723" s="630"/>
      <c r="H723" s="93"/>
      <c r="I723" s="41"/>
      <c r="J723" s="810"/>
    </row>
    <row r="724" spans="1:10" x14ac:dyDescent="0.25">
      <c r="A724" s="92"/>
      <c r="F724" s="620"/>
      <c r="G724" s="630"/>
      <c r="H724" s="93"/>
      <c r="I724" s="41"/>
      <c r="J724" s="810"/>
    </row>
    <row r="725" spans="1:10" x14ac:dyDescent="0.25">
      <c r="A725" s="92"/>
      <c r="F725" s="620"/>
      <c r="G725" s="630"/>
      <c r="H725" s="93"/>
      <c r="I725" s="41"/>
      <c r="J725" s="810"/>
    </row>
    <row r="726" spans="1:10" x14ac:dyDescent="0.25">
      <c r="A726" s="92"/>
      <c r="F726" s="620"/>
      <c r="G726" s="630"/>
      <c r="H726" s="93"/>
      <c r="I726" s="41"/>
      <c r="J726" s="810"/>
    </row>
    <row r="727" spans="1:10" x14ac:dyDescent="0.25">
      <c r="A727" s="92"/>
      <c r="F727" s="620"/>
      <c r="G727" s="630"/>
      <c r="H727" s="93"/>
      <c r="I727" s="41"/>
      <c r="J727" s="810"/>
    </row>
    <row r="728" spans="1:10" x14ac:dyDescent="0.25">
      <c r="A728" s="92"/>
      <c r="F728" s="620"/>
      <c r="G728" s="630"/>
      <c r="H728" s="93"/>
      <c r="I728" s="41"/>
      <c r="J728" s="810"/>
    </row>
    <row r="729" spans="1:10" x14ac:dyDescent="0.25">
      <c r="A729" s="92"/>
      <c r="F729" s="620"/>
      <c r="G729" s="630"/>
      <c r="H729" s="93"/>
      <c r="I729" s="41"/>
      <c r="J729" s="810"/>
    </row>
    <row r="730" spans="1:10" x14ac:dyDescent="0.25">
      <c r="A730" s="92"/>
      <c r="F730" s="620"/>
      <c r="G730" s="630"/>
      <c r="H730" s="93"/>
      <c r="I730" s="41"/>
      <c r="J730" s="810"/>
    </row>
    <row r="731" spans="1:10" x14ac:dyDescent="0.25">
      <c r="A731" s="92"/>
      <c r="F731" s="620"/>
      <c r="G731" s="630"/>
      <c r="H731" s="93"/>
      <c r="I731" s="41"/>
      <c r="J731" s="810"/>
    </row>
    <row r="732" spans="1:10" x14ac:dyDescent="0.25">
      <c r="A732" s="92"/>
      <c r="F732" s="620"/>
      <c r="G732" s="630"/>
      <c r="H732" s="93"/>
      <c r="I732" s="41"/>
      <c r="J732" s="810"/>
    </row>
    <row r="733" spans="1:10" x14ac:dyDescent="0.25">
      <c r="A733" s="92"/>
      <c r="F733" s="620"/>
      <c r="G733" s="630"/>
      <c r="H733" s="93"/>
      <c r="I733" s="41"/>
      <c r="J733" s="810"/>
    </row>
    <row r="734" spans="1:10" x14ac:dyDescent="0.25">
      <c r="A734" s="92"/>
      <c r="F734" s="620"/>
      <c r="G734" s="630"/>
      <c r="H734" s="93"/>
      <c r="I734" s="41"/>
      <c r="J734" s="810"/>
    </row>
    <row r="735" spans="1:10" x14ac:dyDescent="0.25">
      <c r="A735" s="92"/>
      <c r="F735" s="620"/>
      <c r="G735" s="630"/>
      <c r="H735" s="93"/>
      <c r="I735" s="41"/>
      <c r="J735" s="810"/>
    </row>
    <row r="736" spans="1:10" x14ac:dyDescent="0.25">
      <c r="A736" s="92"/>
      <c r="F736" s="620"/>
      <c r="G736" s="630"/>
      <c r="H736" s="93"/>
      <c r="I736" s="41"/>
      <c r="J736" s="810"/>
    </row>
    <row r="737" spans="1:10" x14ac:dyDescent="0.25">
      <c r="A737" s="92"/>
      <c r="F737" s="620"/>
      <c r="G737" s="630"/>
      <c r="H737" s="93"/>
      <c r="I737" s="41"/>
      <c r="J737" s="810"/>
    </row>
    <row r="738" spans="1:10" x14ac:dyDescent="0.25">
      <c r="A738" s="92"/>
      <c r="F738" s="620"/>
      <c r="G738" s="630"/>
      <c r="H738" s="93"/>
      <c r="I738" s="41"/>
      <c r="J738" s="810"/>
    </row>
    <row r="739" spans="1:10" x14ac:dyDescent="0.25">
      <c r="A739" s="92"/>
      <c r="F739" s="620"/>
      <c r="G739" s="630"/>
      <c r="H739" s="93"/>
      <c r="I739" s="41"/>
      <c r="J739" s="810"/>
    </row>
    <row r="740" spans="1:10" x14ac:dyDescent="0.25">
      <c r="A740" s="92"/>
      <c r="F740" s="620"/>
      <c r="G740" s="630"/>
      <c r="H740" s="93"/>
      <c r="I740" s="41"/>
      <c r="J740" s="810"/>
    </row>
    <row r="741" spans="1:10" x14ac:dyDescent="0.25">
      <c r="A741" s="92"/>
      <c r="F741" s="620"/>
      <c r="G741" s="630"/>
      <c r="H741" s="93"/>
      <c r="I741" s="41"/>
      <c r="J741" s="810"/>
    </row>
    <row r="742" spans="1:10" x14ac:dyDescent="0.25">
      <c r="A742" s="92"/>
      <c r="F742" s="620"/>
      <c r="G742" s="630"/>
      <c r="H742" s="93"/>
      <c r="I742" s="41"/>
      <c r="J742" s="810"/>
    </row>
    <row r="743" spans="1:10" x14ac:dyDescent="0.25">
      <c r="A743" s="92"/>
      <c r="F743" s="620"/>
      <c r="G743" s="630"/>
      <c r="H743" s="93"/>
      <c r="I743" s="41"/>
      <c r="J743" s="810"/>
    </row>
    <row r="744" spans="1:10" x14ac:dyDescent="0.25">
      <c r="A744" s="92"/>
      <c r="F744" s="620"/>
      <c r="G744" s="630"/>
      <c r="H744" s="93"/>
      <c r="I744" s="41"/>
      <c r="J744" s="810"/>
    </row>
    <row r="745" spans="1:10" x14ac:dyDescent="0.25">
      <c r="A745" s="92"/>
      <c r="F745" s="620"/>
      <c r="G745" s="630"/>
      <c r="H745" s="93"/>
      <c r="I745" s="41"/>
      <c r="J745" s="810"/>
    </row>
    <row r="746" spans="1:10" x14ac:dyDescent="0.25">
      <c r="A746" s="92"/>
      <c r="F746" s="620"/>
      <c r="G746" s="630"/>
      <c r="H746" s="93"/>
      <c r="I746" s="41"/>
      <c r="J746" s="810"/>
    </row>
    <row r="747" spans="1:10" x14ac:dyDescent="0.25">
      <c r="A747" s="92"/>
      <c r="F747" s="620"/>
      <c r="G747" s="630"/>
      <c r="H747" s="93"/>
      <c r="I747" s="41"/>
      <c r="J747" s="810"/>
    </row>
    <row r="748" spans="1:10" x14ac:dyDescent="0.25">
      <c r="A748" s="92"/>
      <c r="F748" s="620"/>
      <c r="G748" s="630"/>
      <c r="H748" s="93"/>
      <c r="I748" s="41"/>
      <c r="J748" s="810"/>
    </row>
    <row r="749" spans="1:10" x14ac:dyDescent="0.25">
      <c r="A749" s="92"/>
      <c r="F749" s="620"/>
      <c r="G749" s="630"/>
      <c r="H749" s="93"/>
      <c r="I749" s="41"/>
      <c r="J749" s="810"/>
    </row>
    <row r="750" spans="1:10" x14ac:dyDescent="0.25">
      <c r="A750" s="92"/>
      <c r="F750" s="620"/>
      <c r="G750" s="630"/>
      <c r="H750" s="93"/>
      <c r="I750" s="41"/>
      <c r="J750" s="810"/>
    </row>
    <row r="751" spans="1:10" x14ac:dyDescent="0.25">
      <c r="A751" s="92"/>
      <c r="F751" s="620"/>
      <c r="G751" s="630"/>
      <c r="H751" s="93"/>
      <c r="I751" s="41"/>
      <c r="J751" s="810"/>
    </row>
    <row r="752" spans="1:10" x14ac:dyDescent="0.25">
      <c r="A752" s="92"/>
      <c r="F752" s="620"/>
      <c r="G752" s="630"/>
      <c r="H752" s="93"/>
      <c r="I752" s="41"/>
      <c r="J752" s="810"/>
    </row>
    <row r="753" spans="1:10" x14ac:dyDescent="0.25">
      <c r="A753" s="92"/>
      <c r="F753" s="620"/>
      <c r="G753" s="630"/>
      <c r="H753" s="93"/>
      <c r="I753" s="41"/>
      <c r="J753" s="810"/>
    </row>
    <row r="754" spans="1:10" x14ac:dyDescent="0.25">
      <c r="A754" s="92"/>
      <c r="F754" s="620"/>
      <c r="G754" s="630"/>
      <c r="H754" s="93"/>
      <c r="I754" s="41"/>
      <c r="J754" s="810"/>
    </row>
    <row r="755" spans="1:10" x14ac:dyDescent="0.25">
      <c r="A755" s="92"/>
      <c r="F755" s="620"/>
      <c r="G755" s="630"/>
      <c r="H755" s="93"/>
      <c r="I755" s="41"/>
      <c r="J755" s="810"/>
    </row>
    <row r="756" spans="1:10" x14ac:dyDescent="0.25">
      <c r="A756" s="92"/>
      <c r="F756" s="620"/>
      <c r="G756" s="630"/>
      <c r="H756" s="93"/>
      <c r="I756" s="41"/>
      <c r="J756" s="810"/>
    </row>
    <row r="757" spans="1:10" x14ac:dyDescent="0.25">
      <c r="A757" s="92"/>
      <c r="F757" s="620"/>
      <c r="G757" s="630"/>
      <c r="H757" s="93"/>
      <c r="I757" s="41"/>
      <c r="J757" s="810"/>
    </row>
    <row r="758" spans="1:10" x14ac:dyDescent="0.25">
      <c r="A758" s="92"/>
      <c r="F758" s="620"/>
      <c r="G758" s="630"/>
      <c r="H758" s="93"/>
      <c r="I758" s="41"/>
      <c r="J758" s="810"/>
    </row>
    <row r="759" spans="1:10" x14ac:dyDescent="0.25">
      <c r="A759" s="92"/>
      <c r="F759" s="620"/>
      <c r="G759" s="630"/>
      <c r="H759" s="93"/>
      <c r="I759" s="41"/>
      <c r="J759" s="810"/>
    </row>
    <row r="760" spans="1:10" x14ac:dyDescent="0.25">
      <c r="A760" s="92"/>
      <c r="F760" s="620"/>
      <c r="G760" s="630"/>
      <c r="H760" s="93"/>
      <c r="I760" s="41"/>
      <c r="J760" s="810"/>
    </row>
    <row r="761" spans="1:10" x14ac:dyDescent="0.25">
      <c r="A761" s="92"/>
      <c r="F761" s="620"/>
      <c r="G761" s="630"/>
      <c r="H761" s="93"/>
      <c r="I761" s="41"/>
      <c r="J761" s="810"/>
    </row>
    <row r="762" spans="1:10" x14ac:dyDescent="0.25">
      <c r="A762" s="92"/>
      <c r="F762" s="620"/>
      <c r="G762" s="630"/>
      <c r="H762" s="93"/>
      <c r="I762" s="41"/>
      <c r="J762" s="810"/>
    </row>
    <row r="763" spans="1:10" x14ac:dyDescent="0.25">
      <c r="A763" s="92"/>
      <c r="F763" s="620"/>
      <c r="G763" s="630"/>
      <c r="H763" s="93"/>
      <c r="I763" s="41"/>
      <c r="J763" s="810"/>
    </row>
    <row r="764" spans="1:10" x14ac:dyDescent="0.25">
      <c r="A764" s="92"/>
      <c r="F764" s="620"/>
      <c r="G764" s="630"/>
      <c r="H764" s="93"/>
      <c r="I764" s="41"/>
      <c r="J764" s="810"/>
    </row>
    <row r="765" spans="1:10" x14ac:dyDescent="0.25">
      <c r="A765" s="92"/>
      <c r="F765" s="620"/>
      <c r="G765" s="630"/>
      <c r="H765" s="93"/>
      <c r="I765" s="41"/>
      <c r="J765" s="810"/>
    </row>
    <row r="766" spans="1:10" x14ac:dyDescent="0.25">
      <c r="A766" s="92"/>
      <c r="F766" s="620"/>
      <c r="G766" s="630"/>
      <c r="H766" s="93"/>
      <c r="I766" s="41"/>
      <c r="J766" s="810"/>
    </row>
    <row r="767" spans="1:10" x14ac:dyDescent="0.25">
      <c r="A767" s="92"/>
      <c r="F767" s="620"/>
      <c r="G767" s="630"/>
      <c r="H767" s="93"/>
      <c r="I767" s="41"/>
      <c r="J767" s="810"/>
    </row>
    <row r="768" spans="1:10" x14ac:dyDescent="0.25">
      <c r="A768" s="92"/>
      <c r="F768" s="620"/>
      <c r="G768" s="630"/>
      <c r="H768" s="93"/>
      <c r="I768" s="41"/>
      <c r="J768" s="810"/>
    </row>
    <row r="769" spans="1:10" x14ac:dyDescent="0.25">
      <c r="A769" s="92"/>
      <c r="F769" s="620"/>
      <c r="G769" s="630"/>
      <c r="H769" s="93"/>
      <c r="I769" s="41"/>
      <c r="J769" s="810"/>
    </row>
    <row r="770" spans="1:10" x14ac:dyDescent="0.25">
      <c r="A770" s="92"/>
      <c r="F770" s="620"/>
      <c r="G770" s="630"/>
      <c r="H770" s="93"/>
      <c r="I770" s="41"/>
      <c r="J770" s="810"/>
    </row>
    <row r="771" spans="1:10" x14ac:dyDescent="0.25">
      <c r="A771" s="92"/>
      <c r="F771" s="620"/>
      <c r="G771" s="630"/>
      <c r="H771" s="93"/>
      <c r="I771" s="41"/>
      <c r="J771" s="810"/>
    </row>
    <row r="772" spans="1:10" x14ac:dyDescent="0.25">
      <c r="A772" s="92"/>
      <c r="F772" s="620"/>
      <c r="G772" s="630"/>
      <c r="H772" s="93"/>
      <c r="I772" s="41"/>
      <c r="J772" s="810"/>
    </row>
    <row r="773" spans="1:10" x14ac:dyDescent="0.25">
      <c r="A773" s="92"/>
      <c r="F773" s="620"/>
      <c r="G773" s="630"/>
      <c r="H773" s="93"/>
      <c r="I773" s="41"/>
      <c r="J773" s="810"/>
    </row>
    <row r="774" spans="1:10" x14ac:dyDescent="0.25">
      <c r="A774" s="92"/>
      <c r="F774" s="620"/>
      <c r="G774" s="630"/>
      <c r="H774" s="93"/>
      <c r="I774" s="41"/>
      <c r="J774" s="810"/>
    </row>
    <row r="775" spans="1:10" x14ac:dyDescent="0.25">
      <c r="A775" s="92"/>
      <c r="F775" s="620"/>
      <c r="G775" s="630"/>
      <c r="H775" s="93"/>
      <c r="I775" s="41"/>
      <c r="J775" s="810"/>
    </row>
    <row r="776" spans="1:10" x14ac:dyDescent="0.25">
      <c r="A776" s="92"/>
      <c r="F776" s="620"/>
      <c r="G776" s="630"/>
      <c r="H776" s="93"/>
      <c r="I776" s="41"/>
      <c r="J776" s="810"/>
    </row>
    <row r="777" spans="1:10" x14ac:dyDescent="0.25">
      <c r="A777" s="92"/>
      <c r="F777" s="620"/>
      <c r="G777" s="630"/>
      <c r="H777" s="93"/>
      <c r="I777" s="41"/>
      <c r="J777" s="810"/>
    </row>
    <row r="778" spans="1:10" x14ac:dyDescent="0.25">
      <c r="A778" s="92"/>
      <c r="F778" s="620"/>
      <c r="G778" s="630"/>
      <c r="H778" s="93"/>
      <c r="I778" s="41"/>
      <c r="J778" s="810"/>
    </row>
    <row r="779" spans="1:10" x14ac:dyDescent="0.25">
      <c r="A779" s="92"/>
      <c r="F779" s="620"/>
      <c r="G779" s="630"/>
      <c r="H779" s="93"/>
      <c r="I779" s="41"/>
      <c r="J779" s="810"/>
    </row>
    <row r="780" spans="1:10" x14ac:dyDescent="0.25">
      <c r="A780" s="92"/>
      <c r="F780" s="620"/>
      <c r="G780" s="630"/>
      <c r="H780" s="93"/>
      <c r="I780" s="41"/>
      <c r="J780" s="810"/>
    </row>
    <row r="781" spans="1:10" x14ac:dyDescent="0.25">
      <c r="A781" s="92"/>
      <c r="F781" s="620"/>
      <c r="G781" s="630"/>
      <c r="H781" s="93"/>
      <c r="I781" s="41"/>
      <c r="J781" s="810"/>
    </row>
    <row r="782" spans="1:10" x14ac:dyDescent="0.25">
      <c r="A782" s="92"/>
      <c r="F782" s="620"/>
      <c r="G782" s="630"/>
      <c r="H782" s="93"/>
      <c r="I782" s="41"/>
      <c r="J782" s="810"/>
    </row>
    <row r="783" spans="1:10" x14ac:dyDescent="0.25">
      <c r="A783" s="92"/>
      <c r="F783" s="620"/>
      <c r="G783" s="630"/>
      <c r="H783" s="93"/>
      <c r="I783" s="41"/>
      <c r="J783" s="810"/>
    </row>
    <row r="784" spans="1:10" x14ac:dyDescent="0.25">
      <c r="A784" s="92"/>
      <c r="F784" s="620"/>
      <c r="G784" s="630"/>
      <c r="H784" s="93"/>
      <c r="I784" s="41"/>
      <c r="J784" s="810"/>
    </row>
    <row r="785" spans="1:10" x14ac:dyDescent="0.25">
      <c r="A785" s="92"/>
      <c r="F785" s="620"/>
      <c r="G785" s="630"/>
      <c r="H785" s="93"/>
      <c r="I785" s="41"/>
      <c r="J785" s="810"/>
    </row>
    <row r="786" spans="1:10" x14ac:dyDescent="0.25">
      <c r="A786" s="92"/>
      <c r="F786" s="620"/>
      <c r="G786" s="630"/>
      <c r="H786" s="93"/>
      <c r="I786" s="41"/>
      <c r="J786" s="810"/>
    </row>
    <row r="787" spans="1:10" x14ac:dyDescent="0.25">
      <c r="A787" s="92"/>
      <c r="F787" s="620"/>
      <c r="G787" s="630"/>
      <c r="H787" s="93"/>
      <c r="I787" s="41"/>
      <c r="J787" s="810"/>
    </row>
    <row r="788" spans="1:10" x14ac:dyDescent="0.25">
      <c r="A788" s="92"/>
      <c r="F788" s="620"/>
      <c r="G788" s="630"/>
      <c r="H788" s="93"/>
      <c r="I788" s="41"/>
      <c r="J788" s="810"/>
    </row>
    <row r="789" spans="1:10" x14ac:dyDescent="0.25">
      <c r="A789" s="92"/>
      <c r="F789" s="620"/>
      <c r="G789" s="630"/>
      <c r="H789" s="93"/>
      <c r="I789" s="41"/>
      <c r="J789" s="810"/>
    </row>
    <row r="790" spans="1:10" x14ac:dyDescent="0.25">
      <c r="A790" s="92"/>
      <c r="F790" s="620"/>
      <c r="G790" s="630"/>
      <c r="H790" s="93"/>
      <c r="I790" s="41"/>
      <c r="J790" s="810"/>
    </row>
    <row r="791" spans="1:10" x14ac:dyDescent="0.25">
      <c r="A791" s="92"/>
      <c r="F791" s="620"/>
      <c r="G791" s="630"/>
      <c r="H791" s="93"/>
      <c r="I791" s="41"/>
      <c r="J791" s="810"/>
    </row>
    <row r="792" spans="1:10" x14ac:dyDescent="0.25">
      <c r="A792" s="92"/>
      <c r="F792" s="620"/>
      <c r="G792" s="630"/>
      <c r="H792" s="93"/>
      <c r="I792" s="41"/>
      <c r="J792" s="810"/>
    </row>
    <row r="793" spans="1:10" x14ac:dyDescent="0.25">
      <c r="A793" s="92"/>
      <c r="F793" s="620"/>
      <c r="G793" s="630"/>
      <c r="H793" s="93"/>
      <c r="I793" s="41"/>
      <c r="J793" s="810"/>
    </row>
    <row r="794" spans="1:10" x14ac:dyDescent="0.25">
      <c r="A794" s="92"/>
      <c r="F794" s="620"/>
      <c r="G794" s="630"/>
      <c r="H794" s="93"/>
      <c r="I794" s="41"/>
      <c r="J794" s="810"/>
    </row>
    <row r="795" spans="1:10" x14ac:dyDescent="0.25">
      <c r="A795" s="92"/>
      <c r="F795" s="620"/>
      <c r="G795" s="630"/>
      <c r="H795" s="93"/>
      <c r="I795" s="41"/>
      <c r="J795" s="810"/>
    </row>
    <row r="796" spans="1:10" x14ac:dyDescent="0.25">
      <c r="A796" s="92"/>
      <c r="F796" s="620"/>
      <c r="G796" s="630"/>
      <c r="H796" s="93"/>
      <c r="I796" s="41"/>
      <c r="J796" s="810"/>
    </row>
    <row r="797" spans="1:10" x14ac:dyDescent="0.25">
      <c r="A797" s="92"/>
      <c r="F797" s="620"/>
      <c r="G797" s="630"/>
      <c r="H797" s="93"/>
      <c r="I797" s="41"/>
      <c r="J797" s="810"/>
    </row>
    <row r="798" spans="1:10" x14ac:dyDescent="0.25">
      <c r="A798" s="92"/>
      <c r="F798" s="620"/>
      <c r="G798" s="630"/>
      <c r="H798" s="93"/>
      <c r="I798" s="41"/>
      <c r="J798" s="810"/>
    </row>
    <row r="799" spans="1:10" x14ac:dyDescent="0.25">
      <c r="A799" s="92"/>
      <c r="F799" s="620"/>
      <c r="G799" s="630"/>
      <c r="H799" s="93"/>
      <c r="I799" s="41"/>
      <c r="J799" s="810"/>
    </row>
    <row r="800" spans="1:10" x14ac:dyDescent="0.25">
      <c r="A800" s="92"/>
      <c r="F800" s="620"/>
      <c r="G800" s="630"/>
      <c r="H800" s="93"/>
      <c r="I800" s="41"/>
      <c r="J800" s="810"/>
    </row>
    <row r="801" spans="1:10" x14ac:dyDescent="0.25">
      <c r="A801" s="92"/>
      <c r="F801" s="620"/>
      <c r="G801" s="630"/>
      <c r="H801" s="93"/>
      <c r="I801" s="41"/>
      <c r="J801" s="810"/>
    </row>
    <row r="802" spans="1:10" x14ac:dyDescent="0.25">
      <c r="A802" s="92"/>
      <c r="F802" s="620"/>
      <c r="G802" s="630"/>
      <c r="H802" s="93"/>
      <c r="I802" s="41"/>
      <c r="J802" s="810"/>
    </row>
    <row r="803" spans="1:10" x14ac:dyDescent="0.25">
      <c r="A803" s="92"/>
      <c r="F803" s="620"/>
      <c r="G803" s="630"/>
      <c r="H803" s="93"/>
      <c r="I803" s="41"/>
      <c r="J803" s="810"/>
    </row>
    <row r="804" spans="1:10" x14ac:dyDescent="0.25">
      <c r="A804" s="92"/>
      <c r="F804" s="620"/>
      <c r="G804" s="630"/>
      <c r="H804" s="93"/>
      <c r="I804" s="41"/>
      <c r="J804" s="810"/>
    </row>
    <row r="805" spans="1:10" x14ac:dyDescent="0.25">
      <c r="A805" s="92"/>
      <c r="F805" s="620"/>
      <c r="G805" s="630"/>
      <c r="H805" s="93"/>
      <c r="I805" s="41"/>
      <c r="J805" s="810"/>
    </row>
    <row r="806" spans="1:10" x14ac:dyDescent="0.25">
      <c r="A806" s="92"/>
      <c r="F806" s="620"/>
      <c r="G806" s="630"/>
      <c r="H806" s="93"/>
      <c r="I806" s="41"/>
      <c r="J806" s="810"/>
    </row>
    <row r="807" spans="1:10" x14ac:dyDescent="0.25">
      <c r="A807" s="92"/>
      <c r="F807" s="620"/>
      <c r="G807" s="630"/>
      <c r="H807" s="93"/>
      <c r="I807" s="41"/>
      <c r="J807" s="810"/>
    </row>
    <row r="808" spans="1:10" x14ac:dyDescent="0.25">
      <c r="A808" s="92"/>
      <c r="F808" s="620"/>
      <c r="G808" s="630"/>
      <c r="H808" s="93"/>
      <c r="I808" s="41"/>
      <c r="J808" s="810"/>
    </row>
    <row r="809" spans="1:10" x14ac:dyDescent="0.25">
      <c r="A809" s="92"/>
      <c r="F809" s="620"/>
      <c r="G809" s="630"/>
      <c r="H809" s="93"/>
      <c r="I809" s="41"/>
      <c r="J809" s="810"/>
    </row>
    <row r="810" spans="1:10" x14ac:dyDescent="0.25">
      <c r="A810" s="92"/>
      <c r="F810" s="620"/>
      <c r="G810" s="630"/>
      <c r="H810" s="93"/>
      <c r="I810" s="41"/>
      <c r="J810" s="810"/>
    </row>
    <row r="811" spans="1:10" x14ac:dyDescent="0.25">
      <c r="A811" s="92"/>
      <c r="F811" s="620"/>
      <c r="G811" s="630"/>
      <c r="H811" s="93"/>
      <c r="I811" s="41"/>
      <c r="J811" s="810"/>
    </row>
    <row r="812" spans="1:10" x14ac:dyDescent="0.25">
      <c r="A812" s="92"/>
      <c r="F812" s="620"/>
      <c r="G812" s="630"/>
      <c r="H812" s="93"/>
      <c r="I812" s="41"/>
      <c r="J812" s="810"/>
    </row>
    <row r="813" spans="1:10" x14ac:dyDescent="0.25">
      <c r="A813" s="92"/>
      <c r="F813" s="620"/>
      <c r="G813" s="630"/>
      <c r="H813" s="93"/>
      <c r="I813" s="41"/>
      <c r="J813" s="810"/>
    </row>
    <row r="814" spans="1:10" x14ac:dyDescent="0.25">
      <c r="A814" s="92"/>
      <c r="F814" s="620"/>
      <c r="G814" s="630"/>
      <c r="H814" s="93"/>
      <c r="I814" s="41"/>
      <c r="J814" s="810"/>
    </row>
    <row r="815" spans="1:10" x14ac:dyDescent="0.25">
      <c r="A815" s="92"/>
      <c r="F815" s="620"/>
      <c r="G815" s="630"/>
      <c r="H815" s="93"/>
      <c r="I815" s="41"/>
      <c r="J815" s="810"/>
    </row>
    <row r="816" spans="1:10" x14ac:dyDescent="0.25">
      <c r="A816" s="92"/>
      <c r="F816" s="620"/>
      <c r="G816" s="630"/>
      <c r="H816" s="93"/>
      <c r="I816" s="41"/>
      <c r="J816" s="810"/>
    </row>
    <row r="817" spans="1:10" x14ac:dyDescent="0.25">
      <c r="A817" s="92"/>
      <c r="F817" s="620"/>
      <c r="G817" s="630"/>
      <c r="H817" s="93"/>
      <c r="I817" s="41"/>
      <c r="J817" s="810"/>
    </row>
    <row r="818" spans="1:10" x14ac:dyDescent="0.25">
      <c r="A818" s="92"/>
      <c r="F818" s="620"/>
      <c r="G818" s="630"/>
      <c r="H818" s="93"/>
      <c r="I818" s="41"/>
      <c r="J818" s="810"/>
    </row>
    <row r="819" spans="1:10" x14ac:dyDescent="0.25">
      <c r="A819" s="92"/>
      <c r="F819" s="620"/>
      <c r="G819" s="630"/>
      <c r="H819" s="93"/>
      <c r="I819" s="41"/>
      <c r="J819" s="810"/>
    </row>
    <row r="820" spans="1:10" x14ac:dyDescent="0.25">
      <c r="A820" s="92"/>
      <c r="F820" s="620"/>
      <c r="G820" s="630"/>
      <c r="H820" s="93"/>
      <c r="I820" s="41"/>
      <c r="J820" s="810"/>
    </row>
    <row r="821" spans="1:10" x14ac:dyDescent="0.25">
      <c r="A821" s="92"/>
      <c r="F821" s="620"/>
      <c r="G821" s="630"/>
      <c r="H821" s="93"/>
      <c r="I821" s="41"/>
      <c r="J821" s="810"/>
    </row>
    <row r="822" spans="1:10" x14ac:dyDescent="0.25">
      <c r="A822" s="92"/>
      <c r="F822" s="620"/>
      <c r="G822" s="630"/>
      <c r="H822" s="93"/>
      <c r="I822" s="41"/>
      <c r="J822" s="810"/>
    </row>
    <row r="823" spans="1:10" x14ac:dyDescent="0.25">
      <c r="A823" s="92"/>
      <c r="F823" s="620"/>
      <c r="G823" s="630"/>
      <c r="H823" s="93"/>
      <c r="I823" s="41"/>
      <c r="J823" s="810"/>
    </row>
    <row r="824" spans="1:10" x14ac:dyDescent="0.25">
      <c r="A824" s="92"/>
      <c r="F824" s="620"/>
      <c r="G824" s="630"/>
      <c r="H824" s="93"/>
      <c r="I824" s="41"/>
      <c r="J824" s="810"/>
    </row>
    <row r="825" spans="1:10" x14ac:dyDescent="0.25">
      <c r="A825" s="92"/>
      <c r="F825" s="620"/>
      <c r="G825" s="630"/>
      <c r="H825" s="93"/>
      <c r="I825" s="41"/>
      <c r="J825" s="810"/>
    </row>
    <row r="826" spans="1:10" x14ac:dyDescent="0.25">
      <c r="A826" s="92"/>
      <c r="F826" s="620"/>
      <c r="G826" s="630"/>
      <c r="H826" s="93"/>
      <c r="I826" s="41"/>
      <c r="J826" s="810"/>
    </row>
    <row r="827" spans="1:10" x14ac:dyDescent="0.25">
      <c r="A827" s="92"/>
      <c r="F827" s="620"/>
      <c r="G827" s="630"/>
      <c r="H827" s="93"/>
      <c r="I827" s="41"/>
      <c r="J827" s="810"/>
    </row>
    <row r="828" spans="1:10" x14ac:dyDescent="0.25">
      <c r="A828" s="92"/>
      <c r="F828" s="620"/>
      <c r="G828" s="630"/>
      <c r="H828" s="93"/>
      <c r="I828" s="41"/>
      <c r="J828" s="810"/>
    </row>
    <row r="829" spans="1:10" x14ac:dyDescent="0.25">
      <c r="A829" s="92"/>
      <c r="F829" s="620"/>
      <c r="G829" s="630"/>
      <c r="H829" s="93"/>
      <c r="I829" s="41"/>
      <c r="J829" s="810"/>
    </row>
    <row r="830" spans="1:10" x14ac:dyDescent="0.25">
      <c r="A830" s="92"/>
      <c r="F830" s="620"/>
      <c r="G830" s="630"/>
      <c r="H830" s="93"/>
      <c r="I830" s="41"/>
      <c r="J830" s="810"/>
    </row>
    <row r="831" spans="1:10" x14ac:dyDescent="0.25">
      <c r="A831" s="92"/>
      <c r="F831" s="620"/>
      <c r="G831" s="630"/>
      <c r="H831" s="93"/>
      <c r="I831" s="41"/>
      <c r="J831" s="810"/>
    </row>
    <row r="832" spans="1:10" x14ac:dyDescent="0.25">
      <c r="A832" s="92"/>
      <c r="F832" s="620"/>
      <c r="G832" s="630"/>
      <c r="H832" s="93"/>
      <c r="I832" s="41"/>
      <c r="J832" s="810"/>
    </row>
    <row r="833" spans="1:10" x14ac:dyDescent="0.25">
      <c r="A833" s="92"/>
      <c r="F833" s="620"/>
      <c r="G833" s="630"/>
      <c r="H833" s="93"/>
      <c r="I833" s="41"/>
      <c r="J833" s="810"/>
    </row>
    <row r="834" spans="1:10" x14ac:dyDescent="0.25">
      <c r="A834" s="92"/>
      <c r="F834" s="620"/>
      <c r="G834" s="630"/>
      <c r="H834" s="93"/>
      <c r="I834" s="41"/>
      <c r="J834" s="810"/>
    </row>
    <row r="835" spans="1:10" x14ac:dyDescent="0.25">
      <c r="A835" s="92"/>
      <c r="F835" s="620"/>
      <c r="G835" s="630"/>
      <c r="H835" s="93"/>
      <c r="I835" s="41"/>
      <c r="J835" s="810"/>
    </row>
    <row r="836" spans="1:10" x14ac:dyDescent="0.25">
      <c r="A836" s="92"/>
      <c r="F836" s="620"/>
      <c r="G836" s="630"/>
      <c r="H836" s="93"/>
      <c r="I836" s="41"/>
      <c r="J836" s="810"/>
    </row>
    <row r="837" spans="1:10" x14ac:dyDescent="0.25">
      <c r="A837" s="92"/>
      <c r="F837" s="620"/>
      <c r="G837" s="630"/>
      <c r="H837" s="93"/>
      <c r="I837" s="41"/>
      <c r="J837" s="810"/>
    </row>
    <row r="838" spans="1:10" x14ac:dyDescent="0.25">
      <c r="A838" s="92"/>
      <c r="F838" s="620"/>
      <c r="G838" s="630"/>
      <c r="H838" s="93"/>
      <c r="I838" s="41"/>
      <c r="J838" s="810"/>
    </row>
    <row r="839" spans="1:10" x14ac:dyDescent="0.25">
      <c r="A839" s="92"/>
      <c r="F839" s="620"/>
      <c r="G839" s="630"/>
      <c r="H839" s="93"/>
      <c r="I839" s="41"/>
      <c r="J839" s="810"/>
    </row>
    <row r="840" spans="1:10" x14ac:dyDescent="0.25">
      <c r="A840" s="92"/>
      <c r="F840" s="620"/>
      <c r="G840" s="630"/>
      <c r="H840" s="93"/>
      <c r="I840" s="41"/>
      <c r="J840" s="810"/>
    </row>
    <row r="841" spans="1:10" x14ac:dyDescent="0.25">
      <c r="A841" s="92"/>
      <c r="F841" s="620"/>
      <c r="G841" s="630"/>
      <c r="H841" s="93"/>
      <c r="I841" s="41"/>
      <c r="J841" s="810"/>
    </row>
    <row r="842" spans="1:10" x14ac:dyDescent="0.25">
      <c r="A842" s="92"/>
      <c r="F842" s="620"/>
      <c r="G842" s="630"/>
      <c r="H842" s="93"/>
      <c r="I842" s="41"/>
      <c r="J842" s="810"/>
    </row>
    <row r="843" spans="1:10" x14ac:dyDescent="0.25">
      <c r="A843" s="92"/>
      <c r="F843" s="620"/>
      <c r="G843" s="630"/>
      <c r="H843" s="93"/>
      <c r="I843" s="41"/>
      <c r="J843" s="810"/>
    </row>
    <row r="844" spans="1:10" x14ac:dyDescent="0.25">
      <c r="A844" s="92"/>
      <c r="F844" s="620"/>
      <c r="G844" s="630"/>
      <c r="H844" s="93"/>
      <c r="I844" s="41"/>
      <c r="J844" s="810"/>
    </row>
    <row r="845" spans="1:10" x14ac:dyDescent="0.25">
      <c r="A845" s="92"/>
      <c r="F845" s="620"/>
      <c r="G845" s="630"/>
      <c r="H845" s="93"/>
      <c r="I845" s="41"/>
      <c r="J845" s="810"/>
    </row>
    <row r="846" spans="1:10" x14ac:dyDescent="0.25">
      <c r="A846" s="92"/>
      <c r="F846" s="620"/>
      <c r="G846" s="630"/>
      <c r="H846" s="93"/>
      <c r="I846" s="41"/>
      <c r="J846" s="810"/>
    </row>
    <row r="847" spans="1:10" x14ac:dyDescent="0.25">
      <c r="A847" s="92"/>
      <c r="F847" s="620"/>
      <c r="G847" s="630"/>
      <c r="H847" s="93"/>
      <c r="I847" s="41"/>
      <c r="J847" s="810"/>
    </row>
    <row r="848" spans="1:10" x14ac:dyDescent="0.25">
      <c r="A848" s="92"/>
      <c r="F848" s="620"/>
      <c r="G848" s="630"/>
      <c r="H848" s="93"/>
      <c r="I848" s="41"/>
      <c r="J848" s="810"/>
    </row>
    <row r="849" spans="1:10" x14ac:dyDescent="0.25">
      <c r="A849" s="92"/>
      <c r="F849" s="620"/>
      <c r="G849" s="630"/>
      <c r="H849" s="93"/>
      <c r="I849" s="41"/>
      <c r="J849" s="810"/>
    </row>
    <row r="850" spans="1:10" x14ac:dyDescent="0.25">
      <c r="A850" s="92"/>
      <c r="F850" s="620"/>
      <c r="G850" s="630"/>
      <c r="H850" s="93"/>
      <c r="I850" s="41"/>
      <c r="J850" s="810"/>
    </row>
    <row r="851" spans="1:10" x14ac:dyDescent="0.25">
      <c r="A851" s="92"/>
      <c r="F851" s="620"/>
      <c r="G851" s="630"/>
      <c r="H851" s="93"/>
      <c r="I851" s="41"/>
      <c r="J851" s="810"/>
    </row>
    <row r="852" spans="1:10" x14ac:dyDescent="0.25">
      <c r="A852" s="92"/>
      <c r="F852" s="620"/>
      <c r="G852" s="630"/>
      <c r="H852" s="93"/>
      <c r="I852" s="41"/>
      <c r="J852" s="810"/>
    </row>
    <row r="853" spans="1:10" x14ac:dyDescent="0.25">
      <c r="A853" s="92"/>
      <c r="F853" s="620"/>
      <c r="G853" s="630"/>
      <c r="H853" s="93"/>
      <c r="I853" s="41"/>
      <c r="J853" s="810"/>
    </row>
    <row r="854" spans="1:10" x14ac:dyDescent="0.25">
      <c r="A854" s="92"/>
      <c r="F854" s="620"/>
      <c r="G854" s="630"/>
      <c r="H854" s="93"/>
      <c r="I854" s="41"/>
      <c r="J854" s="810"/>
    </row>
    <row r="855" spans="1:10" x14ac:dyDescent="0.25">
      <c r="A855" s="92"/>
      <c r="F855" s="620"/>
      <c r="G855" s="630"/>
      <c r="H855" s="93"/>
      <c r="I855" s="41"/>
      <c r="J855" s="810"/>
    </row>
    <row r="856" spans="1:10" x14ac:dyDescent="0.25">
      <c r="A856" s="92"/>
      <c r="F856" s="620"/>
      <c r="G856" s="630"/>
      <c r="H856" s="93"/>
      <c r="I856" s="41"/>
      <c r="J856" s="810"/>
    </row>
    <row r="857" spans="1:10" x14ac:dyDescent="0.25">
      <c r="A857" s="92"/>
      <c r="F857" s="620"/>
      <c r="G857" s="630"/>
      <c r="H857" s="93"/>
      <c r="I857" s="41"/>
      <c r="J857" s="810"/>
    </row>
    <row r="858" spans="1:10" x14ac:dyDescent="0.25">
      <c r="A858" s="92"/>
      <c r="F858" s="620"/>
      <c r="G858" s="630"/>
      <c r="H858" s="93"/>
      <c r="I858" s="41"/>
      <c r="J858" s="810"/>
    </row>
    <row r="859" spans="1:10" x14ac:dyDescent="0.25">
      <c r="A859" s="92"/>
      <c r="F859" s="620"/>
      <c r="G859" s="630"/>
      <c r="H859" s="93"/>
      <c r="I859" s="41"/>
      <c r="J859" s="810"/>
    </row>
    <row r="860" spans="1:10" x14ac:dyDescent="0.25">
      <c r="A860" s="92"/>
      <c r="F860" s="620"/>
      <c r="G860" s="630"/>
      <c r="H860" s="93"/>
      <c r="I860" s="41"/>
      <c r="J860" s="810"/>
    </row>
    <row r="861" spans="1:10" x14ac:dyDescent="0.25">
      <c r="A861" s="92"/>
      <c r="F861" s="620"/>
      <c r="G861" s="630"/>
      <c r="H861" s="93"/>
      <c r="I861" s="41"/>
      <c r="J861" s="810"/>
    </row>
    <row r="862" spans="1:10" x14ac:dyDescent="0.25">
      <c r="A862" s="92"/>
      <c r="F862" s="620"/>
      <c r="G862" s="630"/>
      <c r="H862" s="93"/>
      <c r="I862" s="41"/>
      <c r="J862" s="810"/>
    </row>
    <row r="863" spans="1:10" x14ac:dyDescent="0.25">
      <c r="A863" s="92"/>
      <c r="F863" s="620"/>
      <c r="G863" s="630"/>
      <c r="H863" s="93"/>
      <c r="I863" s="41"/>
      <c r="J863" s="810"/>
    </row>
    <row r="864" spans="1:10" x14ac:dyDescent="0.25">
      <c r="A864" s="92"/>
      <c r="F864" s="620"/>
      <c r="G864" s="630"/>
      <c r="H864" s="93"/>
      <c r="I864" s="41"/>
      <c r="J864" s="810"/>
    </row>
    <row r="865" spans="1:10" x14ac:dyDescent="0.25">
      <c r="A865" s="92"/>
      <c r="F865" s="620"/>
      <c r="G865" s="630"/>
      <c r="H865" s="93"/>
      <c r="I865" s="41"/>
      <c r="J865" s="810"/>
    </row>
    <row r="866" spans="1:10" x14ac:dyDescent="0.25">
      <c r="A866" s="92"/>
      <c r="F866" s="620"/>
      <c r="G866" s="630"/>
      <c r="H866" s="93"/>
      <c r="I866" s="41"/>
      <c r="J866" s="810"/>
    </row>
    <row r="867" spans="1:10" x14ac:dyDescent="0.25">
      <c r="A867" s="92"/>
      <c r="F867" s="620"/>
      <c r="G867" s="630"/>
      <c r="H867" s="93"/>
      <c r="I867" s="41"/>
      <c r="J867" s="810"/>
    </row>
    <row r="868" spans="1:10" x14ac:dyDescent="0.25">
      <c r="A868" s="92"/>
      <c r="F868" s="620"/>
      <c r="G868" s="630"/>
      <c r="H868" s="93"/>
      <c r="I868" s="41"/>
      <c r="J868" s="810"/>
    </row>
    <row r="869" spans="1:10" x14ac:dyDescent="0.25">
      <c r="A869" s="92"/>
      <c r="F869" s="620"/>
      <c r="G869" s="630"/>
      <c r="H869" s="93"/>
      <c r="I869" s="41"/>
      <c r="J869" s="810"/>
    </row>
    <row r="870" spans="1:10" x14ac:dyDescent="0.25">
      <c r="A870" s="92"/>
      <c r="F870" s="620"/>
      <c r="G870" s="630"/>
      <c r="H870" s="93"/>
      <c r="I870" s="41"/>
      <c r="J870" s="810"/>
    </row>
    <row r="871" spans="1:10" x14ac:dyDescent="0.25">
      <c r="A871" s="92"/>
      <c r="F871" s="620"/>
      <c r="G871" s="630"/>
      <c r="H871" s="93"/>
      <c r="I871" s="41"/>
      <c r="J871" s="810"/>
    </row>
    <row r="872" spans="1:10" x14ac:dyDescent="0.25">
      <c r="A872" s="92"/>
      <c r="F872" s="620"/>
      <c r="G872" s="630"/>
      <c r="H872" s="93"/>
      <c r="I872" s="41"/>
      <c r="J872" s="810"/>
    </row>
    <row r="873" spans="1:10" x14ac:dyDescent="0.25">
      <c r="A873" s="92"/>
      <c r="F873" s="620"/>
      <c r="G873" s="630"/>
      <c r="H873" s="93"/>
      <c r="I873" s="41"/>
      <c r="J873" s="810"/>
    </row>
    <row r="874" spans="1:10" x14ac:dyDescent="0.25">
      <c r="A874" s="92"/>
      <c r="F874" s="620"/>
      <c r="G874" s="630"/>
      <c r="H874" s="93"/>
      <c r="I874" s="41"/>
      <c r="J874" s="810"/>
    </row>
    <row r="875" spans="1:10" x14ac:dyDescent="0.25">
      <c r="A875" s="92"/>
      <c r="F875" s="620"/>
      <c r="G875" s="630"/>
      <c r="H875" s="93"/>
      <c r="I875" s="41"/>
      <c r="J875" s="810"/>
    </row>
    <row r="876" spans="1:10" x14ac:dyDescent="0.25">
      <c r="A876" s="92"/>
      <c r="F876" s="620"/>
      <c r="G876" s="630"/>
      <c r="H876" s="93"/>
      <c r="I876" s="41"/>
      <c r="J876" s="810"/>
    </row>
    <row r="877" spans="1:10" x14ac:dyDescent="0.25">
      <c r="A877" s="92"/>
      <c r="F877" s="620"/>
      <c r="G877" s="630"/>
      <c r="H877" s="93"/>
      <c r="I877" s="41"/>
      <c r="J877" s="810"/>
    </row>
    <row r="878" spans="1:10" x14ac:dyDescent="0.25">
      <c r="A878" s="92"/>
      <c r="F878" s="620"/>
      <c r="G878" s="630"/>
      <c r="H878" s="93"/>
      <c r="I878" s="41"/>
      <c r="J878" s="810"/>
    </row>
    <row r="879" spans="1:10" x14ac:dyDescent="0.25">
      <c r="A879" s="92"/>
      <c r="F879" s="620"/>
      <c r="G879" s="630"/>
      <c r="H879" s="93"/>
      <c r="I879" s="41"/>
      <c r="J879" s="810"/>
    </row>
    <row r="880" spans="1:10" x14ac:dyDescent="0.25">
      <c r="A880" s="92"/>
      <c r="F880" s="620"/>
      <c r="G880" s="630"/>
      <c r="H880" s="93"/>
      <c r="I880" s="41"/>
      <c r="J880" s="810"/>
    </row>
    <row r="881" spans="1:10" x14ac:dyDescent="0.25">
      <c r="A881" s="92"/>
      <c r="F881" s="620"/>
      <c r="G881" s="630"/>
      <c r="H881" s="93"/>
      <c r="I881" s="41"/>
      <c r="J881" s="810"/>
    </row>
    <row r="882" spans="1:10" x14ac:dyDescent="0.25">
      <c r="A882" s="92"/>
      <c r="F882" s="620"/>
      <c r="G882" s="630"/>
      <c r="H882" s="93"/>
      <c r="I882" s="41"/>
      <c r="J882" s="810"/>
    </row>
    <row r="883" spans="1:10" x14ac:dyDescent="0.25">
      <c r="A883" s="92"/>
      <c r="F883" s="620"/>
      <c r="G883" s="630"/>
      <c r="H883" s="93"/>
      <c r="I883" s="41"/>
      <c r="J883" s="810"/>
    </row>
    <row r="884" spans="1:10" x14ac:dyDescent="0.25">
      <c r="A884" s="92"/>
      <c r="F884" s="620"/>
      <c r="G884" s="630"/>
      <c r="H884" s="93"/>
      <c r="I884" s="41"/>
      <c r="J884" s="810"/>
    </row>
    <row r="885" spans="1:10" x14ac:dyDescent="0.25">
      <c r="A885" s="92"/>
      <c r="F885" s="620"/>
      <c r="G885" s="630"/>
      <c r="H885" s="93"/>
      <c r="I885" s="41"/>
      <c r="J885" s="810"/>
    </row>
    <row r="886" spans="1:10" x14ac:dyDescent="0.25">
      <c r="A886" s="92"/>
      <c r="F886" s="620"/>
      <c r="G886" s="630"/>
      <c r="H886" s="93"/>
      <c r="I886" s="41"/>
      <c r="J886" s="810"/>
    </row>
    <row r="887" spans="1:10" x14ac:dyDescent="0.25">
      <c r="A887" s="92"/>
      <c r="F887" s="620"/>
      <c r="G887" s="630"/>
      <c r="H887" s="93"/>
      <c r="I887" s="41"/>
      <c r="J887" s="810"/>
    </row>
    <row r="888" spans="1:10" x14ac:dyDescent="0.25">
      <c r="A888" s="92"/>
      <c r="F888" s="620"/>
      <c r="G888" s="630"/>
      <c r="H888" s="93"/>
      <c r="I888" s="41"/>
      <c r="J888" s="810"/>
    </row>
    <row r="889" spans="1:10" x14ac:dyDescent="0.25">
      <c r="A889" s="92"/>
      <c r="F889" s="620"/>
      <c r="G889" s="630"/>
      <c r="H889" s="93"/>
      <c r="I889" s="41"/>
      <c r="J889" s="810"/>
    </row>
    <row r="890" spans="1:10" x14ac:dyDescent="0.25">
      <c r="A890" s="92"/>
      <c r="F890" s="620"/>
      <c r="G890" s="630"/>
      <c r="H890" s="93"/>
      <c r="I890" s="41"/>
      <c r="J890" s="810"/>
    </row>
    <row r="891" spans="1:10" x14ac:dyDescent="0.25">
      <c r="A891" s="92"/>
      <c r="F891" s="620"/>
      <c r="G891" s="630"/>
      <c r="H891" s="93"/>
      <c r="I891" s="41"/>
      <c r="J891" s="810"/>
    </row>
    <row r="892" spans="1:10" x14ac:dyDescent="0.25">
      <c r="A892" s="92"/>
      <c r="F892" s="620"/>
      <c r="G892" s="630"/>
      <c r="H892" s="93"/>
      <c r="I892" s="41"/>
      <c r="J892" s="810"/>
    </row>
    <row r="893" spans="1:10" x14ac:dyDescent="0.25">
      <c r="A893" s="92"/>
      <c r="F893" s="620"/>
      <c r="G893" s="630"/>
      <c r="H893" s="93"/>
      <c r="I893" s="41"/>
      <c r="J893" s="810"/>
    </row>
    <row r="894" spans="1:10" x14ac:dyDescent="0.25">
      <c r="A894" s="92"/>
      <c r="F894" s="620"/>
      <c r="G894" s="630"/>
      <c r="H894" s="93"/>
      <c r="I894" s="41"/>
      <c r="J894" s="810"/>
    </row>
    <row r="895" spans="1:10" x14ac:dyDescent="0.25">
      <c r="A895" s="92"/>
      <c r="F895" s="620"/>
      <c r="G895" s="630"/>
      <c r="H895" s="93"/>
      <c r="I895" s="41"/>
      <c r="J895" s="810"/>
    </row>
    <row r="896" spans="1:10" x14ac:dyDescent="0.25">
      <c r="A896" s="92"/>
      <c r="F896" s="620"/>
      <c r="G896" s="630"/>
      <c r="H896" s="93"/>
      <c r="I896" s="41"/>
      <c r="J896" s="810"/>
    </row>
    <row r="897" spans="1:10" x14ac:dyDescent="0.25">
      <c r="A897" s="92"/>
      <c r="F897" s="620"/>
      <c r="G897" s="630"/>
      <c r="H897" s="93"/>
      <c r="I897" s="41"/>
      <c r="J897" s="810"/>
    </row>
    <row r="898" spans="1:10" x14ac:dyDescent="0.25">
      <c r="A898" s="92"/>
      <c r="F898" s="620"/>
      <c r="G898" s="630"/>
      <c r="H898" s="93"/>
      <c r="I898" s="41"/>
      <c r="J898" s="810"/>
    </row>
    <row r="899" spans="1:10" x14ac:dyDescent="0.25">
      <c r="A899" s="92"/>
      <c r="F899" s="620"/>
      <c r="G899" s="630"/>
      <c r="H899" s="93"/>
      <c r="I899" s="41"/>
      <c r="J899" s="810"/>
    </row>
    <row r="900" spans="1:10" x14ac:dyDescent="0.25">
      <c r="A900" s="92"/>
      <c r="F900" s="620"/>
      <c r="G900" s="630"/>
      <c r="H900" s="93"/>
      <c r="I900" s="41"/>
      <c r="J900" s="810"/>
    </row>
    <row r="901" spans="1:10" x14ac:dyDescent="0.25">
      <c r="A901" s="92"/>
      <c r="F901" s="620"/>
      <c r="G901" s="630"/>
      <c r="H901" s="93"/>
      <c r="I901" s="41"/>
      <c r="J901" s="810"/>
    </row>
    <row r="902" spans="1:10" x14ac:dyDescent="0.25">
      <c r="A902" s="92"/>
      <c r="F902" s="620"/>
      <c r="G902" s="630"/>
      <c r="H902" s="93"/>
      <c r="I902" s="41"/>
      <c r="J902" s="810"/>
    </row>
    <row r="903" spans="1:10" x14ac:dyDescent="0.25">
      <c r="A903" s="92"/>
      <c r="F903" s="620"/>
      <c r="G903" s="630"/>
      <c r="H903" s="93"/>
      <c r="I903" s="41"/>
      <c r="J903" s="810"/>
    </row>
    <row r="904" spans="1:10" x14ac:dyDescent="0.25">
      <c r="A904" s="92"/>
      <c r="F904" s="620"/>
      <c r="G904" s="630"/>
      <c r="H904" s="93"/>
      <c r="I904" s="41"/>
      <c r="J904" s="810"/>
    </row>
    <row r="905" spans="1:10" x14ac:dyDescent="0.25">
      <c r="A905" s="92"/>
      <c r="F905" s="620"/>
      <c r="G905" s="630"/>
      <c r="H905" s="93"/>
      <c r="I905" s="41"/>
      <c r="J905" s="810"/>
    </row>
    <row r="906" spans="1:10" x14ac:dyDescent="0.25">
      <c r="A906" s="92"/>
      <c r="F906" s="620"/>
      <c r="G906" s="630"/>
      <c r="H906" s="93"/>
      <c r="I906" s="41"/>
      <c r="J906" s="810"/>
    </row>
    <row r="907" spans="1:10" x14ac:dyDescent="0.25">
      <c r="A907" s="92"/>
      <c r="F907" s="620"/>
      <c r="G907" s="630"/>
      <c r="H907" s="93"/>
      <c r="I907" s="41"/>
      <c r="J907" s="810"/>
    </row>
    <row r="908" spans="1:10" x14ac:dyDescent="0.25">
      <c r="A908" s="92"/>
      <c r="F908" s="620"/>
      <c r="G908" s="630"/>
      <c r="H908" s="93"/>
      <c r="I908" s="41"/>
      <c r="J908" s="810"/>
    </row>
    <row r="909" spans="1:10" x14ac:dyDescent="0.25">
      <c r="A909" s="92"/>
      <c r="F909" s="620"/>
      <c r="G909" s="630"/>
      <c r="H909" s="93"/>
      <c r="I909" s="41"/>
      <c r="J909" s="810"/>
    </row>
    <row r="910" spans="1:10" x14ac:dyDescent="0.25">
      <c r="A910" s="92"/>
      <c r="F910" s="620"/>
      <c r="G910" s="630"/>
      <c r="H910" s="93"/>
      <c r="I910" s="41"/>
      <c r="J910" s="810"/>
    </row>
    <row r="911" spans="1:10" x14ac:dyDescent="0.25">
      <c r="A911" s="92"/>
      <c r="F911" s="620"/>
      <c r="G911" s="630"/>
      <c r="H911" s="93"/>
      <c r="I911" s="41"/>
      <c r="J911" s="810"/>
    </row>
    <row r="912" spans="1:10" x14ac:dyDescent="0.25">
      <c r="A912" s="92"/>
      <c r="F912" s="620"/>
      <c r="G912" s="630"/>
      <c r="H912" s="93"/>
      <c r="I912" s="41"/>
      <c r="J912" s="810"/>
    </row>
    <row r="913" spans="1:10" x14ac:dyDescent="0.25">
      <c r="A913" s="92"/>
      <c r="F913" s="620"/>
      <c r="G913" s="630"/>
      <c r="H913" s="93"/>
      <c r="I913" s="41"/>
      <c r="J913" s="810"/>
    </row>
    <row r="914" spans="1:10" x14ac:dyDescent="0.25">
      <c r="A914" s="92"/>
      <c r="F914" s="620"/>
      <c r="G914" s="630"/>
      <c r="H914" s="93"/>
      <c r="I914" s="41"/>
      <c r="J914" s="810"/>
    </row>
    <row r="915" spans="1:10" x14ac:dyDescent="0.25">
      <c r="A915" s="92"/>
      <c r="F915" s="620"/>
      <c r="G915" s="630"/>
      <c r="H915" s="93"/>
      <c r="I915" s="41"/>
      <c r="J915" s="810"/>
    </row>
    <row r="916" spans="1:10" x14ac:dyDescent="0.25">
      <c r="A916" s="92"/>
      <c r="F916" s="620"/>
      <c r="G916" s="630"/>
      <c r="H916" s="93"/>
      <c r="I916" s="41"/>
      <c r="J916" s="810"/>
    </row>
    <row r="917" spans="1:10" x14ac:dyDescent="0.25">
      <c r="A917" s="92"/>
      <c r="F917" s="620"/>
      <c r="G917" s="630"/>
      <c r="H917" s="93"/>
      <c r="I917" s="41"/>
      <c r="J917" s="810"/>
    </row>
    <row r="918" spans="1:10" x14ac:dyDescent="0.25">
      <c r="A918" s="92"/>
      <c r="F918" s="620"/>
      <c r="G918" s="630"/>
      <c r="H918" s="93"/>
      <c r="I918" s="41"/>
      <c r="J918" s="810"/>
    </row>
    <row r="919" spans="1:10" x14ac:dyDescent="0.25">
      <c r="A919" s="92"/>
      <c r="F919" s="620"/>
      <c r="G919" s="630"/>
      <c r="H919" s="93"/>
      <c r="I919" s="41"/>
      <c r="J919" s="810"/>
    </row>
    <row r="920" spans="1:10" x14ac:dyDescent="0.25">
      <c r="A920" s="92"/>
      <c r="F920" s="620"/>
      <c r="G920" s="630"/>
      <c r="H920" s="93"/>
      <c r="I920" s="41"/>
      <c r="J920" s="810"/>
    </row>
    <row r="921" spans="1:10" x14ac:dyDescent="0.25">
      <c r="A921" s="92"/>
      <c r="F921" s="620"/>
      <c r="G921" s="630"/>
      <c r="H921" s="93"/>
      <c r="I921" s="41"/>
      <c r="J921" s="810"/>
    </row>
    <row r="922" spans="1:10" x14ac:dyDescent="0.25">
      <c r="A922" s="92"/>
      <c r="F922" s="620"/>
      <c r="G922" s="630"/>
      <c r="H922" s="93"/>
      <c r="I922" s="41"/>
      <c r="J922" s="810"/>
    </row>
    <row r="923" spans="1:10" x14ac:dyDescent="0.25">
      <c r="A923" s="92"/>
      <c r="F923" s="620"/>
      <c r="G923" s="630"/>
      <c r="H923" s="93"/>
      <c r="I923" s="41"/>
      <c r="J923" s="810"/>
    </row>
    <row r="924" spans="1:10" x14ac:dyDescent="0.25">
      <c r="A924" s="92"/>
      <c r="F924" s="620"/>
      <c r="G924" s="630"/>
      <c r="H924" s="93"/>
      <c r="I924" s="41"/>
      <c r="J924" s="810"/>
    </row>
    <row r="925" spans="1:10" x14ac:dyDescent="0.25">
      <c r="A925" s="92"/>
      <c r="F925" s="620"/>
      <c r="G925" s="630"/>
      <c r="H925" s="93"/>
      <c r="I925" s="41"/>
      <c r="J925" s="810"/>
    </row>
    <row r="926" spans="1:10" x14ac:dyDescent="0.25">
      <c r="A926" s="92"/>
      <c r="F926" s="620"/>
      <c r="G926" s="630"/>
      <c r="H926" s="93"/>
      <c r="I926" s="41"/>
      <c r="J926" s="810"/>
    </row>
    <row r="927" spans="1:10" x14ac:dyDescent="0.25">
      <c r="A927" s="92"/>
      <c r="F927" s="620"/>
      <c r="G927" s="630"/>
      <c r="H927" s="93"/>
      <c r="I927" s="41"/>
      <c r="J927" s="810"/>
    </row>
    <row r="928" spans="1:10" x14ac:dyDescent="0.25">
      <c r="A928" s="92"/>
      <c r="F928" s="620"/>
      <c r="G928" s="630"/>
      <c r="H928" s="93"/>
      <c r="I928" s="41"/>
      <c r="J928" s="810"/>
    </row>
    <row r="929" spans="1:10" x14ac:dyDescent="0.25">
      <c r="A929" s="92"/>
      <c r="F929" s="620"/>
      <c r="G929" s="630"/>
      <c r="H929" s="93"/>
      <c r="I929" s="41"/>
      <c r="J929" s="810"/>
    </row>
    <row r="930" spans="1:10" x14ac:dyDescent="0.25">
      <c r="A930" s="92"/>
      <c r="F930" s="620"/>
      <c r="G930" s="630"/>
      <c r="H930" s="93"/>
      <c r="I930" s="41"/>
      <c r="J930" s="810"/>
    </row>
    <row r="931" spans="1:10" x14ac:dyDescent="0.25">
      <c r="A931" s="92"/>
      <c r="F931" s="620"/>
      <c r="G931" s="630"/>
      <c r="H931" s="93"/>
      <c r="I931" s="41"/>
      <c r="J931" s="810"/>
    </row>
    <row r="932" spans="1:10" x14ac:dyDescent="0.25">
      <c r="A932" s="92"/>
      <c r="F932" s="620"/>
      <c r="G932" s="630"/>
      <c r="H932" s="93"/>
      <c r="I932" s="41"/>
      <c r="J932" s="810"/>
    </row>
    <row r="933" spans="1:10" x14ac:dyDescent="0.25">
      <c r="A933" s="92"/>
      <c r="F933" s="620"/>
      <c r="G933" s="630"/>
      <c r="H933" s="93"/>
      <c r="I933" s="41"/>
      <c r="J933" s="810"/>
    </row>
    <row r="934" spans="1:10" x14ac:dyDescent="0.25">
      <c r="A934" s="92"/>
      <c r="F934" s="620"/>
      <c r="G934" s="630"/>
      <c r="H934" s="93"/>
      <c r="I934" s="41"/>
      <c r="J934" s="810"/>
    </row>
    <row r="935" spans="1:10" x14ac:dyDescent="0.25">
      <c r="A935" s="92"/>
      <c r="F935" s="620"/>
      <c r="G935" s="630"/>
      <c r="H935" s="93"/>
      <c r="I935" s="41"/>
      <c r="J935" s="810"/>
    </row>
    <row r="936" spans="1:10" x14ac:dyDescent="0.25">
      <c r="A936" s="92"/>
      <c r="F936" s="620"/>
      <c r="G936" s="630"/>
      <c r="H936" s="93"/>
      <c r="I936" s="41"/>
      <c r="J936" s="810"/>
    </row>
    <row r="937" spans="1:10" x14ac:dyDescent="0.25">
      <c r="A937" s="92"/>
      <c r="F937" s="620"/>
      <c r="G937" s="630"/>
      <c r="H937" s="93"/>
      <c r="I937" s="41"/>
      <c r="J937" s="810"/>
    </row>
    <row r="938" spans="1:10" x14ac:dyDescent="0.25">
      <c r="A938" s="92"/>
      <c r="F938" s="620"/>
      <c r="G938" s="630"/>
      <c r="H938" s="93"/>
      <c r="I938" s="41"/>
      <c r="J938" s="810"/>
    </row>
    <row r="939" spans="1:10" x14ac:dyDescent="0.25">
      <c r="A939" s="92"/>
      <c r="F939" s="620"/>
      <c r="G939" s="630"/>
      <c r="H939" s="93"/>
      <c r="I939" s="41"/>
      <c r="J939" s="810"/>
    </row>
    <row r="940" spans="1:10" x14ac:dyDescent="0.25">
      <c r="A940" s="92"/>
      <c r="F940" s="620"/>
      <c r="G940" s="630"/>
      <c r="H940" s="93"/>
      <c r="I940" s="41"/>
      <c r="J940" s="810"/>
    </row>
    <row r="941" spans="1:10" x14ac:dyDescent="0.25">
      <c r="A941" s="92"/>
      <c r="F941" s="620"/>
      <c r="G941" s="630"/>
      <c r="H941" s="93"/>
      <c r="I941" s="41"/>
      <c r="J941" s="810"/>
    </row>
    <row r="942" spans="1:10" x14ac:dyDescent="0.25">
      <c r="A942" s="92"/>
      <c r="F942" s="620"/>
      <c r="G942" s="630"/>
      <c r="H942" s="93"/>
      <c r="I942" s="41"/>
      <c r="J942" s="810"/>
    </row>
    <row r="943" spans="1:10" x14ac:dyDescent="0.25">
      <c r="A943" s="92"/>
      <c r="F943" s="620"/>
      <c r="G943" s="630"/>
      <c r="H943" s="93"/>
      <c r="I943" s="41"/>
      <c r="J943" s="810"/>
    </row>
    <row r="944" spans="1:10" x14ac:dyDescent="0.25">
      <c r="A944" s="92"/>
      <c r="F944" s="620"/>
      <c r="G944" s="630"/>
      <c r="H944" s="93"/>
      <c r="I944" s="41"/>
      <c r="J944" s="810"/>
    </row>
    <row r="945" spans="1:10" x14ac:dyDescent="0.25">
      <c r="A945" s="92"/>
      <c r="F945" s="620"/>
      <c r="G945" s="630"/>
      <c r="H945" s="93"/>
      <c r="I945" s="41"/>
      <c r="J945" s="810"/>
    </row>
    <row r="946" spans="1:10" x14ac:dyDescent="0.25">
      <c r="A946" s="92"/>
      <c r="F946" s="620"/>
      <c r="G946" s="630"/>
      <c r="H946" s="93"/>
      <c r="I946" s="41"/>
      <c r="J946" s="810"/>
    </row>
    <row r="947" spans="1:10" x14ac:dyDescent="0.25">
      <c r="A947" s="92"/>
      <c r="F947" s="620"/>
      <c r="G947" s="630"/>
      <c r="H947" s="93"/>
      <c r="I947" s="41"/>
      <c r="J947" s="810"/>
    </row>
    <row r="948" spans="1:10" x14ac:dyDescent="0.25">
      <c r="A948" s="92"/>
      <c r="F948" s="620"/>
      <c r="G948" s="630"/>
      <c r="H948" s="93"/>
      <c r="I948" s="41"/>
      <c r="J948" s="810"/>
    </row>
    <row r="949" spans="1:10" x14ac:dyDescent="0.25">
      <c r="A949" s="92"/>
      <c r="F949" s="620"/>
      <c r="G949" s="630"/>
      <c r="H949" s="93"/>
      <c r="I949" s="41"/>
      <c r="J949" s="810"/>
    </row>
    <row r="950" spans="1:10" x14ac:dyDescent="0.25">
      <c r="A950" s="92"/>
      <c r="F950" s="620"/>
      <c r="G950" s="630"/>
      <c r="H950" s="93"/>
      <c r="I950" s="41"/>
      <c r="J950" s="810"/>
    </row>
    <row r="951" spans="1:10" x14ac:dyDescent="0.25">
      <c r="A951" s="92"/>
      <c r="F951" s="620"/>
      <c r="G951" s="630"/>
      <c r="H951" s="93"/>
      <c r="I951" s="41"/>
      <c r="J951" s="810"/>
    </row>
    <row r="952" spans="1:10" x14ac:dyDescent="0.25">
      <c r="A952" s="92"/>
      <c r="F952" s="620"/>
      <c r="G952" s="630"/>
      <c r="H952" s="93"/>
      <c r="I952" s="41"/>
      <c r="J952" s="810"/>
    </row>
    <row r="953" spans="1:10" x14ac:dyDescent="0.25">
      <c r="A953" s="92"/>
      <c r="F953" s="620"/>
      <c r="G953" s="630"/>
      <c r="H953" s="93"/>
      <c r="I953" s="41"/>
      <c r="J953" s="810"/>
    </row>
    <row r="954" spans="1:10" x14ac:dyDescent="0.25">
      <c r="A954" s="92"/>
      <c r="F954" s="620"/>
      <c r="G954" s="630"/>
      <c r="H954" s="93"/>
      <c r="I954" s="41"/>
      <c r="J954" s="810"/>
    </row>
    <row r="955" spans="1:10" x14ac:dyDescent="0.25">
      <c r="A955" s="92"/>
      <c r="F955" s="620"/>
      <c r="G955" s="630"/>
      <c r="H955" s="93"/>
      <c r="I955" s="41"/>
      <c r="J955" s="810"/>
    </row>
    <row r="956" spans="1:10" x14ac:dyDescent="0.25">
      <c r="A956" s="92"/>
      <c r="F956" s="620"/>
      <c r="G956" s="630"/>
      <c r="H956" s="93"/>
      <c r="I956" s="41"/>
      <c r="J956" s="810"/>
    </row>
    <row r="957" spans="1:10" x14ac:dyDescent="0.25">
      <c r="A957" s="92"/>
      <c r="F957" s="620"/>
      <c r="G957" s="630"/>
      <c r="H957" s="93"/>
      <c r="I957" s="41"/>
      <c r="J957" s="810"/>
    </row>
    <row r="958" spans="1:10" x14ac:dyDescent="0.25">
      <c r="A958" s="92"/>
      <c r="F958" s="620"/>
      <c r="G958" s="630"/>
      <c r="H958" s="93"/>
      <c r="I958" s="41"/>
      <c r="J958" s="810"/>
    </row>
    <row r="959" spans="1:10" x14ac:dyDescent="0.25">
      <c r="A959" s="92"/>
      <c r="F959" s="620"/>
      <c r="G959" s="630"/>
      <c r="H959" s="93"/>
      <c r="I959" s="41"/>
      <c r="J959" s="810"/>
    </row>
    <row r="960" spans="1:10" x14ac:dyDescent="0.25">
      <c r="A960" s="92"/>
      <c r="F960" s="620"/>
      <c r="G960" s="630"/>
      <c r="H960" s="93"/>
      <c r="I960" s="41"/>
      <c r="J960" s="810"/>
    </row>
    <row r="961" spans="1:10" x14ac:dyDescent="0.25">
      <c r="A961" s="92"/>
      <c r="F961" s="620"/>
      <c r="G961" s="630"/>
      <c r="H961" s="93"/>
      <c r="I961" s="41"/>
      <c r="J961" s="810"/>
    </row>
    <row r="962" spans="1:10" x14ac:dyDescent="0.25">
      <c r="A962" s="92"/>
      <c r="F962" s="620"/>
      <c r="G962" s="630"/>
      <c r="H962" s="93"/>
      <c r="I962" s="41"/>
      <c r="J962" s="810"/>
    </row>
    <row r="963" spans="1:10" x14ac:dyDescent="0.25">
      <c r="A963" s="92"/>
      <c r="F963" s="620"/>
      <c r="G963" s="630"/>
      <c r="H963" s="93"/>
      <c r="I963" s="41"/>
      <c r="J963" s="810"/>
    </row>
    <row r="964" spans="1:10" x14ac:dyDescent="0.25">
      <c r="A964" s="92"/>
      <c r="F964" s="620"/>
      <c r="G964" s="630"/>
      <c r="H964" s="93"/>
      <c r="I964" s="41"/>
      <c r="J964" s="810"/>
    </row>
    <row r="965" spans="1:10" x14ac:dyDescent="0.25">
      <c r="A965" s="92"/>
      <c r="F965" s="620"/>
      <c r="G965" s="630"/>
      <c r="H965" s="93"/>
      <c r="I965" s="41"/>
      <c r="J965" s="810"/>
    </row>
    <row r="966" spans="1:10" x14ac:dyDescent="0.25">
      <c r="A966" s="92"/>
      <c r="F966" s="620"/>
      <c r="G966" s="630"/>
      <c r="H966" s="93"/>
      <c r="I966" s="41"/>
      <c r="J966" s="810"/>
    </row>
    <row r="967" spans="1:10" x14ac:dyDescent="0.25">
      <c r="A967" s="92"/>
      <c r="F967" s="620"/>
      <c r="G967" s="630"/>
      <c r="H967" s="93"/>
      <c r="I967" s="41"/>
      <c r="J967" s="810"/>
    </row>
    <row r="968" spans="1:10" x14ac:dyDescent="0.25">
      <c r="A968" s="92"/>
      <c r="F968" s="620"/>
      <c r="G968" s="630"/>
      <c r="H968" s="93"/>
      <c r="I968" s="41"/>
      <c r="J968" s="810"/>
    </row>
    <row r="969" spans="1:10" x14ac:dyDescent="0.25">
      <c r="A969" s="92"/>
      <c r="F969" s="620"/>
      <c r="G969" s="630"/>
      <c r="H969" s="93"/>
      <c r="I969" s="41"/>
      <c r="J969" s="810"/>
    </row>
    <row r="970" spans="1:10" x14ac:dyDescent="0.25">
      <c r="A970" s="92"/>
      <c r="F970" s="620"/>
      <c r="G970" s="630"/>
      <c r="H970" s="93"/>
      <c r="I970" s="41"/>
      <c r="J970" s="810"/>
    </row>
    <row r="971" spans="1:10" x14ac:dyDescent="0.25">
      <c r="A971" s="92"/>
      <c r="F971" s="620"/>
      <c r="G971" s="630"/>
      <c r="H971" s="93"/>
      <c r="I971" s="41"/>
      <c r="J971" s="810"/>
    </row>
    <row r="972" spans="1:10" x14ac:dyDescent="0.25">
      <c r="A972" s="92"/>
      <c r="F972" s="620"/>
      <c r="G972" s="630"/>
      <c r="H972" s="93"/>
      <c r="I972" s="41"/>
      <c r="J972" s="810"/>
    </row>
    <row r="973" spans="1:10" x14ac:dyDescent="0.25">
      <c r="A973" s="92"/>
      <c r="F973" s="620"/>
      <c r="G973" s="630"/>
      <c r="H973" s="93"/>
      <c r="I973" s="41"/>
      <c r="J973" s="810"/>
    </row>
    <row r="974" spans="1:10" x14ac:dyDescent="0.25">
      <c r="A974" s="92"/>
      <c r="F974" s="620"/>
      <c r="G974" s="630"/>
      <c r="H974" s="93"/>
      <c r="I974" s="41"/>
      <c r="J974" s="810"/>
    </row>
    <row r="975" spans="1:10" x14ac:dyDescent="0.25">
      <c r="A975" s="92"/>
      <c r="F975" s="620"/>
      <c r="G975" s="630"/>
      <c r="H975" s="93"/>
      <c r="I975" s="41"/>
      <c r="J975" s="810"/>
    </row>
    <row r="976" spans="1:10" x14ac:dyDescent="0.25">
      <c r="A976" s="92"/>
      <c r="F976" s="620"/>
      <c r="G976" s="630"/>
      <c r="H976" s="93"/>
      <c r="I976" s="41"/>
      <c r="J976" s="810"/>
    </row>
    <row r="977" spans="1:10" x14ac:dyDescent="0.25">
      <c r="A977" s="92"/>
      <c r="F977" s="620"/>
      <c r="G977" s="630"/>
      <c r="H977" s="93"/>
      <c r="I977" s="41"/>
      <c r="J977" s="810"/>
    </row>
    <row r="978" spans="1:10" x14ac:dyDescent="0.25">
      <c r="A978" s="92"/>
      <c r="F978" s="620"/>
      <c r="G978" s="630"/>
      <c r="H978" s="93"/>
      <c r="I978" s="41"/>
      <c r="J978" s="810"/>
    </row>
    <row r="979" spans="1:10" x14ac:dyDescent="0.25">
      <c r="A979" s="92"/>
      <c r="F979" s="620"/>
      <c r="G979" s="630"/>
      <c r="H979" s="93"/>
      <c r="I979" s="41"/>
      <c r="J979" s="810"/>
    </row>
    <row r="980" spans="1:10" x14ac:dyDescent="0.25">
      <c r="A980" s="92"/>
      <c r="F980" s="620"/>
      <c r="G980" s="630"/>
      <c r="H980" s="93"/>
      <c r="I980" s="41"/>
      <c r="J980" s="810"/>
    </row>
    <row r="981" spans="1:10" x14ac:dyDescent="0.25">
      <c r="A981" s="92"/>
      <c r="F981" s="620"/>
      <c r="G981" s="630"/>
      <c r="H981" s="93"/>
      <c r="I981" s="41"/>
      <c r="J981" s="810"/>
    </row>
    <row r="982" spans="1:10" x14ac:dyDescent="0.25">
      <c r="A982" s="92"/>
      <c r="F982" s="620"/>
      <c r="G982" s="630"/>
      <c r="H982" s="93"/>
      <c r="I982" s="41"/>
      <c r="J982" s="810"/>
    </row>
    <row r="983" spans="1:10" x14ac:dyDescent="0.25">
      <c r="A983" s="92"/>
      <c r="F983" s="620"/>
      <c r="G983" s="630"/>
      <c r="H983" s="93"/>
      <c r="I983" s="41"/>
      <c r="J983" s="810"/>
    </row>
    <row r="984" spans="1:10" x14ac:dyDescent="0.25">
      <c r="A984" s="92"/>
      <c r="F984" s="620"/>
      <c r="G984" s="630"/>
      <c r="H984" s="93"/>
      <c r="I984" s="41"/>
      <c r="J984" s="810"/>
    </row>
    <row r="985" spans="1:10" x14ac:dyDescent="0.25">
      <c r="A985" s="92"/>
      <c r="F985" s="620"/>
      <c r="G985" s="630"/>
      <c r="H985" s="93"/>
      <c r="I985" s="41"/>
      <c r="J985" s="810"/>
    </row>
    <row r="986" spans="1:10" x14ac:dyDescent="0.25">
      <c r="A986" s="92"/>
      <c r="F986" s="620"/>
      <c r="G986" s="630"/>
      <c r="H986" s="93"/>
      <c r="I986" s="41"/>
      <c r="J986" s="810"/>
    </row>
    <row r="987" spans="1:10" x14ac:dyDescent="0.25">
      <c r="A987" s="92"/>
      <c r="F987" s="620"/>
      <c r="G987" s="630"/>
      <c r="H987" s="93"/>
      <c r="I987" s="41"/>
      <c r="J987" s="810"/>
    </row>
    <row r="988" spans="1:10" x14ac:dyDescent="0.25">
      <c r="A988" s="92"/>
      <c r="F988" s="620"/>
      <c r="G988" s="630"/>
      <c r="H988" s="93"/>
      <c r="I988" s="41"/>
      <c r="J988" s="810"/>
    </row>
    <row r="989" spans="1:10" x14ac:dyDescent="0.25">
      <c r="A989" s="92"/>
      <c r="F989" s="620"/>
      <c r="G989" s="630"/>
      <c r="H989" s="93"/>
      <c r="I989" s="41"/>
      <c r="J989" s="810"/>
    </row>
    <row r="990" spans="1:10" x14ac:dyDescent="0.25">
      <c r="A990" s="92"/>
      <c r="F990" s="620"/>
      <c r="G990" s="630"/>
      <c r="H990" s="93"/>
      <c r="I990" s="41"/>
      <c r="J990" s="810"/>
    </row>
    <row r="991" spans="1:10" x14ac:dyDescent="0.25">
      <c r="A991" s="92"/>
      <c r="F991" s="620"/>
      <c r="G991" s="630"/>
      <c r="H991" s="93"/>
      <c r="I991" s="41"/>
      <c r="J991" s="810"/>
    </row>
    <row r="992" spans="1:10" x14ac:dyDescent="0.25">
      <c r="A992" s="92"/>
      <c r="F992" s="620"/>
      <c r="G992" s="630"/>
      <c r="H992" s="93"/>
      <c r="I992" s="41"/>
      <c r="J992" s="810"/>
    </row>
    <row r="993" spans="1:10" x14ac:dyDescent="0.25">
      <c r="A993" s="92"/>
      <c r="F993" s="620"/>
      <c r="G993" s="630"/>
      <c r="H993" s="93"/>
      <c r="I993" s="41"/>
      <c r="J993" s="810"/>
    </row>
    <row r="994" spans="1:10" x14ac:dyDescent="0.25">
      <c r="A994" s="92"/>
      <c r="F994" s="620"/>
      <c r="G994" s="630"/>
      <c r="H994" s="93"/>
      <c r="I994" s="41"/>
      <c r="J994" s="810"/>
    </row>
    <row r="995" spans="1:10" x14ac:dyDescent="0.25">
      <c r="A995" s="92"/>
      <c r="F995" s="620"/>
      <c r="G995" s="630"/>
      <c r="H995" s="93"/>
      <c r="I995" s="41"/>
      <c r="J995" s="810"/>
    </row>
    <row r="996" spans="1:10" x14ac:dyDescent="0.25">
      <c r="A996" s="92"/>
      <c r="F996" s="620"/>
      <c r="G996" s="630"/>
      <c r="H996" s="93"/>
      <c r="I996" s="41"/>
      <c r="J996" s="810"/>
    </row>
    <row r="997" spans="1:10" x14ac:dyDescent="0.25">
      <c r="A997" s="92"/>
      <c r="F997" s="620"/>
      <c r="G997" s="630"/>
      <c r="H997" s="93"/>
      <c r="I997" s="41"/>
      <c r="J997" s="810"/>
    </row>
    <row r="998" spans="1:10" x14ac:dyDescent="0.25">
      <c r="A998" s="92"/>
      <c r="F998" s="620"/>
      <c r="G998" s="630"/>
      <c r="H998" s="93"/>
      <c r="I998" s="41"/>
      <c r="J998" s="810"/>
    </row>
    <row r="999" spans="1:10" x14ac:dyDescent="0.25">
      <c r="A999" s="92"/>
      <c r="F999" s="620"/>
      <c r="G999" s="630"/>
      <c r="H999" s="93"/>
      <c r="I999" s="41"/>
      <c r="J999" s="810"/>
    </row>
    <row r="1000" spans="1:10" x14ac:dyDescent="0.25">
      <c r="A1000" s="92"/>
      <c r="F1000" s="620"/>
      <c r="G1000" s="630"/>
      <c r="H1000" s="93"/>
      <c r="I1000" s="41"/>
      <c r="J1000" s="810"/>
    </row>
    <row r="1001" spans="1:10" x14ac:dyDescent="0.25">
      <c r="A1001" s="92"/>
      <c r="F1001" s="620"/>
      <c r="G1001" s="630"/>
      <c r="H1001" s="93"/>
      <c r="I1001" s="41"/>
      <c r="J1001" s="810"/>
    </row>
    <row r="1002" spans="1:10" x14ac:dyDescent="0.25">
      <c r="A1002" s="92"/>
      <c r="F1002" s="620"/>
      <c r="G1002" s="630"/>
      <c r="H1002" s="93"/>
      <c r="I1002" s="41"/>
      <c r="J1002" s="810"/>
    </row>
    <row r="1003" spans="1:10" x14ac:dyDescent="0.25">
      <c r="A1003" s="92"/>
      <c r="F1003" s="620"/>
      <c r="G1003" s="630"/>
      <c r="H1003" s="93"/>
      <c r="I1003" s="41"/>
      <c r="J1003" s="810"/>
    </row>
    <row r="1004" spans="1:10" x14ac:dyDescent="0.25">
      <c r="A1004" s="92"/>
      <c r="F1004" s="620"/>
      <c r="G1004" s="630"/>
      <c r="H1004" s="93"/>
      <c r="I1004" s="41"/>
      <c r="J1004" s="810"/>
    </row>
    <row r="1005" spans="1:10" x14ac:dyDescent="0.25">
      <c r="A1005" s="92"/>
      <c r="F1005" s="620"/>
      <c r="G1005" s="630"/>
      <c r="H1005" s="93"/>
      <c r="I1005" s="41"/>
      <c r="J1005" s="810"/>
    </row>
    <row r="1006" spans="1:10" x14ac:dyDescent="0.25">
      <c r="A1006" s="92"/>
      <c r="F1006" s="620"/>
      <c r="G1006" s="630"/>
      <c r="H1006" s="93"/>
      <c r="I1006" s="41"/>
      <c r="J1006" s="810"/>
    </row>
    <row r="1007" spans="1:10" x14ac:dyDescent="0.25">
      <c r="A1007" s="92"/>
      <c r="F1007" s="620"/>
      <c r="G1007" s="630"/>
      <c r="H1007" s="93"/>
      <c r="I1007" s="41"/>
      <c r="J1007" s="810"/>
    </row>
    <row r="1008" spans="1:10" x14ac:dyDescent="0.25">
      <c r="A1008" s="92"/>
      <c r="F1008" s="620"/>
      <c r="G1008" s="630"/>
      <c r="H1008" s="93"/>
      <c r="I1008" s="41"/>
      <c r="J1008" s="810"/>
    </row>
    <row r="1009" spans="1:10" x14ac:dyDescent="0.25">
      <c r="A1009" s="92"/>
      <c r="F1009" s="620"/>
      <c r="G1009" s="630"/>
      <c r="H1009" s="93"/>
      <c r="I1009" s="41"/>
      <c r="J1009" s="810"/>
    </row>
    <row r="1010" spans="1:10" x14ac:dyDescent="0.25">
      <c r="A1010" s="92"/>
      <c r="F1010" s="620"/>
      <c r="G1010" s="630"/>
      <c r="H1010" s="93"/>
      <c r="I1010" s="41"/>
      <c r="J1010" s="810"/>
    </row>
    <row r="1011" spans="1:10" x14ac:dyDescent="0.25">
      <c r="A1011" s="92"/>
      <c r="F1011" s="620"/>
      <c r="G1011" s="630"/>
      <c r="H1011" s="93"/>
      <c r="I1011" s="41"/>
      <c r="J1011" s="810"/>
    </row>
    <row r="1012" spans="1:10" x14ac:dyDescent="0.25">
      <c r="A1012" s="92"/>
      <c r="F1012" s="620"/>
      <c r="G1012" s="630"/>
      <c r="H1012" s="93"/>
      <c r="I1012" s="41"/>
      <c r="J1012" s="810"/>
    </row>
    <row r="1013" spans="1:10" x14ac:dyDescent="0.25">
      <c r="A1013" s="92"/>
      <c r="F1013" s="620"/>
      <c r="G1013" s="630"/>
      <c r="H1013" s="93"/>
      <c r="I1013" s="41"/>
      <c r="J1013" s="810"/>
    </row>
    <row r="1014" spans="1:10" x14ac:dyDescent="0.25">
      <c r="A1014" s="92"/>
      <c r="F1014" s="620"/>
      <c r="G1014" s="630"/>
      <c r="H1014" s="93"/>
      <c r="I1014" s="41"/>
      <c r="J1014" s="810"/>
    </row>
    <row r="1015" spans="1:10" x14ac:dyDescent="0.25">
      <c r="A1015" s="92"/>
      <c r="F1015" s="620"/>
      <c r="G1015" s="630"/>
      <c r="H1015" s="93"/>
      <c r="I1015" s="41"/>
      <c r="J1015" s="810"/>
    </row>
    <row r="1016" spans="1:10" x14ac:dyDescent="0.25">
      <c r="A1016" s="92"/>
      <c r="F1016" s="620"/>
      <c r="G1016" s="630"/>
      <c r="H1016" s="93"/>
      <c r="I1016" s="41"/>
      <c r="J1016" s="810"/>
    </row>
    <row r="1017" spans="1:10" x14ac:dyDescent="0.25">
      <c r="A1017" s="92"/>
      <c r="F1017" s="620"/>
      <c r="G1017" s="630"/>
      <c r="H1017" s="93"/>
      <c r="I1017" s="41"/>
      <c r="J1017" s="810"/>
    </row>
    <row r="1018" spans="1:10" x14ac:dyDescent="0.25">
      <c r="A1018" s="92"/>
      <c r="F1018" s="620"/>
      <c r="G1018" s="630"/>
      <c r="H1018" s="93"/>
      <c r="I1018" s="41"/>
      <c r="J1018" s="810"/>
    </row>
    <row r="1019" spans="1:10" x14ac:dyDescent="0.25">
      <c r="A1019" s="92"/>
      <c r="F1019" s="620"/>
      <c r="G1019" s="630"/>
      <c r="H1019" s="93"/>
      <c r="I1019" s="41"/>
      <c r="J1019" s="810"/>
    </row>
    <row r="1020" spans="1:10" x14ac:dyDescent="0.25">
      <c r="A1020" s="92"/>
      <c r="F1020" s="620"/>
      <c r="G1020" s="630"/>
      <c r="H1020" s="93"/>
      <c r="I1020" s="41"/>
      <c r="J1020" s="810"/>
    </row>
    <row r="1021" spans="1:10" x14ac:dyDescent="0.25">
      <c r="A1021" s="92"/>
      <c r="F1021" s="620"/>
      <c r="G1021" s="630"/>
      <c r="H1021" s="93"/>
      <c r="I1021" s="41"/>
      <c r="J1021" s="810"/>
    </row>
    <row r="1022" spans="1:10" x14ac:dyDescent="0.25">
      <c r="A1022" s="92"/>
      <c r="F1022" s="620"/>
      <c r="G1022" s="630"/>
      <c r="H1022" s="93"/>
      <c r="I1022" s="41"/>
      <c r="J1022" s="810"/>
    </row>
    <row r="1023" spans="1:10" x14ac:dyDescent="0.25">
      <c r="A1023" s="92"/>
      <c r="F1023" s="620"/>
      <c r="G1023" s="630"/>
      <c r="H1023" s="93"/>
      <c r="I1023" s="41"/>
      <c r="J1023" s="810"/>
    </row>
    <row r="1024" spans="1:10" x14ac:dyDescent="0.25">
      <c r="A1024" s="92"/>
      <c r="F1024" s="620"/>
      <c r="G1024" s="630"/>
      <c r="H1024" s="93"/>
      <c r="I1024" s="41"/>
      <c r="J1024" s="810"/>
    </row>
    <row r="1025" spans="1:10" x14ac:dyDescent="0.25">
      <c r="A1025" s="92"/>
      <c r="F1025" s="620"/>
      <c r="G1025" s="630"/>
      <c r="H1025" s="93"/>
      <c r="I1025" s="41"/>
      <c r="J1025" s="810"/>
    </row>
    <row r="1026" spans="1:10" x14ac:dyDescent="0.25">
      <c r="A1026" s="92"/>
      <c r="F1026" s="620"/>
      <c r="G1026" s="630"/>
      <c r="H1026" s="93"/>
      <c r="I1026" s="41"/>
      <c r="J1026" s="810"/>
    </row>
    <row r="1027" spans="1:10" x14ac:dyDescent="0.25">
      <c r="A1027" s="92"/>
      <c r="F1027" s="620"/>
      <c r="G1027" s="630"/>
      <c r="H1027" s="93"/>
      <c r="I1027" s="41"/>
      <c r="J1027" s="810"/>
    </row>
    <row r="1028" spans="1:10" x14ac:dyDescent="0.25">
      <c r="A1028" s="92"/>
      <c r="F1028" s="620"/>
      <c r="G1028" s="630"/>
      <c r="H1028" s="93"/>
      <c r="I1028" s="41"/>
      <c r="J1028" s="810"/>
    </row>
    <row r="1029" spans="1:10" x14ac:dyDescent="0.25">
      <c r="A1029" s="92"/>
      <c r="F1029" s="620"/>
      <c r="G1029" s="630"/>
      <c r="H1029" s="93"/>
      <c r="I1029" s="41"/>
      <c r="J1029" s="810"/>
    </row>
    <row r="1030" spans="1:10" x14ac:dyDescent="0.25">
      <c r="A1030" s="92"/>
      <c r="F1030" s="620"/>
      <c r="G1030" s="630"/>
      <c r="H1030" s="93"/>
      <c r="I1030" s="41"/>
      <c r="J1030" s="810"/>
    </row>
    <row r="1031" spans="1:10" x14ac:dyDescent="0.25">
      <c r="A1031" s="92"/>
      <c r="F1031" s="620"/>
      <c r="G1031" s="630"/>
      <c r="H1031" s="93"/>
      <c r="I1031" s="41"/>
      <c r="J1031" s="810"/>
    </row>
    <row r="1032" spans="1:10" x14ac:dyDescent="0.25">
      <c r="A1032" s="92"/>
      <c r="F1032" s="620"/>
      <c r="G1032" s="630"/>
      <c r="H1032" s="93"/>
      <c r="I1032" s="41"/>
      <c r="J1032" s="810"/>
    </row>
    <row r="1033" spans="1:10" x14ac:dyDescent="0.25">
      <c r="A1033" s="92"/>
      <c r="F1033" s="620"/>
      <c r="G1033" s="630"/>
      <c r="H1033" s="93"/>
      <c r="I1033" s="41"/>
      <c r="J1033" s="810"/>
    </row>
    <row r="1034" spans="1:10" x14ac:dyDescent="0.25">
      <c r="A1034" s="92"/>
      <c r="F1034" s="620"/>
      <c r="G1034" s="630"/>
      <c r="H1034" s="93"/>
      <c r="I1034" s="41"/>
      <c r="J1034" s="810"/>
    </row>
    <row r="1035" spans="1:10" x14ac:dyDescent="0.25">
      <c r="A1035" s="92"/>
      <c r="F1035" s="620"/>
      <c r="G1035" s="630"/>
      <c r="H1035" s="93"/>
      <c r="I1035" s="41"/>
      <c r="J1035" s="810"/>
    </row>
    <row r="1036" spans="1:10" x14ac:dyDescent="0.25">
      <c r="A1036" s="92"/>
      <c r="F1036" s="620"/>
      <c r="G1036" s="630"/>
      <c r="H1036" s="93"/>
      <c r="I1036" s="41"/>
      <c r="J1036" s="810"/>
    </row>
    <row r="1037" spans="1:10" x14ac:dyDescent="0.25">
      <c r="A1037" s="92"/>
      <c r="F1037" s="620"/>
      <c r="G1037" s="630"/>
      <c r="H1037" s="93"/>
      <c r="I1037" s="41"/>
      <c r="J1037" s="810"/>
    </row>
    <row r="1038" spans="1:10" x14ac:dyDescent="0.25">
      <c r="A1038" s="92"/>
      <c r="F1038" s="620"/>
      <c r="G1038" s="630"/>
      <c r="H1038" s="93"/>
      <c r="I1038" s="41"/>
      <c r="J1038" s="810"/>
    </row>
    <row r="1039" spans="1:10" x14ac:dyDescent="0.25">
      <c r="A1039" s="92"/>
      <c r="F1039" s="620"/>
      <c r="G1039" s="630"/>
      <c r="H1039" s="93"/>
      <c r="I1039" s="41"/>
      <c r="J1039" s="810"/>
    </row>
    <row r="1040" spans="1:10" x14ac:dyDescent="0.25">
      <c r="A1040" s="92"/>
      <c r="F1040" s="620"/>
      <c r="G1040" s="630"/>
      <c r="H1040" s="93"/>
      <c r="I1040" s="41"/>
      <c r="J1040" s="810"/>
    </row>
    <row r="1041" spans="1:10" x14ac:dyDescent="0.25">
      <c r="A1041" s="92"/>
      <c r="F1041" s="620"/>
      <c r="G1041" s="630"/>
      <c r="H1041" s="93"/>
      <c r="I1041" s="41"/>
      <c r="J1041" s="810"/>
    </row>
    <row r="1042" spans="1:10" x14ac:dyDescent="0.25">
      <c r="A1042" s="92"/>
      <c r="F1042" s="620"/>
      <c r="G1042" s="630"/>
      <c r="H1042" s="93"/>
      <c r="I1042" s="41"/>
      <c r="J1042" s="810"/>
    </row>
    <row r="1043" spans="1:10" x14ac:dyDescent="0.25">
      <c r="A1043" s="92"/>
      <c r="F1043" s="620"/>
      <c r="G1043" s="630"/>
      <c r="H1043" s="93"/>
      <c r="I1043" s="41"/>
      <c r="J1043" s="810"/>
    </row>
    <row r="1044" spans="1:10" x14ac:dyDescent="0.25">
      <c r="A1044" s="92"/>
      <c r="F1044" s="620"/>
      <c r="G1044" s="630"/>
      <c r="H1044" s="93"/>
      <c r="I1044" s="41"/>
      <c r="J1044" s="810"/>
    </row>
    <row r="1045" spans="1:10" x14ac:dyDescent="0.25">
      <c r="A1045" s="92"/>
      <c r="F1045" s="620"/>
      <c r="G1045" s="630"/>
      <c r="H1045" s="93"/>
      <c r="I1045" s="41"/>
      <c r="J1045" s="810"/>
    </row>
    <row r="1046" spans="1:10" x14ac:dyDescent="0.25">
      <c r="A1046" s="92"/>
      <c r="F1046" s="620"/>
      <c r="G1046" s="630"/>
      <c r="H1046" s="93"/>
      <c r="I1046" s="41"/>
      <c r="J1046" s="810"/>
    </row>
    <row r="1047" spans="1:10" x14ac:dyDescent="0.25">
      <c r="A1047" s="92"/>
      <c r="F1047" s="620"/>
      <c r="G1047" s="630"/>
      <c r="H1047" s="93"/>
      <c r="I1047" s="41"/>
      <c r="J1047" s="810"/>
    </row>
    <row r="1048" spans="1:10" x14ac:dyDescent="0.25">
      <c r="A1048" s="92"/>
      <c r="F1048" s="620"/>
      <c r="G1048" s="630"/>
      <c r="H1048" s="93"/>
      <c r="I1048" s="41"/>
      <c r="J1048" s="810"/>
    </row>
    <row r="1049" spans="1:10" x14ac:dyDescent="0.25">
      <c r="A1049" s="92"/>
      <c r="F1049" s="620"/>
      <c r="G1049" s="630"/>
      <c r="H1049" s="93"/>
      <c r="I1049" s="41"/>
      <c r="J1049" s="810"/>
    </row>
    <row r="1050" spans="1:10" x14ac:dyDescent="0.25">
      <c r="A1050" s="92"/>
      <c r="F1050" s="620"/>
      <c r="G1050" s="630"/>
      <c r="H1050" s="93"/>
      <c r="I1050" s="41"/>
      <c r="J1050" s="810"/>
    </row>
    <row r="1051" spans="1:10" x14ac:dyDescent="0.25">
      <c r="A1051" s="92"/>
      <c r="F1051" s="620"/>
      <c r="G1051" s="630"/>
      <c r="H1051" s="93"/>
      <c r="I1051" s="41"/>
      <c r="J1051" s="810"/>
    </row>
    <row r="1052" spans="1:10" x14ac:dyDescent="0.25">
      <c r="A1052" s="92"/>
      <c r="F1052" s="620"/>
      <c r="G1052" s="630"/>
      <c r="H1052" s="93"/>
      <c r="I1052" s="41"/>
      <c r="J1052" s="810"/>
    </row>
    <row r="1053" spans="1:10" x14ac:dyDescent="0.25">
      <c r="A1053" s="92"/>
      <c r="F1053" s="620"/>
      <c r="G1053" s="630"/>
      <c r="H1053" s="93"/>
      <c r="I1053" s="41"/>
      <c r="J1053" s="810"/>
    </row>
    <row r="1054" spans="1:10" x14ac:dyDescent="0.25">
      <c r="A1054" s="92"/>
      <c r="F1054" s="620"/>
      <c r="G1054" s="630"/>
      <c r="H1054" s="93"/>
      <c r="I1054" s="41"/>
      <c r="J1054" s="810"/>
    </row>
    <row r="1055" spans="1:10" x14ac:dyDescent="0.25">
      <c r="A1055" s="92"/>
      <c r="F1055" s="620"/>
      <c r="G1055" s="630"/>
      <c r="H1055" s="93"/>
      <c r="I1055" s="41"/>
      <c r="J1055" s="810"/>
    </row>
    <row r="1056" spans="1:10" x14ac:dyDescent="0.25">
      <c r="A1056" s="92"/>
      <c r="F1056" s="620"/>
      <c r="G1056" s="630"/>
      <c r="H1056" s="93"/>
      <c r="I1056" s="41"/>
      <c r="J1056" s="810"/>
    </row>
    <row r="1057" spans="1:10" x14ac:dyDescent="0.25">
      <c r="A1057" s="92"/>
      <c r="F1057" s="620"/>
      <c r="G1057" s="630"/>
      <c r="H1057" s="93"/>
      <c r="I1057" s="41"/>
      <c r="J1057" s="810"/>
    </row>
    <row r="1058" spans="1:10" x14ac:dyDescent="0.25">
      <c r="A1058" s="92"/>
      <c r="F1058" s="620"/>
      <c r="G1058" s="630"/>
      <c r="H1058" s="93"/>
      <c r="I1058" s="41"/>
      <c r="J1058" s="810"/>
    </row>
    <row r="1059" spans="1:10" x14ac:dyDescent="0.25">
      <c r="A1059" s="92"/>
      <c r="F1059" s="620"/>
      <c r="G1059" s="630"/>
      <c r="H1059" s="93"/>
      <c r="I1059" s="41"/>
      <c r="J1059" s="810"/>
    </row>
    <row r="1060" spans="1:10" x14ac:dyDescent="0.25">
      <c r="A1060" s="92"/>
      <c r="F1060" s="620"/>
      <c r="G1060" s="630"/>
      <c r="H1060" s="93"/>
      <c r="I1060" s="41"/>
      <c r="J1060" s="810"/>
    </row>
    <row r="1061" spans="1:10" x14ac:dyDescent="0.25">
      <c r="A1061" s="92"/>
      <c r="F1061" s="620"/>
      <c r="G1061" s="630"/>
      <c r="H1061" s="93"/>
      <c r="I1061" s="41"/>
      <c r="J1061" s="810"/>
    </row>
    <row r="1062" spans="1:10" x14ac:dyDescent="0.25">
      <c r="A1062" s="92"/>
      <c r="F1062" s="620"/>
      <c r="G1062" s="630"/>
      <c r="H1062" s="93"/>
      <c r="I1062" s="41"/>
      <c r="J1062" s="810"/>
    </row>
    <row r="1063" spans="1:10" x14ac:dyDescent="0.25">
      <c r="A1063" s="92"/>
      <c r="F1063" s="620"/>
      <c r="G1063" s="630"/>
      <c r="H1063" s="93"/>
      <c r="I1063" s="41"/>
      <c r="J1063" s="810"/>
    </row>
    <row r="1064" spans="1:10" x14ac:dyDescent="0.25">
      <c r="A1064" s="92"/>
      <c r="F1064" s="620"/>
      <c r="G1064" s="630"/>
      <c r="H1064" s="93"/>
      <c r="I1064" s="41"/>
      <c r="J1064" s="810"/>
    </row>
    <row r="1065" spans="1:10" x14ac:dyDescent="0.25">
      <c r="A1065" s="92"/>
      <c r="F1065" s="620"/>
      <c r="G1065" s="630"/>
      <c r="H1065" s="93"/>
      <c r="I1065" s="41"/>
      <c r="J1065" s="810"/>
    </row>
    <row r="1066" spans="1:10" x14ac:dyDescent="0.25">
      <c r="A1066" s="92"/>
      <c r="F1066" s="620"/>
      <c r="G1066" s="630"/>
      <c r="H1066" s="93"/>
      <c r="I1066" s="41"/>
      <c r="J1066" s="810"/>
    </row>
    <row r="1067" spans="1:10" x14ac:dyDescent="0.25">
      <c r="A1067" s="92"/>
      <c r="F1067" s="620"/>
      <c r="G1067" s="630"/>
      <c r="H1067" s="93"/>
      <c r="I1067" s="41"/>
      <c r="J1067" s="810"/>
    </row>
    <row r="1068" spans="1:10" x14ac:dyDescent="0.25">
      <c r="A1068" s="92"/>
      <c r="F1068" s="620"/>
      <c r="G1068" s="630"/>
      <c r="H1068" s="93"/>
      <c r="I1068" s="41"/>
      <c r="J1068" s="810"/>
    </row>
    <row r="1069" spans="1:10" x14ac:dyDescent="0.25">
      <c r="A1069" s="92"/>
      <c r="F1069" s="620"/>
      <c r="G1069" s="630"/>
      <c r="H1069" s="93"/>
      <c r="I1069" s="41"/>
      <c r="J1069" s="810"/>
    </row>
    <row r="1070" spans="1:10" x14ac:dyDescent="0.25">
      <c r="A1070" s="92"/>
      <c r="F1070" s="620"/>
      <c r="G1070" s="630"/>
      <c r="H1070" s="93"/>
      <c r="I1070" s="41"/>
      <c r="J1070" s="810"/>
    </row>
    <row r="1071" spans="1:10" x14ac:dyDescent="0.25">
      <c r="A1071" s="92"/>
      <c r="F1071" s="620"/>
      <c r="G1071" s="630"/>
      <c r="H1071" s="93"/>
      <c r="I1071" s="41"/>
      <c r="J1071" s="810"/>
    </row>
    <row r="1072" spans="1:10" x14ac:dyDescent="0.25">
      <c r="A1072" s="92"/>
      <c r="F1072" s="620"/>
      <c r="G1072" s="630"/>
      <c r="H1072" s="93"/>
      <c r="I1072" s="41"/>
      <c r="J1072" s="810"/>
    </row>
    <row r="1073" spans="1:10" x14ac:dyDescent="0.25">
      <c r="A1073" s="92"/>
      <c r="F1073" s="620"/>
      <c r="G1073" s="630"/>
      <c r="H1073" s="93"/>
      <c r="I1073" s="41"/>
      <c r="J1073" s="810"/>
    </row>
    <row r="1074" spans="1:10" x14ac:dyDescent="0.25">
      <c r="A1074" s="92"/>
      <c r="F1074" s="620"/>
      <c r="G1074" s="630"/>
      <c r="H1074" s="93"/>
      <c r="I1074" s="41"/>
      <c r="J1074" s="810"/>
    </row>
    <row r="1075" spans="1:10" x14ac:dyDescent="0.25">
      <c r="A1075" s="92"/>
      <c r="F1075" s="620"/>
      <c r="G1075" s="630"/>
      <c r="H1075" s="93"/>
      <c r="I1075" s="41"/>
      <c r="J1075" s="810"/>
    </row>
    <row r="1076" spans="1:10" x14ac:dyDescent="0.25">
      <c r="A1076" s="92"/>
      <c r="F1076" s="620"/>
      <c r="G1076" s="630"/>
      <c r="H1076" s="93"/>
      <c r="I1076" s="41"/>
      <c r="J1076" s="810"/>
    </row>
    <row r="1077" spans="1:10" x14ac:dyDescent="0.25">
      <c r="A1077" s="92"/>
      <c r="F1077" s="620"/>
      <c r="G1077" s="630"/>
      <c r="H1077" s="93"/>
      <c r="I1077" s="41"/>
      <c r="J1077" s="810"/>
    </row>
    <row r="1078" spans="1:10" x14ac:dyDescent="0.25">
      <c r="A1078" s="92"/>
      <c r="F1078" s="620"/>
      <c r="G1078" s="630"/>
      <c r="H1078" s="93"/>
      <c r="I1078" s="41"/>
      <c r="J1078" s="810"/>
    </row>
    <row r="1079" spans="1:10" x14ac:dyDescent="0.25">
      <c r="A1079" s="92"/>
      <c r="F1079" s="620"/>
      <c r="G1079" s="630"/>
      <c r="H1079" s="93"/>
      <c r="I1079" s="41"/>
      <c r="J1079" s="810"/>
    </row>
    <row r="1080" spans="1:10" x14ac:dyDescent="0.25">
      <c r="A1080" s="92"/>
      <c r="F1080" s="620"/>
      <c r="G1080" s="630"/>
      <c r="H1080" s="93"/>
      <c r="I1080" s="41"/>
      <c r="J1080" s="810"/>
    </row>
    <row r="1081" spans="1:10" x14ac:dyDescent="0.25">
      <c r="A1081" s="92"/>
      <c r="F1081" s="620"/>
      <c r="G1081" s="630"/>
      <c r="H1081" s="93"/>
      <c r="I1081" s="41"/>
      <c r="J1081" s="810"/>
    </row>
    <row r="1082" spans="1:10" x14ac:dyDescent="0.25">
      <c r="A1082" s="92"/>
      <c r="F1082" s="620"/>
      <c r="G1082" s="630"/>
      <c r="H1082" s="93"/>
      <c r="I1082" s="41"/>
      <c r="J1082" s="810"/>
    </row>
    <row r="1083" spans="1:10" x14ac:dyDescent="0.25">
      <c r="A1083" s="92"/>
      <c r="F1083" s="620"/>
      <c r="G1083" s="630"/>
      <c r="H1083" s="93"/>
      <c r="I1083" s="41"/>
      <c r="J1083" s="810"/>
    </row>
    <row r="1084" spans="1:10" x14ac:dyDescent="0.25">
      <c r="A1084" s="92"/>
      <c r="F1084" s="620"/>
      <c r="G1084" s="630"/>
      <c r="H1084" s="93"/>
      <c r="I1084" s="41"/>
      <c r="J1084" s="810"/>
    </row>
    <row r="1085" spans="1:10" x14ac:dyDescent="0.25">
      <c r="A1085" s="92"/>
      <c r="F1085" s="620"/>
      <c r="G1085" s="630"/>
      <c r="H1085" s="93"/>
      <c r="I1085" s="41"/>
      <c r="J1085" s="810"/>
    </row>
    <row r="1086" spans="1:10" x14ac:dyDescent="0.25">
      <c r="A1086" s="92"/>
      <c r="F1086" s="620"/>
      <c r="G1086" s="630"/>
      <c r="H1086" s="93"/>
      <c r="I1086" s="41"/>
      <c r="J1086" s="810"/>
    </row>
    <row r="1087" spans="1:10" x14ac:dyDescent="0.25">
      <c r="A1087" s="92"/>
      <c r="F1087" s="620"/>
      <c r="G1087" s="630"/>
      <c r="H1087" s="93"/>
      <c r="I1087" s="41"/>
      <c r="J1087" s="810"/>
    </row>
    <row r="1088" spans="1:10" x14ac:dyDescent="0.25">
      <c r="A1088" s="92"/>
      <c r="F1088" s="620"/>
      <c r="G1088" s="630"/>
      <c r="H1088" s="93"/>
      <c r="I1088" s="41"/>
      <c r="J1088" s="810"/>
    </row>
    <row r="1089" spans="1:10" x14ac:dyDescent="0.25">
      <c r="A1089" s="92"/>
      <c r="F1089" s="620"/>
      <c r="G1089" s="630"/>
      <c r="H1089" s="93"/>
      <c r="I1089" s="41"/>
      <c r="J1089" s="810"/>
    </row>
    <row r="1090" spans="1:10" x14ac:dyDescent="0.25">
      <c r="A1090" s="92"/>
      <c r="F1090" s="620"/>
      <c r="G1090" s="630"/>
      <c r="H1090" s="93"/>
      <c r="I1090" s="41"/>
      <c r="J1090" s="810"/>
    </row>
    <row r="1091" spans="1:10" x14ac:dyDescent="0.25">
      <c r="A1091" s="92"/>
      <c r="F1091" s="620"/>
      <c r="G1091" s="630"/>
      <c r="H1091" s="93"/>
      <c r="I1091" s="41"/>
      <c r="J1091" s="810"/>
    </row>
    <row r="1092" spans="1:10" x14ac:dyDescent="0.25">
      <c r="A1092" s="92"/>
      <c r="F1092" s="620"/>
      <c r="G1092" s="630"/>
      <c r="H1092" s="93"/>
      <c r="I1092" s="41"/>
      <c r="J1092" s="810"/>
    </row>
    <row r="1093" spans="1:10" x14ac:dyDescent="0.25">
      <c r="A1093" s="92"/>
      <c r="F1093" s="620"/>
      <c r="G1093" s="630"/>
      <c r="H1093" s="93"/>
      <c r="I1093" s="41"/>
      <c r="J1093" s="810"/>
    </row>
    <row r="1094" spans="1:10" x14ac:dyDescent="0.25">
      <c r="A1094" s="92"/>
      <c r="F1094" s="620"/>
      <c r="G1094" s="630"/>
      <c r="H1094" s="93"/>
      <c r="I1094" s="41"/>
      <c r="J1094" s="810"/>
    </row>
    <row r="1095" spans="1:10" x14ac:dyDescent="0.25">
      <c r="A1095" s="92"/>
      <c r="F1095" s="620"/>
      <c r="G1095" s="630"/>
      <c r="H1095" s="93"/>
      <c r="I1095" s="41"/>
      <c r="J1095" s="810"/>
    </row>
    <row r="1096" spans="1:10" x14ac:dyDescent="0.25">
      <c r="A1096" s="92"/>
      <c r="F1096" s="620"/>
      <c r="G1096" s="630"/>
      <c r="H1096" s="93"/>
      <c r="I1096" s="41"/>
      <c r="J1096" s="810"/>
    </row>
    <row r="1097" spans="1:10" x14ac:dyDescent="0.25">
      <c r="A1097" s="92"/>
      <c r="F1097" s="620"/>
      <c r="G1097" s="630"/>
      <c r="H1097" s="93"/>
      <c r="I1097" s="41"/>
      <c r="J1097" s="810"/>
    </row>
    <row r="1098" spans="1:10" x14ac:dyDescent="0.25">
      <c r="A1098" s="92"/>
      <c r="F1098" s="620"/>
      <c r="G1098" s="630"/>
      <c r="H1098" s="93"/>
      <c r="I1098" s="41"/>
      <c r="J1098" s="810"/>
    </row>
    <row r="1099" spans="1:10" x14ac:dyDescent="0.25">
      <c r="A1099" s="92"/>
      <c r="F1099" s="620"/>
      <c r="G1099" s="630"/>
      <c r="H1099" s="93"/>
      <c r="I1099" s="41"/>
      <c r="J1099" s="810"/>
    </row>
    <row r="1100" spans="1:10" x14ac:dyDescent="0.25">
      <c r="A1100" s="92"/>
      <c r="F1100" s="620"/>
      <c r="G1100" s="630"/>
      <c r="H1100" s="93"/>
      <c r="I1100" s="41"/>
      <c r="J1100" s="810"/>
    </row>
    <row r="1101" spans="1:10" x14ac:dyDescent="0.25">
      <c r="A1101" s="92"/>
      <c r="F1101" s="620"/>
      <c r="G1101" s="630"/>
      <c r="H1101" s="93"/>
      <c r="I1101" s="41"/>
      <c r="J1101" s="810"/>
    </row>
    <row r="1102" spans="1:10" x14ac:dyDescent="0.25">
      <c r="A1102" s="92"/>
      <c r="F1102" s="620"/>
      <c r="G1102" s="630"/>
      <c r="H1102" s="93"/>
      <c r="I1102" s="41"/>
      <c r="J1102" s="810"/>
    </row>
    <row r="1103" spans="1:10" x14ac:dyDescent="0.25">
      <c r="A1103" s="92"/>
      <c r="F1103" s="620"/>
      <c r="G1103" s="630"/>
      <c r="H1103" s="93"/>
      <c r="I1103" s="41"/>
      <c r="J1103" s="810"/>
    </row>
    <row r="1104" spans="1:10" x14ac:dyDescent="0.25">
      <c r="A1104" s="92"/>
      <c r="F1104" s="620"/>
      <c r="G1104" s="630"/>
      <c r="H1104" s="93"/>
      <c r="I1104" s="41"/>
      <c r="J1104" s="810"/>
    </row>
    <row r="1105" spans="1:10" x14ac:dyDescent="0.25">
      <c r="A1105" s="92"/>
      <c r="F1105" s="620"/>
      <c r="G1105" s="630"/>
      <c r="H1105" s="93"/>
      <c r="I1105" s="41"/>
      <c r="J1105" s="810"/>
    </row>
    <row r="1106" spans="1:10" x14ac:dyDescent="0.25">
      <c r="A1106" s="92"/>
      <c r="F1106" s="620"/>
      <c r="G1106" s="630"/>
      <c r="H1106" s="93"/>
      <c r="I1106" s="41"/>
      <c r="J1106" s="810"/>
    </row>
    <row r="1107" spans="1:10" x14ac:dyDescent="0.25">
      <c r="A1107" s="92"/>
      <c r="F1107" s="620"/>
      <c r="G1107" s="630"/>
      <c r="H1107" s="93"/>
      <c r="I1107" s="41"/>
      <c r="J1107" s="810"/>
    </row>
    <row r="1108" spans="1:10" x14ac:dyDescent="0.25">
      <c r="A1108" s="92"/>
      <c r="F1108" s="620"/>
      <c r="G1108" s="630"/>
      <c r="H1108" s="93"/>
      <c r="I1108" s="41"/>
      <c r="J1108" s="810"/>
    </row>
    <row r="1109" spans="1:10" x14ac:dyDescent="0.25">
      <c r="A1109" s="92"/>
      <c r="F1109" s="620"/>
      <c r="G1109" s="630"/>
      <c r="H1109" s="93"/>
      <c r="I1109" s="41"/>
      <c r="J1109" s="810"/>
    </row>
    <row r="1110" spans="1:10" x14ac:dyDescent="0.25">
      <c r="A1110" s="92"/>
      <c r="F1110" s="620"/>
      <c r="G1110" s="630"/>
      <c r="H1110" s="93"/>
      <c r="I1110" s="41"/>
      <c r="J1110" s="810"/>
    </row>
    <row r="1111" spans="1:10" x14ac:dyDescent="0.25">
      <c r="A1111" s="92"/>
      <c r="F1111" s="620"/>
      <c r="G1111" s="630"/>
      <c r="H1111" s="93"/>
      <c r="I1111" s="41"/>
      <c r="J1111" s="810"/>
    </row>
    <row r="1112" spans="1:10" x14ac:dyDescent="0.25">
      <c r="A1112" s="92"/>
      <c r="F1112" s="620"/>
      <c r="G1112" s="630"/>
      <c r="H1112" s="93"/>
      <c r="I1112" s="41"/>
      <c r="J1112" s="810"/>
    </row>
    <row r="1113" spans="1:10" x14ac:dyDescent="0.25">
      <c r="A1113" s="92"/>
      <c r="F1113" s="620"/>
      <c r="G1113" s="630"/>
      <c r="H1113" s="93"/>
      <c r="I1113" s="41"/>
      <c r="J1113" s="810"/>
    </row>
    <row r="1114" spans="1:10" x14ac:dyDescent="0.25">
      <c r="A1114" s="92"/>
      <c r="F1114" s="620"/>
      <c r="G1114" s="630"/>
      <c r="H1114" s="93"/>
      <c r="I1114" s="41"/>
      <c r="J1114" s="810"/>
    </row>
    <row r="1115" spans="1:10" x14ac:dyDescent="0.25">
      <c r="A1115" s="92"/>
      <c r="F1115" s="620"/>
      <c r="G1115" s="630"/>
      <c r="H1115" s="93"/>
      <c r="I1115" s="41"/>
      <c r="J1115" s="810"/>
    </row>
    <row r="1116" spans="1:10" x14ac:dyDescent="0.25">
      <c r="A1116" s="92"/>
      <c r="F1116" s="620"/>
      <c r="G1116" s="630"/>
      <c r="H1116" s="93"/>
      <c r="I1116" s="41"/>
      <c r="J1116" s="810"/>
    </row>
    <row r="1117" spans="1:10" x14ac:dyDescent="0.25">
      <c r="A1117" s="92"/>
      <c r="F1117" s="620"/>
      <c r="G1117" s="630"/>
      <c r="H1117" s="93"/>
      <c r="I1117" s="41"/>
      <c r="J1117" s="810"/>
    </row>
    <row r="1118" spans="1:10" x14ac:dyDescent="0.25">
      <c r="A1118" s="92"/>
      <c r="F1118" s="620"/>
      <c r="G1118" s="630"/>
      <c r="H1118" s="93"/>
      <c r="I1118" s="41"/>
      <c r="J1118" s="810"/>
    </row>
    <row r="1119" spans="1:10" x14ac:dyDescent="0.25">
      <c r="A1119" s="92"/>
      <c r="F1119" s="620"/>
      <c r="G1119" s="630"/>
      <c r="H1119" s="93"/>
      <c r="I1119" s="41"/>
      <c r="J1119" s="810"/>
    </row>
    <row r="1120" spans="1:10" x14ac:dyDescent="0.25">
      <c r="A1120" s="92"/>
      <c r="F1120" s="620"/>
      <c r="G1120" s="630"/>
      <c r="H1120" s="93"/>
      <c r="I1120" s="41"/>
      <c r="J1120" s="810"/>
    </row>
    <row r="1121" spans="1:10" x14ac:dyDescent="0.25">
      <c r="A1121" s="92"/>
      <c r="F1121" s="620"/>
      <c r="G1121" s="630"/>
      <c r="H1121" s="93"/>
      <c r="I1121" s="41"/>
      <c r="J1121" s="810"/>
    </row>
    <row r="1122" spans="1:10" x14ac:dyDescent="0.25">
      <c r="A1122" s="92"/>
      <c r="F1122" s="620"/>
      <c r="G1122" s="630"/>
      <c r="H1122" s="93"/>
      <c r="I1122" s="41"/>
      <c r="J1122" s="810"/>
    </row>
    <row r="1123" spans="1:10" x14ac:dyDescent="0.25">
      <c r="A1123" s="92"/>
      <c r="F1123" s="620"/>
      <c r="G1123" s="630"/>
      <c r="H1123" s="93"/>
      <c r="I1123" s="41"/>
      <c r="J1123" s="810"/>
    </row>
    <row r="1124" spans="1:10" x14ac:dyDescent="0.25">
      <c r="A1124" s="92"/>
      <c r="F1124" s="620"/>
      <c r="G1124" s="630"/>
      <c r="H1124" s="93"/>
      <c r="I1124" s="41"/>
      <c r="J1124" s="810"/>
    </row>
    <row r="1125" spans="1:10" x14ac:dyDescent="0.25">
      <c r="A1125" s="92"/>
      <c r="F1125" s="620"/>
      <c r="G1125" s="630"/>
      <c r="H1125" s="93"/>
      <c r="I1125" s="41"/>
      <c r="J1125" s="810"/>
    </row>
    <row r="1126" spans="1:10" x14ac:dyDescent="0.25">
      <c r="A1126" s="92"/>
      <c r="F1126" s="620"/>
      <c r="G1126" s="630"/>
      <c r="H1126" s="93"/>
      <c r="I1126" s="41"/>
      <c r="J1126" s="810"/>
    </row>
    <row r="1127" spans="1:10" x14ac:dyDescent="0.25">
      <c r="A1127" s="92"/>
      <c r="F1127" s="620"/>
      <c r="G1127" s="630"/>
      <c r="H1127" s="93"/>
      <c r="I1127" s="41"/>
      <c r="J1127" s="810"/>
    </row>
    <row r="1128" spans="1:10" x14ac:dyDescent="0.25">
      <c r="A1128" s="92"/>
      <c r="F1128" s="620"/>
      <c r="G1128" s="630"/>
      <c r="H1128" s="93"/>
      <c r="I1128" s="41"/>
      <c r="J1128" s="810"/>
    </row>
    <row r="1129" spans="1:10" x14ac:dyDescent="0.25">
      <c r="A1129" s="92"/>
      <c r="F1129" s="620"/>
      <c r="G1129" s="630"/>
      <c r="H1129" s="93"/>
      <c r="I1129" s="41"/>
      <c r="J1129" s="810"/>
    </row>
    <row r="1130" spans="1:10" x14ac:dyDescent="0.25">
      <c r="A1130" s="92"/>
      <c r="F1130" s="620"/>
      <c r="G1130" s="630"/>
      <c r="H1130" s="93"/>
      <c r="I1130" s="41"/>
      <c r="J1130" s="810"/>
    </row>
    <row r="1131" spans="1:10" x14ac:dyDescent="0.25">
      <c r="A1131" s="92"/>
      <c r="F1131" s="620"/>
      <c r="G1131" s="630"/>
      <c r="H1131" s="93"/>
      <c r="I1131" s="41"/>
      <c r="J1131" s="810"/>
    </row>
    <row r="1132" spans="1:10" x14ac:dyDescent="0.25">
      <c r="A1132" s="92"/>
      <c r="F1132" s="620"/>
      <c r="G1132" s="630"/>
      <c r="H1132" s="93"/>
      <c r="I1132" s="41"/>
      <c r="J1132" s="810"/>
    </row>
    <row r="1133" spans="1:10" x14ac:dyDescent="0.25">
      <c r="A1133" s="92"/>
      <c r="F1133" s="620"/>
      <c r="G1133" s="630"/>
      <c r="H1133" s="93"/>
      <c r="I1133" s="41"/>
      <c r="J1133" s="810"/>
    </row>
    <row r="1134" spans="1:10" x14ac:dyDescent="0.25">
      <c r="A1134" s="92"/>
      <c r="F1134" s="620"/>
      <c r="G1134" s="630"/>
      <c r="H1134" s="93"/>
      <c r="I1134" s="41"/>
      <c r="J1134" s="810"/>
    </row>
    <row r="1135" spans="1:10" x14ac:dyDescent="0.25">
      <c r="A1135" s="92"/>
      <c r="F1135" s="620"/>
      <c r="G1135" s="630"/>
      <c r="H1135" s="93"/>
      <c r="I1135" s="41"/>
      <c r="J1135" s="810"/>
    </row>
    <row r="1136" spans="1:10" x14ac:dyDescent="0.25">
      <c r="A1136" s="92"/>
      <c r="F1136" s="620"/>
      <c r="G1136" s="630"/>
      <c r="H1136" s="93"/>
      <c r="I1136" s="41"/>
      <c r="J1136" s="810"/>
    </row>
    <row r="1137" spans="1:10" x14ac:dyDescent="0.25">
      <c r="A1137" s="92"/>
      <c r="F1137" s="620"/>
      <c r="G1137" s="630"/>
      <c r="H1137" s="93"/>
      <c r="I1137" s="41"/>
      <c r="J1137" s="810"/>
    </row>
    <row r="1138" spans="1:10" x14ac:dyDescent="0.25">
      <c r="A1138" s="92"/>
      <c r="F1138" s="620"/>
      <c r="G1138" s="630"/>
      <c r="H1138" s="93"/>
      <c r="I1138" s="41"/>
      <c r="J1138" s="810"/>
    </row>
    <row r="1139" spans="1:10" x14ac:dyDescent="0.25">
      <c r="A1139" s="92"/>
      <c r="F1139" s="620"/>
      <c r="G1139" s="630"/>
      <c r="H1139" s="93"/>
      <c r="I1139" s="41"/>
      <c r="J1139" s="810"/>
    </row>
    <row r="1140" spans="1:10" x14ac:dyDescent="0.25">
      <c r="A1140" s="92"/>
      <c r="F1140" s="620"/>
      <c r="G1140" s="630"/>
      <c r="H1140" s="93"/>
      <c r="I1140" s="41"/>
      <c r="J1140" s="810"/>
    </row>
    <row r="1141" spans="1:10" x14ac:dyDescent="0.25">
      <c r="A1141" s="92"/>
      <c r="F1141" s="620"/>
      <c r="G1141" s="630"/>
      <c r="H1141" s="93"/>
      <c r="I1141" s="41"/>
      <c r="J1141" s="810"/>
    </row>
    <row r="1142" spans="1:10" x14ac:dyDescent="0.25">
      <c r="A1142" s="92"/>
      <c r="F1142" s="620"/>
      <c r="G1142" s="630"/>
      <c r="H1142" s="93"/>
      <c r="I1142" s="41"/>
      <c r="J1142" s="810"/>
    </row>
    <row r="1143" spans="1:10" x14ac:dyDescent="0.25">
      <c r="A1143" s="92"/>
      <c r="F1143" s="620"/>
      <c r="G1143" s="630"/>
      <c r="H1143" s="93"/>
      <c r="I1143" s="41"/>
      <c r="J1143" s="810"/>
    </row>
    <row r="1144" spans="1:10" x14ac:dyDescent="0.25">
      <c r="A1144" s="92"/>
      <c r="F1144" s="620"/>
      <c r="G1144" s="630"/>
      <c r="H1144" s="93"/>
      <c r="I1144" s="41"/>
      <c r="J1144" s="810"/>
    </row>
    <row r="1145" spans="1:10" x14ac:dyDescent="0.25">
      <c r="A1145" s="92"/>
      <c r="F1145" s="620"/>
      <c r="G1145" s="630"/>
      <c r="H1145" s="93"/>
      <c r="I1145" s="41"/>
      <c r="J1145" s="810"/>
    </row>
    <row r="1146" spans="1:10" x14ac:dyDescent="0.25">
      <c r="A1146" s="92"/>
      <c r="F1146" s="620"/>
      <c r="G1146" s="630"/>
      <c r="H1146" s="93"/>
      <c r="I1146" s="41"/>
      <c r="J1146" s="810"/>
    </row>
    <row r="1147" spans="1:10" x14ac:dyDescent="0.25">
      <c r="A1147" s="92"/>
      <c r="F1147" s="620"/>
      <c r="G1147" s="630"/>
      <c r="H1147" s="93"/>
      <c r="I1147" s="41"/>
      <c r="J1147" s="810"/>
    </row>
    <row r="1148" spans="1:10" x14ac:dyDescent="0.25">
      <c r="A1148" s="92"/>
      <c r="F1148" s="620"/>
      <c r="G1148" s="630"/>
      <c r="H1148" s="93"/>
      <c r="I1148" s="41"/>
      <c r="J1148" s="810"/>
    </row>
    <row r="1149" spans="1:10" x14ac:dyDescent="0.25">
      <c r="A1149" s="92"/>
      <c r="F1149" s="620"/>
      <c r="G1149" s="630"/>
      <c r="H1149" s="93"/>
      <c r="I1149" s="41"/>
      <c r="J1149" s="810"/>
    </row>
    <row r="1150" spans="1:10" x14ac:dyDescent="0.25">
      <c r="A1150" s="92"/>
      <c r="F1150" s="620"/>
      <c r="G1150" s="630"/>
      <c r="H1150" s="93"/>
      <c r="I1150" s="41"/>
      <c r="J1150" s="810"/>
    </row>
    <row r="1151" spans="1:10" x14ac:dyDescent="0.25">
      <c r="A1151" s="92"/>
      <c r="F1151" s="620"/>
      <c r="G1151" s="630"/>
      <c r="H1151" s="93"/>
      <c r="I1151" s="41"/>
      <c r="J1151" s="810"/>
    </row>
    <row r="1152" spans="1:10" x14ac:dyDescent="0.25">
      <c r="A1152" s="92"/>
      <c r="F1152" s="620"/>
      <c r="G1152" s="630"/>
      <c r="H1152" s="93"/>
      <c r="I1152" s="41"/>
      <c r="J1152" s="810"/>
    </row>
    <row r="1153" spans="1:10" x14ac:dyDescent="0.25">
      <c r="A1153" s="92"/>
      <c r="F1153" s="620"/>
      <c r="G1153" s="630"/>
      <c r="H1153" s="93"/>
      <c r="I1153" s="41"/>
      <c r="J1153" s="810"/>
    </row>
    <row r="1154" spans="1:10" x14ac:dyDescent="0.25">
      <c r="A1154" s="92"/>
      <c r="F1154" s="620"/>
      <c r="G1154" s="630"/>
      <c r="H1154" s="93"/>
      <c r="I1154" s="41"/>
      <c r="J1154" s="810"/>
    </row>
    <row r="1155" spans="1:10" x14ac:dyDescent="0.25">
      <c r="A1155" s="92"/>
      <c r="F1155" s="620"/>
      <c r="G1155" s="630"/>
      <c r="H1155" s="93"/>
      <c r="I1155" s="41"/>
      <c r="J1155" s="810"/>
    </row>
    <row r="1156" spans="1:10" x14ac:dyDescent="0.25">
      <c r="A1156" s="92"/>
      <c r="F1156" s="620"/>
      <c r="G1156" s="630"/>
      <c r="H1156" s="93"/>
      <c r="I1156" s="41"/>
      <c r="J1156" s="810"/>
    </row>
    <row r="1157" spans="1:10" x14ac:dyDescent="0.25">
      <c r="A1157" s="92"/>
      <c r="F1157" s="620"/>
      <c r="G1157" s="630"/>
      <c r="H1157" s="93"/>
      <c r="I1157" s="41"/>
      <c r="J1157" s="810"/>
    </row>
    <row r="1158" spans="1:10" x14ac:dyDescent="0.25">
      <c r="A1158" s="92"/>
      <c r="F1158" s="620"/>
      <c r="G1158" s="630"/>
      <c r="H1158" s="93"/>
      <c r="I1158" s="41"/>
      <c r="J1158" s="810"/>
    </row>
    <row r="1159" spans="1:10" x14ac:dyDescent="0.25">
      <c r="A1159" s="92"/>
      <c r="F1159" s="620"/>
      <c r="G1159" s="630"/>
      <c r="H1159" s="93"/>
      <c r="I1159" s="41"/>
      <c r="J1159" s="810"/>
    </row>
    <row r="1160" spans="1:10" x14ac:dyDescent="0.25">
      <c r="A1160" s="92"/>
      <c r="F1160" s="620"/>
      <c r="G1160" s="630"/>
      <c r="H1160" s="93"/>
      <c r="I1160" s="41"/>
      <c r="J1160" s="810"/>
    </row>
    <row r="1161" spans="1:10" x14ac:dyDescent="0.25">
      <c r="A1161" s="92"/>
      <c r="F1161" s="620"/>
      <c r="G1161" s="630"/>
      <c r="H1161" s="93"/>
      <c r="I1161" s="41"/>
      <c r="J1161" s="810"/>
    </row>
    <row r="1162" spans="1:10" x14ac:dyDescent="0.25">
      <c r="A1162" s="92"/>
      <c r="F1162" s="620"/>
      <c r="G1162" s="630"/>
      <c r="H1162" s="93"/>
      <c r="I1162" s="41"/>
      <c r="J1162" s="810"/>
    </row>
    <row r="1163" spans="1:10" x14ac:dyDescent="0.25">
      <c r="A1163" s="92"/>
      <c r="F1163" s="620"/>
      <c r="G1163" s="630"/>
      <c r="H1163" s="93"/>
      <c r="I1163" s="41"/>
      <c r="J1163" s="810"/>
    </row>
    <row r="1164" spans="1:10" x14ac:dyDescent="0.25">
      <c r="A1164" s="92"/>
      <c r="F1164" s="620"/>
      <c r="G1164" s="630"/>
      <c r="H1164" s="93"/>
      <c r="I1164" s="41"/>
      <c r="J1164" s="810"/>
    </row>
    <row r="1165" spans="1:10" x14ac:dyDescent="0.25">
      <c r="A1165" s="92"/>
      <c r="F1165" s="620"/>
      <c r="G1165" s="630"/>
      <c r="H1165" s="93"/>
      <c r="I1165" s="41"/>
      <c r="J1165" s="810"/>
    </row>
    <row r="1166" spans="1:10" x14ac:dyDescent="0.25">
      <c r="A1166" s="92"/>
      <c r="F1166" s="620"/>
      <c r="G1166" s="630"/>
      <c r="H1166" s="93"/>
      <c r="I1166" s="41"/>
      <c r="J1166" s="810"/>
    </row>
    <row r="1167" spans="1:10" x14ac:dyDescent="0.25">
      <c r="A1167" s="92"/>
      <c r="F1167" s="620"/>
      <c r="G1167" s="630"/>
      <c r="H1167" s="93"/>
      <c r="I1167" s="41"/>
      <c r="J1167" s="810"/>
    </row>
    <row r="1168" spans="1:10" x14ac:dyDescent="0.25">
      <c r="A1168" s="92"/>
      <c r="F1168" s="620"/>
      <c r="G1168" s="630"/>
      <c r="H1168" s="93"/>
      <c r="I1168" s="41"/>
      <c r="J1168" s="810"/>
    </row>
    <row r="1169" spans="1:10" x14ac:dyDescent="0.25">
      <c r="A1169" s="92"/>
      <c r="F1169" s="620"/>
      <c r="G1169" s="630"/>
      <c r="H1169" s="93"/>
      <c r="I1169" s="41"/>
      <c r="J1169" s="810"/>
    </row>
    <row r="1170" spans="1:10" x14ac:dyDescent="0.25">
      <c r="A1170" s="92"/>
      <c r="F1170" s="620"/>
      <c r="G1170" s="630"/>
      <c r="H1170" s="93"/>
      <c r="I1170" s="41"/>
      <c r="J1170" s="810"/>
    </row>
    <row r="1171" spans="1:10" x14ac:dyDescent="0.25">
      <c r="A1171" s="92"/>
      <c r="F1171" s="620"/>
      <c r="G1171" s="630"/>
      <c r="H1171" s="93"/>
      <c r="I1171" s="41"/>
      <c r="J1171" s="810"/>
    </row>
    <row r="1172" spans="1:10" x14ac:dyDescent="0.25">
      <c r="A1172" s="92"/>
      <c r="F1172" s="620"/>
      <c r="G1172" s="630"/>
      <c r="H1172" s="93"/>
      <c r="I1172" s="41"/>
      <c r="J1172" s="810"/>
    </row>
    <row r="1173" spans="1:10" x14ac:dyDescent="0.25">
      <c r="A1173" s="92"/>
      <c r="F1173" s="620"/>
      <c r="G1173" s="630"/>
      <c r="H1173" s="93"/>
      <c r="I1173" s="41"/>
      <c r="J1173" s="810"/>
    </row>
    <row r="1174" spans="1:10" x14ac:dyDescent="0.25">
      <c r="A1174" s="92"/>
      <c r="F1174" s="620"/>
      <c r="G1174" s="630"/>
      <c r="H1174" s="93"/>
      <c r="I1174" s="41"/>
      <c r="J1174" s="810"/>
    </row>
    <row r="1175" spans="1:10" x14ac:dyDescent="0.25">
      <c r="A1175" s="92"/>
      <c r="F1175" s="620"/>
      <c r="G1175" s="630"/>
      <c r="H1175" s="93"/>
      <c r="I1175" s="41"/>
      <c r="J1175" s="810"/>
    </row>
    <row r="1176" spans="1:10" x14ac:dyDescent="0.25">
      <c r="A1176" s="92"/>
      <c r="F1176" s="620"/>
      <c r="G1176" s="630"/>
      <c r="H1176" s="93"/>
      <c r="I1176" s="41"/>
      <c r="J1176" s="810"/>
    </row>
    <row r="1177" spans="1:10" x14ac:dyDescent="0.25">
      <c r="A1177" s="92"/>
      <c r="F1177" s="620"/>
      <c r="G1177" s="630"/>
      <c r="H1177" s="93"/>
      <c r="I1177" s="41"/>
      <c r="J1177" s="810"/>
    </row>
    <row r="1178" spans="1:10" x14ac:dyDescent="0.25">
      <c r="A1178" s="92"/>
      <c r="F1178" s="620"/>
      <c r="G1178" s="630"/>
      <c r="H1178" s="93"/>
      <c r="I1178" s="41"/>
      <c r="J1178" s="810"/>
    </row>
    <row r="1179" spans="1:10" x14ac:dyDescent="0.25">
      <c r="A1179" s="92"/>
      <c r="F1179" s="620"/>
      <c r="G1179" s="630"/>
      <c r="H1179" s="93"/>
      <c r="I1179" s="41"/>
      <c r="J1179" s="810"/>
    </row>
    <row r="1180" spans="1:10" x14ac:dyDescent="0.25">
      <c r="A1180" s="92"/>
      <c r="F1180" s="620"/>
      <c r="G1180" s="630"/>
      <c r="H1180" s="93"/>
      <c r="I1180" s="41"/>
      <c r="J1180" s="810"/>
    </row>
    <row r="1181" spans="1:10" x14ac:dyDescent="0.25">
      <c r="A1181" s="92"/>
      <c r="F1181" s="620"/>
      <c r="G1181" s="630"/>
      <c r="H1181" s="93"/>
      <c r="I1181" s="41"/>
      <c r="J1181" s="810"/>
    </row>
    <row r="1182" spans="1:10" x14ac:dyDescent="0.25">
      <c r="A1182" s="92"/>
      <c r="F1182" s="620"/>
      <c r="G1182" s="630"/>
      <c r="H1182" s="93"/>
      <c r="I1182" s="41"/>
      <c r="J1182" s="810"/>
    </row>
    <row r="1183" spans="1:10" x14ac:dyDescent="0.25">
      <c r="A1183" s="92"/>
      <c r="F1183" s="620"/>
      <c r="G1183" s="630"/>
      <c r="H1183" s="93"/>
      <c r="I1183" s="41"/>
      <c r="J1183" s="810"/>
    </row>
    <row r="1184" spans="1:10" x14ac:dyDescent="0.25">
      <c r="A1184" s="92"/>
      <c r="F1184" s="620"/>
      <c r="G1184" s="630"/>
      <c r="H1184" s="93"/>
      <c r="I1184" s="41"/>
      <c r="J1184" s="810"/>
    </row>
    <row r="1185" spans="1:10" x14ac:dyDescent="0.25">
      <c r="A1185" s="92"/>
      <c r="F1185" s="620"/>
      <c r="G1185" s="630"/>
      <c r="H1185" s="93"/>
      <c r="I1185" s="41"/>
      <c r="J1185" s="810"/>
    </row>
    <row r="1186" spans="1:10" x14ac:dyDescent="0.25">
      <c r="A1186" s="92"/>
      <c r="F1186" s="620"/>
      <c r="G1186" s="630"/>
      <c r="H1186" s="93"/>
      <c r="I1186" s="41"/>
      <c r="J1186" s="810"/>
    </row>
    <row r="1187" spans="1:10" x14ac:dyDescent="0.25">
      <c r="A1187" s="92"/>
      <c r="F1187" s="620"/>
      <c r="G1187" s="630"/>
      <c r="H1187" s="93"/>
      <c r="I1187" s="41"/>
      <c r="J1187" s="810"/>
    </row>
    <row r="1188" spans="1:10" x14ac:dyDescent="0.25">
      <c r="A1188" s="92"/>
      <c r="F1188" s="620"/>
      <c r="G1188" s="630"/>
      <c r="H1188" s="93"/>
      <c r="I1188" s="41"/>
      <c r="J1188" s="810"/>
    </row>
    <row r="1189" spans="1:10" x14ac:dyDescent="0.25">
      <c r="A1189" s="92"/>
      <c r="F1189" s="620"/>
      <c r="G1189" s="630"/>
      <c r="H1189" s="93"/>
      <c r="I1189" s="41"/>
      <c r="J1189" s="810"/>
    </row>
    <row r="1190" spans="1:10" x14ac:dyDescent="0.25">
      <c r="A1190" s="92"/>
      <c r="F1190" s="620"/>
      <c r="G1190" s="630"/>
      <c r="H1190" s="93"/>
      <c r="I1190" s="41"/>
      <c r="J1190" s="810"/>
    </row>
    <row r="1191" spans="1:10" x14ac:dyDescent="0.25">
      <c r="A1191" s="92"/>
      <c r="F1191" s="620"/>
      <c r="G1191" s="630"/>
      <c r="H1191" s="93"/>
      <c r="I1191" s="41"/>
      <c r="J1191" s="810"/>
    </row>
    <row r="1192" spans="1:10" x14ac:dyDescent="0.25">
      <c r="A1192" s="92"/>
      <c r="F1192" s="620"/>
      <c r="G1192" s="630"/>
      <c r="H1192" s="93"/>
      <c r="I1192" s="41"/>
      <c r="J1192" s="810"/>
    </row>
    <row r="1193" spans="1:10" x14ac:dyDescent="0.25">
      <c r="A1193" s="92"/>
      <c r="F1193" s="620"/>
      <c r="G1193" s="630"/>
      <c r="H1193" s="93"/>
      <c r="I1193" s="41"/>
      <c r="J1193" s="810"/>
    </row>
    <row r="1194" spans="1:10" x14ac:dyDescent="0.25">
      <c r="A1194" s="92"/>
      <c r="F1194" s="620"/>
      <c r="G1194" s="630"/>
      <c r="H1194" s="93"/>
      <c r="I1194" s="41"/>
      <c r="J1194" s="810"/>
    </row>
    <row r="1195" spans="1:10" x14ac:dyDescent="0.25">
      <c r="A1195" s="92"/>
      <c r="F1195" s="620"/>
      <c r="G1195" s="630"/>
      <c r="H1195" s="93"/>
      <c r="I1195" s="41"/>
      <c r="J1195" s="810"/>
    </row>
    <row r="1196" spans="1:10" x14ac:dyDescent="0.25">
      <c r="A1196" s="92"/>
      <c r="F1196" s="620"/>
      <c r="G1196" s="630"/>
      <c r="H1196" s="93"/>
      <c r="I1196" s="41"/>
      <c r="J1196" s="810"/>
    </row>
    <row r="1197" spans="1:10" x14ac:dyDescent="0.25">
      <c r="A1197" s="92"/>
      <c r="F1197" s="620"/>
      <c r="G1197" s="630"/>
      <c r="H1197" s="93"/>
      <c r="I1197" s="41"/>
      <c r="J1197" s="810"/>
    </row>
    <row r="1198" spans="1:10" x14ac:dyDescent="0.25">
      <c r="A1198" s="92"/>
      <c r="F1198" s="620"/>
      <c r="G1198" s="630"/>
      <c r="H1198" s="93"/>
      <c r="I1198" s="41"/>
      <c r="J1198" s="810"/>
    </row>
    <row r="1199" spans="1:10" x14ac:dyDescent="0.25">
      <c r="A1199" s="92"/>
      <c r="F1199" s="620"/>
      <c r="G1199" s="630"/>
      <c r="H1199" s="93"/>
      <c r="I1199" s="41"/>
      <c r="J1199" s="810"/>
    </row>
    <row r="1200" spans="1:10" x14ac:dyDescent="0.25">
      <c r="A1200" s="92"/>
      <c r="F1200" s="620"/>
      <c r="G1200" s="630"/>
      <c r="H1200" s="93"/>
      <c r="I1200" s="41"/>
      <c r="J1200" s="810"/>
    </row>
    <row r="1201" spans="1:10" x14ac:dyDescent="0.25">
      <c r="A1201" s="92"/>
      <c r="F1201" s="620"/>
      <c r="G1201" s="630"/>
      <c r="H1201" s="93"/>
      <c r="I1201" s="41"/>
      <c r="J1201" s="810"/>
    </row>
    <row r="1202" spans="1:10" x14ac:dyDescent="0.25">
      <c r="A1202" s="92"/>
      <c r="F1202" s="620"/>
      <c r="G1202" s="630"/>
      <c r="H1202" s="93"/>
      <c r="I1202" s="41"/>
      <c r="J1202" s="810"/>
    </row>
    <row r="1203" spans="1:10" x14ac:dyDescent="0.25">
      <c r="A1203" s="92"/>
      <c r="F1203" s="620"/>
      <c r="G1203" s="630"/>
      <c r="H1203" s="93"/>
      <c r="I1203" s="41"/>
      <c r="J1203" s="810"/>
    </row>
    <row r="1204" spans="1:10" x14ac:dyDescent="0.25">
      <c r="A1204" s="92"/>
      <c r="F1204" s="620"/>
      <c r="G1204" s="630"/>
      <c r="H1204" s="93"/>
      <c r="I1204" s="41"/>
      <c r="J1204" s="810"/>
    </row>
    <row r="1205" spans="1:10" x14ac:dyDescent="0.25">
      <c r="A1205" s="92"/>
      <c r="F1205" s="620"/>
      <c r="G1205" s="630"/>
      <c r="H1205" s="93"/>
      <c r="I1205" s="41"/>
      <c r="J1205" s="810"/>
    </row>
    <row r="1206" spans="1:10" x14ac:dyDescent="0.25">
      <c r="A1206" s="92"/>
      <c r="F1206" s="620"/>
      <c r="G1206" s="630"/>
      <c r="H1206" s="93"/>
      <c r="I1206" s="41"/>
      <c r="J1206" s="810"/>
    </row>
    <row r="1207" spans="1:10" x14ac:dyDescent="0.25">
      <c r="A1207" s="92"/>
      <c r="F1207" s="620"/>
      <c r="G1207" s="630"/>
      <c r="H1207" s="93"/>
      <c r="I1207" s="41"/>
      <c r="J1207" s="810"/>
    </row>
    <row r="1208" spans="1:10" x14ac:dyDescent="0.25">
      <c r="A1208" s="92"/>
      <c r="F1208" s="620"/>
      <c r="G1208" s="630"/>
      <c r="H1208" s="93"/>
      <c r="I1208" s="41"/>
      <c r="J1208" s="810"/>
    </row>
    <row r="1209" spans="1:10" x14ac:dyDescent="0.25">
      <c r="A1209" s="92"/>
      <c r="F1209" s="620"/>
      <c r="G1209" s="630"/>
      <c r="H1209" s="93"/>
      <c r="I1209" s="41"/>
      <c r="J1209" s="810"/>
    </row>
    <row r="1210" spans="1:10" x14ac:dyDescent="0.25">
      <c r="A1210" s="92"/>
      <c r="F1210" s="620"/>
      <c r="G1210" s="630"/>
      <c r="H1210" s="93"/>
      <c r="I1210" s="41"/>
      <c r="J1210" s="810"/>
    </row>
    <row r="1211" spans="1:10" x14ac:dyDescent="0.25">
      <c r="A1211" s="92"/>
      <c r="F1211" s="620"/>
      <c r="G1211" s="630"/>
      <c r="H1211" s="93"/>
      <c r="I1211" s="41"/>
      <c r="J1211" s="810"/>
    </row>
    <row r="1212" spans="1:10" x14ac:dyDescent="0.25">
      <c r="A1212" s="92"/>
      <c r="F1212" s="620"/>
      <c r="G1212" s="630"/>
      <c r="H1212" s="93"/>
      <c r="I1212" s="41"/>
      <c r="J1212" s="810"/>
    </row>
    <row r="1213" spans="1:10" x14ac:dyDescent="0.25">
      <c r="A1213" s="92"/>
      <c r="F1213" s="620"/>
      <c r="G1213" s="630"/>
      <c r="H1213" s="93"/>
      <c r="I1213" s="41"/>
      <c r="J1213" s="810"/>
    </row>
    <row r="1214" spans="1:10" x14ac:dyDescent="0.25">
      <c r="A1214" s="92"/>
      <c r="F1214" s="620"/>
      <c r="G1214" s="630"/>
      <c r="H1214" s="93"/>
      <c r="I1214" s="41"/>
      <c r="J1214" s="810"/>
    </row>
    <row r="1215" spans="1:10" x14ac:dyDescent="0.25">
      <c r="A1215" s="92"/>
      <c r="F1215" s="620"/>
      <c r="G1215" s="630"/>
      <c r="H1215" s="93"/>
      <c r="I1215" s="41"/>
      <c r="J1215" s="810"/>
    </row>
    <row r="1216" spans="1:10" x14ac:dyDescent="0.25">
      <c r="A1216" s="92"/>
      <c r="F1216" s="620"/>
      <c r="G1216" s="630"/>
      <c r="H1216" s="93"/>
      <c r="I1216" s="41"/>
      <c r="J1216" s="810"/>
    </row>
    <row r="1217" spans="1:10" x14ac:dyDescent="0.25">
      <c r="A1217" s="92"/>
      <c r="F1217" s="620"/>
      <c r="G1217" s="630"/>
      <c r="H1217" s="93"/>
      <c r="I1217" s="41"/>
      <c r="J1217" s="810"/>
    </row>
    <row r="1218" spans="1:10" x14ac:dyDescent="0.25">
      <c r="A1218" s="92"/>
      <c r="F1218" s="620"/>
      <c r="G1218" s="630"/>
      <c r="H1218" s="93"/>
      <c r="I1218" s="41"/>
      <c r="J1218" s="810"/>
    </row>
    <row r="1219" spans="1:10" x14ac:dyDescent="0.25">
      <c r="A1219" s="92"/>
      <c r="F1219" s="620"/>
      <c r="G1219" s="630"/>
      <c r="H1219" s="93"/>
      <c r="I1219" s="41"/>
      <c r="J1219" s="810"/>
    </row>
    <row r="1220" spans="1:10" x14ac:dyDescent="0.25">
      <c r="A1220" s="92"/>
      <c r="F1220" s="620"/>
      <c r="G1220" s="630"/>
      <c r="H1220" s="93"/>
      <c r="I1220" s="41"/>
      <c r="J1220" s="810"/>
    </row>
    <row r="1221" spans="1:10" x14ac:dyDescent="0.25">
      <c r="A1221" s="92"/>
      <c r="F1221" s="620"/>
      <c r="G1221" s="630"/>
      <c r="H1221" s="93"/>
      <c r="I1221" s="41"/>
      <c r="J1221" s="810"/>
    </row>
    <row r="1222" spans="1:10" x14ac:dyDescent="0.25">
      <c r="A1222" s="92"/>
      <c r="F1222" s="620"/>
      <c r="G1222" s="630"/>
      <c r="H1222" s="93"/>
      <c r="I1222" s="41"/>
      <c r="J1222" s="810"/>
    </row>
    <row r="1223" spans="1:10" x14ac:dyDescent="0.25">
      <c r="A1223" s="92"/>
      <c r="F1223" s="620"/>
      <c r="G1223" s="630"/>
      <c r="H1223" s="93"/>
      <c r="I1223" s="41"/>
      <c r="J1223" s="810"/>
    </row>
    <row r="1224" spans="1:10" x14ac:dyDescent="0.25">
      <c r="A1224" s="92"/>
      <c r="F1224" s="620"/>
      <c r="G1224" s="630"/>
      <c r="H1224" s="93"/>
      <c r="I1224" s="41"/>
      <c r="J1224" s="810"/>
    </row>
    <row r="1225" spans="1:10" x14ac:dyDescent="0.25">
      <c r="A1225" s="92"/>
      <c r="F1225" s="620"/>
      <c r="G1225" s="630"/>
      <c r="H1225" s="93"/>
      <c r="I1225" s="41"/>
      <c r="J1225" s="810"/>
    </row>
    <row r="1226" spans="1:10" x14ac:dyDescent="0.25">
      <c r="A1226" s="92"/>
      <c r="F1226" s="620"/>
      <c r="G1226" s="630"/>
      <c r="H1226" s="93"/>
      <c r="I1226" s="41"/>
      <c r="J1226" s="810"/>
    </row>
    <row r="1227" spans="1:10" x14ac:dyDescent="0.25">
      <c r="A1227" s="92"/>
      <c r="F1227" s="620"/>
      <c r="G1227" s="630"/>
      <c r="H1227" s="93"/>
      <c r="I1227" s="41"/>
      <c r="J1227" s="810"/>
    </row>
    <row r="1228" spans="1:10" x14ac:dyDescent="0.25">
      <c r="A1228" s="92"/>
      <c r="F1228" s="620"/>
      <c r="G1228" s="630"/>
      <c r="H1228" s="93"/>
      <c r="I1228" s="41"/>
      <c r="J1228" s="810"/>
    </row>
    <row r="1229" spans="1:10" x14ac:dyDescent="0.25">
      <c r="A1229" s="92"/>
      <c r="F1229" s="620"/>
      <c r="G1229" s="630"/>
      <c r="H1229" s="93"/>
      <c r="I1229" s="41"/>
      <c r="J1229" s="810"/>
    </row>
    <row r="1230" spans="1:10" x14ac:dyDescent="0.25">
      <c r="A1230" s="92"/>
      <c r="F1230" s="620"/>
      <c r="G1230" s="630"/>
      <c r="H1230" s="93"/>
      <c r="I1230" s="41"/>
      <c r="J1230" s="810"/>
    </row>
    <row r="1231" spans="1:10" x14ac:dyDescent="0.25">
      <c r="A1231" s="92"/>
      <c r="F1231" s="620"/>
      <c r="G1231" s="630"/>
      <c r="H1231" s="93"/>
      <c r="I1231" s="41"/>
      <c r="J1231" s="810"/>
    </row>
    <row r="1232" spans="1:10" x14ac:dyDescent="0.25">
      <c r="A1232" s="92"/>
      <c r="F1232" s="620"/>
      <c r="G1232" s="630"/>
      <c r="H1232" s="93"/>
      <c r="I1232" s="41"/>
      <c r="J1232" s="810"/>
    </row>
    <row r="1233" spans="1:10" x14ac:dyDescent="0.25">
      <c r="A1233" s="92"/>
      <c r="F1233" s="620"/>
      <c r="G1233" s="630"/>
      <c r="H1233" s="93"/>
      <c r="I1233" s="41"/>
      <c r="J1233" s="810"/>
    </row>
    <row r="1234" spans="1:10" x14ac:dyDescent="0.25">
      <c r="A1234" s="92"/>
      <c r="F1234" s="620"/>
      <c r="G1234" s="630"/>
      <c r="H1234" s="93"/>
      <c r="I1234" s="41"/>
      <c r="J1234" s="810"/>
    </row>
    <row r="1235" spans="1:10" x14ac:dyDescent="0.25">
      <c r="A1235" s="92"/>
      <c r="F1235" s="620"/>
      <c r="G1235" s="630"/>
      <c r="H1235" s="93"/>
      <c r="I1235" s="41"/>
      <c r="J1235" s="810"/>
    </row>
    <row r="1236" spans="1:10" x14ac:dyDescent="0.25">
      <c r="A1236" s="92"/>
      <c r="F1236" s="620"/>
      <c r="G1236" s="630"/>
      <c r="H1236" s="93"/>
      <c r="I1236" s="41"/>
      <c r="J1236" s="810"/>
    </row>
    <row r="1237" spans="1:10" x14ac:dyDescent="0.25">
      <c r="A1237" s="92"/>
      <c r="F1237" s="620"/>
      <c r="G1237" s="630"/>
      <c r="H1237" s="93"/>
      <c r="I1237" s="41"/>
      <c r="J1237" s="810"/>
    </row>
    <row r="1238" spans="1:10" x14ac:dyDescent="0.25">
      <c r="A1238" s="92"/>
      <c r="F1238" s="620"/>
      <c r="G1238" s="630"/>
      <c r="H1238" s="93"/>
      <c r="I1238" s="41"/>
      <c r="J1238" s="810"/>
    </row>
    <row r="1239" spans="1:10" x14ac:dyDescent="0.25">
      <c r="A1239" s="92"/>
      <c r="F1239" s="620"/>
      <c r="G1239" s="630"/>
      <c r="H1239" s="93"/>
      <c r="I1239" s="41"/>
      <c r="J1239" s="810"/>
    </row>
    <row r="1240" spans="1:10" x14ac:dyDescent="0.25">
      <c r="A1240" s="92"/>
      <c r="F1240" s="620"/>
      <c r="G1240" s="630"/>
      <c r="H1240" s="93"/>
      <c r="I1240" s="41"/>
      <c r="J1240" s="810"/>
    </row>
    <row r="1241" spans="1:10" x14ac:dyDescent="0.25">
      <c r="A1241" s="92"/>
      <c r="F1241" s="620"/>
      <c r="G1241" s="630"/>
      <c r="H1241" s="93"/>
      <c r="I1241" s="41"/>
      <c r="J1241" s="810"/>
    </row>
    <row r="1242" spans="1:10" x14ac:dyDescent="0.25">
      <c r="A1242" s="92"/>
      <c r="F1242" s="620"/>
      <c r="G1242" s="630"/>
      <c r="H1242" s="93"/>
      <c r="I1242" s="41"/>
      <c r="J1242" s="810"/>
    </row>
    <row r="1243" spans="1:10" x14ac:dyDescent="0.25">
      <c r="A1243" s="92"/>
      <c r="F1243" s="620"/>
      <c r="G1243" s="630"/>
      <c r="H1243" s="93"/>
      <c r="I1243" s="41"/>
      <c r="J1243" s="810"/>
    </row>
    <row r="1244" spans="1:10" x14ac:dyDescent="0.25">
      <c r="A1244" s="92"/>
      <c r="F1244" s="620"/>
      <c r="G1244" s="630"/>
      <c r="H1244" s="93"/>
      <c r="I1244" s="41"/>
      <c r="J1244" s="810"/>
    </row>
    <row r="1245" spans="1:10" x14ac:dyDescent="0.25">
      <c r="A1245" s="92"/>
      <c r="F1245" s="620"/>
      <c r="G1245" s="630"/>
      <c r="H1245" s="93"/>
      <c r="I1245" s="41"/>
      <c r="J1245" s="810"/>
    </row>
    <row r="1246" spans="1:10" x14ac:dyDescent="0.25">
      <c r="A1246" s="92"/>
      <c r="F1246" s="620"/>
      <c r="G1246" s="630"/>
      <c r="H1246" s="93"/>
      <c r="I1246" s="41"/>
      <c r="J1246" s="810"/>
    </row>
    <row r="1247" spans="1:10" x14ac:dyDescent="0.25">
      <c r="A1247" s="92"/>
      <c r="F1247" s="620"/>
      <c r="G1247" s="630"/>
      <c r="H1247" s="93"/>
      <c r="I1247" s="41"/>
      <c r="J1247" s="810"/>
    </row>
    <row r="1248" spans="1:10" x14ac:dyDescent="0.25">
      <c r="A1248" s="92"/>
      <c r="F1248" s="620"/>
      <c r="G1248" s="630"/>
      <c r="H1248" s="93"/>
      <c r="I1248" s="41"/>
      <c r="J1248" s="810"/>
    </row>
    <row r="1249" spans="1:10" x14ac:dyDescent="0.25">
      <c r="A1249" s="92"/>
      <c r="F1249" s="620"/>
      <c r="G1249" s="630"/>
      <c r="H1249" s="93"/>
      <c r="I1249" s="41"/>
      <c r="J1249" s="810"/>
    </row>
    <row r="1250" spans="1:10" x14ac:dyDescent="0.25">
      <c r="A1250" s="92"/>
      <c r="F1250" s="620"/>
      <c r="G1250" s="630"/>
      <c r="H1250" s="93"/>
      <c r="I1250" s="41"/>
      <c r="J1250" s="810"/>
    </row>
    <row r="1251" spans="1:10" x14ac:dyDescent="0.25">
      <c r="A1251" s="92"/>
      <c r="F1251" s="620"/>
      <c r="G1251" s="630"/>
      <c r="H1251" s="93"/>
      <c r="I1251" s="41"/>
      <c r="J1251" s="810"/>
    </row>
    <row r="1252" spans="1:10" x14ac:dyDescent="0.25">
      <c r="A1252" s="92"/>
      <c r="F1252" s="620"/>
      <c r="G1252" s="630"/>
      <c r="H1252" s="93"/>
      <c r="I1252" s="41"/>
      <c r="J1252" s="810"/>
    </row>
    <row r="1253" spans="1:10" x14ac:dyDescent="0.25">
      <c r="A1253" s="92"/>
      <c r="F1253" s="620"/>
      <c r="G1253" s="630"/>
      <c r="H1253" s="93"/>
      <c r="I1253" s="41"/>
      <c r="J1253" s="810"/>
    </row>
    <row r="1254" spans="1:10" x14ac:dyDescent="0.25">
      <c r="A1254" s="92"/>
      <c r="F1254" s="620"/>
      <c r="G1254" s="630"/>
      <c r="H1254" s="93"/>
      <c r="I1254" s="41"/>
      <c r="J1254" s="810"/>
    </row>
    <row r="1255" spans="1:10" x14ac:dyDescent="0.25">
      <c r="A1255" s="92"/>
      <c r="F1255" s="620"/>
      <c r="G1255" s="630"/>
      <c r="H1255" s="93"/>
      <c r="I1255" s="41"/>
      <c r="J1255" s="810"/>
    </row>
    <row r="1256" spans="1:10" x14ac:dyDescent="0.25">
      <c r="A1256" s="92"/>
      <c r="F1256" s="620"/>
      <c r="G1256" s="630"/>
      <c r="H1256" s="93"/>
      <c r="I1256" s="41"/>
      <c r="J1256" s="810"/>
    </row>
    <row r="1257" spans="1:10" x14ac:dyDescent="0.25">
      <c r="A1257" s="92"/>
      <c r="F1257" s="620"/>
      <c r="G1257" s="630"/>
      <c r="H1257" s="93"/>
      <c r="I1257" s="41"/>
      <c r="J1257" s="810"/>
    </row>
    <row r="1258" spans="1:10" x14ac:dyDescent="0.25">
      <c r="A1258" s="92"/>
      <c r="F1258" s="620"/>
      <c r="G1258" s="630"/>
      <c r="H1258" s="93"/>
      <c r="I1258" s="41"/>
      <c r="J1258" s="810"/>
    </row>
    <row r="1259" spans="1:10" x14ac:dyDescent="0.25">
      <c r="A1259" s="92"/>
      <c r="F1259" s="620"/>
      <c r="G1259" s="630"/>
      <c r="H1259" s="93"/>
      <c r="I1259" s="41"/>
      <c r="J1259" s="810"/>
    </row>
    <row r="1260" spans="1:10" x14ac:dyDescent="0.25">
      <c r="A1260" s="92"/>
      <c r="F1260" s="620"/>
      <c r="G1260" s="630"/>
      <c r="H1260" s="93"/>
      <c r="I1260" s="41"/>
      <c r="J1260" s="810"/>
    </row>
    <row r="1261" spans="1:10" x14ac:dyDescent="0.25">
      <c r="A1261" s="92"/>
      <c r="F1261" s="620"/>
      <c r="G1261" s="630"/>
      <c r="H1261" s="93"/>
      <c r="I1261" s="41"/>
      <c r="J1261" s="810"/>
    </row>
    <row r="1262" spans="1:10" x14ac:dyDescent="0.25">
      <c r="A1262" s="92"/>
      <c r="F1262" s="620"/>
      <c r="G1262" s="630"/>
      <c r="H1262" s="93"/>
      <c r="I1262" s="41"/>
      <c r="J1262" s="810"/>
    </row>
    <row r="1263" spans="1:10" x14ac:dyDescent="0.25">
      <c r="A1263" s="92"/>
      <c r="F1263" s="620"/>
      <c r="G1263" s="630"/>
      <c r="H1263" s="93"/>
      <c r="I1263" s="41"/>
      <c r="J1263" s="810"/>
    </row>
    <row r="1264" spans="1:10" x14ac:dyDescent="0.25">
      <c r="A1264" s="92"/>
      <c r="F1264" s="620"/>
      <c r="G1264" s="630"/>
      <c r="H1264" s="93"/>
      <c r="I1264" s="41"/>
      <c r="J1264" s="810"/>
    </row>
    <row r="1265" spans="1:10" x14ac:dyDescent="0.25">
      <c r="A1265" s="92"/>
      <c r="F1265" s="620"/>
      <c r="G1265" s="630"/>
      <c r="H1265" s="93"/>
      <c r="I1265" s="41"/>
      <c r="J1265" s="810"/>
    </row>
    <row r="1266" spans="1:10" x14ac:dyDescent="0.25">
      <c r="A1266" s="92"/>
      <c r="F1266" s="620"/>
      <c r="G1266" s="630"/>
      <c r="H1266" s="93"/>
      <c r="I1266" s="41"/>
      <c r="J1266" s="810"/>
    </row>
    <row r="1267" spans="1:10" x14ac:dyDescent="0.25">
      <c r="A1267" s="92"/>
      <c r="F1267" s="620"/>
      <c r="G1267" s="630"/>
      <c r="H1267" s="93"/>
      <c r="I1267" s="41"/>
      <c r="J1267" s="810"/>
    </row>
    <row r="1268" spans="1:10" x14ac:dyDescent="0.25">
      <c r="A1268" s="92"/>
      <c r="F1268" s="620"/>
      <c r="G1268" s="630"/>
      <c r="H1268" s="93"/>
      <c r="I1268" s="41"/>
      <c r="J1268" s="810"/>
    </row>
    <row r="1269" spans="1:10" x14ac:dyDescent="0.25">
      <c r="A1269" s="92"/>
      <c r="F1269" s="620"/>
      <c r="G1269" s="630"/>
      <c r="H1269" s="93"/>
      <c r="I1269" s="41"/>
      <c r="J1269" s="810"/>
    </row>
    <row r="1270" spans="1:10" x14ac:dyDescent="0.25">
      <c r="A1270" s="92"/>
      <c r="F1270" s="620"/>
      <c r="G1270" s="630"/>
      <c r="H1270" s="93"/>
      <c r="I1270" s="41"/>
      <c r="J1270" s="810"/>
    </row>
    <row r="1271" spans="1:10" x14ac:dyDescent="0.25">
      <c r="A1271" s="92"/>
      <c r="F1271" s="620"/>
      <c r="G1271" s="630"/>
      <c r="H1271" s="93"/>
      <c r="I1271" s="41"/>
      <c r="J1271" s="810"/>
    </row>
    <row r="1272" spans="1:10" x14ac:dyDescent="0.25">
      <c r="A1272" s="92"/>
      <c r="F1272" s="620"/>
      <c r="G1272" s="630"/>
      <c r="H1272" s="93"/>
      <c r="I1272" s="41"/>
      <c r="J1272" s="810"/>
    </row>
    <row r="1273" spans="1:10" x14ac:dyDescent="0.25">
      <c r="A1273" s="92"/>
      <c r="F1273" s="620"/>
      <c r="G1273" s="630"/>
      <c r="H1273" s="93"/>
      <c r="I1273" s="41"/>
      <c r="J1273" s="810"/>
    </row>
    <row r="1274" spans="1:10" x14ac:dyDescent="0.25">
      <c r="A1274" s="92"/>
      <c r="F1274" s="620"/>
      <c r="G1274" s="630"/>
      <c r="H1274" s="93"/>
      <c r="I1274" s="41"/>
      <c r="J1274" s="810"/>
    </row>
    <row r="1275" spans="1:10" x14ac:dyDescent="0.25">
      <c r="A1275" s="92"/>
      <c r="F1275" s="620"/>
      <c r="G1275" s="630"/>
      <c r="H1275" s="93"/>
      <c r="I1275" s="41"/>
      <c r="J1275" s="810"/>
    </row>
    <row r="1276" spans="1:10" x14ac:dyDescent="0.25">
      <c r="A1276" s="92"/>
      <c r="F1276" s="620"/>
      <c r="G1276" s="630"/>
      <c r="H1276" s="93"/>
      <c r="I1276" s="41"/>
      <c r="J1276" s="810"/>
    </row>
    <row r="1277" spans="1:10" x14ac:dyDescent="0.25">
      <c r="A1277" s="92"/>
      <c r="F1277" s="620"/>
      <c r="G1277" s="630"/>
      <c r="H1277" s="93"/>
      <c r="I1277" s="41"/>
      <c r="J1277" s="810"/>
    </row>
    <row r="1278" spans="1:10" x14ac:dyDescent="0.25">
      <c r="A1278" s="92"/>
      <c r="F1278" s="620"/>
      <c r="G1278" s="630"/>
      <c r="H1278" s="93"/>
      <c r="I1278" s="41"/>
      <c r="J1278" s="810"/>
    </row>
    <row r="1279" spans="1:10" x14ac:dyDescent="0.25">
      <c r="A1279" s="92"/>
      <c r="F1279" s="620"/>
      <c r="G1279" s="630"/>
      <c r="H1279" s="93"/>
      <c r="I1279" s="41"/>
      <c r="J1279" s="810"/>
    </row>
    <row r="1280" spans="1:10" x14ac:dyDescent="0.25">
      <c r="A1280" s="92"/>
      <c r="F1280" s="620"/>
      <c r="G1280" s="630"/>
      <c r="H1280" s="93"/>
      <c r="I1280" s="41"/>
      <c r="J1280" s="810"/>
    </row>
    <row r="1281" spans="1:10" x14ac:dyDescent="0.25">
      <c r="A1281" s="92"/>
      <c r="F1281" s="620"/>
      <c r="G1281" s="630"/>
      <c r="H1281" s="93"/>
      <c r="I1281" s="41"/>
      <c r="J1281" s="810"/>
    </row>
    <row r="1282" spans="1:10" x14ac:dyDescent="0.25">
      <c r="A1282" s="92"/>
      <c r="F1282" s="620"/>
      <c r="G1282" s="630"/>
      <c r="H1282" s="93"/>
      <c r="I1282" s="41"/>
      <c r="J1282" s="810"/>
    </row>
    <row r="1283" spans="1:10" x14ac:dyDescent="0.25">
      <c r="A1283" s="92"/>
      <c r="F1283" s="620"/>
      <c r="G1283" s="630"/>
      <c r="H1283" s="93"/>
      <c r="I1283" s="41"/>
      <c r="J1283" s="810"/>
    </row>
    <row r="1284" spans="1:10" x14ac:dyDescent="0.25">
      <c r="A1284" s="92"/>
      <c r="F1284" s="620"/>
      <c r="G1284" s="630"/>
      <c r="H1284" s="93"/>
      <c r="I1284" s="41"/>
      <c r="J1284" s="810"/>
    </row>
    <row r="1285" spans="1:10" x14ac:dyDescent="0.25">
      <c r="A1285" s="92"/>
      <c r="F1285" s="620"/>
      <c r="G1285" s="630"/>
      <c r="H1285" s="93"/>
      <c r="I1285" s="41"/>
      <c r="J1285" s="810"/>
    </row>
    <row r="1286" spans="1:10" x14ac:dyDescent="0.25">
      <c r="A1286" s="92"/>
      <c r="F1286" s="620"/>
      <c r="G1286" s="630"/>
      <c r="H1286" s="93"/>
      <c r="I1286" s="41"/>
      <c r="J1286" s="810"/>
    </row>
    <row r="1287" spans="1:10" x14ac:dyDescent="0.25">
      <c r="A1287" s="92"/>
      <c r="F1287" s="620"/>
      <c r="G1287" s="630"/>
      <c r="H1287" s="93"/>
      <c r="I1287" s="41"/>
      <c r="J1287" s="810"/>
    </row>
    <row r="1288" spans="1:10" x14ac:dyDescent="0.25">
      <c r="A1288" s="92"/>
      <c r="F1288" s="620"/>
      <c r="G1288" s="630"/>
      <c r="H1288" s="93"/>
      <c r="I1288" s="41"/>
      <c r="J1288" s="810"/>
    </row>
    <row r="1289" spans="1:10" x14ac:dyDescent="0.25">
      <c r="A1289" s="92"/>
      <c r="F1289" s="620"/>
      <c r="G1289" s="630"/>
      <c r="H1289" s="93"/>
      <c r="I1289" s="41"/>
      <c r="J1289" s="810"/>
    </row>
    <row r="1290" spans="1:10" x14ac:dyDescent="0.25">
      <c r="A1290" s="92"/>
      <c r="F1290" s="620"/>
      <c r="G1290" s="630"/>
      <c r="H1290" s="93"/>
      <c r="I1290" s="41"/>
      <c r="J1290" s="810"/>
    </row>
    <row r="1291" spans="1:10" x14ac:dyDescent="0.25">
      <c r="A1291" s="92"/>
      <c r="F1291" s="620"/>
      <c r="G1291" s="630"/>
      <c r="H1291" s="93"/>
      <c r="I1291" s="41"/>
      <c r="J1291" s="810"/>
    </row>
    <row r="1292" spans="1:10" x14ac:dyDescent="0.25">
      <c r="A1292" s="92"/>
      <c r="F1292" s="620"/>
      <c r="G1292" s="630"/>
      <c r="H1292" s="93"/>
      <c r="I1292" s="41"/>
      <c r="J1292" s="810"/>
    </row>
    <row r="1293" spans="1:10" x14ac:dyDescent="0.25">
      <c r="A1293" s="92"/>
      <c r="F1293" s="620"/>
      <c r="G1293" s="630"/>
      <c r="H1293" s="93"/>
      <c r="I1293" s="41"/>
      <c r="J1293" s="810"/>
    </row>
    <row r="1294" spans="1:10" x14ac:dyDescent="0.25">
      <c r="A1294" s="92"/>
      <c r="F1294" s="620"/>
      <c r="G1294" s="630"/>
      <c r="H1294" s="93"/>
      <c r="I1294" s="41"/>
      <c r="J1294" s="810"/>
    </row>
    <row r="1295" spans="1:10" x14ac:dyDescent="0.25">
      <c r="A1295" s="92"/>
      <c r="F1295" s="620"/>
      <c r="G1295" s="630"/>
      <c r="H1295" s="93"/>
      <c r="I1295" s="41"/>
      <c r="J1295" s="810"/>
    </row>
    <row r="1296" spans="1:10" x14ac:dyDescent="0.25">
      <c r="A1296" s="92"/>
      <c r="F1296" s="620"/>
      <c r="G1296" s="630"/>
      <c r="H1296" s="93"/>
      <c r="I1296" s="41"/>
      <c r="J1296" s="810"/>
    </row>
    <row r="1297" spans="1:10" x14ac:dyDescent="0.25">
      <c r="A1297" s="92"/>
      <c r="F1297" s="620"/>
      <c r="G1297" s="630"/>
      <c r="H1297" s="93"/>
      <c r="I1297" s="41"/>
      <c r="J1297" s="810"/>
    </row>
    <row r="1298" spans="1:10" x14ac:dyDescent="0.25">
      <c r="A1298" s="92"/>
      <c r="F1298" s="620"/>
      <c r="G1298" s="630"/>
      <c r="H1298" s="93"/>
      <c r="I1298" s="41"/>
      <c r="J1298" s="810"/>
    </row>
    <row r="1299" spans="1:10" x14ac:dyDescent="0.25">
      <c r="A1299" s="92"/>
      <c r="F1299" s="620"/>
      <c r="G1299" s="630"/>
      <c r="H1299" s="93"/>
      <c r="I1299" s="41"/>
      <c r="J1299" s="810"/>
    </row>
    <row r="1300" spans="1:10" x14ac:dyDescent="0.25">
      <c r="A1300" s="92"/>
      <c r="F1300" s="620"/>
      <c r="G1300" s="630"/>
      <c r="H1300" s="93"/>
      <c r="I1300" s="41"/>
      <c r="J1300" s="810"/>
    </row>
    <row r="1301" spans="1:10" x14ac:dyDescent="0.25">
      <c r="A1301" s="92"/>
      <c r="F1301" s="620"/>
      <c r="G1301" s="630"/>
      <c r="H1301" s="93"/>
      <c r="I1301" s="41"/>
      <c r="J1301" s="810"/>
    </row>
    <row r="1302" spans="1:10" x14ac:dyDescent="0.25">
      <c r="A1302" s="92"/>
      <c r="F1302" s="620"/>
      <c r="G1302" s="630"/>
      <c r="H1302" s="93"/>
      <c r="I1302" s="41"/>
      <c r="J1302" s="810"/>
    </row>
    <row r="1303" spans="1:10" x14ac:dyDescent="0.25">
      <c r="A1303" s="92"/>
      <c r="F1303" s="620"/>
      <c r="G1303" s="630"/>
      <c r="H1303" s="93"/>
      <c r="I1303" s="41"/>
      <c r="J1303" s="810"/>
    </row>
    <row r="1304" spans="1:10" x14ac:dyDescent="0.25">
      <c r="A1304" s="92"/>
      <c r="F1304" s="620"/>
      <c r="G1304" s="630"/>
      <c r="H1304" s="93"/>
      <c r="I1304" s="41"/>
      <c r="J1304" s="810"/>
    </row>
    <row r="1305" spans="1:10" x14ac:dyDescent="0.25">
      <c r="A1305" s="92"/>
      <c r="F1305" s="620"/>
      <c r="G1305" s="630"/>
      <c r="H1305" s="93"/>
      <c r="I1305" s="41"/>
      <c r="J1305" s="810"/>
    </row>
    <row r="1306" spans="1:10" x14ac:dyDescent="0.25">
      <c r="A1306" s="92"/>
      <c r="F1306" s="620"/>
      <c r="G1306" s="630"/>
      <c r="H1306" s="93"/>
      <c r="I1306" s="41"/>
      <c r="J1306" s="810"/>
    </row>
    <row r="1307" spans="1:10" x14ac:dyDescent="0.25">
      <c r="A1307" s="92"/>
      <c r="F1307" s="620"/>
      <c r="G1307" s="630"/>
      <c r="H1307" s="93"/>
      <c r="I1307" s="41"/>
      <c r="J1307" s="810"/>
    </row>
    <row r="1308" spans="1:10" x14ac:dyDescent="0.25">
      <c r="A1308" s="92"/>
      <c r="F1308" s="620"/>
      <c r="G1308" s="630"/>
      <c r="H1308" s="93"/>
      <c r="I1308" s="41"/>
      <c r="J1308" s="810"/>
    </row>
    <row r="1309" spans="1:10" x14ac:dyDescent="0.25">
      <c r="A1309" s="92"/>
      <c r="F1309" s="620"/>
      <c r="G1309" s="630"/>
      <c r="H1309" s="93"/>
      <c r="I1309" s="41"/>
      <c r="J1309" s="810"/>
    </row>
    <row r="1310" spans="1:10" x14ac:dyDescent="0.25">
      <c r="A1310" s="92"/>
      <c r="F1310" s="620"/>
      <c r="G1310" s="630"/>
      <c r="H1310" s="93"/>
      <c r="I1310" s="41"/>
      <c r="J1310" s="810"/>
    </row>
    <row r="1311" spans="1:10" x14ac:dyDescent="0.25">
      <c r="A1311" s="92"/>
      <c r="F1311" s="620"/>
      <c r="G1311" s="630"/>
      <c r="H1311" s="93"/>
      <c r="I1311" s="41"/>
      <c r="J1311" s="810"/>
    </row>
    <row r="1312" spans="1:10" x14ac:dyDescent="0.25">
      <c r="A1312" s="92"/>
      <c r="F1312" s="620"/>
      <c r="G1312" s="630"/>
      <c r="H1312" s="93"/>
      <c r="I1312" s="41"/>
      <c r="J1312" s="810"/>
    </row>
    <row r="1313" spans="1:10" x14ac:dyDescent="0.25">
      <c r="A1313" s="92"/>
      <c r="F1313" s="620"/>
      <c r="G1313" s="630"/>
      <c r="H1313" s="93"/>
      <c r="I1313" s="41"/>
      <c r="J1313" s="810"/>
    </row>
    <row r="1314" spans="1:10" x14ac:dyDescent="0.25">
      <c r="A1314" s="92"/>
      <c r="F1314" s="620"/>
      <c r="G1314" s="630"/>
      <c r="H1314" s="93"/>
      <c r="I1314" s="41"/>
      <c r="J1314" s="810"/>
    </row>
    <row r="1315" spans="1:10" x14ac:dyDescent="0.25">
      <c r="A1315" s="92"/>
      <c r="F1315" s="620"/>
      <c r="G1315" s="630"/>
      <c r="H1315" s="93"/>
      <c r="I1315" s="41"/>
      <c r="J1315" s="810"/>
    </row>
    <row r="1316" spans="1:10" x14ac:dyDescent="0.25">
      <c r="A1316" s="92"/>
      <c r="F1316" s="620"/>
      <c r="G1316" s="630"/>
      <c r="H1316" s="93"/>
      <c r="I1316" s="41"/>
      <c r="J1316" s="810"/>
    </row>
    <row r="1317" spans="1:10" x14ac:dyDescent="0.25">
      <c r="A1317" s="92"/>
      <c r="F1317" s="620"/>
      <c r="G1317" s="630"/>
      <c r="H1317" s="93"/>
      <c r="I1317" s="41"/>
      <c r="J1317" s="810"/>
    </row>
    <row r="1318" spans="1:10" x14ac:dyDescent="0.25">
      <c r="A1318" s="92"/>
      <c r="F1318" s="620"/>
      <c r="G1318" s="630"/>
      <c r="H1318" s="93"/>
      <c r="I1318" s="41"/>
      <c r="J1318" s="810"/>
    </row>
    <row r="1319" spans="1:10" x14ac:dyDescent="0.25">
      <c r="A1319" s="92"/>
      <c r="F1319" s="620"/>
      <c r="G1319" s="630"/>
      <c r="H1319" s="93"/>
      <c r="I1319" s="41"/>
      <c r="J1319" s="810"/>
    </row>
    <row r="1320" spans="1:10" x14ac:dyDescent="0.25">
      <c r="A1320" s="92"/>
      <c r="F1320" s="620"/>
      <c r="G1320" s="630"/>
      <c r="H1320" s="93"/>
      <c r="I1320" s="41"/>
      <c r="J1320" s="810"/>
    </row>
    <row r="1321" spans="1:10" x14ac:dyDescent="0.25">
      <c r="A1321" s="92"/>
      <c r="F1321" s="620"/>
      <c r="G1321" s="630"/>
      <c r="H1321" s="93"/>
      <c r="I1321" s="41"/>
      <c r="J1321" s="810"/>
    </row>
    <row r="1322" spans="1:10" x14ac:dyDescent="0.25">
      <c r="A1322" s="92"/>
      <c r="F1322" s="620"/>
      <c r="G1322" s="630"/>
      <c r="H1322" s="93"/>
      <c r="I1322" s="41"/>
      <c r="J1322" s="810"/>
    </row>
    <row r="1323" spans="1:10" x14ac:dyDescent="0.25">
      <c r="A1323" s="92"/>
      <c r="F1323" s="620"/>
      <c r="G1323" s="630"/>
      <c r="H1323" s="93"/>
      <c r="I1323" s="41"/>
      <c r="J1323" s="810"/>
    </row>
    <row r="1324" spans="1:10" x14ac:dyDescent="0.25">
      <c r="A1324" s="92"/>
      <c r="F1324" s="620"/>
      <c r="G1324" s="630"/>
      <c r="H1324" s="93"/>
      <c r="I1324" s="41"/>
      <c r="J1324" s="810"/>
    </row>
    <row r="1325" spans="1:10" x14ac:dyDescent="0.25">
      <c r="A1325" s="92"/>
      <c r="F1325" s="620"/>
      <c r="G1325" s="630"/>
      <c r="H1325" s="93"/>
      <c r="I1325" s="41"/>
      <c r="J1325" s="810"/>
    </row>
    <row r="1326" spans="1:10" x14ac:dyDescent="0.25">
      <c r="A1326" s="92"/>
      <c r="F1326" s="620"/>
      <c r="G1326" s="630"/>
      <c r="H1326" s="93"/>
      <c r="I1326" s="41"/>
      <c r="J1326" s="810"/>
    </row>
    <row r="1327" spans="1:10" x14ac:dyDescent="0.25">
      <c r="A1327" s="92"/>
      <c r="F1327" s="620"/>
      <c r="G1327" s="630"/>
      <c r="H1327" s="93"/>
      <c r="I1327" s="41"/>
      <c r="J1327" s="810"/>
    </row>
    <row r="1328" spans="1:10" x14ac:dyDescent="0.25">
      <c r="A1328" s="92"/>
      <c r="F1328" s="620"/>
      <c r="G1328" s="630"/>
      <c r="H1328" s="93"/>
      <c r="I1328" s="41"/>
      <c r="J1328" s="810"/>
    </row>
    <row r="1329" spans="1:10" x14ac:dyDescent="0.25">
      <c r="A1329" s="92"/>
      <c r="F1329" s="620"/>
      <c r="G1329" s="630"/>
      <c r="H1329" s="93"/>
      <c r="I1329" s="41"/>
      <c r="J1329" s="810"/>
    </row>
    <row r="1330" spans="1:10" x14ac:dyDescent="0.25">
      <c r="A1330" s="92"/>
      <c r="F1330" s="620"/>
      <c r="G1330" s="630"/>
      <c r="H1330" s="93"/>
      <c r="I1330" s="41"/>
      <c r="J1330" s="810"/>
    </row>
    <row r="1331" spans="1:10" x14ac:dyDescent="0.25">
      <c r="A1331" s="92"/>
      <c r="F1331" s="620"/>
      <c r="G1331" s="630"/>
      <c r="H1331" s="93"/>
      <c r="I1331" s="41"/>
      <c r="J1331" s="810"/>
    </row>
    <row r="1332" spans="1:10" x14ac:dyDescent="0.25">
      <c r="A1332" s="92"/>
      <c r="F1332" s="620"/>
      <c r="G1332" s="630"/>
      <c r="H1332" s="93"/>
      <c r="I1332" s="41"/>
      <c r="J1332" s="810"/>
    </row>
    <row r="1333" spans="1:10" x14ac:dyDescent="0.25">
      <c r="A1333" s="92"/>
      <c r="F1333" s="620"/>
      <c r="G1333" s="630"/>
      <c r="H1333" s="93"/>
      <c r="I1333" s="41"/>
      <c r="J1333" s="810"/>
    </row>
    <row r="1334" spans="1:10" x14ac:dyDescent="0.25">
      <c r="A1334" s="92"/>
      <c r="F1334" s="620"/>
      <c r="G1334" s="630"/>
      <c r="H1334" s="93"/>
      <c r="I1334" s="41"/>
      <c r="J1334" s="810"/>
    </row>
    <row r="1335" spans="1:10" x14ac:dyDescent="0.25">
      <c r="A1335" s="92"/>
      <c r="F1335" s="620"/>
      <c r="G1335" s="630"/>
      <c r="H1335" s="93"/>
      <c r="I1335" s="41"/>
      <c r="J1335" s="810"/>
    </row>
    <row r="1336" spans="1:10" x14ac:dyDescent="0.25">
      <c r="A1336" s="92"/>
      <c r="F1336" s="620"/>
      <c r="G1336" s="630"/>
      <c r="H1336" s="93"/>
      <c r="I1336" s="41"/>
      <c r="J1336" s="810"/>
    </row>
    <row r="1337" spans="1:10" x14ac:dyDescent="0.25">
      <c r="A1337" s="92"/>
      <c r="F1337" s="620"/>
      <c r="G1337" s="630"/>
      <c r="H1337" s="93"/>
      <c r="I1337" s="41"/>
      <c r="J1337" s="810"/>
    </row>
    <row r="1338" spans="1:10" x14ac:dyDescent="0.25">
      <c r="A1338" s="92"/>
      <c r="F1338" s="620"/>
      <c r="G1338" s="630"/>
      <c r="H1338" s="93"/>
      <c r="I1338" s="41"/>
      <c r="J1338" s="810"/>
    </row>
    <row r="1339" spans="1:10" x14ac:dyDescent="0.25">
      <c r="A1339" s="92"/>
      <c r="F1339" s="620"/>
      <c r="G1339" s="630"/>
      <c r="H1339" s="93"/>
      <c r="I1339" s="41"/>
      <c r="J1339" s="810"/>
    </row>
    <row r="1340" spans="1:10" x14ac:dyDescent="0.25">
      <c r="A1340" s="92"/>
      <c r="F1340" s="620"/>
      <c r="G1340" s="630"/>
      <c r="H1340" s="93"/>
      <c r="I1340" s="41"/>
      <c r="J1340" s="810"/>
    </row>
    <row r="1341" spans="1:10" x14ac:dyDescent="0.25">
      <c r="A1341" s="92"/>
      <c r="F1341" s="620"/>
      <c r="G1341" s="630"/>
      <c r="H1341" s="93"/>
      <c r="I1341" s="41"/>
      <c r="J1341" s="810"/>
    </row>
    <row r="1342" spans="1:10" x14ac:dyDescent="0.25">
      <c r="A1342" s="92"/>
      <c r="F1342" s="620"/>
      <c r="G1342" s="630"/>
      <c r="H1342" s="93"/>
      <c r="I1342" s="41"/>
      <c r="J1342" s="810"/>
    </row>
    <row r="1343" spans="1:10" x14ac:dyDescent="0.25">
      <c r="A1343" s="92"/>
      <c r="F1343" s="620"/>
      <c r="G1343" s="630"/>
      <c r="H1343" s="93"/>
      <c r="I1343" s="41"/>
      <c r="J1343" s="810"/>
    </row>
    <row r="1344" spans="1:10" x14ac:dyDescent="0.25">
      <c r="A1344" s="92"/>
      <c r="F1344" s="620"/>
      <c r="G1344" s="630"/>
      <c r="H1344" s="93"/>
      <c r="I1344" s="41"/>
      <c r="J1344" s="810"/>
    </row>
    <row r="1345" spans="1:10" x14ac:dyDescent="0.25">
      <c r="A1345" s="92"/>
      <c r="F1345" s="620"/>
      <c r="G1345" s="630"/>
      <c r="H1345" s="93"/>
      <c r="I1345" s="41"/>
      <c r="J1345" s="810"/>
    </row>
    <row r="1346" spans="1:10" x14ac:dyDescent="0.25">
      <c r="A1346" s="92"/>
      <c r="F1346" s="620"/>
      <c r="G1346" s="630"/>
      <c r="H1346" s="93"/>
      <c r="I1346" s="41"/>
      <c r="J1346" s="810"/>
    </row>
    <row r="1347" spans="1:10" x14ac:dyDescent="0.25">
      <c r="A1347" s="92"/>
      <c r="F1347" s="620"/>
      <c r="G1347" s="630"/>
      <c r="H1347" s="93"/>
      <c r="I1347" s="41"/>
      <c r="J1347" s="810"/>
    </row>
    <row r="1348" spans="1:10" x14ac:dyDescent="0.25">
      <c r="A1348" s="92"/>
      <c r="F1348" s="620"/>
      <c r="G1348" s="630"/>
      <c r="H1348" s="93"/>
      <c r="I1348" s="41"/>
      <c r="J1348" s="810"/>
    </row>
    <row r="1349" spans="1:10" x14ac:dyDescent="0.25">
      <c r="A1349" s="92"/>
      <c r="F1349" s="620"/>
      <c r="G1349" s="630"/>
      <c r="H1349" s="93"/>
      <c r="I1349" s="41"/>
      <c r="J1349" s="810"/>
    </row>
    <row r="1350" spans="1:10" x14ac:dyDescent="0.25">
      <c r="A1350" s="92"/>
      <c r="F1350" s="620"/>
      <c r="G1350" s="630"/>
      <c r="H1350" s="93"/>
      <c r="I1350" s="41"/>
      <c r="J1350" s="810"/>
    </row>
    <row r="1351" spans="1:10" x14ac:dyDescent="0.25">
      <c r="A1351" s="92"/>
      <c r="F1351" s="620"/>
      <c r="G1351" s="630"/>
      <c r="H1351" s="93"/>
      <c r="I1351" s="41"/>
      <c r="J1351" s="810"/>
    </row>
    <row r="1352" spans="1:10" x14ac:dyDescent="0.25">
      <c r="A1352" s="92"/>
      <c r="F1352" s="620"/>
      <c r="G1352" s="630"/>
      <c r="H1352" s="93"/>
      <c r="I1352" s="41"/>
      <c r="J1352" s="810"/>
    </row>
    <row r="1353" spans="1:10" x14ac:dyDescent="0.25">
      <c r="A1353" s="92"/>
      <c r="F1353" s="620"/>
      <c r="G1353" s="630"/>
      <c r="H1353" s="93"/>
      <c r="I1353" s="41"/>
      <c r="J1353" s="810"/>
    </row>
    <row r="1354" spans="1:10" x14ac:dyDescent="0.25">
      <c r="A1354" s="92"/>
      <c r="F1354" s="620"/>
      <c r="G1354" s="630"/>
      <c r="H1354" s="93"/>
      <c r="I1354" s="41"/>
      <c r="J1354" s="810"/>
    </row>
    <row r="1355" spans="1:10" x14ac:dyDescent="0.25">
      <c r="A1355" s="92"/>
      <c r="F1355" s="620"/>
      <c r="G1355" s="630"/>
      <c r="H1355" s="93"/>
      <c r="I1355" s="41"/>
      <c r="J1355" s="810"/>
    </row>
    <row r="1356" spans="1:10" x14ac:dyDescent="0.25">
      <c r="A1356" s="92"/>
      <c r="F1356" s="620"/>
      <c r="G1356" s="630"/>
      <c r="H1356" s="93"/>
      <c r="I1356" s="41"/>
      <c r="J1356" s="810"/>
    </row>
    <row r="1357" spans="1:10" x14ac:dyDescent="0.25">
      <c r="A1357" s="92"/>
      <c r="F1357" s="620"/>
      <c r="G1357" s="630"/>
      <c r="H1357" s="93"/>
      <c r="I1357" s="41"/>
      <c r="J1357" s="810"/>
    </row>
    <row r="1358" spans="1:10" x14ac:dyDescent="0.25">
      <c r="A1358" s="92"/>
      <c r="F1358" s="620"/>
      <c r="G1358" s="630"/>
      <c r="H1358" s="93"/>
      <c r="I1358" s="41"/>
      <c r="J1358" s="810"/>
    </row>
    <row r="1359" spans="1:10" x14ac:dyDescent="0.25">
      <c r="A1359" s="92"/>
      <c r="F1359" s="620"/>
      <c r="G1359" s="630"/>
      <c r="H1359" s="93"/>
      <c r="I1359" s="41"/>
      <c r="J1359" s="810"/>
    </row>
    <row r="1360" spans="1:10" x14ac:dyDescent="0.25">
      <c r="A1360" s="92"/>
      <c r="F1360" s="620"/>
      <c r="G1360" s="630"/>
      <c r="H1360" s="93"/>
      <c r="I1360" s="41"/>
      <c r="J1360" s="810"/>
    </row>
    <row r="1361" spans="1:10" x14ac:dyDescent="0.25">
      <c r="A1361" s="92"/>
      <c r="F1361" s="620"/>
      <c r="G1361" s="630"/>
      <c r="H1361" s="93"/>
      <c r="I1361" s="41"/>
      <c r="J1361" s="810"/>
    </row>
    <row r="1362" spans="1:10" x14ac:dyDescent="0.25">
      <c r="A1362" s="92"/>
      <c r="F1362" s="620"/>
      <c r="G1362" s="630"/>
      <c r="H1362" s="93"/>
      <c r="I1362" s="41"/>
      <c r="J1362" s="810"/>
    </row>
    <row r="1363" spans="1:10" x14ac:dyDescent="0.25">
      <c r="A1363" s="92"/>
      <c r="F1363" s="620"/>
      <c r="G1363" s="630"/>
      <c r="H1363" s="93"/>
      <c r="I1363" s="41"/>
      <c r="J1363" s="810"/>
    </row>
    <row r="1364" spans="1:10" x14ac:dyDescent="0.25">
      <c r="A1364" s="92"/>
      <c r="F1364" s="620"/>
      <c r="G1364" s="630"/>
      <c r="H1364" s="93"/>
      <c r="I1364" s="41"/>
      <c r="J1364" s="810"/>
    </row>
    <row r="1365" spans="1:10" x14ac:dyDescent="0.25">
      <c r="A1365" s="92"/>
      <c r="F1365" s="620"/>
      <c r="G1365" s="630"/>
      <c r="H1365" s="93"/>
      <c r="I1365" s="41"/>
      <c r="J1365" s="810"/>
    </row>
    <row r="1366" spans="1:10" x14ac:dyDescent="0.25">
      <c r="A1366" s="92"/>
      <c r="F1366" s="620"/>
      <c r="G1366" s="630"/>
      <c r="H1366" s="93"/>
      <c r="I1366" s="41"/>
      <c r="J1366" s="810"/>
    </row>
    <row r="1367" spans="1:10" x14ac:dyDescent="0.25">
      <c r="A1367" s="92"/>
      <c r="F1367" s="620"/>
      <c r="G1367" s="630"/>
      <c r="H1367" s="93"/>
      <c r="I1367" s="41"/>
      <c r="J1367" s="810"/>
    </row>
    <row r="1368" spans="1:10" x14ac:dyDescent="0.25">
      <c r="A1368" s="92"/>
      <c r="F1368" s="620"/>
      <c r="G1368" s="630"/>
      <c r="H1368" s="93"/>
      <c r="I1368" s="41"/>
      <c r="J1368" s="810"/>
    </row>
    <row r="1369" spans="1:10" x14ac:dyDescent="0.25">
      <c r="A1369" s="92"/>
      <c r="F1369" s="620"/>
      <c r="G1369" s="630"/>
      <c r="H1369" s="93"/>
      <c r="I1369" s="41"/>
      <c r="J1369" s="810"/>
    </row>
    <row r="1370" spans="1:10" x14ac:dyDescent="0.25">
      <c r="A1370" s="92"/>
      <c r="F1370" s="620"/>
      <c r="G1370" s="630"/>
      <c r="H1370" s="93"/>
      <c r="I1370" s="41"/>
      <c r="J1370" s="810"/>
    </row>
    <row r="1371" spans="1:10" x14ac:dyDescent="0.25">
      <c r="A1371" s="92"/>
      <c r="F1371" s="620"/>
      <c r="G1371" s="630"/>
      <c r="H1371" s="93"/>
      <c r="I1371" s="41"/>
      <c r="J1371" s="810"/>
    </row>
    <row r="1372" spans="1:10" x14ac:dyDescent="0.25">
      <c r="A1372" s="92"/>
      <c r="F1372" s="620"/>
      <c r="G1372" s="630"/>
      <c r="H1372" s="93"/>
      <c r="I1372" s="41"/>
      <c r="J1372" s="810"/>
    </row>
    <row r="1373" spans="1:10" x14ac:dyDescent="0.25">
      <c r="A1373" s="92"/>
      <c r="F1373" s="620"/>
      <c r="G1373" s="630"/>
      <c r="H1373" s="93"/>
      <c r="I1373" s="41"/>
      <c r="J1373" s="810"/>
    </row>
    <row r="1374" spans="1:10" x14ac:dyDescent="0.25">
      <c r="A1374" s="92"/>
      <c r="F1374" s="620"/>
      <c r="G1374" s="630"/>
      <c r="H1374" s="93"/>
      <c r="I1374" s="41"/>
      <c r="J1374" s="810"/>
    </row>
    <row r="1375" spans="1:10" x14ac:dyDescent="0.25">
      <c r="A1375" s="92"/>
      <c r="F1375" s="620"/>
      <c r="G1375" s="630"/>
      <c r="H1375" s="93"/>
      <c r="I1375" s="41"/>
      <c r="J1375" s="810"/>
    </row>
    <row r="1376" spans="1:10" x14ac:dyDescent="0.25">
      <c r="A1376" s="92"/>
      <c r="F1376" s="620"/>
      <c r="G1376" s="630"/>
      <c r="H1376" s="93"/>
      <c r="I1376" s="41"/>
      <c r="J1376" s="810"/>
    </row>
    <row r="1377" spans="1:10" x14ac:dyDescent="0.25">
      <c r="A1377" s="92"/>
      <c r="F1377" s="620"/>
      <c r="G1377" s="630"/>
      <c r="H1377" s="93"/>
      <c r="I1377" s="41"/>
      <c r="J1377" s="810"/>
    </row>
    <row r="1378" spans="1:10" x14ac:dyDescent="0.25">
      <c r="A1378" s="92"/>
      <c r="F1378" s="620"/>
      <c r="G1378" s="630"/>
      <c r="H1378" s="93"/>
      <c r="I1378" s="41"/>
      <c r="J1378" s="810"/>
    </row>
    <row r="1379" spans="1:10" x14ac:dyDescent="0.25">
      <c r="A1379" s="92"/>
      <c r="F1379" s="620"/>
      <c r="G1379" s="630"/>
      <c r="H1379" s="93"/>
      <c r="I1379" s="41"/>
      <c r="J1379" s="810"/>
    </row>
    <row r="1380" spans="1:10" x14ac:dyDescent="0.25">
      <c r="A1380" s="92"/>
      <c r="F1380" s="620"/>
      <c r="G1380" s="630"/>
      <c r="H1380" s="93"/>
      <c r="I1380" s="41"/>
      <c r="J1380" s="810"/>
    </row>
    <row r="1381" spans="1:10" x14ac:dyDescent="0.25">
      <c r="A1381" s="92"/>
      <c r="F1381" s="620"/>
      <c r="G1381" s="630"/>
      <c r="H1381" s="93"/>
      <c r="I1381" s="41"/>
      <c r="J1381" s="810"/>
    </row>
    <row r="1382" spans="1:10" x14ac:dyDescent="0.25">
      <c r="A1382" s="92"/>
      <c r="F1382" s="620"/>
      <c r="G1382" s="630"/>
      <c r="H1382" s="93"/>
      <c r="I1382" s="41"/>
      <c r="J1382" s="810"/>
    </row>
    <row r="1383" spans="1:10" x14ac:dyDescent="0.25">
      <c r="A1383" s="92"/>
      <c r="F1383" s="620"/>
      <c r="G1383" s="630"/>
      <c r="H1383" s="93"/>
      <c r="I1383" s="41"/>
      <c r="J1383" s="810"/>
    </row>
    <row r="1384" spans="1:10" x14ac:dyDescent="0.25">
      <c r="A1384" s="92"/>
      <c r="F1384" s="620"/>
      <c r="G1384" s="630"/>
      <c r="H1384" s="93"/>
      <c r="I1384" s="41"/>
      <c r="J1384" s="810"/>
    </row>
    <row r="1385" spans="1:10" x14ac:dyDescent="0.25">
      <c r="A1385" s="92"/>
      <c r="F1385" s="620"/>
      <c r="G1385" s="630"/>
      <c r="H1385" s="93"/>
      <c r="I1385" s="41"/>
      <c r="J1385" s="810"/>
    </row>
    <row r="1386" spans="1:10" x14ac:dyDescent="0.25">
      <c r="A1386" s="92"/>
      <c r="F1386" s="620"/>
      <c r="G1386" s="630"/>
      <c r="H1386" s="93"/>
      <c r="I1386" s="41"/>
      <c r="J1386" s="810"/>
    </row>
    <row r="1387" spans="1:10" x14ac:dyDescent="0.25">
      <c r="A1387" s="92"/>
      <c r="F1387" s="620"/>
      <c r="G1387" s="630"/>
      <c r="H1387" s="93"/>
      <c r="I1387" s="41"/>
      <c r="J1387" s="810"/>
    </row>
    <row r="1388" spans="1:10" x14ac:dyDescent="0.25">
      <c r="A1388" s="92"/>
      <c r="F1388" s="620"/>
      <c r="G1388" s="630"/>
      <c r="H1388" s="93"/>
      <c r="I1388" s="41"/>
      <c r="J1388" s="810"/>
    </row>
    <row r="1389" spans="1:10" x14ac:dyDescent="0.25">
      <c r="A1389" s="92"/>
      <c r="F1389" s="620"/>
      <c r="G1389" s="630"/>
      <c r="H1389" s="93"/>
      <c r="I1389" s="41"/>
      <c r="J1389" s="810"/>
    </row>
    <row r="1390" spans="1:10" x14ac:dyDescent="0.25">
      <c r="A1390" s="92"/>
      <c r="F1390" s="620"/>
      <c r="G1390" s="630"/>
      <c r="H1390" s="93"/>
      <c r="I1390" s="41"/>
      <c r="J1390" s="810"/>
    </row>
    <row r="1391" spans="1:10" x14ac:dyDescent="0.25">
      <c r="A1391" s="92"/>
      <c r="F1391" s="620"/>
      <c r="G1391" s="630"/>
      <c r="H1391" s="93"/>
      <c r="I1391" s="41"/>
      <c r="J1391" s="810"/>
    </row>
    <row r="1392" spans="1:10" x14ac:dyDescent="0.25">
      <c r="A1392" s="92"/>
      <c r="F1392" s="620"/>
      <c r="G1392" s="630"/>
      <c r="H1392" s="93"/>
      <c r="I1392" s="41"/>
      <c r="J1392" s="810"/>
    </row>
    <row r="1393" spans="1:10" x14ac:dyDescent="0.25">
      <c r="A1393" s="92"/>
      <c r="F1393" s="620"/>
      <c r="G1393" s="630"/>
      <c r="H1393" s="93"/>
      <c r="I1393" s="41"/>
      <c r="J1393" s="810"/>
    </row>
    <row r="1394" spans="1:10" x14ac:dyDescent="0.25">
      <c r="A1394" s="92"/>
      <c r="F1394" s="620"/>
      <c r="G1394" s="630"/>
      <c r="H1394" s="93"/>
      <c r="I1394" s="41"/>
      <c r="J1394" s="810"/>
    </row>
    <row r="1395" spans="1:10" x14ac:dyDescent="0.25">
      <c r="A1395" s="92"/>
      <c r="F1395" s="620"/>
      <c r="G1395" s="630"/>
      <c r="H1395" s="93"/>
      <c r="I1395" s="41"/>
      <c r="J1395" s="810"/>
    </row>
    <row r="1396" spans="1:10" x14ac:dyDescent="0.25">
      <c r="A1396" s="92"/>
      <c r="F1396" s="620"/>
      <c r="G1396" s="630"/>
      <c r="H1396" s="93"/>
      <c r="I1396" s="41"/>
      <c r="J1396" s="810"/>
    </row>
    <row r="1397" spans="1:10" x14ac:dyDescent="0.25">
      <c r="A1397" s="92"/>
      <c r="F1397" s="620"/>
      <c r="G1397" s="630"/>
      <c r="H1397" s="93"/>
      <c r="I1397" s="41"/>
      <c r="J1397" s="810"/>
    </row>
    <row r="1398" spans="1:10" x14ac:dyDescent="0.25">
      <c r="A1398" s="92"/>
      <c r="F1398" s="620"/>
      <c r="G1398" s="630"/>
      <c r="H1398" s="93"/>
      <c r="I1398" s="41"/>
      <c r="J1398" s="810"/>
    </row>
    <row r="1399" spans="1:10" x14ac:dyDescent="0.25">
      <c r="A1399" s="92"/>
      <c r="F1399" s="620"/>
      <c r="G1399" s="630"/>
      <c r="H1399" s="93"/>
      <c r="I1399" s="41"/>
      <c r="J1399" s="810"/>
    </row>
    <row r="1400" spans="1:10" x14ac:dyDescent="0.25">
      <c r="A1400" s="92"/>
      <c r="F1400" s="620"/>
      <c r="G1400" s="630"/>
      <c r="H1400" s="93"/>
      <c r="I1400" s="41"/>
      <c r="J1400" s="810"/>
    </row>
    <row r="1401" spans="1:10" x14ac:dyDescent="0.25">
      <c r="A1401" s="92"/>
      <c r="F1401" s="620"/>
      <c r="G1401" s="630"/>
      <c r="H1401" s="93"/>
      <c r="I1401" s="41"/>
      <c r="J1401" s="810"/>
    </row>
    <row r="1402" spans="1:10" x14ac:dyDescent="0.25">
      <c r="A1402" s="92"/>
      <c r="F1402" s="620"/>
      <c r="G1402" s="630"/>
      <c r="H1402" s="93"/>
      <c r="I1402" s="41"/>
      <c r="J1402" s="810"/>
    </row>
    <row r="1403" spans="1:10" x14ac:dyDescent="0.25">
      <c r="A1403" s="92"/>
      <c r="F1403" s="620"/>
      <c r="G1403" s="630"/>
      <c r="H1403" s="93"/>
      <c r="I1403" s="41"/>
      <c r="J1403" s="810"/>
    </row>
    <row r="1404" spans="1:10" x14ac:dyDescent="0.25">
      <c r="A1404" s="92"/>
      <c r="F1404" s="620"/>
      <c r="G1404" s="630"/>
      <c r="H1404" s="93"/>
      <c r="I1404" s="41"/>
      <c r="J1404" s="810"/>
    </row>
    <row r="1405" spans="1:10" x14ac:dyDescent="0.25">
      <c r="A1405" s="92"/>
      <c r="F1405" s="620"/>
      <c r="G1405" s="630"/>
      <c r="H1405" s="93"/>
      <c r="I1405" s="41"/>
      <c r="J1405" s="810"/>
    </row>
    <row r="1406" spans="1:10" x14ac:dyDescent="0.25">
      <c r="A1406" s="92"/>
      <c r="F1406" s="620"/>
      <c r="G1406" s="630"/>
      <c r="H1406" s="93"/>
      <c r="I1406" s="41"/>
      <c r="J1406" s="810"/>
    </row>
    <row r="1407" spans="1:10" x14ac:dyDescent="0.25">
      <c r="A1407" s="92"/>
      <c r="F1407" s="620"/>
      <c r="G1407" s="630"/>
      <c r="H1407" s="93"/>
      <c r="I1407" s="41"/>
      <c r="J1407" s="810"/>
    </row>
    <row r="1408" spans="1:10" x14ac:dyDescent="0.25">
      <c r="A1408" s="92"/>
      <c r="F1408" s="620"/>
      <c r="G1408" s="630"/>
      <c r="H1408" s="93"/>
      <c r="I1408" s="41"/>
      <c r="J1408" s="810"/>
    </row>
    <row r="1409" spans="1:10" x14ac:dyDescent="0.25">
      <c r="A1409" s="92"/>
      <c r="F1409" s="620"/>
      <c r="G1409" s="630"/>
      <c r="H1409" s="93"/>
      <c r="I1409" s="41"/>
      <c r="J1409" s="810"/>
    </row>
    <row r="1410" spans="1:10" x14ac:dyDescent="0.25">
      <c r="A1410" s="92"/>
      <c r="F1410" s="620"/>
      <c r="G1410" s="630"/>
      <c r="H1410" s="93"/>
      <c r="I1410" s="41"/>
      <c r="J1410" s="810"/>
    </row>
    <row r="1411" spans="1:10" x14ac:dyDescent="0.25">
      <c r="A1411" s="92"/>
      <c r="F1411" s="620"/>
      <c r="G1411" s="630"/>
      <c r="H1411" s="93"/>
      <c r="I1411" s="41"/>
      <c r="J1411" s="810"/>
    </row>
    <row r="1412" spans="1:10" x14ac:dyDescent="0.25">
      <c r="A1412" s="92"/>
      <c r="F1412" s="620"/>
      <c r="G1412" s="630"/>
      <c r="H1412" s="93"/>
      <c r="I1412" s="41"/>
      <c r="J1412" s="810"/>
    </row>
    <row r="1413" spans="1:10" x14ac:dyDescent="0.25">
      <c r="A1413" s="92"/>
      <c r="F1413" s="620"/>
      <c r="G1413" s="630"/>
      <c r="H1413" s="93"/>
      <c r="I1413" s="41"/>
      <c r="J1413" s="810"/>
    </row>
    <row r="1414" spans="1:10" x14ac:dyDescent="0.25">
      <c r="A1414" s="92"/>
      <c r="F1414" s="620"/>
      <c r="G1414" s="630"/>
      <c r="H1414" s="93"/>
      <c r="I1414" s="41"/>
      <c r="J1414" s="810"/>
    </row>
    <row r="1415" spans="1:10" x14ac:dyDescent="0.25">
      <c r="A1415" s="92"/>
      <c r="F1415" s="620"/>
      <c r="G1415" s="630"/>
      <c r="H1415" s="93"/>
      <c r="I1415" s="41"/>
      <c r="J1415" s="810"/>
    </row>
    <row r="1416" spans="1:10" x14ac:dyDescent="0.25">
      <c r="A1416" s="92"/>
      <c r="F1416" s="620"/>
      <c r="G1416" s="630"/>
      <c r="H1416" s="93"/>
      <c r="I1416" s="41"/>
      <c r="J1416" s="810"/>
    </row>
    <row r="1417" spans="1:10" x14ac:dyDescent="0.25">
      <c r="A1417" s="92"/>
      <c r="F1417" s="620"/>
      <c r="G1417" s="630"/>
      <c r="H1417" s="93"/>
      <c r="I1417" s="41"/>
      <c r="J1417" s="810"/>
    </row>
    <row r="1418" spans="1:10" x14ac:dyDescent="0.25">
      <c r="A1418" s="92"/>
      <c r="F1418" s="620"/>
      <c r="G1418" s="630"/>
      <c r="H1418" s="93"/>
      <c r="I1418" s="41"/>
      <c r="J1418" s="810"/>
    </row>
    <row r="1419" spans="1:10" x14ac:dyDescent="0.25">
      <c r="A1419" s="92"/>
      <c r="F1419" s="620"/>
      <c r="G1419" s="630"/>
      <c r="H1419" s="93"/>
      <c r="I1419" s="41"/>
      <c r="J1419" s="810"/>
    </row>
    <row r="1420" spans="1:10" x14ac:dyDescent="0.25">
      <c r="A1420" s="92"/>
      <c r="F1420" s="620"/>
      <c r="G1420" s="630"/>
      <c r="H1420" s="93"/>
      <c r="I1420" s="41"/>
      <c r="J1420" s="810"/>
    </row>
    <row r="1421" spans="1:10" x14ac:dyDescent="0.25">
      <c r="A1421" s="92"/>
      <c r="F1421" s="620"/>
      <c r="G1421" s="630"/>
      <c r="H1421" s="93"/>
      <c r="I1421" s="41"/>
      <c r="J1421" s="810"/>
    </row>
    <row r="1422" spans="1:10" x14ac:dyDescent="0.25">
      <c r="A1422" s="92"/>
      <c r="F1422" s="620"/>
      <c r="G1422" s="630"/>
      <c r="H1422" s="93"/>
      <c r="I1422" s="41"/>
      <c r="J1422" s="810"/>
    </row>
    <row r="1423" spans="1:10" x14ac:dyDescent="0.25">
      <c r="A1423" s="92"/>
      <c r="F1423" s="620"/>
      <c r="G1423" s="630"/>
      <c r="H1423" s="93"/>
      <c r="I1423" s="41"/>
      <c r="J1423" s="810"/>
    </row>
    <row r="1424" spans="1:10" x14ac:dyDescent="0.25">
      <c r="A1424" s="92"/>
      <c r="F1424" s="620"/>
      <c r="G1424" s="630"/>
      <c r="H1424" s="93"/>
      <c r="I1424" s="41"/>
      <c r="J1424" s="810"/>
    </row>
    <row r="1425" spans="1:10" x14ac:dyDescent="0.25">
      <c r="A1425" s="92"/>
      <c r="F1425" s="620"/>
      <c r="G1425" s="630"/>
      <c r="H1425" s="93"/>
      <c r="I1425" s="41"/>
      <c r="J1425" s="810"/>
    </row>
    <row r="1426" spans="1:10" x14ac:dyDescent="0.25">
      <c r="A1426" s="92"/>
      <c r="F1426" s="620"/>
      <c r="G1426" s="630"/>
      <c r="H1426" s="93"/>
      <c r="I1426" s="41"/>
      <c r="J1426" s="810"/>
    </row>
    <row r="1427" spans="1:10" x14ac:dyDescent="0.25">
      <c r="A1427" s="92"/>
      <c r="F1427" s="620"/>
      <c r="G1427" s="630"/>
      <c r="H1427" s="93"/>
      <c r="I1427" s="41"/>
      <c r="J1427" s="810"/>
    </row>
    <row r="1428" spans="1:10" x14ac:dyDescent="0.25">
      <c r="A1428" s="92"/>
      <c r="F1428" s="620"/>
      <c r="G1428" s="630"/>
      <c r="H1428" s="93"/>
      <c r="I1428" s="41"/>
      <c r="J1428" s="810"/>
    </row>
    <row r="1429" spans="1:10" x14ac:dyDescent="0.25">
      <c r="A1429" s="92"/>
      <c r="F1429" s="620"/>
      <c r="G1429" s="630"/>
      <c r="H1429" s="93"/>
      <c r="I1429" s="41"/>
      <c r="J1429" s="810"/>
    </row>
    <row r="1430" spans="1:10" x14ac:dyDescent="0.25">
      <c r="A1430" s="92"/>
      <c r="F1430" s="620"/>
      <c r="G1430" s="630"/>
      <c r="H1430" s="93"/>
      <c r="I1430" s="41"/>
      <c r="J1430" s="810"/>
    </row>
    <row r="1431" spans="1:10" x14ac:dyDescent="0.25">
      <c r="A1431" s="92"/>
      <c r="F1431" s="620"/>
      <c r="G1431" s="630"/>
      <c r="H1431" s="93"/>
      <c r="I1431" s="41"/>
      <c r="J1431" s="810"/>
    </row>
    <row r="1432" spans="1:10" x14ac:dyDescent="0.25">
      <c r="A1432" s="92"/>
      <c r="F1432" s="620"/>
      <c r="G1432" s="630"/>
      <c r="H1432" s="93"/>
      <c r="I1432" s="41"/>
      <c r="J1432" s="810"/>
    </row>
    <row r="1433" spans="1:10" x14ac:dyDescent="0.25">
      <c r="A1433" s="92"/>
      <c r="F1433" s="620"/>
      <c r="G1433" s="630"/>
      <c r="H1433" s="93"/>
      <c r="I1433" s="41"/>
      <c r="J1433" s="810"/>
    </row>
    <row r="1434" spans="1:10" x14ac:dyDescent="0.25">
      <c r="A1434" s="92"/>
      <c r="F1434" s="620"/>
      <c r="G1434" s="630"/>
      <c r="H1434" s="93"/>
      <c r="I1434" s="41"/>
      <c r="J1434" s="810"/>
    </row>
    <row r="1435" spans="1:10" x14ac:dyDescent="0.25">
      <c r="A1435" s="92"/>
      <c r="F1435" s="620"/>
      <c r="G1435" s="630"/>
      <c r="H1435" s="93"/>
      <c r="I1435" s="41"/>
      <c r="J1435" s="810"/>
    </row>
    <row r="1436" spans="1:10" x14ac:dyDescent="0.25">
      <c r="A1436" s="92"/>
      <c r="F1436" s="620"/>
      <c r="G1436" s="630"/>
      <c r="H1436" s="93"/>
      <c r="I1436" s="41"/>
      <c r="J1436" s="810"/>
    </row>
    <row r="1437" spans="1:10" x14ac:dyDescent="0.25">
      <c r="A1437" s="92"/>
      <c r="F1437" s="620"/>
      <c r="G1437" s="630"/>
      <c r="H1437" s="93"/>
      <c r="I1437" s="41"/>
      <c r="J1437" s="810"/>
    </row>
    <row r="1438" spans="1:10" x14ac:dyDescent="0.25">
      <c r="A1438" s="92"/>
      <c r="F1438" s="620"/>
      <c r="G1438" s="630"/>
      <c r="H1438" s="93"/>
      <c r="I1438" s="41"/>
      <c r="J1438" s="810"/>
    </row>
    <row r="1439" spans="1:10" x14ac:dyDescent="0.25">
      <c r="A1439" s="92"/>
      <c r="F1439" s="620"/>
      <c r="G1439" s="630"/>
      <c r="H1439" s="93"/>
      <c r="I1439" s="41"/>
      <c r="J1439" s="810"/>
    </row>
    <row r="1440" spans="1:10" x14ac:dyDescent="0.25">
      <c r="A1440" s="92"/>
      <c r="F1440" s="620"/>
      <c r="G1440" s="630"/>
      <c r="H1440" s="93"/>
      <c r="I1440" s="41"/>
      <c r="J1440" s="810"/>
    </row>
    <row r="1441" spans="1:10" x14ac:dyDescent="0.25">
      <c r="A1441" s="92"/>
      <c r="F1441" s="620"/>
      <c r="G1441" s="630"/>
      <c r="H1441" s="93"/>
      <c r="I1441" s="41"/>
      <c r="J1441" s="810"/>
    </row>
    <row r="1442" spans="1:10" x14ac:dyDescent="0.25">
      <c r="A1442" s="92"/>
      <c r="F1442" s="620"/>
      <c r="G1442" s="630"/>
      <c r="H1442" s="93"/>
      <c r="I1442" s="41"/>
      <c r="J1442" s="810"/>
    </row>
    <row r="1443" spans="1:10" x14ac:dyDescent="0.25">
      <c r="A1443" s="92"/>
      <c r="F1443" s="620"/>
      <c r="G1443" s="630"/>
      <c r="H1443" s="93"/>
      <c r="I1443" s="41"/>
      <c r="J1443" s="810"/>
    </row>
    <row r="1444" spans="1:10" x14ac:dyDescent="0.25">
      <c r="A1444" s="92"/>
      <c r="F1444" s="620"/>
      <c r="G1444" s="630"/>
      <c r="H1444" s="93"/>
      <c r="I1444" s="41"/>
      <c r="J1444" s="810"/>
    </row>
    <row r="1445" spans="1:10" x14ac:dyDescent="0.25">
      <c r="A1445" s="92"/>
      <c r="F1445" s="620"/>
      <c r="G1445" s="630"/>
      <c r="H1445" s="93"/>
      <c r="I1445" s="41"/>
      <c r="J1445" s="810"/>
    </row>
    <row r="1446" spans="1:10" x14ac:dyDescent="0.25">
      <c r="A1446" s="92"/>
      <c r="F1446" s="620"/>
      <c r="G1446" s="630"/>
      <c r="H1446" s="93"/>
      <c r="I1446" s="41"/>
      <c r="J1446" s="810"/>
    </row>
    <row r="1447" spans="1:10" x14ac:dyDescent="0.25">
      <c r="A1447" s="92"/>
      <c r="F1447" s="620"/>
      <c r="G1447" s="630"/>
      <c r="H1447" s="93"/>
      <c r="I1447" s="41"/>
      <c r="J1447" s="810"/>
    </row>
    <row r="1448" spans="1:10" x14ac:dyDescent="0.25">
      <c r="A1448" s="92"/>
      <c r="F1448" s="620"/>
      <c r="G1448" s="630"/>
      <c r="H1448" s="93"/>
      <c r="I1448" s="41"/>
      <c r="J1448" s="810"/>
    </row>
    <row r="1449" spans="1:10" x14ac:dyDescent="0.25">
      <c r="A1449" s="92"/>
      <c r="F1449" s="620"/>
      <c r="G1449" s="630"/>
      <c r="H1449" s="93"/>
      <c r="I1449" s="41"/>
      <c r="J1449" s="810"/>
    </row>
    <row r="1450" spans="1:10" x14ac:dyDescent="0.25">
      <c r="A1450" s="92"/>
      <c r="F1450" s="620"/>
      <c r="G1450" s="630"/>
      <c r="H1450" s="93"/>
      <c r="I1450" s="41"/>
      <c r="J1450" s="810"/>
    </row>
    <row r="1451" spans="1:10" x14ac:dyDescent="0.25">
      <c r="A1451" s="92"/>
      <c r="F1451" s="620"/>
      <c r="G1451" s="630"/>
      <c r="H1451" s="93"/>
      <c r="I1451" s="41"/>
      <c r="J1451" s="810"/>
    </row>
    <row r="1452" spans="1:10" x14ac:dyDescent="0.25">
      <c r="A1452" s="92"/>
      <c r="F1452" s="620"/>
      <c r="G1452" s="630"/>
      <c r="H1452" s="93"/>
      <c r="I1452" s="41"/>
      <c r="J1452" s="810"/>
    </row>
    <row r="1453" spans="1:10" x14ac:dyDescent="0.25">
      <c r="A1453" s="92"/>
      <c r="F1453" s="620"/>
      <c r="G1453" s="630"/>
      <c r="H1453" s="93"/>
      <c r="I1453" s="41"/>
      <c r="J1453" s="810"/>
    </row>
    <row r="1454" spans="1:10" x14ac:dyDescent="0.25">
      <c r="A1454" s="92"/>
      <c r="F1454" s="620"/>
      <c r="G1454" s="630"/>
      <c r="H1454" s="93"/>
      <c r="I1454" s="41"/>
      <c r="J1454" s="810"/>
    </row>
    <row r="1455" spans="1:10" x14ac:dyDescent="0.25">
      <c r="A1455" s="92"/>
      <c r="F1455" s="620"/>
      <c r="G1455" s="630"/>
      <c r="H1455" s="93"/>
      <c r="I1455" s="41"/>
      <c r="J1455" s="810"/>
    </row>
    <row r="1456" spans="1:10" x14ac:dyDescent="0.25">
      <c r="A1456" s="92"/>
      <c r="F1456" s="620"/>
      <c r="G1456" s="630"/>
      <c r="H1456" s="93"/>
      <c r="I1456" s="41"/>
      <c r="J1456" s="810"/>
    </row>
    <row r="1457" spans="1:10" x14ac:dyDescent="0.25">
      <c r="A1457" s="92"/>
      <c r="F1457" s="620"/>
      <c r="G1457" s="630"/>
      <c r="H1457" s="93"/>
      <c r="I1457" s="41"/>
      <c r="J1457" s="810"/>
    </row>
    <row r="1458" spans="1:10" x14ac:dyDescent="0.25">
      <c r="A1458" s="92"/>
      <c r="F1458" s="620"/>
      <c r="G1458" s="630"/>
      <c r="H1458" s="93"/>
      <c r="I1458" s="41"/>
      <c r="J1458" s="810"/>
    </row>
    <row r="1459" spans="1:10" x14ac:dyDescent="0.25">
      <c r="A1459" s="92"/>
      <c r="F1459" s="620"/>
      <c r="G1459" s="630"/>
      <c r="H1459" s="93"/>
      <c r="I1459" s="41"/>
      <c r="J1459" s="810"/>
    </row>
    <row r="1460" spans="1:10" x14ac:dyDescent="0.25">
      <c r="A1460" s="92"/>
      <c r="F1460" s="620"/>
      <c r="G1460" s="630"/>
      <c r="H1460" s="93"/>
      <c r="I1460" s="41"/>
      <c r="J1460" s="810"/>
    </row>
    <row r="1461" spans="1:10" x14ac:dyDescent="0.25">
      <c r="A1461" s="92"/>
      <c r="F1461" s="620"/>
      <c r="G1461" s="630"/>
      <c r="H1461" s="93"/>
      <c r="I1461" s="41"/>
      <c r="J1461" s="810"/>
    </row>
    <row r="1462" spans="1:10" x14ac:dyDescent="0.25">
      <c r="A1462" s="92"/>
      <c r="F1462" s="620"/>
      <c r="G1462" s="630"/>
      <c r="H1462" s="93"/>
      <c r="I1462" s="41"/>
      <c r="J1462" s="810"/>
    </row>
    <row r="1463" spans="1:10" x14ac:dyDescent="0.25">
      <c r="A1463" s="92"/>
      <c r="F1463" s="620"/>
      <c r="G1463" s="630"/>
      <c r="H1463" s="93"/>
      <c r="I1463" s="41"/>
      <c r="J1463" s="810"/>
    </row>
    <row r="1464" spans="1:10" x14ac:dyDescent="0.25">
      <c r="A1464" s="92"/>
      <c r="F1464" s="620"/>
      <c r="G1464" s="630"/>
      <c r="H1464" s="93"/>
      <c r="I1464" s="41"/>
      <c r="J1464" s="810"/>
    </row>
    <row r="1465" spans="1:10" x14ac:dyDescent="0.25">
      <c r="A1465" s="92"/>
      <c r="F1465" s="620"/>
      <c r="G1465" s="630"/>
      <c r="H1465" s="93"/>
      <c r="I1465" s="41"/>
      <c r="J1465" s="810"/>
    </row>
    <row r="1466" spans="1:10" x14ac:dyDescent="0.25">
      <c r="A1466" s="92"/>
      <c r="F1466" s="620"/>
      <c r="G1466" s="630"/>
      <c r="H1466" s="93"/>
      <c r="I1466" s="41"/>
      <c r="J1466" s="810"/>
    </row>
    <row r="1467" spans="1:10" x14ac:dyDescent="0.25">
      <c r="A1467" s="92"/>
      <c r="F1467" s="620"/>
      <c r="G1467" s="630"/>
      <c r="H1467" s="93"/>
      <c r="I1467" s="41"/>
      <c r="J1467" s="810"/>
    </row>
    <row r="1468" spans="1:10" x14ac:dyDescent="0.25">
      <c r="A1468" s="92"/>
      <c r="F1468" s="620"/>
      <c r="G1468" s="630"/>
      <c r="H1468" s="93"/>
      <c r="I1468" s="41"/>
      <c r="J1468" s="810"/>
    </row>
    <row r="1469" spans="1:10" x14ac:dyDescent="0.25">
      <c r="A1469" s="92"/>
      <c r="F1469" s="620"/>
      <c r="G1469" s="630"/>
      <c r="H1469" s="93"/>
      <c r="I1469" s="41"/>
      <c r="J1469" s="810"/>
    </row>
    <row r="1470" spans="1:10" x14ac:dyDescent="0.25">
      <c r="A1470" s="92"/>
      <c r="F1470" s="620"/>
      <c r="G1470" s="630"/>
      <c r="H1470" s="93"/>
      <c r="I1470" s="41"/>
      <c r="J1470" s="810"/>
    </row>
    <row r="1471" spans="1:10" x14ac:dyDescent="0.25">
      <c r="A1471" s="92"/>
      <c r="F1471" s="620"/>
      <c r="G1471" s="630"/>
      <c r="H1471" s="93"/>
      <c r="I1471" s="41"/>
      <c r="J1471" s="810"/>
    </row>
    <row r="1472" spans="1:10" x14ac:dyDescent="0.25">
      <c r="A1472" s="92"/>
      <c r="F1472" s="620"/>
      <c r="G1472" s="630"/>
      <c r="H1472" s="93"/>
      <c r="I1472" s="41"/>
      <c r="J1472" s="810"/>
    </row>
    <row r="1473" spans="1:10" x14ac:dyDescent="0.25">
      <c r="A1473" s="92"/>
      <c r="F1473" s="620"/>
      <c r="G1473" s="630"/>
      <c r="H1473" s="93"/>
      <c r="I1473" s="41"/>
      <c r="J1473" s="810"/>
    </row>
    <row r="1474" spans="1:10" x14ac:dyDescent="0.25">
      <c r="A1474" s="92"/>
      <c r="F1474" s="620"/>
      <c r="G1474" s="630"/>
      <c r="H1474" s="93"/>
      <c r="I1474" s="41"/>
      <c r="J1474" s="810"/>
    </row>
    <row r="1475" spans="1:10" x14ac:dyDescent="0.25">
      <c r="A1475" s="92"/>
      <c r="F1475" s="620"/>
      <c r="G1475" s="630"/>
      <c r="H1475" s="93"/>
      <c r="I1475" s="41"/>
      <c r="J1475" s="810"/>
    </row>
    <row r="1476" spans="1:10" x14ac:dyDescent="0.25">
      <c r="A1476" s="92"/>
      <c r="F1476" s="620"/>
      <c r="G1476" s="630"/>
      <c r="H1476" s="93"/>
      <c r="I1476" s="41"/>
      <c r="J1476" s="810"/>
    </row>
    <row r="1477" spans="1:10" x14ac:dyDescent="0.25">
      <c r="A1477" s="92"/>
      <c r="F1477" s="620"/>
      <c r="G1477" s="630"/>
      <c r="H1477" s="93"/>
      <c r="I1477" s="41"/>
      <c r="J1477" s="810"/>
    </row>
    <row r="1478" spans="1:10" x14ac:dyDescent="0.25">
      <c r="A1478" s="92"/>
      <c r="F1478" s="620"/>
      <c r="G1478" s="630"/>
      <c r="H1478" s="93"/>
      <c r="I1478" s="41"/>
      <c r="J1478" s="810"/>
    </row>
    <row r="1479" spans="1:10" x14ac:dyDescent="0.25">
      <c r="A1479" s="92"/>
      <c r="F1479" s="620"/>
      <c r="G1479" s="630"/>
      <c r="H1479" s="93"/>
      <c r="I1479" s="41"/>
      <c r="J1479" s="810"/>
    </row>
    <row r="1480" spans="1:10" x14ac:dyDescent="0.25">
      <c r="A1480" s="92"/>
      <c r="F1480" s="620"/>
      <c r="G1480" s="630"/>
      <c r="H1480" s="93"/>
      <c r="I1480" s="41"/>
      <c r="J1480" s="810"/>
    </row>
    <row r="1481" spans="1:10" x14ac:dyDescent="0.25">
      <c r="A1481" s="92"/>
      <c r="F1481" s="620"/>
      <c r="G1481" s="630"/>
      <c r="H1481" s="93"/>
      <c r="I1481" s="41"/>
      <c r="J1481" s="810"/>
    </row>
    <row r="1482" spans="1:10" x14ac:dyDescent="0.25">
      <c r="A1482" s="92"/>
      <c r="F1482" s="620"/>
      <c r="G1482" s="630"/>
      <c r="H1482" s="93"/>
      <c r="I1482" s="41"/>
      <c r="J1482" s="810"/>
    </row>
    <row r="1483" spans="1:10" x14ac:dyDescent="0.25">
      <c r="A1483" s="92"/>
      <c r="F1483" s="620"/>
      <c r="G1483" s="630"/>
      <c r="H1483" s="93"/>
      <c r="I1483" s="41"/>
      <c r="J1483" s="810"/>
    </row>
    <row r="1484" spans="1:10" x14ac:dyDescent="0.25">
      <c r="A1484" s="92"/>
      <c r="F1484" s="620"/>
      <c r="G1484" s="630"/>
      <c r="H1484" s="93"/>
      <c r="I1484" s="41"/>
      <c r="J1484" s="810"/>
    </row>
    <row r="1485" spans="1:10" x14ac:dyDescent="0.25">
      <c r="A1485" s="92"/>
      <c r="F1485" s="620"/>
      <c r="G1485" s="630"/>
      <c r="H1485" s="93"/>
      <c r="I1485" s="41"/>
      <c r="J1485" s="810"/>
    </row>
    <row r="1486" spans="1:10" x14ac:dyDescent="0.25">
      <c r="A1486" s="92"/>
      <c r="F1486" s="620"/>
      <c r="G1486" s="630"/>
      <c r="H1486" s="93"/>
      <c r="I1486" s="41"/>
      <c r="J1486" s="810"/>
    </row>
    <row r="1487" spans="1:10" x14ac:dyDescent="0.25">
      <c r="A1487" s="92"/>
      <c r="F1487" s="620"/>
      <c r="G1487" s="630"/>
      <c r="H1487" s="93"/>
      <c r="I1487" s="41"/>
      <c r="J1487" s="810"/>
    </row>
    <row r="1488" spans="1:10" x14ac:dyDescent="0.25">
      <c r="A1488" s="92"/>
      <c r="F1488" s="620"/>
      <c r="G1488" s="630"/>
      <c r="H1488" s="93"/>
      <c r="I1488" s="41"/>
      <c r="J1488" s="810"/>
    </row>
    <row r="1489" spans="1:10" x14ac:dyDescent="0.25">
      <c r="A1489" s="92"/>
      <c r="F1489" s="620"/>
      <c r="G1489" s="630"/>
      <c r="H1489" s="93"/>
      <c r="I1489" s="41"/>
      <c r="J1489" s="810"/>
    </row>
    <row r="1490" spans="1:10" x14ac:dyDescent="0.25">
      <c r="A1490" s="92"/>
      <c r="F1490" s="620"/>
      <c r="G1490" s="630"/>
      <c r="H1490" s="93"/>
      <c r="I1490" s="41"/>
      <c r="J1490" s="810"/>
    </row>
    <row r="1491" spans="1:10" x14ac:dyDescent="0.25">
      <c r="A1491" s="92"/>
      <c r="F1491" s="620"/>
      <c r="G1491" s="630"/>
      <c r="H1491" s="93"/>
      <c r="I1491" s="41"/>
      <c r="J1491" s="810"/>
    </row>
    <row r="1492" spans="1:10" x14ac:dyDescent="0.25">
      <c r="A1492" s="92"/>
      <c r="F1492" s="620"/>
      <c r="G1492" s="630"/>
      <c r="H1492" s="93"/>
      <c r="I1492" s="41"/>
      <c r="J1492" s="810"/>
    </row>
    <row r="1493" spans="1:10" x14ac:dyDescent="0.25">
      <c r="A1493" s="92"/>
      <c r="F1493" s="620"/>
      <c r="G1493" s="630"/>
      <c r="H1493" s="93"/>
      <c r="I1493" s="41"/>
      <c r="J1493" s="810"/>
    </row>
    <row r="1494" spans="1:10" x14ac:dyDescent="0.25">
      <c r="A1494" s="92"/>
      <c r="F1494" s="620"/>
      <c r="G1494" s="630"/>
      <c r="H1494" s="93"/>
      <c r="I1494" s="41"/>
      <c r="J1494" s="810"/>
    </row>
    <row r="1495" spans="1:10" x14ac:dyDescent="0.25">
      <c r="A1495" s="92"/>
      <c r="F1495" s="620"/>
      <c r="G1495" s="630"/>
      <c r="H1495" s="93"/>
      <c r="I1495" s="41"/>
      <c r="J1495" s="810"/>
    </row>
    <row r="1496" spans="1:10" x14ac:dyDescent="0.25">
      <c r="A1496" s="92"/>
      <c r="F1496" s="620"/>
      <c r="G1496" s="630"/>
      <c r="H1496" s="93"/>
      <c r="I1496" s="41"/>
      <c r="J1496" s="810"/>
    </row>
    <row r="1497" spans="1:10" x14ac:dyDescent="0.25">
      <c r="A1497" s="92"/>
      <c r="F1497" s="620"/>
      <c r="G1497" s="630"/>
      <c r="H1497" s="93"/>
      <c r="I1497" s="41"/>
      <c r="J1497" s="810"/>
    </row>
    <row r="1498" spans="1:10" x14ac:dyDescent="0.25">
      <c r="A1498" s="92"/>
      <c r="F1498" s="620"/>
      <c r="G1498" s="630"/>
      <c r="H1498" s="93"/>
      <c r="I1498" s="41"/>
      <c r="J1498" s="810"/>
    </row>
    <row r="1499" spans="1:10" x14ac:dyDescent="0.25">
      <c r="A1499" s="92"/>
      <c r="F1499" s="620"/>
      <c r="G1499" s="630"/>
      <c r="H1499" s="93"/>
      <c r="I1499" s="41"/>
      <c r="J1499" s="810"/>
    </row>
    <row r="1500" spans="1:10" x14ac:dyDescent="0.25">
      <c r="A1500" s="92"/>
      <c r="F1500" s="620"/>
      <c r="G1500" s="630"/>
      <c r="H1500" s="93"/>
      <c r="I1500" s="41"/>
      <c r="J1500" s="810"/>
    </row>
    <row r="1501" spans="1:10" x14ac:dyDescent="0.25">
      <c r="A1501" s="92"/>
      <c r="F1501" s="620"/>
      <c r="G1501" s="630"/>
      <c r="H1501" s="93"/>
      <c r="I1501" s="41"/>
      <c r="J1501" s="810"/>
    </row>
    <row r="1502" spans="1:10" x14ac:dyDescent="0.25">
      <c r="A1502" s="92"/>
      <c r="F1502" s="620"/>
      <c r="G1502" s="630"/>
      <c r="H1502" s="93"/>
      <c r="I1502" s="41"/>
      <c r="J1502" s="810"/>
    </row>
    <row r="1503" spans="1:10" x14ac:dyDescent="0.25">
      <c r="A1503" s="92"/>
      <c r="F1503" s="620"/>
      <c r="G1503" s="630"/>
      <c r="H1503" s="93"/>
      <c r="I1503" s="41"/>
      <c r="J1503" s="810"/>
    </row>
    <row r="1504" spans="1:10" x14ac:dyDescent="0.25">
      <c r="A1504" s="92"/>
      <c r="F1504" s="620"/>
      <c r="G1504" s="630"/>
      <c r="H1504" s="93"/>
      <c r="I1504" s="41"/>
      <c r="J1504" s="810"/>
    </row>
    <row r="1505" spans="1:10" x14ac:dyDescent="0.25">
      <c r="A1505" s="92"/>
      <c r="F1505" s="620"/>
      <c r="G1505" s="630"/>
      <c r="H1505" s="93"/>
      <c r="I1505" s="41"/>
      <c r="J1505" s="810"/>
    </row>
    <row r="1506" spans="1:10" x14ac:dyDescent="0.25">
      <c r="A1506" s="92"/>
      <c r="F1506" s="620"/>
      <c r="G1506" s="630"/>
      <c r="H1506" s="93"/>
      <c r="I1506" s="41"/>
      <c r="J1506" s="810"/>
    </row>
    <row r="1507" spans="1:10" x14ac:dyDescent="0.25">
      <c r="A1507" s="92"/>
      <c r="F1507" s="620"/>
      <c r="G1507" s="630"/>
      <c r="H1507" s="93"/>
      <c r="I1507" s="41"/>
      <c r="J1507" s="810"/>
    </row>
    <row r="1508" spans="1:10" x14ac:dyDescent="0.25">
      <c r="A1508" s="92"/>
      <c r="F1508" s="620"/>
      <c r="G1508" s="630"/>
      <c r="H1508" s="93"/>
      <c r="I1508" s="41"/>
      <c r="J1508" s="810"/>
    </row>
    <row r="1509" spans="1:10" x14ac:dyDescent="0.25">
      <c r="A1509" s="92"/>
      <c r="F1509" s="620"/>
      <c r="G1509" s="630"/>
      <c r="H1509" s="93"/>
      <c r="I1509" s="41"/>
      <c r="J1509" s="810"/>
    </row>
    <row r="1510" spans="1:10" x14ac:dyDescent="0.25">
      <c r="A1510" s="92"/>
      <c r="F1510" s="620"/>
      <c r="G1510" s="630"/>
      <c r="H1510" s="93"/>
      <c r="I1510" s="41"/>
      <c r="J1510" s="810"/>
    </row>
    <row r="1511" spans="1:10" x14ac:dyDescent="0.25">
      <c r="A1511" s="92"/>
      <c r="F1511" s="620"/>
      <c r="G1511" s="630"/>
      <c r="H1511" s="93"/>
      <c r="I1511" s="41"/>
      <c r="J1511" s="810"/>
    </row>
    <row r="1512" spans="1:10" x14ac:dyDescent="0.25">
      <c r="A1512" s="92"/>
      <c r="F1512" s="620"/>
      <c r="G1512" s="630"/>
      <c r="H1512" s="93"/>
      <c r="I1512" s="41"/>
      <c r="J1512" s="810"/>
    </row>
    <row r="1513" spans="1:10" x14ac:dyDescent="0.25">
      <c r="A1513" s="92"/>
      <c r="F1513" s="620"/>
      <c r="G1513" s="630"/>
      <c r="H1513" s="93"/>
      <c r="I1513" s="41"/>
      <c r="J1513" s="810"/>
    </row>
    <row r="1514" spans="1:10" x14ac:dyDescent="0.25">
      <c r="A1514" s="92"/>
      <c r="F1514" s="620"/>
      <c r="G1514" s="630"/>
      <c r="H1514" s="93"/>
      <c r="I1514" s="41"/>
      <c r="J1514" s="810"/>
    </row>
    <row r="1515" spans="1:10" x14ac:dyDescent="0.25">
      <c r="A1515" s="92"/>
      <c r="F1515" s="620"/>
      <c r="G1515" s="630"/>
      <c r="H1515" s="93"/>
      <c r="I1515" s="41"/>
      <c r="J1515" s="810"/>
    </row>
    <row r="1516" spans="1:10" x14ac:dyDescent="0.25">
      <c r="A1516" s="92"/>
      <c r="F1516" s="620"/>
      <c r="G1516" s="630"/>
      <c r="H1516" s="93"/>
      <c r="I1516" s="41"/>
      <c r="J1516" s="810"/>
    </row>
    <row r="1517" spans="1:10" x14ac:dyDescent="0.25">
      <c r="A1517" s="92"/>
      <c r="F1517" s="620"/>
      <c r="G1517" s="630"/>
      <c r="H1517" s="93"/>
      <c r="I1517" s="41"/>
      <c r="J1517" s="810"/>
    </row>
    <row r="1518" spans="1:10" x14ac:dyDescent="0.25">
      <c r="A1518" s="92"/>
      <c r="F1518" s="620"/>
      <c r="G1518" s="630"/>
      <c r="H1518" s="93"/>
      <c r="I1518" s="41"/>
      <c r="J1518" s="810"/>
    </row>
    <row r="1519" spans="1:10" x14ac:dyDescent="0.25">
      <c r="A1519" s="92"/>
      <c r="F1519" s="620"/>
      <c r="G1519" s="630"/>
      <c r="H1519" s="93"/>
      <c r="I1519" s="41"/>
      <c r="J1519" s="810"/>
    </row>
    <row r="1520" spans="1:10" x14ac:dyDescent="0.25">
      <c r="A1520" s="92"/>
      <c r="F1520" s="620"/>
      <c r="G1520" s="630"/>
      <c r="H1520" s="93"/>
      <c r="I1520" s="41"/>
      <c r="J1520" s="810"/>
    </row>
    <row r="1521" spans="1:10" x14ac:dyDescent="0.25">
      <c r="A1521" s="92"/>
      <c r="F1521" s="620"/>
      <c r="G1521" s="630"/>
      <c r="H1521" s="93"/>
      <c r="I1521" s="41"/>
      <c r="J1521" s="810"/>
    </row>
    <row r="1522" spans="1:10" x14ac:dyDescent="0.25">
      <c r="A1522" s="92"/>
      <c r="F1522" s="620"/>
      <c r="G1522" s="630"/>
      <c r="H1522" s="93"/>
      <c r="I1522" s="41"/>
      <c r="J1522" s="810"/>
    </row>
    <row r="1523" spans="1:10" x14ac:dyDescent="0.25">
      <c r="A1523" s="92"/>
      <c r="F1523" s="620"/>
      <c r="G1523" s="630"/>
      <c r="H1523" s="93"/>
      <c r="I1523" s="41"/>
      <c r="J1523" s="810"/>
    </row>
    <row r="1524" spans="1:10" x14ac:dyDescent="0.25">
      <c r="A1524" s="92"/>
      <c r="F1524" s="620"/>
      <c r="G1524" s="630"/>
      <c r="H1524" s="93"/>
      <c r="I1524" s="41"/>
      <c r="J1524" s="810"/>
    </row>
    <row r="1525" spans="1:10" x14ac:dyDescent="0.25">
      <c r="A1525" s="92"/>
      <c r="F1525" s="620"/>
      <c r="G1525" s="630"/>
      <c r="H1525" s="93"/>
      <c r="I1525" s="41"/>
      <c r="J1525" s="810"/>
    </row>
    <row r="1526" spans="1:10" x14ac:dyDescent="0.25">
      <c r="A1526" s="92"/>
      <c r="F1526" s="620"/>
      <c r="G1526" s="630"/>
      <c r="H1526" s="93"/>
      <c r="I1526" s="41"/>
      <c r="J1526" s="810"/>
    </row>
    <row r="1527" spans="1:10" x14ac:dyDescent="0.25">
      <c r="A1527" s="92"/>
      <c r="F1527" s="620"/>
      <c r="G1527" s="630"/>
      <c r="H1527" s="93"/>
      <c r="I1527" s="41"/>
      <c r="J1527" s="810"/>
    </row>
    <row r="1528" spans="1:10" x14ac:dyDescent="0.25">
      <c r="A1528" s="92"/>
      <c r="F1528" s="620"/>
      <c r="G1528" s="630"/>
      <c r="H1528" s="93"/>
      <c r="I1528" s="41"/>
      <c r="J1528" s="810"/>
    </row>
    <row r="1529" spans="1:10" x14ac:dyDescent="0.25">
      <c r="A1529" s="92"/>
      <c r="F1529" s="620"/>
      <c r="G1529" s="630"/>
      <c r="H1529" s="93"/>
      <c r="I1529" s="41"/>
      <c r="J1529" s="810"/>
    </row>
    <row r="1530" spans="1:10" x14ac:dyDescent="0.25">
      <c r="A1530" s="92"/>
      <c r="F1530" s="620"/>
      <c r="G1530" s="630"/>
      <c r="H1530" s="93"/>
      <c r="I1530" s="41"/>
      <c r="J1530" s="810"/>
    </row>
    <row r="1531" spans="1:10" x14ac:dyDescent="0.25">
      <c r="A1531" s="92"/>
      <c r="F1531" s="620"/>
      <c r="G1531" s="630"/>
      <c r="H1531" s="93"/>
      <c r="I1531" s="41"/>
      <c r="J1531" s="810"/>
    </row>
    <row r="1532" spans="1:10" x14ac:dyDescent="0.25">
      <c r="A1532" s="92"/>
      <c r="F1532" s="620"/>
      <c r="G1532" s="630"/>
      <c r="H1532" s="93"/>
      <c r="I1532" s="41"/>
      <c r="J1532" s="810"/>
    </row>
    <row r="1533" spans="1:10" x14ac:dyDescent="0.25">
      <c r="A1533" s="92"/>
      <c r="F1533" s="620"/>
      <c r="G1533" s="630"/>
      <c r="H1533" s="93"/>
      <c r="I1533" s="41"/>
      <c r="J1533" s="810"/>
    </row>
    <row r="1534" spans="1:10" x14ac:dyDescent="0.25">
      <c r="A1534" s="92"/>
      <c r="F1534" s="620"/>
      <c r="G1534" s="630"/>
      <c r="H1534" s="93"/>
      <c r="I1534" s="41"/>
      <c r="J1534" s="810"/>
    </row>
    <row r="1535" spans="1:10" x14ac:dyDescent="0.25">
      <c r="A1535" s="92"/>
      <c r="F1535" s="620"/>
      <c r="G1535" s="630"/>
      <c r="H1535" s="93"/>
      <c r="I1535" s="41"/>
      <c r="J1535" s="810"/>
    </row>
    <row r="1536" spans="1:10" x14ac:dyDescent="0.25">
      <c r="A1536" s="92"/>
      <c r="F1536" s="620"/>
      <c r="G1536" s="630"/>
      <c r="H1536" s="93"/>
      <c r="I1536" s="41"/>
      <c r="J1536" s="810"/>
    </row>
    <row r="1537" spans="1:10" x14ac:dyDescent="0.25">
      <c r="A1537" s="92"/>
      <c r="F1537" s="620"/>
      <c r="G1537" s="630"/>
      <c r="H1537" s="93"/>
      <c r="I1537" s="41"/>
      <c r="J1537" s="810"/>
    </row>
    <row r="1538" spans="1:10" x14ac:dyDescent="0.25">
      <c r="A1538" s="92"/>
      <c r="F1538" s="620"/>
      <c r="G1538" s="630"/>
      <c r="H1538" s="93"/>
      <c r="I1538" s="41"/>
      <c r="J1538" s="810"/>
    </row>
    <row r="1539" spans="1:10" x14ac:dyDescent="0.25">
      <c r="A1539" s="92"/>
      <c r="F1539" s="620"/>
      <c r="G1539" s="630"/>
      <c r="H1539" s="93"/>
      <c r="I1539" s="41"/>
      <c r="J1539" s="810"/>
    </row>
    <row r="1540" spans="1:10" x14ac:dyDescent="0.25">
      <c r="A1540" s="92"/>
      <c r="F1540" s="620"/>
      <c r="G1540" s="630"/>
      <c r="H1540" s="93"/>
      <c r="I1540" s="41"/>
      <c r="J1540" s="810"/>
    </row>
    <row r="1541" spans="1:10" x14ac:dyDescent="0.25">
      <c r="A1541" s="92"/>
      <c r="F1541" s="620"/>
      <c r="G1541" s="630"/>
      <c r="H1541" s="93"/>
      <c r="I1541" s="41"/>
      <c r="J1541" s="810"/>
    </row>
    <row r="1542" spans="1:10" x14ac:dyDescent="0.25">
      <c r="A1542" s="92"/>
      <c r="F1542" s="620"/>
      <c r="G1542" s="630"/>
      <c r="H1542" s="93"/>
      <c r="I1542" s="41"/>
      <c r="J1542" s="810"/>
    </row>
    <row r="1543" spans="1:10" x14ac:dyDescent="0.25">
      <c r="A1543" s="92"/>
      <c r="F1543" s="620"/>
      <c r="G1543" s="630"/>
      <c r="H1543" s="93"/>
      <c r="I1543" s="41"/>
      <c r="J1543" s="810"/>
    </row>
    <row r="1544" spans="1:10" x14ac:dyDescent="0.25">
      <c r="A1544" s="92"/>
      <c r="F1544" s="620"/>
      <c r="G1544" s="630"/>
      <c r="H1544" s="93"/>
      <c r="I1544" s="41"/>
      <c r="J1544" s="810"/>
    </row>
    <row r="1545" spans="1:10" x14ac:dyDescent="0.25">
      <c r="A1545" s="92"/>
      <c r="F1545" s="620"/>
      <c r="G1545" s="630"/>
      <c r="H1545" s="93"/>
      <c r="I1545" s="41"/>
      <c r="J1545" s="810"/>
    </row>
    <row r="1546" spans="1:10" x14ac:dyDescent="0.25">
      <c r="A1546" s="92"/>
      <c r="F1546" s="620"/>
      <c r="G1546" s="630"/>
      <c r="H1546" s="93"/>
      <c r="I1546" s="41"/>
      <c r="J1546" s="810"/>
    </row>
    <row r="1547" spans="1:10" x14ac:dyDescent="0.25">
      <c r="A1547" s="92"/>
      <c r="F1547" s="620"/>
      <c r="G1547" s="630"/>
      <c r="H1547" s="93"/>
      <c r="I1547" s="41"/>
      <c r="J1547" s="810"/>
    </row>
    <row r="1548" spans="1:10" x14ac:dyDescent="0.25">
      <c r="A1548" s="92"/>
      <c r="F1548" s="620"/>
      <c r="G1548" s="630"/>
      <c r="H1548" s="93"/>
      <c r="I1548" s="41"/>
      <c r="J1548" s="810"/>
    </row>
    <row r="1549" spans="1:10" x14ac:dyDescent="0.25">
      <c r="A1549" s="92"/>
      <c r="F1549" s="620"/>
      <c r="G1549" s="630"/>
      <c r="H1549" s="93"/>
      <c r="I1549" s="41"/>
      <c r="J1549" s="810"/>
    </row>
    <row r="1550" spans="1:10" x14ac:dyDescent="0.25">
      <c r="A1550" s="92"/>
      <c r="F1550" s="620"/>
      <c r="G1550" s="630"/>
      <c r="H1550" s="93"/>
      <c r="I1550" s="41"/>
      <c r="J1550" s="810"/>
    </row>
    <row r="1551" spans="1:10" x14ac:dyDescent="0.25">
      <c r="A1551" s="92"/>
      <c r="F1551" s="620"/>
      <c r="G1551" s="630"/>
      <c r="H1551" s="93"/>
      <c r="I1551" s="41"/>
      <c r="J1551" s="810"/>
    </row>
    <row r="1552" spans="1:10" x14ac:dyDescent="0.25">
      <c r="A1552" s="92"/>
      <c r="F1552" s="620"/>
      <c r="G1552" s="630"/>
      <c r="H1552" s="93"/>
      <c r="I1552" s="41"/>
      <c r="J1552" s="810"/>
    </row>
    <row r="1553" spans="1:10" x14ac:dyDescent="0.25">
      <c r="A1553" s="92"/>
      <c r="F1553" s="620"/>
      <c r="G1553" s="630"/>
      <c r="H1553" s="93"/>
      <c r="I1553" s="41"/>
      <c r="J1553" s="810"/>
    </row>
    <row r="1554" spans="1:10" x14ac:dyDescent="0.25">
      <c r="A1554" s="92"/>
      <c r="F1554" s="620"/>
      <c r="G1554" s="630"/>
      <c r="H1554" s="93"/>
      <c r="I1554" s="41"/>
      <c r="J1554" s="810"/>
    </row>
    <row r="1555" spans="1:10" x14ac:dyDescent="0.25">
      <c r="A1555" s="92"/>
      <c r="F1555" s="620"/>
      <c r="G1555" s="630"/>
      <c r="H1555" s="93"/>
      <c r="I1555" s="41"/>
      <c r="J1555" s="810"/>
    </row>
    <row r="1556" spans="1:10" x14ac:dyDescent="0.25">
      <c r="A1556" s="92"/>
      <c r="F1556" s="620"/>
      <c r="G1556" s="630"/>
      <c r="H1556" s="93"/>
      <c r="I1556" s="41"/>
      <c r="J1556" s="810"/>
    </row>
    <row r="1557" spans="1:10" x14ac:dyDescent="0.25">
      <c r="A1557" s="92"/>
      <c r="F1557" s="620"/>
      <c r="G1557" s="630"/>
      <c r="H1557" s="93"/>
      <c r="I1557" s="41"/>
      <c r="J1557" s="810"/>
    </row>
    <row r="1558" spans="1:10" x14ac:dyDescent="0.25">
      <c r="A1558" s="92"/>
      <c r="F1558" s="620"/>
      <c r="G1558" s="630"/>
      <c r="H1558" s="93"/>
      <c r="I1558" s="41"/>
      <c r="J1558" s="810"/>
    </row>
    <row r="1559" spans="1:10" x14ac:dyDescent="0.25">
      <c r="A1559" s="92"/>
      <c r="F1559" s="620"/>
      <c r="G1559" s="630"/>
      <c r="H1559" s="93"/>
      <c r="I1559" s="41"/>
      <c r="J1559" s="810"/>
    </row>
    <row r="1560" spans="1:10" x14ac:dyDescent="0.25">
      <c r="A1560" s="92"/>
      <c r="F1560" s="620"/>
      <c r="G1560" s="630"/>
      <c r="H1560" s="93"/>
      <c r="I1560" s="41"/>
      <c r="J1560" s="810"/>
    </row>
    <row r="1561" spans="1:10" x14ac:dyDescent="0.25">
      <c r="A1561" s="92"/>
      <c r="F1561" s="620"/>
      <c r="G1561" s="630"/>
      <c r="H1561" s="93"/>
      <c r="I1561" s="41"/>
      <c r="J1561" s="810"/>
    </row>
    <row r="1562" spans="1:10" x14ac:dyDescent="0.25">
      <c r="A1562" s="92"/>
      <c r="F1562" s="620"/>
      <c r="G1562" s="630"/>
      <c r="H1562" s="93"/>
      <c r="I1562" s="41"/>
      <c r="J1562" s="810"/>
    </row>
    <row r="1563" spans="1:10" x14ac:dyDescent="0.25">
      <c r="A1563" s="92"/>
      <c r="F1563" s="620"/>
      <c r="G1563" s="630"/>
      <c r="H1563" s="93"/>
      <c r="I1563" s="41"/>
      <c r="J1563" s="810"/>
    </row>
    <row r="1564" spans="1:10" x14ac:dyDescent="0.25">
      <c r="A1564" s="92"/>
      <c r="F1564" s="620"/>
      <c r="G1564" s="630"/>
      <c r="H1564" s="93"/>
      <c r="I1564" s="41"/>
      <c r="J1564" s="810"/>
    </row>
    <row r="1565" spans="1:10" x14ac:dyDescent="0.25">
      <c r="A1565" s="92"/>
      <c r="F1565" s="620"/>
      <c r="G1565" s="630"/>
      <c r="H1565" s="93"/>
      <c r="I1565" s="41"/>
      <c r="J1565" s="810"/>
    </row>
    <row r="1566" spans="1:10" x14ac:dyDescent="0.25">
      <c r="A1566" s="92"/>
      <c r="F1566" s="620"/>
      <c r="G1566" s="630"/>
      <c r="H1566" s="93"/>
      <c r="I1566" s="41"/>
      <c r="J1566" s="810"/>
    </row>
    <row r="1567" spans="1:10" x14ac:dyDescent="0.25">
      <c r="A1567" s="92"/>
      <c r="F1567" s="620"/>
      <c r="G1567" s="630"/>
      <c r="H1567" s="93"/>
      <c r="I1567" s="41"/>
      <c r="J1567" s="810"/>
    </row>
    <row r="1568" spans="1:10" x14ac:dyDescent="0.25">
      <c r="A1568" s="92"/>
      <c r="F1568" s="620"/>
      <c r="G1568" s="630"/>
      <c r="H1568" s="93"/>
      <c r="I1568" s="41"/>
      <c r="J1568" s="810"/>
    </row>
    <row r="1569" spans="1:10" x14ac:dyDescent="0.25">
      <c r="A1569" s="92"/>
      <c r="F1569" s="620"/>
      <c r="G1569" s="630"/>
      <c r="H1569" s="93"/>
      <c r="I1569" s="41"/>
      <c r="J1569" s="810"/>
    </row>
    <row r="1570" spans="1:10" x14ac:dyDescent="0.25">
      <c r="A1570" s="92"/>
      <c r="F1570" s="620"/>
      <c r="G1570" s="630"/>
      <c r="H1570" s="93"/>
      <c r="I1570" s="41"/>
      <c r="J1570" s="810"/>
    </row>
    <row r="1571" spans="1:10" x14ac:dyDescent="0.25">
      <c r="A1571" s="92"/>
      <c r="F1571" s="620"/>
      <c r="G1571" s="630"/>
      <c r="H1571" s="93"/>
      <c r="I1571" s="41"/>
      <c r="J1571" s="810"/>
    </row>
    <row r="1572" spans="1:10" x14ac:dyDescent="0.25">
      <c r="A1572" s="92"/>
      <c r="F1572" s="620"/>
      <c r="G1572" s="630"/>
      <c r="H1572" s="93"/>
      <c r="I1572" s="41"/>
      <c r="J1572" s="810"/>
    </row>
    <row r="1573" spans="1:10" x14ac:dyDescent="0.25">
      <c r="A1573" s="92"/>
      <c r="F1573" s="620"/>
      <c r="G1573" s="630"/>
      <c r="H1573" s="93"/>
      <c r="I1573" s="41"/>
      <c r="J1573" s="810"/>
    </row>
    <row r="1574" spans="1:10" x14ac:dyDescent="0.25">
      <c r="A1574" s="92"/>
      <c r="F1574" s="620"/>
      <c r="G1574" s="630"/>
      <c r="H1574" s="93"/>
      <c r="I1574" s="41"/>
      <c r="J1574" s="810"/>
    </row>
    <row r="1575" spans="1:10" x14ac:dyDescent="0.25">
      <c r="A1575" s="92"/>
      <c r="F1575" s="620"/>
      <c r="G1575" s="630"/>
      <c r="H1575" s="93"/>
      <c r="I1575" s="41"/>
      <c r="J1575" s="810"/>
    </row>
    <row r="1576" spans="1:10" x14ac:dyDescent="0.25">
      <c r="A1576" s="92"/>
      <c r="F1576" s="620"/>
      <c r="G1576" s="630"/>
      <c r="H1576" s="93"/>
      <c r="I1576" s="41"/>
      <c r="J1576" s="810"/>
    </row>
    <row r="1577" spans="1:10" x14ac:dyDescent="0.25">
      <c r="A1577" s="92"/>
      <c r="F1577" s="620"/>
      <c r="G1577" s="630"/>
      <c r="H1577" s="93"/>
      <c r="I1577" s="41"/>
      <c r="J1577" s="810"/>
    </row>
    <row r="1578" spans="1:10" x14ac:dyDescent="0.25">
      <c r="A1578" s="92"/>
      <c r="F1578" s="620"/>
      <c r="G1578" s="630"/>
      <c r="H1578" s="93"/>
      <c r="I1578" s="41"/>
      <c r="J1578" s="810"/>
    </row>
    <row r="1579" spans="1:10" x14ac:dyDescent="0.25">
      <c r="A1579" s="92"/>
      <c r="F1579" s="620"/>
      <c r="G1579" s="630"/>
      <c r="H1579" s="93"/>
      <c r="I1579" s="41"/>
      <c r="J1579" s="810"/>
    </row>
    <row r="1580" spans="1:10" x14ac:dyDescent="0.25">
      <c r="A1580" s="92"/>
      <c r="F1580" s="620"/>
      <c r="G1580" s="630"/>
      <c r="H1580" s="93"/>
      <c r="I1580" s="41"/>
      <c r="J1580" s="810"/>
    </row>
    <row r="1581" spans="1:10" x14ac:dyDescent="0.25">
      <c r="A1581" s="92"/>
      <c r="F1581" s="620"/>
      <c r="G1581" s="630"/>
      <c r="H1581" s="93"/>
      <c r="I1581" s="41"/>
      <c r="J1581" s="810"/>
    </row>
    <row r="1582" spans="1:10" x14ac:dyDescent="0.25">
      <c r="A1582" s="92"/>
      <c r="F1582" s="620"/>
      <c r="G1582" s="630"/>
      <c r="H1582" s="93"/>
      <c r="I1582" s="41"/>
      <c r="J1582" s="810"/>
    </row>
    <row r="1583" spans="1:10" x14ac:dyDescent="0.25">
      <c r="A1583" s="92"/>
      <c r="F1583" s="620"/>
      <c r="G1583" s="630"/>
      <c r="H1583" s="93"/>
      <c r="I1583" s="41"/>
      <c r="J1583" s="810"/>
    </row>
    <row r="1584" spans="1:10" x14ac:dyDescent="0.25">
      <c r="A1584" s="92"/>
      <c r="F1584" s="620"/>
      <c r="G1584" s="630"/>
      <c r="H1584" s="93"/>
      <c r="I1584" s="41"/>
      <c r="J1584" s="810"/>
    </row>
    <row r="1585" spans="1:10" x14ac:dyDescent="0.25">
      <c r="A1585" s="92"/>
      <c r="F1585" s="620"/>
      <c r="G1585" s="630"/>
      <c r="H1585" s="93"/>
      <c r="I1585" s="41"/>
      <c r="J1585" s="810"/>
    </row>
    <row r="1586" spans="1:10" x14ac:dyDescent="0.25">
      <c r="A1586" s="92"/>
      <c r="F1586" s="620"/>
      <c r="G1586" s="630"/>
      <c r="H1586" s="93"/>
      <c r="I1586" s="41"/>
      <c r="J1586" s="810"/>
    </row>
    <row r="1587" spans="1:10" x14ac:dyDescent="0.25">
      <c r="A1587" s="92"/>
      <c r="F1587" s="620"/>
      <c r="G1587" s="630"/>
      <c r="H1587" s="93"/>
      <c r="I1587" s="41"/>
      <c r="J1587" s="810"/>
    </row>
    <row r="1588" spans="1:10" x14ac:dyDescent="0.25">
      <c r="A1588" s="92"/>
      <c r="F1588" s="620"/>
      <c r="G1588" s="630"/>
      <c r="H1588" s="93"/>
      <c r="I1588" s="41"/>
      <c r="J1588" s="810"/>
    </row>
    <row r="1589" spans="1:10" x14ac:dyDescent="0.25">
      <c r="A1589" s="92"/>
      <c r="F1589" s="620"/>
      <c r="G1589" s="630"/>
      <c r="H1589" s="93"/>
      <c r="I1589" s="41"/>
      <c r="J1589" s="810"/>
    </row>
    <row r="1590" spans="1:10" x14ac:dyDescent="0.25">
      <c r="A1590" s="92"/>
      <c r="F1590" s="620"/>
      <c r="G1590" s="630"/>
      <c r="H1590" s="93"/>
      <c r="I1590" s="41"/>
      <c r="J1590" s="810"/>
    </row>
    <row r="1591" spans="1:10" x14ac:dyDescent="0.25">
      <c r="A1591" s="92"/>
      <c r="F1591" s="620"/>
      <c r="G1591" s="630"/>
      <c r="H1591" s="93"/>
      <c r="I1591" s="41"/>
      <c r="J1591" s="810"/>
    </row>
    <row r="1592" spans="1:10" x14ac:dyDescent="0.25">
      <c r="A1592" s="92"/>
      <c r="F1592" s="620"/>
      <c r="G1592" s="630"/>
      <c r="H1592" s="93"/>
      <c r="I1592" s="41"/>
      <c r="J1592" s="810"/>
    </row>
    <row r="1593" spans="1:10" x14ac:dyDescent="0.25">
      <c r="A1593" s="92"/>
      <c r="F1593" s="620"/>
      <c r="G1593" s="630"/>
      <c r="H1593" s="93"/>
      <c r="I1593" s="41"/>
      <c r="J1593" s="810"/>
    </row>
    <row r="1594" spans="1:10" x14ac:dyDescent="0.25">
      <c r="A1594" s="92"/>
      <c r="F1594" s="620"/>
      <c r="G1594" s="630"/>
      <c r="H1594" s="93"/>
      <c r="I1594" s="41"/>
      <c r="J1594" s="810"/>
    </row>
    <row r="1595" spans="1:10" x14ac:dyDescent="0.25">
      <c r="A1595" s="92"/>
      <c r="F1595" s="620"/>
      <c r="G1595" s="630"/>
      <c r="H1595" s="93"/>
      <c r="I1595" s="41"/>
      <c r="J1595" s="810"/>
    </row>
    <row r="1596" spans="1:10" x14ac:dyDescent="0.25">
      <c r="A1596" s="92"/>
      <c r="F1596" s="620"/>
      <c r="G1596" s="630"/>
      <c r="H1596" s="93"/>
      <c r="I1596" s="41"/>
      <c r="J1596" s="810"/>
    </row>
    <row r="1597" spans="1:10" x14ac:dyDescent="0.25">
      <c r="A1597" s="92"/>
      <c r="F1597" s="620"/>
      <c r="G1597" s="630"/>
      <c r="H1597" s="93"/>
      <c r="I1597" s="41"/>
      <c r="J1597" s="810"/>
    </row>
    <row r="1598" spans="1:10" x14ac:dyDescent="0.25">
      <c r="A1598" s="92"/>
      <c r="F1598" s="620"/>
      <c r="G1598" s="630"/>
      <c r="H1598" s="93"/>
      <c r="I1598" s="41"/>
      <c r="J1598" s="810"/>
    </row>
    <row r="1599" spans="1:10" x14ac:dyDescent="0.25">
      <c r="A1599" s="92"/>
      <c r="F1599" s="620"/>
      <c r="G1599" s="630"/>
      <c r="H1599" s="93"/>
      <c r="I1599" s="41"/>
      <c r="J1599" s="810"/>
    </row>
    <row r="1600" spans="1:10" x14ac:dyDescent="0.25">
      <c r="A1600" s="92"/>
      <c r="F1600" s="620"/>
      <c r="G1600" s="630"/>
      <c r="H1600" s="93"/>
      <c r="I1600" s="41"/>
      <c r="J1600" s="810"/>
    </row>
    <row r="1601" spans="1:10" x14ac:dyDescent="0.25">
      <c r="A1601" s="92"/>
      <c r="F1601" s="620"/>
      <c r="G1601" s="630"/>
      <c r="H1601" s="93"/>
      <c r="I1601" s="41"/>
      <c r="J1601" s="810"/>
    </row>
    <row r="1602" spans="1:10" x14ac:dyDescent="0.25">
      <c r="A1602" s="92"/>
      <c r="F1602" s="620"/>
      <c r="G1602" s="630"/>
      <c r="H1602" s="93"/>
      <c r="I1602" s="41"/>
      <c r="J1602" s="810"/>
    </row>
    <row r="1603" spans="1:10" x14ac:dyDescent="0.25">
      <c r="A1603" s="92"/>
      <c r="F1603" s="620"/>
      <c r="G1603" s="630"/>
      <c r="H1603" s="93"/>
      <c r="I1603" s="41"/>
      <c r="J1603" s="810"/>
    </row>
    <row r="1604" spans="1:10" x14ac:dyDescent="0.25">
      <c r="A1604" s="92"/>
      <c r="F1604" s="620"/>
      <c r="G1604" s="630"/>
      <c r="H1604" s="93"/>
      <c r="I1604" s="41"/>
      <c r="J1604" s="810"/>
    </row>
    <row r="1605" spans="1:10" x14ac:dyDescent="0.25">
      <c r="A1605" s="92"/>
      <c r="F1605" s="620"/>
      <c r="G1605" s="630"/>
      <c r="H1605" s="93"/>
      <c r="I1605" s="41"/>
      <c r="J1605" s="810"/>
    </row>
    <row r="1606" spans="1:10" x14ac:dyDescent="0.25">
      <c r="A1606" s="92"/>
      <c r="F1606" s="620"/>
      <c r="G1606" s="630"/>
      <c r="H1606" s="93"/>
      <c r="I1606" s="41"/>
      <c r="J1606" s="810"/>
    </row>
    <row r="1607" spans="1:10" x14ac:dyDescent="0.25">
      <c r="A1607" s="92"/>
      <c r="F1607" s="620"/>
      <c r="G1607" s="630"/>
      <c r="H1607" s="93"/>
      <c r="I1607" s="41"/>
      <c r="J1607" s="810"/>
    </row>
    <row r="1608" spans="1:10" x14ac:dyDescent="0.25">
      <c r="A1608" s="92"/>
      <c r="F1608" s="620"/>
      <c r="G1608" s="630"/>
      <c r="H1608" s="93"/>
      <c r="I1608" s="41"/>
      <c r="J1608" s="810"/>
    </row>
    <row r="1609" spans="1:10" x14ac:dyDescent="0.25">
      <c r="A1609" s="92"/>
      <c r="F1609" s="620"/>
      <c r="G1609" s="630"/>
      <c r="H1609" s="93"/>
      <c r="I1609" s="41"/>
      <c r="J1609" s="810"/>
    </row>
    <row r="1610" spans="1:10" x14ac:dyDescent="0.25">
      <c r="A1610" s="92"/>
      <c r="F1610" s="620"/>
      <c r="G1610" s="630"/>
      <c r="H1610" s="93"/>
      <c r="I1610" s="41"/>
      <c r="J1610" s="810"/>
    </row>
    <row r="1611" spans="1:10" x14ac:dyDescent="0.25">
      <c r="A1611" s="92"/>
      <c r="F1611" s="620"/>
      <c r="G1611" s="630"/>
      <c r="H1611" s="93"/>
      <c r="I1611" s="41"/>
      <c r="J1611" s="810"/>
    </row>
    <row r="1612" spans="1:10" x14ac:dyDescent="0.25">
      <c r="A1612" s="92"/>
      <c r="F1612" s="620"/>
      <c r="G1612" s="630"/>
      <c r="H1612" s="93"/>
      <c r="I1612" s="41"/>
      <c r="J1612" s="810"/>
    </row>
    <row r="1613" spans="1:10" x14ac:dyDescent="0.25">
      <c r="A1613" s="92"/>
      <c r="F1613" s="620"/>
      <c r="G1613" s="630"/>
      <c r="H1613" s="93"/>
      <c r="I1613" s="41"/>
      <c r="J1613" s="810"/>
    </row>
    <row r="1614" spans="1:10" x14ac:dyDescent="0.25">
      <c r="A1614" s="92"/>
      <c r="F1614" s="620"/>
      <c r="G1614" s="630"/>
      <c r="H1614" s="93"/>
      <c r="I1614" s="41"/>
      <c r="J1614" s="810"/>
    </row>
    <row r="1615" spans="1:10" x14ac:dyDescent="0.25">
      <c r="A1615" s="92"/>
      <c r="F1615" s="620"/>
      <c r="G1615" s="630"/>
      <c r="H1615" s="93"/>
      <c r="I1615" s="41"/>
      <c r="J1615" s="810"/>
    </row>
    <row r="1616" spans="1:10" x14ac:dyDescent="0.25">
      <c r="A1616" s="92"/>
      <c r="F1616" s="620"/>
      <c r="G1616" s="630"/>
      <c r="H1616" s="93"/>
      <c r="I1616" s="41"/>
      <c r="J1616" s="810"/>
    </row>
    <row r="1617" spans="1:10" x14ac:dyDescent="0.25">
      <c r="A1617" s="92"/>
      <c r="F1617" s="620"/>
      <c r="G1617" s="630"/>
      <c r="H1617" s="93"/>
      <c r="I1617" s="41"/>
      <c r="J1617" s="810"/>
    </row>
    <row r="1618" spans="1:10" x14ac:dyDescent="0.25">
      <c r="A1618" s="92"/>
      <c r="F1618" s="620"/>
      <c r="G1618" s="630"/>
      <c r="H1618" s="93"/>
      <c r="I1618" s="41"/>
      <c r="J1618" s="810"/>
    </row>
    <row r="1619" spans="1:10" x14ac:dyDescent="0.25">
      <c r="A1619" s="92"/>
      <c r="F1619" s="620"/>
      <c r="G1619" s="630"/>
      <c r="H1619" s="93"/>
      <c r="I1619" s="41"/>
      <c r="J1619" s="810"/>
    </row>
    <row r="1620" spans="1:10" x14ac:dyDescent="0.25">
      <c r="A1620" s="92"/>
      <c r="F1620" s="620"/>
      <c r="G1620" s="630"/>
      <c r="H1620" s="93"/>
      <c r="I1620" s="41"/>
      <c r="J1620" s="810"/>
    </row>
    <row r="1621" spans="1:10" x14ac:dyDescent="0.25">
      <c r="A1621" s="92"/>
      <c r="F1621" s="620"/>
      <c r="G1621" s="630"/>
      <c r="H1621" s="93"/>
      <c r="I1621" s="41"/>
      <c r="J1621" s="810"/>
    </row>
    <row r="1622" spans="1:10" x14ac:dyDescent="0.25">
      <c r="A1622" s="92"/>
      <c r="F1622" s="620"/>
      <c r="G1622" s="630"/>
      <c r="H1622" s="93"/>
      <c r="I1622" s="41"/>
      <c r="J1622" s="810"/>
    </row>
    <row r="1623" spans="1:10" x14ac:dyDescent="0.25">
      <c r="A1623" s="92"/>
      <c r="F1623" s="620"/>
      <c r="G1623" s="630"/>
      <c r="H1623" s="93"/>
      <c r="I1623" s="41"/>
      <c r="J1623" s="810"/>
    </row>
    <row r="1624" spans="1:10" x14ac:dyDescent="0.25">
      <c r="A1624" s="92"/>
      <c r="F1624" s="620"/>
      <c r="G1624" s="630"/>
      <c r="H1624" s="93"/>
      <c r="I1624" s="41"/>
      <c r="J1624" s="810"/>
    </row>
    <row r="1625" spans="1:10" x14ac:dyDescent="0.25">
      <c r="A1625" s="92"/>
      <c r="F1625" s="620"/>
      <c r="G1625" s="630"/>
      <c r="H1625" s="93"/>
      <c r="I1625" s="41"/>
      <c r="J1625" s="810"/>
    </row>
    <row r="1626" spans="1:10" x14ac:dyDescent="0.25">
      <c r="A1626" s="92"/>
      <c r="F1626" s="620"/>
      <c r="G1626" s="630"/>
      <c r="H1626" s="93"/>
      <c r="I1626" s="41"/>
      <c r="J1626" s="810"/>
    </row>
    <row r="1627" spans="1:10" x14ac:dyDescent="0.25">
      <c r="A1627" s="92"/>
      <c r="F1627" s="620"/>
      <c r="G1627" s="630"/>
      <c r="H1627" s="93"/>
      <c r="I1627" s="41"/>
      <c r="J1627" s="810"/>
    </row>
    <row r="1628" spans="1:10" x14ac:dyDescent="0.25">
      <c r="A1628" s="92"/>
      <c r="F1628" s="620"/>
      <c r="G1628" s="630"/>
      <c r="H1628" s="93"/>
      <c r="I1628" s="41"/>
      <c r="J1628" s="810"/>
    </row>
    <row r="1629" spans="1:10" x14ac:dyDescent="0.25">
      <c r="A1629" s="92"/>
      <c r="F1629" s="620"/>
      <c r="G1629" s="630"/>
      <c r="H1629" s="93"/>
      <c r="I1629" s="41"/>
      <c r="J1629" s="810"/>
    </row>
    <row r="1630" spans="1:10" x14ac:dyDescent="0.25">
      <c r="A1630" s="92"/>
      <c r="F1630" s="620"/>
      <c r="G1630" s="630"/>
      <c r="H1630" s="93"/>
      <c r="I1630" s="41"/>
      <c r="J1630" s="810"/>
    </row>
    <row r="1631" spans="1:10" x14ac:dyDescent="0.25">
      <c r="A1631" s="92"/>
      <c r="F1631" s="620"/>
      <c r="G1631" s="630"/>
      <c r="H1631" s="93"/>
      <c r="I1631" s="41"/>
      <c r="J1631" s="810"/>
    </row>
    <row r="1632" spans="1:10" x14ac:dyDescent="0.25">
      <c r="A1632" s="92"/>
      <c r="F1632" s="620"/>
      <c r="G1632" s="630"/>
      <c r="H1632" s="93"/>
      <c r="I1632" s="41"/>
      <c r="J1632" s="810"/>
    </row>
    <row r="1633" spans="1:10" x14ac:dyDescent="0.25">
      <c r="A1633" s="92"/>
      <c r="F1633" s="620"/>
      <c r="G1633" s="630"/>
      <c r="H1633" s="93"/>
      <c r="I1633" s="41"/>
      <c r="J1633" s="810"/>
    </row>
    <row r="1634" spans="1:10" x14ac:dyDescent="0.25">
      <c r="A1634" s="92"/>
      <c r="F1634" s="620"/>
      <c r="G1634" s="630"/>
      <c r="H1634" s="93"/>
      <c r="I1634" s="41"/>
      <c r="J1634" s="810"/>
    </row>
    <row r="1635" spans="1:10" x14ac:dyDescent="0.25">
      <c r="A1635" s="92"/>
      <c r="F1635" s="620"/>
      <c r="G1635" s="630"/>
      <c r="H1635" s="93"/>
      <c r="I1635" s="41"/>
      <c r="J1635" s="810"/>
    </row>
    <row r="1636" spans="1:10" x14ac:dyDescent="0.25">
      <c r="A1636" s="92"/>
      <c r="F1636" s="620"/>
      <c r="G1636" s="630"/>
      <c r="H1636" s="93"/>
      <c r="I1636" s="41"/>
      <c r="J1636" s="810"/>
    </row>
    <row r="1637" spans="1:10" x14ac:dyDescent="0.25">
      <c r="A1637" s="92"/>
      <c r="F1637" s="620"/>
      <c r="G1637" s="630"/>
      <c r="H1637" s="93"/>
      <c r="I1637" s="41"/>
      <c r="J1637" s="810"/>
    </row>
    <row r="1638" spans="1:10" x14ac:dyDescent="0.25">
      <c r="A1638" s="92"/>
      <c r="F1638" s="620"/>
      <c r="G1638" s="630"/>
      <c r="H1638" s="93"/>
      <c r="I1638" s="41"/>
      <c r="J1638" s="810"/>
    </row>
    <row r="1639" spans="1:10" x14ac:dyDescent="0.25">
      <c r="A1639" s="92"/>
      <c r="F1639" s="620"/>
      <c r="G1639" s="630"/>
      <c r="H1639" s="93"/>
      <c r="I1639" s="41"/>
      <c r="J1639" s="810"/>
    </row>
    <row r="1640" spans="1:10" x14ac:dyDescent="0.25">
      <c r="A1640" s="92"/>
      <c r="F1640" s="620"/>
      <c r="G1640" s="630"/>
      <c r="H1640" s="93"/>
      <c r="I1640" s="41"/>
      <c r="J1640" s="810"/>
    </row>
    <row r="1641" spans="1:10" x14ac:dyDescent="0.25">
      <c r="A1641" s="92"/>
      <c r="F1641" s="620"/>
      <c r="G1641" s="630"/>
      <c r="H1641" s="93"/>
      <c r="I1641" s="41"/>
      <c r="J1641" s="810"/>
    </row>
    <row r="1642" spans="1:10" x14ac:dyDescent="0.25">
      <c r="A1642" s="92"/>
      <c r="F1642" s="620"/>
      <c r="G1642" s="630"/>
      <c r="H1642" s="93"/>
      <c r="I1642" s="41"/>
      <c r="J1642" s="810"/>
    </row>
    <row r="1643" spans="1:10" x14ac:dyDescent="0.25">
      <c r="A1643" s="92"/>
      <c r="F1643" s="620"/>
      <c r="G1643" s="630"/>
      <c r="H1643" s="93"/>
      <c r="I1643" s="41"/>
      <c r="J1643" s="810"/>
    </row>
    <row r="1644" spans="1:10" x14ac:dyDescent="0.25">
      <c r="A1644" s="92"/>
      <c r="F1644" s="620"/>
      <c r="G1644" s="630"/>
      <c r="H1644" s="93"/>
      <c r="I1644" s="41"/>
      <c r="J1644" s="810"/>
    </row>
    <row r="1645" spans="1:10" x14ac:dyDescent="0.25">
      <c r="A1645" s="92"/>
      <c r="F1645" s="620"/>
      <c r="G1645" s="630"/>
      <c r="H1645" s="93"/>
      <c r="I1645" s="41"/>
      <c r="J1645" s="810"/>
    </row>
    <row r="1646" spans="1:10" x14ac:dyDescent="0.25">
      <c r="A1646" s="92"/>
      <c r="F1646" s="620"/>
      <c r="G1646" s="630"/>
      <c r="H1646" s="93"/>
      <c r="I1646" s="41"/>
      <c r="J1646" s="810"/>
    </row>
    <row r="1647" spans="1:10" x14ac:dyDescent="0.25">
      <c r="A1647" s="92"/>
      <c r="F1647" s="620"/>
      <c r="G1647" s="630"/>
      <c r="H1647" s="93"/>
      <c r="I1647" s="41"/>
      <c r="J1647" s="810"/>
    </row>
    <row r="1648" spans="1:10" x14ac:dyDescent="0.25">
      <c r="A1648" s="92"/>
      <c r="F1648" s="620"/>
      <c r="G1648" s="630"/>
      <c r="H1648" s="93"/>
      <c r="I1648" s="41"/>
      <c r="J1648" s="810"/>
    </row>
    <row r="1649" spans="1:10" x14ac:dyDescent="0.25">
      <c r="A1649" s="92"/>
      <c r="F1649" s="620"/>
      <c r="G1649" s="630"/>
      <c r="H1649" s="93"/>
      <c r="I1649" s="41"/>
      <c r="J1649" s="810"/>
    </row>
    <row r="1650" spans="1:10" x14ac:dyDescent="0.25">
      <c r="A1650" s="92"/>
      <c r="F1650" s="620"/>
      <c r="G1650" s="630"/>
      <c r="H1650" s="93"/>
      <c r="I1650" s="41"/>
      <c r="J1650" s="810"/>
    </row>
    <row r="1651" spans="1:10" x14ac:dyDescent="0.25">
      <c r="A1651" s="92"/>
      <c r="F1651" s="620"/>
      <c r="G1651" s="630"/>
      <c r="H1651" s="93"/>
      <c r="I1651" s="41"/>
      <c r="J1651" s="810"/>
    </row>
    <row r="1652" spans="1:10" x14ac:dyDescent="0.25">
      <c r="A1652" s="92"/>
      <c r="F1652" s="620"/>
      <c r="G1652" s="630"/>
      <c r="H1652" s="93"/>
      <c r="I1652" s="41"/>
      <c r="J1652" s="810"/>
    </row>
    <row r="1653" spans="1:10" x14ac:dyDescent="0.25">
      <c r="A1653" s="92"/>
      <c r="F1653" s="620"/>
      <c r="G1653" s="630"/>
      <c r="H1653" s="93"/>
      <c r="I1653" s="41"/>
      <c r="J1653" s="810"/>
    </row>
    <row r="1654" spans="1:10" x14ac:dyDescent="0.25">
      <c r="A1654" s="92"/>
      <c r="F1654" s="620"/>
      <c r="G1654" s="630"/>
      <c r="H1654" s="93"/>
      <c r="I1654" s="41"/>
      <c r="J1654" s="810"/>
    </row>
    <row r="1655" spans="1:10" x14ac:dyDescent="0.25">
      <c r="A1655" s="92"/>
      <c r="F1655" s="620"/>
      <c r="G1655" s="630"/>
      <c r="H1655" s="93"/>
      <c r="I1655" s="41"/>
      <c r="J1655" s="810"/>
    </row>
    <row r="1656" spans="1:10" x14ac:dyDescent="0.25">
      <c r="A1656" s="92"/>
      <c r="F1656" s="620"/>
      <c r="G1656" s="630"/>
      <c r="H1656" s="93"/>
      <c r="I1656" s="41"/>
      <c r="J1656" s="810"/>
    </row>
    <row r="1657" spans="1:10" x14ac:dyDescent="0.25">
      <c r="A1657" s="92"/>
      <c r="F1657" s="620"/>
      <c r="G1657" s="630"/>
      <c r="H1657" s="93"/>
      <c r="I1657" s="41"/>
      <c r="J1657" s="810"/>
    </row>
    <row r="1658" spans="1:10" x14ac:dyDescent="0.25">
      <c r="A1658" s="92"/>
      <c r="F1658" s="620"/>
      <c r="G1658" s="630"/>
      <c r="H1658" s="93"/>
      <c r="I1658" s="41"/>
      <c r="J1658" s="810"/>
    </row>
    <row r="1659" spans="1:10" x14ac:dyDescent="0.25">
      <c r="A1659" s="92"/>
      <c r="F1659" s="620"/>
      <c r="G1659" s="630"/>
      <c r="H1659" s="93"/>
      <c r="I1659" s="41"/>
      <c r="J1659" s="810"/>
    </row>
    <row r="1660" spans="1:10" x14ac:dyDescent="0.25">
      <c r="A1660" s="92"/>
      <c r="F1660" s="620"/>
      <c r="G1660" s="630"/>
      <c r="H1660" s="93"/>
      <c r="I1660" s="41"/>
      <c r="J1660" s="810"/>
    </row>
    <row r="1661" spans="1:10" x14ac:dyDescent="0.25">
      <c r="A1661" s="92"/>
      <c r="F1661" s="620"/>
      <c r="G1661" s="630"/>
      <c r="H1661" s="93"/>
      <c r="I1661" s="41"/>
      <c r="J1661" s="810"/>
    </row>
    <row r="1662" spans="1:10" x14ac:dyDescent="0.25">
      <c r="A1662" s="92"/>
      <c r="F1662" s="620"/>
      <c r="G1662" s="630"/>
      <c r="H1662" s="93"/>
      <c r="I1662" s="41"/>
      <c r="J1662" s="810"/>
    </row>
    <row r="1663" spans="1:10" x14ac:dyDescent="0.25">
      <c r="A1663" s="92"/>
      <c r="F1663" s="620"/>
      <c r="G1663" s="630"/>
      <c r="H1663" s="93"/>
      <c r="I1663" s="41"/>
      <c r="J1663" s="810"/>
    </row>
    <row r="1664" spans="1:10" x14ac:dyDescent="0.25">
      <c r="A1664" s="92"/>
      <c r="F1664" s="620"/>
      <c r="G1664" s="630"/>
      <c r="H1664" s="93"/>
      <c r="I1664" s="41"/>
      <c r="J1664" s="810"/>
    </row>
    <row r="1665" spans="1:10" x14ac:dyDescent="0.25">
      <c r="A1665" s="92"/>
      <c r="F1665" s="620"/>
      <c r="G1665" s="630"/>
      <c r="H1665" s="93"/>
      <c r="I1665" s="41"/>
      <c r="J1665" s="810"/>
    </row>
    <row r="1666" spans="1:10" x14ac:dyDescent="0.25">
      <c r="A1666" s="92"/>
      <c r="F1666" s="620"/>
      <c r="G1666" s="630"/>
      <c r="H1666" s="93"/>
      <c r="I1666" s="41"/>
      <c r="J1666" s="810"/>
    </row>
    <row r="1667" spans="1:10" x14ac:dyDescent="0.25">
      <c r="A1667" s="92"/>
      <c r="F1667" s="620"/>
      <c r="G1667" s="630"/>
      <c r="H1667" s="93"/>
      <c r="I1667" s="41"/>
      <c r="J1667" s="810"/>
    </row>
    <row r="1668" spans="1:10" x14ac:dyDescent="0.25">
      <c r="A1668" s="92"/>
      <c r="F1668" s="620"/>
      <c r="G1668" s="630"/>
      <c r="H1668" s="93"/>
      <c r="I1668" s="41"/>
      <c r="J1668" s="810"/>
    </row>
    <row r="1669" spans="1:10" x14ac:dyDescent="0.25">
      <c r="A1669" s="92"/>
      <c r="F1669" s="620"/>
      <c r="G1669" s="630"/>
      <c r="H1669" s="93"/>
      <c r="I1669" s="41"/>
      <c r="J1669" s="810"/>
    </row>
    <row r="1670" spans="1:10" x14ac:dyDescent="0.25">
      <c r="A1670" s="92"/>
      <c r="F1670" s="620"/>
      <c r="G1670" s="630"/>
      <c r="H1670" s="93"/>
      <c r="I1670" s="41"/>
      <c r="J1670" s="810"/>
    </row>
    <row r="1671" spans="1:10" x14ac:dyDescent="0.25">
      <c r="A1671" s="92"/>
      <c r="F1671" s="620"/>
      <c r="G1671" s="630"/>
      <c r="H1671" s="93"/>
      <c r="I1671" s="41"/>
      <c r="J1671" s="810"/>
    </row>
    <row r="1672" spans="1:10" x14ac:dyDescent="0.25">
      <c r="A1672" s="92"/>
      <c r="F1672" s="620"/>
      <c r="G1672" s="630"/>
      <c r="H1672" s="93"/>
      <c r="I1672" s="41"/>
      <c r="J1672" s="810"/>
    </row>
    <row r="1673" spans="1:10" x14ac:dyDescent="0.25">
      <c r="A1673" s="92"/>
      <c r="F1673" s="620"/>
      <c r="G1673" s="630"/>
      <c r="H1673" s="93"/>
      <c r="I1673" s="41"/>
      <c r="J1673" s="810"/>
    </row>
    <row r="1674" spans="1:10" x14ac:dyDescent="0.25">
      <c r="A1674" s="92"/>
      <c r="F1674" s="620"/>
      <c r="G1674" s="630"/>
      <c r="H1674" s="93"/>
      <c r="I1674" s="41"/>
      <c r="J1674" s="810"/>
    </row>
    <row r="1675" spans="1:10" x14ac:dyDescent="0.25">
      <c r="A1675" s="92"/>
      <c r="F1675" s="620"/>
      <c r="G1675" s="630"/>
      <c r="H1675" s="93"/>
      <c r="I1675" s="41"/>
      <c r="J1675" s="810"/>
    </row>
    <row r="1676" spans="1:10" x14ac:dyDescent="0.25">
      <c r="A1676" s="92"/>
      <c r="F1676" s="620"/>
      <c r="G1676" s="630"/>
      <c r="H1676" s="93"/>
      <c r="I1676" s="41"/>
      <c r="J1676" s="810"/>
    </row>
    <row r="1677" spans="1:10" x14ac:dyDescent="0.25">
      <c r="A1677" s="92"/>
      <c r="F1677" s="620"/>
      <c r="G1677" s="630"/>
      <c r="H1677" s="93"/>
      <c r="I1677" s="41"/>
      <c r="J1677" s="810"/>
    </row>
    <row r="1678" spans="1:10" x14ac:dyDescent="0.25">
      <c r="A1678" s="92"/>
      <c r="F1678" s="620"/>
      <c r="G1678" s="630"/>
      <c r="H1678" s="93"/>
      <c r="I1678" s="41"/>
      <c r="J1678" s="810"/>
    </row>
    <row r="1679" spans="1:10" x14ac:dyDescent="0.25">
      <c r="A1679" s="92"/>
      <c r="F1679" s="620"/>
      <c r="G1679" s="630"/>
      <c r="H1679" s="93"/>
      <c r="I1679" s="41"/>
      <c r="J1679" s="810"/>
    </row>
    <row r="1680" spans="1:10" x14ac:dyDescent="0.25">
      <c r="A1680" s="92"/>
      <c r="F1680" s="620"/>
      <c r="G1680" s="630"/>
      <c r="H1680" s="93"/>
      <c r="I1680" s="41"/>
      <c r="J1680" s="810"/>
    </row>
    <row r="1681" spans="1:10" x14ac:dyDescent="0.25">
      <c r="A1681" s="92"/>
      <c r="F1681" s="620"/>
      <c r="G1681" s="630"/>
      <c r="H1681" s="93"/>
      <c r="I1681" s="41"/>
      <c r="J1681" s="810"/>
    </row>
    <row r="1682" spans="1:10" x14ac:dyDescent="0.25">
      <c r="A1682" s="92"/>
      <c r="F1682" s="620"/>
      <c r="G1682" s="630"/>
      <c r="H1682" s="93"/>
      <c r="I1682" s="41"/>
      <c r="J1682" s="810"/>
    </row>
    <row r="1683" spans="1:10" x14ac:dyDescent="0.25">
      <c r="A1683" s="92"/>
      <c r="F1683" s="620"/>
      <c r="G1683" s="630"/>
      <c r="H1683" s="93"/>
      <c r="I1683" s="41"/>
      <c r="J1683" s="810"/>
    </row>
    <row r="1684" spans="1:10" x14ac:dyDescent="0.25">
      <c r="A1684" s="92"/>
      <c r="F1684" s="620"/>
      <c r="G1684" s="630"/>
      <c r="H1684" s="93"/>
      <c r="I1684" s="41"/>
      <c r="J1684" s="810"/>
    </row>
    <row r="1685" spans="1:10" x14ac:dyDescent="0.25">
      <c r="A1685" s="92"/>
      <c r="F1685" s="620"/>
      <c r="G1685" s="630"/>
      <c r="H1685" s="93"/>
      <c r="I1685" s="41"/>
      <c r="J1685" s="810"/>
    </row>
    <row r="1686" spans="1:10" x14ac:dyDescent="0.25">
      <c r="A1686" s="92"/>
      <c r="F1686" s="620"/>
      <c r="G1686" s="630"/>
      <c r="H1686" s="93"/>
      <c r="I1686" s="41"/>
      <c r="J1686" s="810"/>
    </row>
    <row r="1687" spans="1:10" x14ac:dyDescent="0.25">
      <c r="A1687" s="92"/>
      <c r="F1687" s="620"/>
      <c r="G1687" s="630"/>
      <c r="H1687" s="93"/>
      <c r="I1687" s="41"/>
      <c r="J1687" s="810"/>
    </row>
    <row r="1688" spans="1:10" x14ac:dyDescent="0.25">
      <c r="A1688" s="92"/>
      <c r="F1688" s="620"/>
      <c r="G1688" s="630"/>
      <c r="H1688" s="93"/>
      <c r="I1688" s="41"/>
      <c r="J1688" s="810"/>
    </row>
    <row r="1689" spans="1:10" x14ac:dyDescent="0.25">
      <c r="A1689" s="92"/>
      <c r="F1689" s="620"/>
      <c r="G1689" s="630"/>
      <c r="H1689" s="93"/>
      <c r="I1689" s="41"/>
      <c r="J1689" s="810"/>
    </row>
    <row r="1690" spans="1:10" x14ac:dyDescent="0.25">
      <c r="A1690" s="92"/>
      <c r="F1690" s="620"/>
      <c r="G1690" s="630"/>
      <c r="H1690" s="93"/>
      <c r="I1690" s="41"/>
      <c r="J1690" s="810"/>
    </row>
    <row r="1691" spans="1:10" x14ac:dyDescent="0.25">
      <c r="A1691" s="92"/>
      <c r="F1691" s="620"/>
      <c r="G1691" s="630"/>
      <c r="H1691" s="93"/>
      <c r="I1691" s="41"/>
      <c r="J1691" s="810"/>
    </row>
    <row r="1692" spans="1:10" x14ac:dyDescent="0.25">
      <c r="A1692" s="92"/>
      <c r="F1692" s="620"/>
      <c r="G1692" s="630"/>
      <c r="H1692" s="93"/>
      <c r="I1692" s="41"/>
      <c r="J1692" s="810"/>
    </row>
    <row r="1693" spans="1:10" x14ac:dyDescent="0.25">
      <c r="A1693" s="92"/>
      <c r="F1693" s="620"/>
      <c r="G1693" s="630"/>
      <c r="H1693" s="93"/>
      <c r="I1693" s="41"/>
      <c r="J1693" s="810"/>
    </row>
    <row r="1694" spans="1:10" x14ac:dyDescent="0.25">
      <c r="A1694" s="92"/>
      <c r="F1694" s="620"/>
      <c r="G1694" s="630"/>
      <c r="H1694" s="93"/>
      <c r="I1694" s="41"/>
      <c r="J1694" s="810"/>
    </row>
    <row r="1695" spans="1:10" x14ac:dyDescent="0.25">
      <c r="A1695" s="92"/>
      <c r="F1695" s="620"/>
      <c r="G1695" s="630"/>
      <c r="H1695" s="93"/>
      <c r="I1695" s="41"/>
      <c r="J1695" s="810"/>
    </row>
    <row r="1696" spans="1:10" x14ac:dyDescent="0.25">
      <c r="A1696" s="92"/>
      <c r="F1696" s="620"/>
      <c r="G1696" s="630"/>
      <c r="H1696" s="93"/>
      <c r="I1696" s="41"/>
      <c r="J1696" s="810"/>
    </row>
    <row r="1697" spans="1:10" x14ac:dyDescent="0.25">
      <c r="A1697" s="92"/>
      <c r="F1697" s="620"/>
      <c r="G1697" s="630"/>
      <c r="H1697" s="93"/>
      <c r="I1697" s="41"/>
      <c r="J1697" s="810"/>
    </row>
    <row r="1698" spans="1:10" x14ac:dyDescent="0.25">
      <c r="A1698" s="92"/>
      <c r="F1698" s="620"/>
      <c r="G1698" s="630"/>
      <c r="H1698" s="93"/>
      <c r="I1698" s="41"/>
      <c r="J1698" s="810"/>
    </row>
    <row r="1699" spans="1:10" x14ac:dyDescent="0.25">
      <c r="A1699" s="92"/>
      <c r="F1699" s="620"/>
      <c r="G1699" s="630"/>
      <c r="H1699" s="93"/>
      <c r="I1699" s="41"/>
      <c r="J1699" s="810"/>
    </row>
    <row r="1700" spans="1:10" x14ac:dyDescent="0.25">
      <c r="A1700" s="92"/>
      <c r="F1700" s="620"/>
      <c r="G1700" s="630"/>
      <c r="H1700" s="93"/>
      <c r="I1700" s="41"/>
      <c r="J1700" s="810"/>
    </row>
    <row r="1701" spans="1:10" x14ac:dyDescent="0.25">
      <c r="A1701" s="92"/>
      <c r="F1701" s="620"/>
      <c r="G1701" s="630"/>
      <c r="H1701" s="93"/>
      <c r="I1701" s="41"/>
      <c r="J1701" s="810"/>
    </row>
    <row r="1702" spans="1:10" x14ac:dyDescent="0.25">
      <c r="A1702" s="92"/>
      <c r="F1702" s="620"/>
      <c r="G1702" s="630"/>
      <c r="H1702" s="93"/>
      <c r="I1702" s="41"/>
      <c r="J1702" s="810"/>
    </row>
    <row r="1703" spans="1:10" x14ac:dyDescent="0.25">
      <c r="A1703" s="92"/>
      <c r="F1703" s="620"/>
      <c r="G1703" s="630"/>
      <c r="H1703" s="93"/>
      <c r="I1703" s="41"/>
      <c r="J1703" s="810"/>
    </row>
    <row r="1704" spans="1:10" x14ac:dyDescent="0.25">
      <c r="A1704" s="92"/>
      <c r="F1704" s="620"/>
      <c r="G1704" s="630"/>
      <c r="H1704" s="93"/>
      <c r="I1704" s="41"/>
      <c r="J1704" s="810"/>
    </row>
    <row r="1705" spans="1:10" x14ac:dyDescent="0.25">
      <c r="A1705" s="92"/>
      <c r="F1705" s="620"/>
      <c r="G1705" s="630"/>
      <c r="H1705" s="93"/>
      <c r="I1705" s="41"/>
      <c r="J1705" s="810"/>
    </row>
    <row r="1706" spans="1:10" x14ac:dyDescent="0.25">
      <c r="A1706" s="92"/>
      <c r="F1706" s="620"/>
      <c r="G1706" s="630"/>
      <c r="H1706" s="93"/>
      <c r="I1706" s="41"/>
      <c r="J1706" s="810"/>
    </row>
    <row r="1707" spans="1:10" x14ac:dyDescent="0.25">
      <c r="A1707" s="92"/>
      <c r="F1707" s="620"/>
      <c r="G1707" s="630"/>
      <c r="H1707" s="93"/>
      <c r="I1707" s="41"/>
      <c r="J1707" s="810"/>
    </row>
    <row r="1708" spans="1:10" x14ac:dyDescent="0.25">
      <c r="A1708" s="92"/>
      <c r="F1708" s="620"/>
      <c r="G1708" s="630"/>
      <c r="H1708" s="93"/>
      <c r="I1708" s="41"/>
      <c r="J1708" s="810"/>
    </row>
    <row r="1709" spans="1:10" x14ac:dyDescent="0.25">
      <c r="A1709" s="92"/>
      <c r="F1709" s="620"/>
      <c r="G1709" s="630"/>
      <c r="H1709" s="93"/>
      <c r="I1709" s="41"/>
      <c r="J1709" s="810"/>
    </row>
    <row r="1710" spans="1:10" x14ac:dyDescent="0.25">
      <c r="A1710" s="92"/>
      <c r="F1710" s="620"/>
      <c r="G1710" s="630"/>
      <c r="H1710" s="93"/>
      <c r="I1710" s="41"/>
      <c r="J1710" s="810"/>
    </row>
    <row r="1711" spans="1:10" x14ac:dyDescent="0.25">
      <c r="A1711" s="92"/>
      <c r="F1711" s="620"/>
      <c r="G1711" s="630"/>
      <c r="H1711" s="93"/>
      <c r="I1711" s="41"/>
      <c r="J1711" s="810"/>
    </row>
    <row r="1712" spans="1:10" x14ac:dyDescent="0.25">
      <c r="A1712" s="92"/>
      <c r="F1712" s="620"/>
      <c r="G1712" s="630"/>
      <c r="H1712" s="93"/>
      <c r="I1712" s="41"/>
      <c r="J1712" s="810"/>
    </row>
    <row r="1713" spans="1:10" x14ac:dyDescent="0.25">
      <c r="A1713" s="92"/>
      <c r="F1713" s="620"/>
      <c r="G1713" s="630"/>
      <c r="H1713" s="93"/>
      <c r="I1713" s="41"/>
      <c r="J1713" s="810"/>
    </row>
    <row r="1714" spans="1:10" x14ac:dyDescent="0.25">
      <c r="A1714" s="92"/>
      <c r="F1714" s="620"/>
      <c r="G1714" s="630"/>
      <c r="H1714" s="93"/>
      <c r="I1714" s="41"/>
      <c r="J1714" s="810"/>
    </row>
    <row r="1715" spans="1:10" x14ac:dyDescent="0.25">
      <c r="A1715" s="92"/>
      <c r="F1715" s="620"/>
      <c r="G1715" s="630"/>
      <c r="H1715" s="93"/>
      <c r="I1715" s="41"/>
      <c r="J1715" s="810"/>
    </row>
    <row r="1716" spans="1:10" x14ac:dyDescent="0.25">
      <c r="A1716" s="92"/>
      <c r="F1716" s="620"/>
      <c r="G1716" s="630"/>
      <c r="H1716" s="93"/>
      <c r="I1716" s="41"/>
      <c r="J1716" s="810"/>
    </row>
    <row r="1717" spans="1:10" x14ac:dyDescent="0.25">
      <c r="A1717" s="92"/>
      <c r="F1717" s="620"/>
      <c r="G1717" s="630"/>
      <c r="H1717" s="93"/>
      <c r="I1717" s="41"/>
      <c r="J1717" s="810"/>
    </row>
    <row r="1718" spans="1:10" x14ac:dyDescent="0.25">
      <c r="A1718" s="92"/>
      <c r="F1718" s="620"/>
      <c r="G1718" s="630"/>
      <c r="H1718" s="93"/>
      <c r="I1718" s="41"/>
      <c r="J1718" s="810"/>
    </row>
    <row r="1719" spans="1:10" x14ac:dyDescent="0.25">
      <c r="A1719" s="92"/>
      <c r="F1719" s="620"/>
      <c r="G1719" s="630"/>
      <c r="H1719" s="93"/>
      <c r="I1719" s="41"/>
      <c r="J1719" s="810"/>
    </row>
    <row r="1720" spans="1:10" x14ac:dyDescent="0.25">
      <c r="A1720" s="92"/>
      <c r="F1720" s="620"/>
      <c r="G1720" s="630"/>
      <c r="H1720" s="93"/>
      <c r="I1720" s="41"/>
      <c r="J1720" s="810"/>
    </row>
    <row r="1721" spans="1:10" x14ac:dyDescent="0.25">
      <c r="A1721" s="92"/>
      <c r="F1721" s="620"/>
      <c r="G1721" s="630"/>
      <c r="H1721" s="93"/>
      <c r="I1721" s="41"/>
      <c r="J1721" s="810"/>
    </row>
    <row r="1722" spans="1:10" x14ac:dyDescent="0.25">
      <c r="A1722" s="92"/>
      <c r="F1722" s="620"/>
      <c r="G1722" s="630"/>
      <c r="H1722" s="93"/>
      <c r="I1722" s="41"/>
      <c r="J1722" s="810"/>
    </row>
    <row r="1723" spans="1:10" x14ac:dyDescent="0.25">
      <c r="A1723" s="92"/>
      <c r="F1723" s="620"/>
      <c r="G1723" s="630"/>
      <c r="H1723" s="93"/>
      <c r="I1723" s="41"/>
      <c r="J1723" s="810"/>
    </row>
    <row r="1724" spans="1:10" x14ac:dyDescent="0.25">
      <c r="A1724" s="92"/>
      <c r="F1724" s="620"/>
      <c r="G1724" s="630"/>
      <c r="H1724" s="93"/>
      <c r="I1724" s="41"/>
      <c r="J1724" s="810"/>
    </row>
    <row r="1725" spans="1:10" x14ac:dyDescent="0.25">
      <c r="A1725" s="92"/>
      <c r="F1725" s="620"/>
      <c r="G1725" s="630"/>
      <c r="H1725" s="93"/>
      <c r="I1725" s="41"/>
      <c r="J1725" s="810"/>
    </row>
    <row r="1726" spans="1:10" x14ac:dyDescent="0.25">
      <c r="A1726" s="92"/>
      <c r="F1726" s="620"/>
      <c r="G1726" s="630"/>
      <c r="H1726" s="93"/>
      <c r="I1726" s="41"/>
      <c r="J1726" s="810"/>
    </row>
    <row r="1727" spans="1:10" x14ac:dyDescent="0.25">
      <c r="A1727" s="92"/>
      <c r="F1727" s="620"/>
      <c r="G1727" s="630"/>
      <c r="H1727" s="93"/>
      <c r="I1727" s="41"/>
      <c r="J1727" s="810"/>
    </row>
    <row r="1728" spans="1:10" x14ac:dyDescent="0.25">
      <c r="A1728" s="92"/>
      <c r="F1728" s="620"/>
      <c r="G1728" s="630"/>
      <c r="H1728" s="93"/>
      <c r="I1728" s="41"/>
      <c r="J1728" s="810"/>
    </row>
    <row r="1729" spans="1:10" x14ac:dyDescent="0.25">
      <c r="A1729" s="92"/>
      <c r="F1729" s="620"/>
      <c r="G1729" s="630"/>
      <c r="H1729" s="93"/>
      <c r="I1729" s="41"/>
      <c r="J1729" s="810"/>
    </row>
    <row r="1730" spans="1:10" x14ac:dyDescent="0.25">
      <c r="A1730" s="92"/>
      <c r="F1730" s="620"/>
      <c r="G1730" s="630"/>
      <c r="H1730" s="93"/>
      <c r="I1730" s="41"/>
      <c r="J1730" s="810"/>
    </row>
    <row r="1731" spans="1:10" x14ac:dyDescent="0.25">
      <c r="A1731" s="92"/>
      <c r="F1731" s="620"/>
      <c r="G1731" s="630"/>
      <c r="H1731" s="93"/>
      <c r="I1731" s="41"/>
      <c r="J1731" s="810"/>
    </row>
    <row r="1732" spans="1:10" x14ac:dyDescent="0.25">
      <c r="A1732" s="92"/>
      <c r="F1732" s="620"/>
      <c r="G1732" s="630"/>
      <c r="H1732" s="93"/>
      <c r="I1732" s="41"/>
      <c r="J1732" s="810"/>
    </row>
    <row r="1733" spans="1:10" x14ac:dyDescent="0.25">
      <c r="A1733" s="92"/>
      <c r="F1733" s="620"/>
      <c r="G1733" s="630"/>
      <c r="H1733" s="93"/>
      <c r="I1733" s="41"/>
      <c r="J1733" s="810"/>
    </row>
    <row r="1734" spans="1:10" x14ac:dyDescent="0.25">
      <c r="A1734" s="92"/>
      <c r="F1734" s="620"/>
      <c r="G1734" s="630"/>
      <c r="H1734" s="93"/>
      <c r="I1734" s="41"/>
      <c r="J1734" s="810"/>
    </row>
    <row r="1735" spans="1:10" x14ac:dyDescent="0.25">
      <c r="A1735" s="92"/>
      <c r="F1735" s="620"/>
      <c r="G1735" s="630"/>
      <c r="H1735" s="93"/>
      <c r="I1735" s="41"/>
      <c r="J1735" s="810"/>
    </row>
    <row r="1736" spans="1:10" x14ac:dyDescent="0.25">
      <c r="A1736" s="92"/>
      <c r="F1736" s="620"/>
      <c r="G1736" s="630"/>
      <c r="H1736" s="93"/>
      <c r="I1736" s="41"/>
      <c r="J1736" s="810"/>
    </row>
    <row r="1737" spans="1:10" x14ac:dyDescent="0.25">
      <c r="A1737" s="92"/>
      <c r="F1737" s="620"/>
      <c r="G1737" s="630"/>
      <c r="H1737" s="93"/>
      <c r="I1737" s="41"/>
      <c r="J1737" s="810"/>
    </row>
    <row r="1738" spans="1:10" x14ac:dyDescent="0.25">
      <c r="A1738" s="92"/>
      <c r="F1738" s="620"/>
      <c r="G1738" s="630"/>
      <c r="H1738" s="93"/>
      <c r="I1738" s="41"/>
      <c r="J1738" s="810"/>
    </row>
    <row r="1739" spans="1:10" x14ac:dyDescent="0.25">
      <c r="A1739" s="92"/>
      <c r="F1739" s="620"/>
      <c r="G1739" s="630"/>
      <c r="H1739" s="93"/>
      <c r="I1739" s="41"/>
      <c r="J1739" s="810"/>
    </row>
    <row r="1740" spans="1:10" x14ac:dyDescent="0.25">
      <c r="A1740" s="92"/>
      <c r="F1740" s="620"/>
      <c r="G1740" s="630"/>
      <c r="H1740" s="93"/>
      <c r="I1740" s="41"/>
      <c r="J1740" s="810"/>
    </row>
    <row r="1741" spans="1:10" x14ac:dyDescent="0.25">
      <c r="A1741" s="92"/>
      <c r="F1741" s="620"/>
      <c r="G1741" s="630"/>
      <c r="H1741" s="93"/>
      <c r="I1741" s="41"/>
      <c r="J1741" s="810"/>
    </row>
    <row r="1742" spans="1:10" x14ac:dyDescent="0.25">
      <c r="A1742" s="92"/>
      <c r="F1742" s="620"/>
      <c r="G1742" s="630"/>
      <c r="H1742" s="93"/>
      <c r="I1742" s="41"/>
      <c r="J1742" s="810"/>
    </row>
    <row r="1743" spans="1:10" x14ac:dyDescent="0.25">
      <c r="A1743" s="92"/>
      <c r="F1743" s="620"/>
      <c r="G1743" s="630"/>
      <c r="H1743" s="93"/>
      <c r="I1743" s="41"/>
      <c r="J1743" s="810"/>
    </row>
    <row r="1744" spans="1:10" x14ac:dyDescent="0.25">
      <c r="A1744" s="92"/>
      <c r="F1744" s="620"/>
      <c r="G1744" s="630"/>
      <c r="H1744" s="93"/>
      <c r="I1744" s="41"/>
      <c r="J1744" s="810"/>
    </row>
    <row r="1745" spans="1:10" x14ac:dyDescent="0.25">
      <c r="A1745" s="92"/>
      <c r="F1745" s="620"/>
      <c r="G1745" s="630"/>
      <c r="H1745" s="93"/>
      <c r="I1745" s="41"/>
      <c r="J1745" s="810"/>
    </row>
    <row r="1746" spans="1:10" x14ac:dyDescent="0.25">
      <c r="A1746" s="92"/>
      <c r="F1746" s="620"/>
      <c r="G1746" s="630"/>
      <c r="H1746" s="93"/>
      <c r="I1746" s="41"/>
      <c r="J1746" s="810"/>
    </row>
    <row r="1747" spans="1:10" x14ac:dyDescent="0.25">
      <c r="A1747" s="92"/>
      <c r="F1747" s="620"/>
      <c r="G1747" s="630"/>
      <c r="H1747" s="93"/>
      <c r="I1747" s="41"/>
      <c r="J1747" s="810"/>
    </row>
    <row r="1748" spans="1:10" x14ac:dyDescent="0.25">
      <c r="A1748" s="92"/>
      <c r="F1748" s="620"/>
      <c r="G1748" s="630"/>
      <c r="H1748" s="93"/>
      <c r="I1748" s="41"/>
      <c r="J1748" s="810"/>
    </row>
    <row r="1749" spans="1:10" x14ac:dyDescent="0.25">
      <c r="A1749" s="92"/>
      <c r="F1749" s="620"/>
      <c r="G1749" s="630"/>
      <c r="H1749" s="93"/>
      <c r="I1749" s="41"/>
      <c r="J1749" s="810"/>
    </row>
    <row r="1750" spans="1:10" x14ac:dyDescent="0.25">
      <c r="A1750" s="92"/>
      <c r="F1750" s="620"/>
      <c r="G1750" s="630"/>
      <c r="H1750" s="93"/>
      <c r="I1750" s="41"/>
      <c r="J1750" s="810"/>
    </row>
    <row r="1751" spans="1:10" x14ac:dyDescent="0.25">
      <c r="A1751" s="92"/>
      <c r="F1751" s="620"/>
      <c r="G1751" s="630"/>
      <c r="H1751" s="93"/>
      <c r="I1751" s="41"/>
      <c r="J1751" s="810"/>
    </row>
    <row r="1752" spans="1:10" x14ac:dyDescent="0.25">
      <c r="A1752" s="92"/>
      <c r="F1752" s="620"/>
      <c r="G1752" s="630"/>
      <c r="H1752" s="93"/>
      <c r="I1752" s="41"/>
      <c r="J1752" s="810"/>
    </row>
    <row r="1753" spans="1:10" x14ac:dyDescent="0.25">
      <c r="A1753" s="92"/>
      <c r="F1753" s="620"/>
      <c r="G1753" s="630"/>
      <c r="H1753" s="93"/>
      <c r="I1753" s="41"/>
      <c r="J1753" s="810"/>
    </row>
    <row r="1754" spans="1:10" x14ac:dyDescent="0.25">
      <c r="A1754" s="92"/>
      <c r="F1754" s="620"/>
      <c r="G1754" s="630"/>
      <c r="H1754" s="93"/>
      <c r="I1754" s="41"/>
      <c r="J1754" s="810"/>
    </row>
    <row r="1755" spans="1:10" x14ac:dyDescent="0.25">
      <c r="A1755" s="92"/>
      <c r="F1755" s="620"/>
      <c r="G1755" s="630"/>
      <c r="H1755" s="93"/>
      <c r="I1755" s="41"/>
      <c r="J1755" s="810"/>
    </row>
    <row r="1756" spans="1:10" x14ac:dyDescent="0.25">
      <c r="A1756" s="92"/>
      <c r="F1756" s="620"/>
      <c r="G1756" s="630"/>
      <c r="H1756" s="93"/>
      <c r="I1756" s="41"/>
      <c r="J1756" s="810"/>
    </row>
    <row r="1757" spans="1:10" x14ac:dyDescent="0.25">
      <c r="A1757" s="92"/>
      <c r="F1757" s="620"/>
      <c r="G1757" s="630"/>
      <c r="H1757" s="93"/>
      <c r="I1757" s="41"/>
      <c r="J1757" s="810"/>
    </row>
    <row r="1758" spans="1:10" x14ac:dyDescent="0.25">
      <c r="A1758" s="92"/>
      <c r="F1758" s="620"/>
      <c r="G1758" s="630"/>
      <c r="H1758" s="93"/>
      <c r="I1758" s="41"/>
      <c r="J1758" s="810"/>
    </row>
    <row r="1759" spans="1:10" x14ac:dyDescent="0.25">
      <c r="A1759" s="92"/>
      <c r="F1759" s="620"/>
      <c r="G1759" s="630"/>
      <c r="H1759" s="93"/>
      <c r="I1759" s="41"/>
      <c r="J1759" s="810"/>
    </row>
    <row r="1760" spans="1:10" x14ac:dyDescent="0.25">
      <c r="A1760" s="92"/>
      <c r="F1760" s="620"/>
      <c r="G1760" s="630"/>
      <c r="H1760" s="93"/>
      <c r="I1760" s="41"/>
      <c r="J1760" s="810"/>
    </row>
    <row r="1761" spans="1:10" x14ac:dyDescent="0.25">
      <c r="A1761" s="92"/>
      <c r="F1761" s="620"/>
      <c r="G1761" s="630"/>
      <c r="H1761" s="93"/>
      <c r="I1761" s="41"/>
      <c r="J1761" s="810"/>
    </row>
    <row r="1762" spans="1:10" x14ac:dyDescent="0.25">
      <c r="A1762" s="92"/>
      <c r="F1762" s="620"/>
      <c r="G1762" s="630"/>
      <c r="H1762" s="93"/>
      <c r="I1762" s="41"/>
      <c r="J1762" s="810"/>
    </row>
    <row r="1763" spans="1:10" x14ac:dyDescent="0.25">
      <c r="A1763" s="92"/>
      <c r="F1763" s="620"/>
      <c r="G1763" s="630"/>
      <c r="H1763" s="93"/>
      <c r="I1763" s="41"/>
      <c r="J1763" s="810"/>
    </row>
    <row r="1764" spans="1:10" x14ac:dyDescent="0.25">
      <c r="A1764" s="92"/>
      <c r="F1764" s="620"/>
      <c r="G1764" s="630"/>
      <c r="H1764" s="93"/>
      <c r="I1764" s="41"/>
      <c r="J1764" s="810"/>
    </row>
    <row r="1765" spans="1:10" x14ac:dyDescent="0.25">
      <c r="A1765" s="92"/>
      <c r="F1765" s="620"/>
      <c r="G1765" s="630"/>
      <c r="H1765" s="93"/>
      <c r="I1765" s="41"/>
      <c r="J1765" s="810"/>
    </row>
    <row r="1766" spans="1:10" x14ac:dyDescent="0.25">
      <c r="A1766" s="92"/>
      <c r="F1766" s="620"/>
      <c r="G1766" s="630"/>
      <c r="H1766" s="93"/>
      <c r="I1766" s="41"/>
      <c r="J1766" s="810"/>
    </row>
    <row r="1767" spans="1:10" x14ac:dyDescent="0.25">
      <c r="A1767" s="92"/>
      <c r="F1767" s="620"/>
      <c r="G1767" s="630"/>
      <c r="H1767" s="93"/>
      <c r="I1767" s="41"/>
      <c r="J1767" s="810"/>
    </row>
    <row r="1768" spans="1:10" x14ac:dyDescent="0.25">
      <c r="A1768" s="92"/>
      <c r="F1768" s="620"/>
      <c r="G1768" s="630"/>
      <c r="H1768" s="93"/>
      <c r="I1768" s="41"/>
      <c r="J1768" s="810"/>
    </row>
    <row r="1769" spans="1:10" x14ac:dyDescent="0.25">
      <c r="A1769" s="92"/>
      <c r="F1769" s="620"/>
      <c r="G1769" s="630"/>
      <c r="H1769" s="93"/>
      <c r="I1769" s="41"/>
      <c r="J1769" s="810"/>
    </row>
    <row r="1770" spans="1:10" x14ac:dyDescent="0.25">
      <c r="A1770" s="92"/>
      <c r="F1770" s="620"/>
      <c r="G1770" s="630"/>
      <c r="H1770" s="93"/>
      <c r="I1770" s="41"/>
      <c r="J1770" s="810"/>
    </row>
    <row r="1771" spans="1:10" x14ac:dyDescent="0.25">
      <c r="A1771" s="92"/>
      <c r="F1771" s="620"/>
      <c r="G1771" s="630"/>
      <c r="H1771" s="93"/>
      <c r="I1771" s="41"/>
      <c r="J1771" s="810"/>
    </row>
    <row r="1772" spans="1:10" x14ac:dyDescent="0.25">
      <c r="A1772" s="92"/>
      <c r="F1772" s="620"/>
      <c r="G1772" s="630"/>
      <c r="H1772" s="93"/>
      <c r="I1772" s="41"/>
      <c r="J1772" s="810"/>
    </row>
    <row r="1773" spans="1:10" x14ac:dyDescent="0.25">
      <c r="A1773" s="92"/>
      <c r="F1773" s="620"/>
      <c r="G1773" s="630"/>
      <c r="H1773" s="93"/>
      <c r="I1773" s="41"/>
      <c r="J1773" s="810"/>
    </row>
    <row r="1774" spans="1:10" x14ac:dyDescent="0.25">
      <c r="A1774" s="92"/>
      <c r="F1774" s="620"/>
      <c r="G1774" s="630"/>
      <c r="H1774" s="93"/>
      <c r="I1774" s="41"/>
      <c r="J1774" s="810"/>
    </row>
    <row r="1775" spans="1:10" x14ac:dyDescent="0.25">
      <c r="A1775" s="92"/>
      <c r="F1775" s="620"/>
      <c r="G1775" s="630"/>
      <c r="H1775" s="93"/>
      <c r="I1775" s="41"/>
      <c r="J1775" s="810"/>
    </row>
    <row r="1776" spans="1:10" x14ac:dyDescent="0.25">
      <c r="A1776" s="92"/>
      <c r="F1776" s="620"/>
      <c r="G1776" s="630"/>
      <c r="H1776" s="93"/>
      <c r="I1776" s="41"/>
      <c r="J1776" s="810"/>
    </row>
    <row r="1777" spans="1:10" x14ac:dyDescent="0.25">
      <c r="A1777" s="92"/>
      <c r="F1777" s="620"/>
      <c r="G1777" s="630"/>
      <c r="H1777" s="93"/>
      <c r="I1777" s="41"/>
      <c r="J1777" s="810"/>
    </row>
    <row r="1778" spans="1:10" x14ac:dyDescent="0.25">
      <c r="A1778" s="92"/>
      <c r="F1778" s="620"/>
      <c r="G1778" s="630"/>
      <c r="H1778" s="93"/>
      <c r="I1778" s="41"/>
      <c r="J1778" s="810"/>
    </row>
    <row r="1779" spans="1:10" x14ac:dyDescent="0.25">
      <c r="A1779" s="92"/>
      <c r="F1779" s="620"/>
      <c r="G1779" s="630"/>
      <c r="H1779" s="93"/>
      <c r="I1779" s="41"/>
      <c r="J1779" s="810"/>
    </row>
    <row r="1780" spans="1:10" x14ac:dyDescent="0.25">
      <c r="A1780" s="92"/>
      <c r="F1780" s="620"/>
      <c r="G1780" s="630"/>
      <c r="H1780" s="93"/>
      <c r="I1780" s="41"/>
      <c r="J1780" s="810"/>
    </row>
    <row r="1781" spans="1:10" x14ac:dyDescent="0.25">
      <c r="A1781" s="92"/>
      <c r="F1781" s="620"/>
      <c r="G1781" s="630"/>
      <c r="H1781" s="93"/>
      <c r="I1781" s="41"/>
      <c r="J1781" s="810"/>
    </row>
    <row r="1782" spans="1:10" x14ac:dyDescent="0.25">
      <c r="A1782" s="92"/>
      <c r="F1782" s="620"/>
      <c r="G1782" s="630"/>
      <c r="H1782" s="93"/>
      <c r="I1782" s="41"/>
      <c r="J1782" s="810"/>
    </row>
    <row r="1783" spans="1:10" x14ac:dyDescent="0.25">
      <c r="A1783" s="92"/>
      <c r="F1783" s="620"/>
      <c r="G1783" s="630"/>
      <c r="H1783" s="93"/>
      <c r="I1783" s="41"/>
      <c r="J1783" s="810"/>
    </row>
    <row r="1784" spans="1:10" x14ac:dyDescent="0.25">
      <c r="A1784" s="92"/>
      <c r="F1784" s="620"/>
      <c r="G1784" s="630"/>
      <c r="H1784" s="93"/>
      <c r="I1784" s="41"/>
      <c r="J1784" s="810"/>
    </row>
    <row r="1785" spans="1:10" x14ac:dyDescent="0.25">
      <c r="A1785" s="92"/>
      <c r="F1785" s="620"/>
      <c r="G1785" s="630"/>
      <c r="H1785" s="93"/>
      <c r="I1785" s="41"/>
      <c r="J1785" s="810"/>
    </row>
    <row r="1786" spans="1:10" x14ac:dyDescent="0.25">
      <c r="A1786" s="92"/>
      <c r="F1786" s="620"/>
      <c r="G1786" s="630"/>
      <c r="H1786" s="93"/>
      <c r="I1786" s="41"/>
      <c r="J1786" s="810"/>
    </row>
    <row r="1787" spans="1:10" x14ac:dyDescent="0.25">
      <c r="A1787" s="92"/>
      <c r="F1787" s="620"/>
      <c r="G1787" s="630"/>
      <c r="H1787" s="93"/>
      <c r="I1787" s="41"/>
      <c r="J1787" s="810"/>
    </row>
    <row r="1788" spans="1:10" x14ac:dyDescent="0.25">
      <c r="A1788" s="92"/>
      <c r="F1788" s="620"/>
      <c r="G1788" s="630"/>
      <c r="H1788" s="93"/>
      <c r="I1788" s="41"/>
      <c r="J1788" s="810"/>
    </row>
    <row r="1789" spans="1:10" x14ac:dyDescent="0.25">
      <c r="A1789" s="92"/>
      <c r="F1789" s="620"/>
      <c r="G1789" s="630"/>
      <c r="H1789" s="93"/>
      <c r="I1789" s="41"/>
      <c r="J1789" s="810"/>
    </row>
    <row r="1790" spans="1:10" x14ac:dyDescent="0.25">
      <c r="A1790" s="92"/>
      <c r="F1790" s="620"/>
      <c r="G1790" s="630"/>
      <c r="H1790" s="93"/>
      <c r="I1790" s="41"/>
      <c r="J1790" s="810"/>
    </row>
    <row r="1791" spans="1:10" x14ac:dyDescent="0.25">
      <c r="A1791" s="92"/>
      <c r="F1791" s="620"/>
      <c r="G1791" s="630"/>
      <c r="H1791" s="93"/>
      <c r="I1791" s="41"/>
      <c r="J1791" s="810"/>
    </row>
    <row r="1792" spans="1:10" x14ac:dyDescent="0.25">
      <c r="A1792" s="92"/>
      <c r="F1792" s="620"/>
      <c r="G1792" s="630"/>
      <c r="H1792" s="93"/>
      <c r="I1792" s="41"/>
      <c r="J1792" s="810"/>
    </row>
    <row r="1793" spans="1:10" x14ac:dyDescent="0.25">
      <c r="A1793" s="92"/>
      <c r="F1793" s="620"/>
      <c r="G1793" s="630"/>
      <c r="H1793" s="93"/>
      <c r="I1793" s="41"/>
      <c r="J1793" s="810"/>
    </row>
    <row r="1794" spans="1:10" x14ac:dyDescent="0.25">
      <c r="A1794" s="92"/>
      <c r="F1794" s="620"/>
      <c r="G1794" s="630"/>
      <c r="H1794" s="93"/>
      <c r="I1794" s="41"/>
      <c r="J1794" s="810"/>
    </row>
    <row r="1795" spans="1:10" x14ac:dyDescent="0.25">
      <c r="A1795" s="92"/>
      <c r="F1795" s="620"/>
      <c r="G1795" s="630"/>
      <c r="H1795" s="93"/>
      <c r="I1795" s="41"/>
      <c r="J1795" s="810"/>
    </row>
    <row r="1796" spans="1:10" x14ac:dyDescent="0.25">
      <c r="A1796" s="92"/>
      <c r="F1796" s="620"/>
      <c r="G1796" s="630"/>
      <c r="H1796" s="93"/>
      <c r="I1796" s="41"/>
      <c r="J1796" s="810"/>
    </row>
    <row r="1797" spans="1:10" x14ac:dyDescent="0.25">
      <c r="A1797" s="92"/>
      <c r="F1797" s="620"/>
      <c r="G1797" s="630"/>
      <c r="H1797" s="93"/>
      <c r="I1797" s="41"/>
      <c r="J1797" s="810"/>
    </row>
    <row r="1798" spans="1:10" x14ac:dyDescent="0.25">
      <c r="A1798" s="92"/>
      <c r="F1798" s="620"/>
      <c r="G1798" s="630"/>
      <c r="H1798" s="93"/>
      <c r="I1798" s="41"/>
      <c r="J1798" s="810"/>
    </row>
    <row r="1799" spans="1:10" x14ac:dyDescent="0.25">
      <c r="A1799" s="92"/>
      <c r="F1799" s="620"/>
      <c r="G1799" s="630"/>
      <c r="H1799" s="93"/>
      <c r="I1799" s="41"/>
      <c r="J1799" s="810"/>
    </row>
    <row r="1800" spans="1:10" x14ac:dyDescent="0.25">
      <c r="A1800" s="92"/>
      <c r="F1800" s="620"/>
      <c r="G1800" s="630"/>
      <c r="H1800" s="93"/>
      <c r="I1800" s="41"/>
      <c r="J1800" s="810"/>
    </row>
    <row r="1801" spans="1:10" x14ac:dyDescent="0.25">
      <c r="A1801" s="92"/>
      <c r="F1801" s="620"/>
      <c r="G1801" s="630"/>
      <c r="H1801" s="93"/>
      <c r="I1801" s="41"/>
      <c r="J1801" s="810"/>
    </row>
    <row r="1802" spans="1:10" x14ac:dyDescent="0.25">
      <c r="A1802" s="92"/>
      <c r="F1802" s="620"/>
      <c r="G1802" s="630"/>
      <c r="H1802" s="93"/>
      <c r="I1802" s="41"/>
      <c r="J1802" s="810"/>
    </row>
    <row r="1803" spans="1:10" x14ac:dyDescent="0.25">
      <c r="A1803" s="92"/>
      <c r="F1803" s="620"/>
      <c r="G1803" s="630"/>
      <c r="H1803" s="93"/>
      <c r="I1803" s="41"/>
      <c r="J1803" s="810"/>
    </row>
    <row r="1804" spans="1:10" x14ac:dyDescent="0.25">
      <c r="A1804" s="92"/>
      <c r="F1804" s="620"/>
      <c r="G1804" s="630"/>
      <c r="H1804" s="93"/>
      <c r="I1804" s="41"/>
      <c r="J1804" s="810"/>
    </row>
    <row r="1805" spans="1:10" x14ac:dyDescent="0.25">
      <c r="A1805" s="92"/>
      <c r="F1805" s="620"/>
      <c r="G1805" s="630"/>
      <c r="H1805" s="93"/>
      <c r="I1805" s="41"/>
      <c r="J1805" s="810"/>
    </row>
    <row r="1806" spans="1:10" x14ac:dyDescent="0.25">
      <c r="A1806" s="92"/>
      <c r="F1806" s="620"/>
      <c r="G1806" s="630"/>
      <c r="H1806" s="93"/>
      <c r="I1806" s="41"/>
      <c r="J1806" s="810"/>
    </row>
    <row r="1807" spans="1:10" x14ac:dyDescent="0.25">
      <c r="A1807" s="92"/>
      <c r="F1807" s="620"/>
      <c r="G1807" s="630"/>
      <c r="H1807" s="93"/>
      <c r="I1807" s="41"/>
      <c r="J1807" s="810"/>
    </row>
    <row r="1808" spans="1:10" x14ac:dyDescent="0.25">
      <c r="A1808" s="92"/>
      <c r="F1808" s="620"/>
      <c r="G1808" s="630"/>
      <c r="H1808" s="93"/>
      <c r="I1808" s="41"/>
      <c r="J1808" s="810"/>
    </row>
    <row r="1809" spans="1:10" x14ac:dyDescent="0.25">
      <c r="A1809" s="92"/>
      <c r="F1809" s="620"/>
      <c r="G1809" s="630"/>
      <c r="H1809" s="93"/>
      <c r="I1809" s="41"/>
      <c r="J1809" s="810"/>
    </row>
    <row r="1810" spans="1:10" x14ac:dyDescent="0.25">
      <c r="A1810" s="92"/>
      <c r="F1810" s="620"/>
      <c r="G1810" s="630"/>
      <c r="H1810" s="93"/>
      <c r="I1810" s="41"/>
      <c r="J1810" s="810"/>
    </row>
    <row r="1811" spans="1:10" x14ac:dyDescent="0.25">
      <c r="A1811" s="92"/>
      <c r="F1811" s="620"/>
      <c r="G1811" s="630"/>
      <c r="H1811" s="93"/>
      <c r="I1811" s="41"/>
      <c r="J1811" s="810"/>
    </row>
    <row r="1812" spans="1:10" x14ac:dyDescent="0.25">
      <c r="A1812" s="92"/>
      <c r="F1812" s="620"/>
      <c r="G1812" s="630"/>
      <c r="H1812" s="93"/>
      <c r="I1812" s="41"/>
      <c r="J1812" s="810"/>
    </row>
    <row r="1813" spans="1:10" x14ac:dyDescent="0.25">
      <c r="A1813" s="92"/>
      <c r="F1813" s="620"/>
      <c r="G1813" s="630"/>
      <c r="H1813" s="93"/>
      <c r="I1813" s="41"/>
      <c r="J1813" s="810"/>
    </row>
    <row r="1814" spans="1:10" x14ac:dyDescent="0.25">
      <c r="A1814" s="92"/>
      <c r="F1814" s="620"/>
      <c r="G1814" s="630"/>
      <c r="H1814" s="93"/>
      <c r="I1814" s="41"/>
      <c r="J1814" s="810"/>
    </row>
    <row r="1815" spans="1:10" x14ac:dyDescent="0.25">
      <c r="A1815" s="92"/>
      <c r="F1815" s="620"/>
      <c r="G1815" s="630"/>
      <c r="H1815" s="93"/>
      <c r="I1815" s="41"/>
      <c r="J1815" s="810"/>
    </row>
    <row r="1816" spans="1:10" x14ac:dyDescent="0.25">
      <c r="A1816" s="92"/>
      <c r="F1816" s="620"/>
      <c r="G1816" s="630"/>
      <c r="H1816" s="93"/>
      <c r="I1816" s="41"/>
      <c r="J1816" s="810"/>
    </row>
    <row r="1817" spans="1:10" x14ac:dyDescent="0.25">
      <c r="A1817" s="92"/>
      <c r="F1817" s="620"/>
      <c r="G1817" s="630"/>
      <c r="H1817" s="93"/>
      <c r="I1817" s="41"/>
      <c r="J1817" s="810"/>
    </row>
    <row r="1818" spans="1:10" x14ac:dyDescent="0.25">
      <c r="A1818" s="92"/>
      <c r="F1818" s="620"/>
      <c r="G1818" s="630"/>
      <c r="H1818" s="93"/>
      <c r="I1818" s="41"/>
      <c r="J1818" s="810"/>
    </row>
    <row r="1819" spans="1:10" x14ac:dyDescent="0.25">
      <c r="A1819" s="92"/>
      <c r="F1819" s="620"/>
      <c r="G1819" s="630"/>
      <c r="H1819" s="93"/>
      <c r="I1819" s="41"/>
      <c r="J1819" s="810"/>
    </row>
    <row r="1820" spans="1:10" x14ac:dyDescent="0.25">
      <c r="A1820" s="92"/>
      <c r="F1820" s="620"/>
      <c r="G1820" s="630"/>
      <c r="H1820" s="93"/>
      <c r="I1820" s="41"/>
      <c r="J1820" s="810"/>
    </row>
    <row r="1821" spans="1:10" x14ac:dyDescent="0.25">
      <c r="A1821" s="92"/>
      <c r="F1821" s="620"/>
      <c r="G1821" s="630"/>
      <c r="H1821" s="93"/>
      <c r="I1821" s="41"/>
      <c r="J1821" s="810"/>
    </row>
    <row r="1822" spans="1:10" x14ac:dyDescent="0.25">
      <c r="A1822" s="92"/>
      <c r="F1822" s="620"/>
      <c r="G1822" s="630"/>
      <c r="H1822" s="93"/>
      <c r="I1822" s="41"/>
      <c r="J1822" s="810"/>
    </row>
    <row r="1823" spans="1:10" x14ac:dyDescent="0.25">
      <c r="A1823" s="92"/>
      <c r="F1823" s="620"/>
      <c r="G1823" s="630"/>
      <c r="H1823" s="93"/>
      <c r="I1823" s="41"/>
      <c r="J1823" s="810"/>
    </row>
    <row r="1824" spans="1:10" x14ac:dyDescent="0.25">
      <c r="A1824" s="92"/>
      <c r="F1824" s="620"/>
      <c r="G1824" s="630"/>
      <c r="H1824" s="93"/>
      <c r="I1824" s="41"/>
      <c r="J1824" s="810"/>
    </row>
    <row r="1825" spans="1:10" x14ac:dyDescent="0.25">
      <c r="A1825" s="92"/>
      <c r="F1825" s="620"/>
      <c r="G1825" s="630"/>
      <c r="H1825" s="93"/>
      <c r="I1825" s="41"/>
      <c r="J1825" s="810"/>
    </row>
    <row r="1826" spans="1:10" x14ac:dyDescent="0.25">
      <c r="A1826" s="92"/>
      <c r="F1826" s="620"/>
      <c r="G1826" s="630"/>
      <c r="H1826" s="93"/>
      <c r="I1826" s="41"/>
      <c r="J1826" s="810"/>
    </row>
    <row r="1827" spans="1:10" x14ac:dyDescent="0.25">
      <c r="A1827" s="92"/>
      <c r="F1827" s="620"/>
      <c r="G1827" s="630"/>
      <c r="H1827" s="93"/>
      <c r="I1827" s="41"/>
      <c r="J1827" s="810"/>
    </row>
    <row r="1828" spans="1:10" x14ac:dyDescent="0.25">
      <c r="A1828" s="92"/>
      <c r="F1828" s="620"/>
      <c r="G1828" s="630"/>
      <c r="H1828" s="93"/>
      <c r="I1828" s="41"/>
      <c r="J1828" s="810"/>
    </row>
    <row r="1829" spans="1:10" x14ac:dyDescent="0.25">
      <c r="A1829" s="92"/>
      <c r="F1829" s="620"/>
      <c r="G1829" s="630"/>
      <c r="H1829" s="93"/>
      <c r="I1829" s="41"/>
      <c r="J1829" s="810"/>
    </row>
    <row r="1830" spans="1:10" x14ac:dyDescent="0.25">
      <c r="A1830" s="92"/>
      <c r="F1830" s="620"/>
      <c r="G1830" s="630"/>
      <c r="H1830" s="93"/>
      <c r="I1830" s="41"/>
      <c r="J1830" s="810"/>
    </row>
    <row r="1831" spans="1:10" x14ac:dyDescent="0.25">
      <c r="A1831" s="92"/>
      <c r="F1831" s="620"/>
      <c r="G1831" s="630"/>
      <c r="H1831" s="93"/>
      <c r="I1831" s="41"/>
      <c r="J1831" s="810"/>
    </row>
    <row r="1832" spans="1:10" x14ac:dyDescent="0.25">
      <c r="A1832" s="92"/>
      <c r="F1832" s="620"/>
      <c r="G1832" s="630"/>
      <c r="H1832" s="93"/>
      <c r="I1832" s="41"/>
      <c r="J1832" s="810"/>
    </row>
    <row r="1833" spans="1:10" x14ac:dyDescent="0.25">
      <c r="A1833" s="92"/>
      <c r="F1833" s="620"/>
      <c r="G1833" s="630"/>
      <c r="H1833" s="93"/>
      <c r="I1833" s="41"/>
      <c r="J1833" s="810"/>
    </row>
    <row r="1834" spans="1:10" x14ac:dyDescent="0.25">
      <c r="A1834" s="92"/>
      <c r="F1834" s="620"/>
      <c r="G1834" s="630"/>
      <c r="H1834" s="93"/>
      <c r="I1834" s="41"/>
      <c r="J1834" s="810"/>
    </row>
    <row r="1835" spans="1:10" x14ac:dyDescent="0.25">
      <c r="A1835" s="92"/>
      <c r="F1835" s="620"/>
      <c r="G1835" s="630"/>
      <c r="H1835" s="93"/>
      <c r="I1835" s="41"/>
      <c r="J1835" s="810"/>
    </row>
    <row r="1836" spans="1:10" x14ac:dyDescent="0.25">
      <c r="A1836" s="92"/>
      <c r="F1836" s="620"/>
      <c r="G1836" s="630"/>
      <c r="H1836" s="93"/>
      <c r="I1836" s="41"/>
      <c r="J1836" s="810"/>
    </row>
    <row r="1837" spans="1:10" x14ac:dyDescent="0.25">
      <c r="A1837" s="92"/>
      <c r="F1837" s="620"/>
      <c r="G1837" s="630"/>
      <c r="H1837" s="93"/>
      <c r="I1837" s="41"/>
      <c r="J1837" s="810"/>
    </row>
    <row r="1838" spans="1:10" x14ac:dyDescent="0.25">
      <c r="A1838" s="92"/>
      <c r="F1838" s="620"/>
      <c r="G1838" s="630"/>
      <c r="H1838" s="93"/>
      <c r="I1838" s="41"/>
      <c r="J1838" s="810"/>
    </row>
    <row r="1839" spans="1:10" x14ac:dyDescent="0.25">
      <c r="A1839" s="92"/>
      <c r="F1839" s="620"/>
      <c r="G1839" s="630"/>
      <c r="H1839" s="93"/>
      <c r="I1839" s="41"/>
      <c r="J1839" s="810"/>
    </row>
    <row r="1840" spans="1:10" x14ac:dyDescent="0.25">
      <c r="A1840" s="92"/>
      <c r="F1840" s="620"/>
      <c r="G1840" s="630"/>
      <c r="H1840" s="93"/>
      <c r="I1840" s="41"/>
      <c r="J1840" s="810"/>
    </row>
    <row r="1841" spans="1:10" x14ac:dyDescent="0.25">
      <c r="A1841" s="92"/>
      <c r="F1841" s="620"/>
      <c r="G1841" s="630"/>
      <c r="H1841" s="93"/>
      <c r="I1841" s="41"/>
      <c r="J1841" s="810"/>
    </row>
    <row r="1842" spans="1:10" x14ac:dyDescent="0.25">
      <c r="A1842" s="92"/>
      <c r="F1842" s="620"/>
      <c r="G1842" s="630"/>
      <c r="H1842" s="93"/>
      <c r="I1842" s="41"/>
      <c r="J1842" s="810"/>
    </row>
    <row r="1843" spans="1:10" x14ac:dyDescent="0.25">
      <c r="A1843" s="92"/>
      <c r="F1843" s="620"/>
      <c r="G1843" s="630"/>
      <c r="H1843" s="93"/>
      <c r="I1843" s="41"/>
      <c r="J1843" s="810"/>
    </row>
    <row r="1844" spans="1:10" x14ac:dyDescent="0.25">
      <c r="A1844" s="92"/>
      <c r="F1844" s="620"/>
      <c r="G1844" s="630"/>
      <c r="H1844" s="93"/>
      <c r="I1844" s="41"/>
      <c r="J1844" s="810"/>
    </row>
    <row r="1845" spans="1:10" x14ac:dyDescent="0.25">
      <c r="H1845" s="93"/>
      <c r="I1845" s="41"/>
      <c r="J1845" s="810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9" workbookViewId="0">
      <selection activeCell="I185" sqref="I18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3.7109375" style="122" customWidth="1"/>
    <col min="5" max="5" width="16.140625" style="122" customWidth="1"/>
    <col min="6" max="6" width="17.42578125" style="165" customWidth="1"/>
    <col min="7" max="7" width="14.7109375" style="115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176">
        <f ca="1">TODAY()</f>
        <v>44440</v>
      </c>
      <c r="C1" s="1177"/>
      <c r="D1" s="184" t="s">
        <v>0</v>
      </c>
      <c r="E1" s="262">
        <f>COUNTA(B7:B162)</f>
        <v>144</v>
      </c>
      <c r="F1" s="185" t="s">
        <v>1</v>
      </c>
      <c r="G1" s="186" t="s">
        <v>206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161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0"/>
      <c r="E3" s="239"/>
      <c r="F3" s="257" t="s">
        <v>237</v>
      </c>
      <c r="G3" s="258">
        <v>0</v>
      </c>
      <c r="H3" s="256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1"/>
      <c r="D4" s="197"/>
      <c r="E4" s="193"/>
      <c r="F4" s="194" t="s">
        <v>236</v>
      </c>
      <c r="G4" s="199">
        <v>200275.49</v>
      </c>
      <c r="H4" s="200"/>
      <c r="I4" s="201"/>
      <c r="J4" s="602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2">
        <f>+G5+H5</f>
        <v>162775.49</v>
      </c>
      <c r="J5" s="602"/>
      <c r="K5" s="42"/>
      <c r="L5" s="42"/>
    </row>
    <row r="6" spans="1:12" x14ac:dyDescent="0.25">
      <c r="A6" s="244" t="s">
        <v>11</v>
      </c>
      <c r="B6" s="245">
        <v>43101</v>
      </c>
      <c r="C6" s="244" t="s">
        <v>12</v>
      </c>
      <c r="D6" s="246">
        <v>3800</v>
      </c>
      <c r="E6" s="246"/>
      <c r="F6" s="247"/>
      <c r="G6" s="113"/>
    </row>
    <row r="7" spans="1:12" x14ac:dyDescent="0.25">
      <c r="A7" s="244"/>
      <c r="B7" s="245">
        <v>43103</v>
      </c>
      <c r="C7" s="244" t="s">
        <v>13</v>
      </c>
      <c r="D7" s="246">
        <v>20000</v>
      </c>
      <c r="E7" s="246"/>
      <c r="F7" s="247"/>
      <c r="G7" s="114"/>
      <c r="H7" s="11"/>
      <c r="I7" s="12"/>
    </row>
    <row r="8" spans="1:12" x14ac:dyDescent="0.25">
      <c r="A8" s="244"/>
      <c r="B8" s="245">
        <v>43117</v>
      </c>
      <c r="C8" s="244" t="s">
        <v>208</v>
      </c>
      <c r="D8" s="246">
        <f>20400</f>
        <v>20400</v>
      </c>
      <c r="E8" s="246"/>
      <c r="F8" s="247"/>
      <c r="G8" s="114"/>
      <c r="H8" s="11"/>
      <c r="I8" s="12"/>
    </row>
    <row r="9" spans="1:12" x14ac:dyDescent="0.25">
      <c r="A9" s="244"/>
      <c r="B9" s="245">
        <v>43119</v>
      </c>
      <c r="C9" s="244" t="s">
        <v>211</v>
      </c>
      <c r="D9" s="246"/>
      <c r="E9" s="246">
        <v>3000</v>
      </c>
      <c r="F9" s="247"/>
      <c r="G9" s="114"/>
      <c r="H9" s="149"/>
      <c r="I9" s="12"/>
    </row>
    <row r="10" spans="1:12" x14ac:dyDescent="0.25">
      <c r="A10" s="244"/>
      <c r="B10" s="245">
        <v>43102</v>
      </c>
      <c r="C10" s="244" t="s">
        <v>181</v>
      </c>
      <c r="D10" s="246"/>
      <c r="E10" s="246">
        <v>1700</v>
      </c>
      <c r="F10" s="247"/>
      <c r="G10" s="114"/>
      <c r="H10" s="11"/>
      <c r="I10" s="12"/>
    </row>
    <row r="11" spans="1:12" x14ac:dyDescent="0.25">
      <c r="A11" s="244"/>
      <c r="B11" s="245">
        <v>43104</v>
      </c>
      <c r="C11" s="244" t="s">
        <v>207</v>
      </c>
      <c r="D11" s="246"/>
      <c r="E11" s="246">
        <f>5000+2900+1200-600</f>
        <v>8500</v>
      </c>
      <c r="F11" s="247"/>
      <c r="G11" s="114"/>
      <c r="H11" s="11"/>
      <c r="I11" s="12"/>
    </row>
    <row r="12" spans="1:12" x14ac:dyDescent="0.25">
      <c r="A12" s="244"/>
      <c r="B12" s="245">
        <v>43104</v>
      </c>
      <c r="C12" s="244" t="s">
        <v>172</v>
      </c>
      <c r="D12" s="246"/>
      <c r="E12" s="246">
        <f>2650+300+50</f>
        <v>3000</v>
      </c>
      <c r="F12" s="247"/>
      <c r="G12" s="114"/>
      <c r="H12" s="11"/>
      <c r="I12" s="12"/>
    </row>
    <row r="13" spans="1:12" x14ac:dyDescent="0.25">
      <c r="A13" s="244"/>
      <c r="B13" s="245">
        <v>43104</v>
      </c>
      <c r="C13" s="244" t="s">
        <v>199</v>
      </c>
      <c r="D13" s="246"/>
      <c r="E13" s="246">
        <f>4950+50</f>
        <v>5000</v>
      </c>
      <c r="F13" s="247"/>
      <c r="G13" s="114"/>
      <c r="H13" s="11"/>
      <c r="I13" s="12"/>
    </row>
    <row r="14" spans="1:12" x14ac:dyDescent="0.25">
      <c r="A14" s="244"/>
      <c r="B14" s="245">
        <v>43131</v>
      </c>
      <c r="C14" s="244" t="s">
        <v>55</v>
      </c>
      <c r="D14" s="246"/>
      <c r="E14" s="246">
        <v>500</v>
      </c>
      <c r="F14" s="247"/>
      <c r="G14" s="114"/>
      <c r="H14" s="11"/>
      <c r="I14" s="12"/>
    </row>
    <row r="15" spans="1:12" x14ac:dyDescent="0.25">
      <c r="A15" s="244"/>
      <c r="B15" s="245">
        <v>43127</v>
      </c>
      <c r="C15" s="244" t="s">
        <v>209</v>
      </c>
      <c r="D15" s="246"/>
      <c r="E15" s="246">
        <v>500</v>
      </c>
      <c r="F15" s="247"/>
      <c r="G15" s="114"/>
      <c r="H15" s="11"/>
      <c r="I15" s="12"/>
    </row>
    <row r="16" spans="1:12" x14ac:dyDescent="0.25">
      <c r="A16" s="244"/>
      <c r="B16" s="245">
        <v>43101</v>
      </c>
      <c r="C16" s="244" t="s">
        <v>39</v>
      </c>
      <c r="D16" s="246"/>
      <c r="E16" s="246">
        <v>500</v>
      </c>
      <c r="F16" s="247"/>
      <c r="G16" s="114"/>
      <c r="H16" s="11"/>
      <c r="I16" s="12"/>
    </row>
    <row r="17" spans="1:9" x14ac:dyDescent="0.25">
      <c r="A17" s="244"/>
      <c r="B17" s="245">
        <v>43122</v>
      </c>
      <c r="C17" s="244" t="s">
        <v>210</v>
      </c>
      <c r="D17" s="246"/>
      <c r="E17" s="246">
        <v>3000</v>
      </c>
      <c r="F17" s="247"/>
      <c r="G17" s="114"/>
      <c r="H17" s="11"/>
      <c r="I17" s="12"/>
    </row>
    <row r="18" spans="1:9" x14ac:dyDescent="0.25">
      <c r="A18" s="244"/>
      <c r="B18" s="245">
        <v>43131</v>
      </c>
      <c r="C18" s="244" t="s">
        <v>15</v>
      </c>
      <c r="D18" s="246"/>
      <c r="E18" s="246">
        <v>8000</v>
      </c>
      <c r="F18" s="247"/>
      <c r="G18" s="114"/>
      <c r="H18" s="98"/>
      <c r="I18" s="12"/>
    </row>
    <row r="19" spans="1:9" x14ac:dyDescent="0.25">
      <c r="A19" s="244"/>
      <c r="B19" s="245"/>
      <c r="C19" s="244"/>
      <c r="D19" s="246"/>
      <c r="E19" s="246"/>
      <c r="F19" s="247">
        <f>SUM(D6:D19)-SUM(E6:E19)</f>
        <v>10500</v>
      </c>
      <c r="G19" s="207">
        <v>160483.16</v>
      </c>
      <c r="H19" s="98"/>
      <c r="I19" s="12"/>
    </row>
    <row r="20" spans="1:9" x14ac:dyDescent="0.25">
      <c r="A20" s="244" t="s">
        <v>16</v>
      </c>
      <c r="B20" s="245">
        <v>43136</v>
      </c>
      <c r="C20" s="244" t="s">
        <v>13</v>
      </c>
      <c r="D20" s="246">
        <v>20000</v>
      </c>
      <c r="E20" s="246"/>
      <c r="F20" s="247"/>
      <c r="G20" s="207"/>
      <c r="H20" s="11"/>
      <c r="I20" s="90"/>
    </row>
    <row r="21" spans="1:9" x14ac:dyDescent="0.25">
      <c r="A21" s="244"/>
      <c r="B21" s="245">
        <v>43150</v>
      </c>
      <c r="C21" s="244" t="s">
        <v>208</v>
      </c>
      <c r="D21" s="246">
        <v>26000</v>
      </c>
      <c r="E21" s="246"/>
      <c r="F21" s="247"/>
      <c r="G21" s="207"/>
      <c r="H21" s="11"/>
      <c r="I21" s="90"/>
    </row>
    <row r="22" spans="1:9" x14ac:dyDescent="0.25">
      <c r="A22" s="244"/>
      <c r="B22" s="245">
        <v>43159</v>
      </c>
      <c r="C22" s="244" t="s">
        <v>217</v>
      </c>
      <c r="D22" s="246"/>
      <c r="E22" s="246">
        <v>500</v>
      </c>
      <c r="F22" s="247"/>
      <c r="G22" s="207"/>
      <c r="H22" s="11"/>
      <c r="I22" s="90"/>
    </row>
    <row r="23" spans="1:9" x14ac:dyDescent="0.25">
      <c r="A23" s="244"/>
      <c r="B23" s="245">
        <v>43157</v>
      </c>
      <c r="C23" s="244" t="s">
        <v>216</v>
      </c>
      <c r="D23" s="246"/>
      <c r="E23" s="246">
        <v>4000</v>
      </c>
      <c r="F23" s="247"/>
      <c r="G23" s="207"/>
      <c r="H23" s="11"/>
      <c r="I23" s="90"/>
    </row>
    <row r="24" spans="1:9" x14ac:dyDescent="0.25">
      <c r="A24" s="244"/>
      <c r="B24" s="245">
        <v>43150</v>
      </c>
      <c r="C24" s="244" t="s">
        <v>215</v>
      </c>
      <c r="D24" s="246"/>
      <c r="E24" s="246">
        <v>1000</v>
      </c>
      <c r="F24" s="247"/>
      <c r="G24" s="207"/>
      <c r="H24" s="11"/>
      <c r="I24" s="90"/>
    </row>
    <row r="25" spans="1:9" x14ac:dyDescent="0.25">
      <c r="A25" s="244"/>
      <c r="B25" s="245">
        <v>43150</v>
      </c>
      <c r="C25" s="244" t="s">
        <v>214</v>
      </c>
      <c r="D25" s="246"/>
      <c r="E25" s="246">
        <f>3300+1000+300+400</f>
        <v>5000</v>
      </c>
      <c r="F25" s="247"/>
      <c r="G25" s="207"/>
      <c r="H25" s="11"/>
      <c r="I25" s="90"/>
    </row>
    <row r="26" spans="1:9" x14ac:dyDescent="0.25">
      <c r="A26" s="244"/>
      <c r="B26" s="245">
        <v>43133</v>
      </c>
      <c r="C26" s="244" t="s">
        <v>213</v>
      </c>
      <c r="D26" s="246"/>
      <c r="E26" s="246">
        <v>1000</v>
      </c>
      <c r="F26" s="247"/>
      <c r="G26" s="207"/>
      <c r="H26" s="11"/>
      <c r="I26" s="90"/>
    </row>
    <row r="27" spans="1:9" x14ac:dyDescent="0.25">
      <c r="A27" s="244"/>
      <c r="B27" s="245">
        <v>43133</v>
      </c>
      <c r="C27" s="244" t="s">
        <v>37</v>
      </c>
      <c r="D27" s="246"/>
      <c r="E27" s="246">
        <v>700</v>
      </c>
      <c r="F27" s="247"/>
      <c r="G27" s="207"/>
      <c r="H27" s="11"/>
      <c r="I27" s="90"/>
    </row>
    <row r="28" spans="1:9" x14ac:dyDescent="0.25">
      <c r="A28" s="244"/>
      <c r="B28" s="245">
        <v>43132</v>
      </c>
      <c r="C28" s="244" t="s">
        <v>181</v>
      </c>
      <c r="D28" s="246"/>
      <c r="E28" s="246">
        <v>1700</v>
      </c>
      <c r="F28" s="247"/>
      <c r="G28" s="207"/>
      <c r="H28" s="149"/>
      <c r="I28" s="90"/>
    </row>
    <row r="29" spans="1:9" x14ac:dyDescent="0.25">
      <c r="A29" s="244"/>
      <c r="B29" s="245">
        <v>43137</v>
      </c>
      <c r="C29" s="244" t="s">
        <v>207</v>
      </c>
      <c r="D29" s="246"/>
      <c r="E29" s="246">
        <f>4000+900+1200+1500+300+900</f>
        <v>8800</v>
      </c>
      <c r="F29" s="247"/>
      <c r="G29" s="207"/>
      <c r="H29" s="11"/>
      <c r="I29" s="99"/>
    </row>
    <row r="30" spans="1:9" x14ac:dyDescent="0.25">
      <c r="A30" s="244"/>
      <c r="B30" s="245">
        <v>43136</v>
      </c>
      <c r="C30" s="244" t="s">
        <v>172</v>
      </c>
      <c r="D30" s="246"/>
      <c r="E30" s="246">
        <v>2600</v>
      </c>
      <c r="F30" s="247"/>
      <c r="G30" s="207"/>
      <c r="H30" s="11"/>
      <c r="I30" s="90"/>
    </row>
    <row r="31" spans="1:9" x14ac:dyDescent="0.25">
      <c r="A31" s="244"/>
      <c r="B31" s="245">
        <v>43136</v>
      </c>
      <c r="C31" s="244" t="s">
        <v>209</v>
      </c>
      <c r="D31" s="246"/>
      <c r="E31" s="246">
        <v>1500</v>
      </c>
      <c r="F31" s="247"/>
      <c r="G31" s="207"/>
      <c r="H31" s="98"/>
      <c r="I31" s="75"/>
    </row>
    <row r="32" spans="1:9" x14ac:dyDescent="0.25">
      <c r="A32" s="244"/>
      <c r="B32" s="245">
        <v>43136</v>
      </c>
      <c r="C32" s="244" t="s">
        <v>199</v>
      </c>
      <c r="D32" s="246"/>
      <c r="E32" s="246">
        <v>5000</v>
      </c>
      <c r="F32" s="247"/>
      <c r="G32" s="207"/>
      <c r="H32" s="98"/>
      <c r="I32" s="35"/>
    </row>
    <row r="33" spans="1:11" x14ac:dyDescent="0.25">
      <c r="A33" s="244"/>
      <c r="B33" s="245">
        <v>43133</v>
      </c>
      <c r="C33" s="244" t="s">
        <v>39</v>
      </c>
      <c r="D33" s="246"/>
      <c r="E33" s="246">
        <v>400</v>
      </c>
      <c r="F33" s="247"/>
      <c r="G33" s="207"/>
      <c r="H33" s="98"/>
      <c r="I33" s="75"/>
    </row>
    <row r="34" spans="1:11" x14ac:dyDescent="0.25">
      <c r="A34" s="244"/>
      <c r="B34" s="245">
        <v>43159</v>
      </c>
      <c r="C34" s="244" t="s">
        <v>55</v>
      </c>
      <c r="D34" s="246"/>
      <c r="E34" s="246">
        <v>500</v>
      </c>
      <c r="F34" s="247"/>
      <c r="G34" s="207"/>
      <c r="H34" s="98"/>
      <c r="I34" s="75"/>
    </row>
    <row r="35" spans="1:11" x14ac:dyDescent="0.25">
      <c r="A35" s="244"/>
      <c r="B35" s="245">
        <v>43159</v>
      </c>
      <c r="C35" s="244" t="s">
        <v>15</v>
      </c>
      <c r="D35" s="246"/>
      <c r="E35" s="246">
        <v>7500</v>
      </c>
      <c r="F35" s="247"/>
      <c r="G35" s="207"/>
      <c r="H35" s="98"/>
      <c r="I35" s="75"/>
      <c r="K35" s="107"/>
    </row>
    <row r="36" spans="1:11" x14ac:dyDescent="0.25">
      <c r="A36" s="244"/>
      <c r="B36" s="245"/>
      <c r="C36" s="244"/>
      <c r="D36" s="246"/>
      <c r="E36" s="246"/>
      <c r="F36" s="247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4" t="s">
        <v>17</v>
      </c>
      <c r="B37" s="245">
        <v>43168</v>
      </c>
      <c r="C37" s="244" t="s">
        <v>13</v>
      </c>
      <c r="D37" s="246">
        <v>20000</v>
      </c>
      <c r="E37" s="246"/>
      <c r="F37" s="247"/>
      <c r="G37" s="207"/>
      <c r="H37" s="11"/>
      <c r="I37" s="12"/>
    </row>
    <row r="38" spans="1:11" x14ac:dyDescent="0.25">
      <c r="A38" s="244"/>
      <c r="B38" s="245">
        <v>43168</v>
      </c>
      <c r="C38" s="244" t="s">
        <v>19</v>
      </c>
      <c r="D38" s="246">
        <v>10000</v>
      </c>
      <c r="E38" s="246"/>
      <c r="F38" s="247"/>
      <c r="G38" s="207"/>
      <c r="H38" s="11"/>
      <c r="I38" s="12"/>
    </row>
    <row r="39" spans="1:11" x14ac:dyDescent="0.25">
      <c r="A39" s="244"/>
      <c r="B39" s="245">
        <v>43184</v>
      </c>
      <c r="C39" s="244" t="s">
        <v>229</v>
      </c>
      <c r="D39" s="246"/>
      <c r="E39" s="246">
        <v>1500</v>
      </c>
      <c r="F39" s="247"/>
      <c r="G39" s="207"/>
      <c r="H39" s="11"/>
      <c r="I39" s="12"/>
    </row>
    <row r="40" spans="1:11" x14ac:dyDescent="0.25">
      <c r="A40" s="244"/>
      <c r="B40" s="245">
        <v>43177</v>
      </c>
      <c r="C40" s="244" t="s">
        <v>225</v>
      </c>
      <c r="D40" s="246"/>
      <c r="E40" s="246">
        <v>1500</v>
      </c>
      <c r="F40" s="247"/>
      <c r="G40" s="207"/>
      <c r="H40" s="11"/>
      <c r="I40" s="12"/>
    </row>
    <row r="41" spans="1:11" x14ac:dyDescent="0.25">
      <c r="A41" s="244"/>
      <c r="B41" s="245">
        <v>43176</v>
      </c>
      <c r="C41" s="244" t="s">
        <v>224</v>
      </c>
      <c r="D41" s="246"/>
      <c r="E41" s="246">
        <v>500</v>
      </c>
      <c r="F41" s="247"/>
      <c r="G41" s="207"/>
      <c r="H41" s="11"/>
      <c r="I41" s="12"/>
    </row>
    <row r="42" spans="1:11" x14ac:dyDescent="0.25">
      <c r="A42" s="244"/>
      <c r="B42" s="245">
        <v>43170</v>
      </c>
      <c r="C42" s="244" t="s">
        <v>223</v>
      </c>
      <c r="D42" s="246"/>
      <c r="E42" s="246">
        <v>2500</v>
      </c>
      <c r="F42" s="247"/>
      <c r="G42" s="207"/>
      <c r="H42" s="11"/>
      <c r="I42" s="12"/>
    </row>
    <row r="43" spans="1:11" x14ac:dyDescent="0.25">
      <c r="A43" s="244"/>
      <c r="B43" s="245">
        <v>43168</v>
      </c>
      <c r="C43" s="244" t="s">
        <v>208</v>
      </c>
      <c r="D43" s="246"/>
      <c r="E43" s="246">
        <v>5300</v>
      </c>
      <c r="F43" s="247"/>
      <c r="G43" s="207"/>
      <c r="H43" s="11"/>
      <c r="I43" s="12"/>
    </row>
    <row r="44" spans="1:11" x14ac:dyDescent="0.25">
      <c r="A44" s="244"/>
      <c r="B44" s="245">
        <v>43168</v>
      </c>
      <c r="C44" s="244" t="s">
        <v>207</v>
      </c>
      <c r="D44" s="246"/>
      <c r="E44" s="246">
        <v>3400</v>
      </c>
      <c r="F44" s="247"/>
      <c r="G44" s="207"/>
      <c r="H44" s="11"/>
      <c r="I44" s="12"/>
    </row>
    <row r="45" spans="1:11" x14ac:dyDescent="0.25">
      <c r="A45" s="244"/>
      <c r="B45" s="245">
        <v>43164</v>
      </c>
      <c r="C45" s="244" t="s">
        <v>222</v>
      </c>
      <c r="D45" s="246"/>
      <c r="E45" s="246">
        <v>1600</v>
      </c>
      <c r="F45" s="247"/>
      <c r="G45" s="207"/>
      <c r="H45" s="11"/>
      <c r="I45" s="132"/>
    </row>
    <row r="46" spans="1:11" x14ac:dyDescent="0.25">
      <c r="A46" s="244"/>
      <c r="B46" s="245">
        <v>43164</v>
      </c>
      <c r="C46" s="244" t="s">
        <v>218</v>
      </c>
      <c r="D46" s="246"/>
      <c r="E46" s="246">
        <v>1000</v>
      </c>
      <c r="F46" s="247"/>
      <c r="G46" s="207"/>
      <c r="H46" s="11"/>
      <c r="I46" s="132"/>
    </row>
    <row r="47" spans="1:11" x14ac:dyDescent="0.25">
      <c r="A47" s="244"/>
      <c r="B47" s="245">
        <v>43160</v>
      </c>
      <c r="C47" s="244" t="s">
        <v>181</v>
      </c>
      <c r="D47" s="246"/>
      <c r="E47" s="246">
        <v>1700</v>
      </c>
      <c r="F47" s="247"/>
      <c r="G47" s="207"/>
      <c r="H47" s="11"/>
      <c r="I47" s="132"/>
    </row>
    <row r="48" spans="1:11" x14ac:dyDescent="0.25">
      <c r="A48" s="244"/>
      <c r="B48" s="245">
        <v>43161</v>
      </c>
      <c r="C48" s="244" t="s">
        <v>186</v>
      </c>
      <c r="D48" s="246"/>
      <c r="E48" s="246">
        <v>1200</v>
      </c>
      <c r="F48" s="247"/>
      <c r="G48" s="207"/>
      <c r="H48" s="11"/>
      <c r="I48" s="132"/>
    </row>
    <row r="49" spans="1:16" x14ac:dyDescent="0.25">
      <c r="A49" s="244"/>
      <c r="B49" s="245">
        <v>43160</v>
      </c>
      <c r="C49" s="244" t="s">
        <v>172</v>
      </c>
      <c r="D49" s="246"/>
      <c r="E49" s="246">
        <f>2600</f>
        <v>2600</v>
      </c>
      <c r="F49" s="247"/>
      <c r="G49" s="207"/>
      <c r="H49" s="11"/>
      <c r="I49" s="132"/>
    </row>
    <row r="50" spans="1:16" x14ac:dyDescent="0.25">
      <c r="A50" s="244"/>
      <c r="B50" s="245">
        <v>43168</v>
      </c>
      <c r="C50" s="244" t="s">
        <v>199</v>
      </c>
      <c r="D50" s="246"/>
      <c r="E50" s="246">
        <v>5000</v>
      </c>
      <c r="F50" s="247"/>
      <c r="G50" s="207"/>
      <c r="H50" s="11"/>
      <c r="I50" s="132"/>
    </row>
    <row r="51" spans="1:16" x14ac:dyDescent="0.25">
      <c r="A51" s="244"/>
      <c r="B51" s="245">
        <v>43160</v>
      </c>
      <c r="C51" s="244" t="s">
        <v>55</v>
      </c>
      <c r="D51" s="246"/>
      <c r="E51" s="246">
        <v>500</v>
      </c>
      <c r="F51" s="247"/>
      <c r="G51" s="207"/>
      <c r="H51" s="98"/>
      <c r="I51" s="12"/>
      <c r="K51" s="28"/>
    </row>
    <row r="52" spans="1:16" x14ac:dyDescent="0.25">
      <c r="A52" s="244"/>
      <c r="B52" s="245">
        <v>43190</v>
      </c>
      <c r="C52" s="244" t="s">
        <v>15</v>
      </c>
      <c r="D52" s="246"/>
      <c r="E52" s="246">
        <v>7000</v>
      </c>
      <c r="F52" s="247"/>
      <c r="G52" s="207"/>
      <c r="H52" s="98"/>
      <c r="I52" s="12"/>
      <c r="K52" s="28"/>
    </row>
    <row r="53" spans="1:16" x14ac:dyDescent="0.25">
      <c r="A53" s="244"/>
      <c r="B53" s="245"/>
      <c r="C53" s="244"/>
      <c r="D53" s="246"/>
      <c r="E53" s="246"/>
      <c r="F53" s="247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4" t="s">
        <v>18</v>
      </c>
      <c r="B54" s="245">
        <v>43200</v>
      </c>
      <c r="C54" s="244" t="s">
        <v>13</v>
      </c>
      <c r="D54" s="246">
        <v>20000</v>
      </c>
      <c r="E54" s="246"/>
      <c r="F54" s="247"/>
      <c r="G54" s="207"/>
      <c r="H54" s="98"/>
      <c r="I54" s="12"/>
      <c r="K54" s="28"/>
    </row>
    <row r="55" spans="1:16" x14ac:dyDescent="0.25">
      <c r="A55" s="244"/>
      <c r="B55" s="245">
        <v>43191</v>
      </c>
      <c r="C55" s="244" t="s">
        <v>181</v>
      </c>
      <c r="D55" s="246"/>
      <c r="E55" s="246">
        <v>1700</v>
      </c>
      <c r="F55" s="247"/>
      <c r="G55" s="207"/>
      <c r="H55" s="98"/>
      <c r="I55" s="12"/>
      <c r="K55" s="28"/>
    </row>
    <row r="56" spans="1:16" x14ac:dyDescent="0.25">
      <c r="A56" s="244"/>
      <c r="B56" s="245">
        <v>43202</v>
      </c>
      <c r="C56" s="244" t="s">
        <v>186</v>
      </c>
      <c r="D56" s="246"/>
      <c r="E56" s="246">
        <v>2200</v>
      </c>
      <c r="F56" s="247"/>
      <c r="G56" s="207"/>
      <c r="H56" s="98"/>
      <c r="I56" s="12"/>
      <c r="K56" s="28"/>
    </row>
    <row r="57" spans="1:16" x14ac:dyDescent="0.25">
      <c r="A57" s="244"/>
      <c r="B57" s="245">
        <v>43200</v>
      </c>
      <c r="C57" s="244" t="s">
        <v>172</v>
      </c>
      <c r="D57" s="246"/>
      <c r="E57" s="246">
        <f>1250+2100+1350</f>
        <v>4700</v>
      </c>
      <c r="F57" s="247"/>
      <c r="G57" s="207"/>
      <c r="H57" s="98"/>
      <c r="I57" s="12"/>
      <c r="K57" s="28"/>
      <c r="L57" s="28"/>
    </row>
    <row r="58" spans="1:16" x14ac:dyDescent="0.25">
      <c r="A58" s="244"/>
      <c r="B58" s="245">
        <v>43199</v>
      </c>
      <c r="C58" s="244" t="s">
        <v>208</v>
      </c>
      <c r="D58" s="246"/>
      <c r="E58" s="246">
        <v>2000</v>
      </c>
      <c r="F58" s="247"/>
      <c r="G58" s="207"/>
      <c r="H58" s="98"/>
      <c r="I58" s="12"/>
    </row>
    <row r="59" spans="1:16" x14ac:dyDescent="0.25">
      <c r="A59" s="244"/>
      <c r="B59" s="245">
        <v>43200</v>
      </c>
      <c r="C59" s="244" t="s">
        <v>199</v>
      </c>
      <c r="D59" s="246"/>
      <c r="E59" s="246">
        <v>5200</v>
      </c>
      <c r="F59" s="247"/>
      <c r="G59" s="207"/>
      <c r="H59" s="98"/>
      <c r="I59" s="12"/>
    </row>
    <row r="60" spans="1:16" x14ac:dyDescent="0.25">
      <c r="A60" s="244"/>
      <c r="B60" s="245">
        <v>43200</v>
      </c>
      <c r="C60" s="244" t="s">
        <v>39</v>
      </c>
      <c r="D60" s="246"/>
      <c r="E60" s="246">
        <v>400</v>
      </c>
      <c r="F60" s="247"/>
      <c r="G60" s="207"/>
      <c r="H60" s="98"/>
      <c r="I60" s="12"/>
    </row>
    <row r="61" spans="1:16" x14ac:dyDescent="0.25">
      <c r="A61" s="244"/>
      <c r="B61" s="245">
        <v>43186</v>
      </c>
      <c r="C61" s="244" t="s">
        <v>55</v>
      </c>
      <c r="D61" s="246"/>
      <c r="E61" s="246">
        <v>500</v>
      </c>
      <c r="F61" s="247"/>
      <c r="G61" s="207"/>
      <c r="H61" s="98"/>
      <c r="I61" s="12"/>
    </row>
    <row r="62" spans="1:16" x14ac:dyDescent="0.25">
      <c r="A62" s="244"/>
      <c r="B62" s="245">
        <v>43220</v>
      </c>
      <c r="C62" s="244" t="s">
        <v>15</v>
      </c>
      <c r="D62" s="246"/>
      <c r="E62" s="246">
        <v>2800</v>
      </c>
      <c r="F62" s="247"/>
      <c r="G62" s="207"/>
      <c r="H62" s="98"/>
      <c r="I62" s="12"/>
    </row>
    <row r="63" spans="1:16" x14ac:dyDescent="0.25">
      <c r="A63" s="244"/>
      <c r="B63" s="245"/>
      <c r="C63" s="244"/>
      <c r="D63" s="246"/>
      <c r="E63" s="246"/>
      <c r="F63" s="247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4" t="s">
        <v>20</v>
      </c>
      <c r="B64" s="245">
        <v>43224</v>
      </c>
      <c r="C64" s="244" t="s">
        <v>13</v>
      </c>
      <c r="D64" s="246">
        <v>20000</v>
      </c>
      <c r="E64" s="246"/>
      <c r="F64" s="247"/>
      <c r="G64" s="207"/>
      <c r="H64" s="149"/>
      <c r="I64" s="12"/>
      <c r="N64" s="77"/>
      <c r="O64" s="77"/>
      <c r="P64" s="77"/>
    </row>
    <row r="65" spans="1:16" x14ac:dyDescent="0.25">
      <c r="A65" s="244"/>
      <c r="B65" s="245">
        <v>43235</v>
      </c>
      <c r="C65" s="244" t="s">
        <v>208</v>
      </c>
      <c r="D65" s="246"/>
      <c r="E65" s="246">
        <v>4500</v>
      </c>
      <c r="F65" s="247"/>
      <c r="G65" s="207"/>
      <c r="H65" s="149"/>
      <c r="I65" s="12"/>
      <c r="N65" s="77"/>
      <c r="O65" s="77"/>
      <c r="P65" s="77"/>
    </row>
    <row r="66" spans="1:16" x14ac:dyDescent="0.25">
      <c r="A66" s="244"/>
      <c r="B66" s="245">
        <v>43207</v>
      </c>
      <c r="C66" s="244" t="s">
        <v>181</v>
      </c>
      <c r="D66" s="246"/>
      <c r="E66" s="246">
        <v>1700</v>
      </c>
      <c r="F66" s="247"/>
      <c r="G66" s="207"/>
      <c r="H66" s="76"/>
      <c r="I66" s="12"/>
      <c r="N66" s="77"/>
      <c r="O66" s="77"/>
      <c r="P66" s="77"/>
    </row>
    <row r="67" spans="1:16" x14ac:dyDescent="0.25">
      <c r="A67" s="244"/>
      <c r="B67" s="245">
        <v>43227</v>
      </c>
      <c r="C67" s="244" t="s">
        <v>186</v>
      </c>
      <c r="D67" s="246"/>
      <c r="E67" s="246">
        <v>6000</v>
      </c>
      <c r="F67" s="247"/>
      <c r="G67" s="207"/>
      <c r="H67" s="76"/>
      <c r="I67" s="102"/>
      <c r="N67" s="77"/>
      <c r="O67" s="77"/>
      <c r="P67" s="77"/>
    </row>
    <row r="68" spans="1:16" x14ac:dyDescent="0.25">
      <c r="A68" s="244"/>
      <c r="B68" s="245">
        <v>43222</v>
      </c>
      <c r="C68" s="244" t="s">
        <v>172</v>
      </c>
      <c r="D68" s="246"/>
      <c r="E68" s="246">
        <f>1250+1350</f>
        <v>2600</v>
      </c>
      <c r="F68" s="247"/>
      <c r="G68" s="207"/>
      <c r="H68" s="76"/>
      <c r="I68" s="12"/>
      <c r="N68" s="77"/>
      <c r="O68" s="77"/>
      <c r="P68" s="77"/>
    </row>
    <row r="69" spans="1:16" x14ac:dyDescent="0.25">
      <c r="A69" s="244"/>
      <c r="B69" s="245">
        <v>43224</v>
      </c>
      <c r="C69" s="244" t="s">
        <v>199</v>
      </c>
      <c r="D69" s="246"/>
      <c r="E69" s="246">
        <v>5200</v>
      </c>
      <c r="F69" s="247"/>
      <c r="G69" s="207"/>
      <c r="H69" s="76"/>
      <c r="I69" s="12"/>
      <c r="N69" s="77"/>
      <c r="O69" s="77"/>
      <c r="P69" s="77"/>
    </row>
    <row r="70" spans="1:16" x14ac:dyDescent="0.25">
      <c r="A70" s="244"/>
      <c r="B70" s="245">
        <v>43224</v>
      </c>
      <c r="C70" s="244" t="s">
        <v>39</v>
      </c>
      <c r="D70" s="246"/>
      <c r="E70" s="246">
        <v>500</v>
      </c>
      <c r="F70" s="247"/>
      <c r="G70" s="207"/>
      <c r="H70" s="76"/>
      <c r="I70" s="12"/>
      <c r="N70" s="77"/>
      <c r="O70" s="77"/>
      <c r="P70" s="77"/>
    </row>
    <row r="71" spans="1:16" x14ac:dyDescent="0.25">
      <c r="A71" s="244"/>
      <c r="B71" s="245">
        <v>43222</v>
      </c>
      <c r="C71" s="244" t="s">
        <v>55</v>
      </c>
      <c r="D71" s="246"/>
      <c r="E71" s="246">
        <v>500</v>
      </c>
      <c r="F71" s="247"/>
      <c r="G71" s="207"/>
      <c r="H71" s="76"/>
      <c r="I71" s="12"/>
    </row>
    <row r="72" spans="1:16" x14ac:dyDescent="0.25">
      <c r="A72" s="244"/>
      <c r="B72" s="245">
        <v>43251</v>
      </c>
      <c r="C72" s="244" t="s">
        <v>15</v>
      </c>
      <c r="D72" s="246"/>
      <c r="E72" s="246">
        <v>5500</v>
      </c>
      <c r="F72" s="247"/>
      <c r="G72" s="207"/>
      <c r="H72" s="76"/>
      <c r="I72" s="12"/>
    </row>
    <row r="73" spans="1:16" x14ac:dyDescent="0.25">
      <c r="A73" s="244"/>
      <c r="B73" s="245"/>
      <c r="C73" s="244"/>
      <c r="D73" s="246"/>
      <c r="E73" s="246"/>
      <c r="F73" s="247">
        <f>SUM(D63:D73)-SUM(E63:E73)</f>
        <v>-6500</v>
      </c>
      <c r="G73" s="207">
        <v>173726.11</v>
      </c>
      <c r="H73" s="76"/>
      <c r="I73" s="12"/>
    </row>
    <row r="74" spans="1:16" x14ac:dyDescent="0.25">
      <c r="A74" s="244" t="s">
        <v>21</v>
      </c>
      <c r="B74" s="245">
        <v>43252</v>
      </c>
      <c r="C74" s="244" t="s">
        <v>13</v>
      </c>
      <c r="D74" s="246">
        <v>25000</v>
      </c>
      <c r="E74" s="246"/>
      <c r="F74" s="247"/>
      <c r="G74" s="207"/>
      <c r="H74" s="98"/>
      <c r="I74" s="102"/>
    </row>
    <row r="75" spans="1:16" x14ac:dyDescent="0.25">
      <c r="A75" s="244"/>
      <c r="B75" s="245">
        <v>43248</v>
      </c>
      <c r="C75" s="244" t="s">
        <v>181</v>
      </c>
      <c r="D75" s="246"/>
      <c r="E75" s="246">
        <v>1700</v>
      </c>
      <c r="F75" s="247"/>
      <c r="G75" s="207"/>
      <c r="H75" s="98"/>
      <c r="I75" s="102"/>
      <c r="J75" s="132"/>
      <c r="K75" s="103"/>
      <c r="L75" s="103"/>
    </row>
    <row r="76" spans="1:16" x14ac:dyDescent="0.25">
      <c r="A76" s="244"/>
      <c r="B76" s="245">
        <v>43262</v>
      </c>
      <c r="C76" s="244" t="s">
        <v>231</v>
      </c>
      <c r="D76" s="246"/>
      <c r="E76" s="246">
        <v>3000</v>
      </c>
      <c r="F76" s="247"/>
      <c r="G76" s="207"/>
      <c r="H76" s="98"/>
      <c r="I76" s="102"/>
      <c r="J76" s="132"/>
      <c r="K76" s="104"/>
      <c r="L76" s="104"/>
    </row>
    <row r="77" spans="1:16" x14ac:dyDescent="0.25">
      <c r="A77" s="244"/>
      <c r="B77" s="245">
        <v>43252</v>
      </c>
      <c r="C77" s="244" t="s">
        <v>186</v>
      </c>
      <c r="D77" s="246"/>
      <c r="E77" s="246">
        <v>5500</v>
      </c>
      <c r="F77" s="247"/>
      <c r="G77" s="207"/>
      <c r="H77" s="98"/>
      <c r="I77" s="102"/>
      <c r="J77" s="132"/>
      <c r="L77" s="103"/>
    </row>
    <row r="78" spans="1:16" x14ac:dyDescent="0.25">
      <c r="A78" s="244"/>
      <c r="B78" s="245">
        <v>43252</v>
      </c>
      <c r="C78" s="244" t="s">
        <v>172</v>
      </c>
      <c r="D78" s="246"/>
      <c r="E78" s="246">
        <f>2600+600</f>
        <v>3200</v>
      </c>
      <c r="F78" s="247"/>
      <c r="G78" s="207"/>
      <c r="H78" s="98"/>
      <c r="I78" s="102"/>
      <c r="J78" s="132"/>
      <c r="K78" s="103"/>
      <c r="L78" s="103"/>
    </row>
    <row r="79" spans="1:16" x14ac:dyDescent="0.25">
      <c r="A79" s="244"/>
      <c r="B79" s="245">
        <v>43252</v>
      </c>
      <c r="C79" s="244" t="s">
        <v>208</v>
      </c>
      <c r="D79" s="246"/>
      <c r="E79" s="246">
        <v>4000</v>
      </c>
      <c r="F79" s="247"/>
      <c r="G79" s="207"/>
      <c r="H79" s="98"/>
      <c r="I79" s="102"/>
      <c r="J79" s="132"/>
      <c r="K79" s="103"/>
    </row>
    <row r="80" spans="1:16" x14ac:dyDescent="0.25">
      <c r="A80" s="244"/>
      <c r="B80" s="245">
        <v>43255</v>
      </c>
      <c r="C80" s="244" t="s">
        <v>199</v>
      </c>
      <c r="D80" s="246"/>
      <c r="E80" s="246">
        <v>5800</v>
      </c>
      <c r="F80" s="247"/>
      <c r="G80" s="207"/>
      <c r="H80" s="98"/>
      <c r="I80" s="102"/>
      <c r="J80" s="132"/>
    </row>
    <row r="81" spans="1:11" x14ac:dyDescent="0.25">
      <c r="A81" s="244"/>
      <c r="B81" s="245">
        <v>43252</v>
      </c>
      <c r="C81" s="244" t="s">
        <v>39</v>
      </c>
      <c r="D81" s="246"/>
      <c r="E81" s="246">
        <v>500</v>
      </c>
      <c r="F81" s="247"/>
      <c r="G81" s="207"/>
      <c r="H81" s="98"/>
      <c r="I81" s="102"/>
      <c r="J81" s="132"/>
    </row>
    <row r="82" spans="1:11" x14ac:dyDescent="0.25">
      <c r="A82" s="244"/>
      <c r="B82" s="245">
        <v>43245</v>
      </c>
      <c r="C82" s="244" t="s">
        <v>55</v>
      </c>
      <c r="D82" s="246"/>
      <c r="E82" s="246">
        <v>500</v>
      </c>
      <c r="F82" s="247"/>
      <c r="G82" s="207"/>
      <c r="H82" s="98"/>
      <c r="I82" s="102"/>
      <c r="J82" s="132"/>
    </row>
    <row r="83" spans="1:11" x14ac:dyDescent="0.25">
      <c r="A83" s="244"/>
      <c r="B83" s="245">
        <v>43281</v>
      </c>
      <c r="C83" s="244" t="s">
        <v>15</v>
      </c>
      <c r="D83" s="246"/>
      <c r="E83" s="246">
        <v>600</v>
      </c>
      <c r="F83" s="247"/>
      <c r="G83" s="207"/>
      <c r="H83" s="11"/>
      <c r="I83" s="102"/>
      <c r="J83" s="132"/>
    </row>
    <row r="84" spans="1:11" x14ac:dyDescent="0.25">
      <c r="A84" s="248"/>
      <c r="B84" s="249"/>
      <c r="C84" s="248"/>
      <c r="D84" s="250"/>
      <c r="E84" s="250"/>
      <c r="F84" s="251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2" t="s">
        <v>22</v>
      </c>
      <c r="B85" s="253">
        <v>43287</v>
      </c>
      <c r="C85" s="252" t="s">
        <v>13</v>
      </c>
      <c r="D85" s="254">
        <v>25000</v>
      </c>
      <c r="E85" s="254"/>
      <c r="F85" s="255"/>
      <c r="G85" s="207"/>
      <c r="H85" s="98"/>
      <c r="I85" s="102"/>
      <c r="J85" s="132"/>
    </row>
    <row r="86" spans="1:11" x14ac:dyDescent="0.25">
      <c r="A86" s="252"/>
      <c r="B86" s="253">
        <v>43284</v>
      </c>
      <c r="C86" s="252" t="s">
        <v>181</v>
      </c>
      <c r="D86" s="254"/>
      <c r="E86" s="254">
        <v>2500</v>
      </c>
      <c r="F86" s="255"/>
      <c r="G86" s="207"/>
      <c r="H86" s="98"/>
      <c r="I86" s="12"/>
      <c r="J86" s="132"/>
    </row>
    <row r="87" spans="1:11" x14ac:dyDescent="0.25">
      <c r="A87" s="252"/>
      <c r="B87" s="253">
        <v>43287</v>
      </c>
      <c r="C87" s="252" t="s">
        <v>186</v>
      </c>
      <c r="D87" s="254"/>
      <c r="E87" s="254">
        <f>2000</f>
        <v>2000</v>
      </c>
      <c r="F87" s="255"/>
      <c r="G87" s="207"/>
      <c r="H87" s="98"/>
      <c r="I87" s="12"/>
    </row>
    <row r="88" spans="1:11" x14ac:dyDescent="0.25">
      <c r="A88" s="252"/>
      <c r="B88" s="253">
        <v>43292</v>
      </c>
      <c r="C88" s="252" t="s">
        <v>232</v>
      </c>
      <c r="D88" s="254"/>
      <c r="E88" s="254">
        <f>2600+1500+5100</f>
        <v>9200</v>
      </c>
      <c r="F88" s="255"/>
      <c r="G88" s="207"/>
      <c r="H88" s="98"/>
      <c r="I88" s="12"/>
    </row>
    <row r="89" spans="1:11" x14ac:dyDescent="0.25">
      <c r="A89" s="252"/>
      <c r="B89" s="253">
        <v>43287</v>
      </c>
      <c r="C89" s="252" t="s">
        <v>199</v>
      </c>
      <c r="D89" s="254"/>
      <c r="E89" s="254">
        <v>6000</v>
      </c>
      <c r="F89" s="255"/>
      <c r="G89" s="207"/>
      <c r="H89" s="98"/>
      <c r="I89" s="12"/>
    </row>
    <row r="90" spans="1:11" x14ac:dyDescent="0.25">
      <c r="A90" s="252"/>
      <c r="B90" s="253">
        <v>43273</v>
      </c>
      <c r="C90" s="252" t="s">
        <v>55</v>
      </c>
      <c r="D90" s="254"/>
      <c r="E90" s="254">
        <v>500</v>
      </c>
      <c r="F90" s="255"/>
      <c r="G90" s="207"/>
      <c r="H90" s="11"/>
      <c r="I90" s="102"/>
      <c r="K90" s="36"/>
    </row>
    <row r="91" spans="1:11" x14ac:dyDescent="0.25">
      <c r="A91" s="252"/>
      <c r="B91" s="253">
        <v>43312</v>
      </c>
      <c r="C91" s="252" t="s">
        <v>15</v>
      </c>
      <c r="D91" s="254"/>
      <c r="E91" s="254">
        <v>1500</v>
      </c>
      <c r="F91" s="255"/>
      <c r="G91" s="207"/>
      <c r="H91" s="11"/>
      <c r="I91" s="102"/>
      <c r="J91" s="133"/>
      <c r="K91" s="36"/>
    </row>
    <row r="92" spans="1:11" x14ac:dyDescent="0.25">
      <c r="A92" s="252"/>
      <c r="B92" s="253"/>
      <c r="C92" s="252"/>
      <c r="D92" s="254"/>
      <c r="E92" s="254"/>
      <c r="F92" s="255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4" t="s">
        <v>23</v>
      </c>
      <c r="B93" s="245">
        <v>43322</v>
      </c>
      <c r="C93" s="244" t="s">
        <v>13</v>
      </c>
      <c r="D93" s="246">
        <v>25000</v>
      </c>
      <c r="E93" s="246"/>
      <c r="F93" s="247"/>
      <c r="G93" s="207"/>
      <c r="H93" s="149"/>
      <c r="I93" s="12"/>
      <c r="J93" s="133"/>
      <c r="K93" s="36"/>
    </row>
    <row r="94" spans="1:11" x14ac:dyDescent="0.25">
      <c r="A94" s="244"/>
      <c r="B94" s="245">
        <v>43311</v>
      </c>
      <c r="C94" s="244" t="s">
        <v>19</v>
      </c>
      <c r="D94" s="246">
        <v>12500</v>
      </c>
      <c r="E94" s="246"/>
      <c r="F94" s="247"/>
      <c r="G94" s="207"/>
      <c r="H94" s="149"/>
      <c r="I94" s="12"/>
      <c r="J94" s="133"/>
      <c r="K94" s="105"/>
    </row>
    <row r="95" spans="1:11" x14ac:dyDescent="0.25">
      <c r="A95" s="244"/>
      <c r="B95" s="245">
        <v>43308</v>
      </c>
      <c r="C95" s="244" t="s">
        <v>181</v>
      </c>
      <c r="D95" s="246"/>
      <c r="E95" s="246">
        <v>2500</v>
      </c>
      <c r="F95" s="247"/>
      <c r="G95" s="207"/>
      <c r="H95" s="11"/>
      <c r="I95" s="12"/>
      <c r="J95" s="133"/>
      <c r="K95" s="36"/>
    </row>
    <row r="96" spans="1:11" x14ac:dyDescent="0.25">
      <c r="A96" s="244"/>
      <c r="B96" s="245">
        <v>43322</v>
      </c>
      <c r="C96" s="244" t="s">
        <v>202</v>
      </c>
      <c r="D96" s="246"/>
      <c r="E96" s="246">
        <v>6000</v>
      </c>
      <c r="F96" s="247"/>
      <c r="G96" s="207"/>
      <c r="H96" s="11"/>
      <c r="I96" s="12"/>
      <c r="J96" s="133"/>
      <c r="K96" s="36"/>
    </row>
    <row r="97" spans="1:12" x14ac:dyDescent="0.25">
      <c r="A97" s="244"/>
      <c r="B97" s="245">
        <v>43322</v>
      </c>
      <c r="C97" s="244" t="s">
        <v>201</v>
      </c>
      <c r="D97" s="246"/>
      <c r="E97" s="246">
        <v>6500</v>
      </c>
      <c r="F97" s="247"/>
      <c r="G97" s="207"/>
      <c r="H97" s="11"/>
      <c r="I97" s="12"/>
      <c r="J97" s="133"/>
      <c r="K97" s="105"/>
    </row>
    <row r="98" spans="1:12" x14ac:dyDescent="0.25">
      <c r="A98" s="244"/>
      <c r="B98" s="245">
        <v>43319</v>
      </c>
      <c r="C98" s="244" t="s">
        <v>232</v>
      </c>
      <c r="D98" s="246"/>
      <c r="E98" s="246">
        <v>2600</v>
      </c>
      <c r="F98" s="247"/>
      <c r="G98" s="207"/>
      <c r="H98" s="11"/>
      <c r="I98" s="12"/>
      <c r="J98" s="133"/>
      <c r="K98" s="36"/>
    </row>
    <row r="99" spans="1:12" x14ac:dyDescent="0.25">
      <c r="A99" s="244"/>
      <c r="B99" s="245">
        <v>43321</v>
      </c>
      <c r="C99" s="244" t="s">
        <v>208</v>
      </c>
      <c r="D99" s="246"/>
      <c r="E99" s="246">
        <v>1700</v>
      </c>
      <c r="F99" s="247"/>
      <c r="G99" s="207"/>
      <c r="H99" s="11"/>
      <c r="I99" s="12"/>
      <c r="J99" s="133"/>
      <c r="K99" s="105"/>
    </row>
    <row r="100" spans="1:12" x14ac:dyDescent="0.25">
      <c r="A100" s="244"/>
      <c r="B100" s="245">
        <v>43314</v>
      </c>
      <c r="C100" s="244" t="s">
        <v>208</v>
      </c>
      <c r="D100" s="246"/>
      <c r="E100" s="246">
        <v>7100</v>
      </c>
      <c r="F100" s="247"/>
      <c r="G100" s="207"/>
      <c r="H100" s="11"/>
      <c r="I100" s="12"/>
      <c r="J100" s="133"/>
      <c r="K100" s="105"/>
    </row>
    <row r="101" spans="1:12" x14ac:dyDescent="0.25">
      <c r="A101" s="244"/>
      <c r="B101" s="245">
        <v>43308</v>
      </c>
      <c r="C101" s="244" t="s">
        <v>208</v>
      </c>
      <c r="D101" s="246"/>
      <c r="E101" s="246">
        <v>1700</v>
      </c>
      <c r="F101" s="247"/>
      <c r="G101" s="207"/>
      <c r="H101" s="11"/>
      <c r="I101" s="12"/>
      <c r="J101" s="133"/>
      <c r="K101" s="36"/>
    </row>
    <row r="102" spans="1:12" x14ac:dyDescent="0.25">
      <c r="A102" s="244"/>
      <c r="B102" s="245">
        <v>43322</v>
      </c>
      <c r="C102" s="244" t="s">
        <v>199</v>
      </c>
      <c r="D102" s="246"/>
      <c r="E102" s="246">
        <v>6400</v>
      </c>
      <c r="F102" s="247"/>
      <c r="G102" s="207"/>
      <c r="H102" s="11"/>
      <c r="I102" s="12"/>
      <c r="J102" s="133"/>
      <c r="K102" s="36"/>
    </row>
    <row r="103" spans="1:12" x14ac:dyDescent="0.25">
      <c r="A103" s="244"/>
      <c r="B103" s="245">
        <v>43300</v>
      </c>
      <c r="C103" s="244" t="s">
        <v>55</v>
      </c>
      <c r="D103" s="246"/>
      <c r="E103" s="246">
        <v>1000</v>
      </c>
      <c r="F103" s="247"/>
      <c r="G103" s="207"/>
      <c r="H103" s="11"/>
      <c r="I103" s="12"/>
      <c r="J103" s="133"/>
      <c r="K103" s="36"/>
    </row>
    <row r="104" spans="1:12" x14ac:dyDescent="0.25">
      <c r="A104" s="244"/>
      <c r="B104" s="245">
        <v>43343</v>
      </c>
      <c r="C104" s="244" t="s">
        <v>15</v>
      </c>
      <c r="D104" s="246"/>
      <c r="E104" s="246">
        <v>4500</v>
      </c>
      <c r="F104" s="247"/>
      <c r="G104" s="207"/>
      <c r="H104" s="11"/>
      <c r="I104" s="82"/>
      <c r="J104" s="133"/>
      <c r="K104" s="36"/>
    </row>
    <row r="105" spans="1:12" x14ac:dyDescent="0.25">
      <c r="A105" s="244"/>
      <c r="B105" s="245"/>
      <c r="C105" s="244"/>
      <c r="D105" s="246"/>
      <c r="E105" s="246"/>
      <c r="F105" s="247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4" t="s">
        <v>24</v>
      </c>
      <c r="B106" s="235">
        <v>43348</v>
      </c>
      <c r="C106" s="234" t="s">
        <v>13</v>
      </c>
      <c r="D106" s="236">
        <v>25000</v>
      </c>
      <c r="E106" s="236"/>
      <c r="F106" s="237"/>
      <c r="G106" s="207"/>
      <c r="H106" s="11"/>
      <c r="I106" s="12"/>
      <c r="J106" s="133"/>
      <c r="K106" s="15"/>
    </row>
    <row r="107" spans="1:12" x14ac:dyDescent="0.25">
      <c r="A107" s="234"/>
      <c r="B107" s="235">
        <v>43341</v>
      </c>
      <c r="C107" s="234" t="s">
        <v>235</v>
      </c>
      <c r="D107" s="236"/>
      <c r="E107" s="236">
        <v>2500</v>
      </c>
      <c r="F107" s="237"/>
      <c r="G107" s="207"/>
      <c r="H107" s="11"/>
      <c r="I107" s="12"/>
      <c r="J107" s="133"/>
      <c r="K107" s="15"/>
    </row>
    <row r="108" spans="1:12" x14ac:dyDescent="0.25">
      <c r="A108" s="234"/>
      <c r="B108" s="235">
        <v>43349</v>
      </c>
      <c r="C108" s="234" t="s">
        <v>234</v>
      </c>
      <c r="D108" s="236"/>
      <c r="E108" s="236">
        <f>8000+2500</f>
        <v>10500</v>
      </c>
      <c r="F108" s="237"/>
      <c r="G108" s="207"/>
      <c r="H108" s="11"/>
      <c r="I108" s="12"/>
      <c r="J108" s="133"/>
      <c r="K108" s="15"/>
    </row>
    <row r="109" spans="1:12" x14ac:dyDescent="0.25">
      <c r="A109" s="234"/>
      <c r="B109" s="235">
        <v>43353</v>
      </c>
      <c r="C109" s="234" t="s">
        <v>232</v>
      </c>
      <c r="D109" s="236"/>
      <c r="E109" s="236">
        <v>1400</v>
      </c>
      <c r="F109" s="237"/>
      <c r="G109" s="207"/>
      <c r="H109" s="11"/>
      <c r="I109" s="12"/>
      <c r="J109" s="133"/>
      <c r="K109" s="15"/>
    </row>
    <row r="110" spans="1:12" x14ac:dyDescent="0.25">
      <c r="A110" s="234"/>
      <c r="B110" s="235">
        <v>43349</v>
      </c>
      <c r="C110" s="234" t="s">
        <v>233</v>
      </c>
      <c r="D110" s="236"/>
      <c r="E110" s="236">
        <v>2500</v>
      </c>
      <c r="F110" s="237"/>
      <c r="G110" s="207"/>
      <c r="H110" s="11"/>
      <c r="I110" s="12"/>
      <c r="J110" s="133"/>
      <c r="K110" s="15"/>
      <c r="L110" s="103"/>
    </row>
    <row r="111" spans="1:12" x14ac:dyDescent="0.25">
      <c r="A111" s="234"/>
      <c r="B111" s="235">
        <v>43349</v>
      </c>
      <c r="C111" s="234" t="s">
        <v>199</v>
      </c>
      <c r="D111" s="236"/>
      <c r="E111" s="236">
        <v>6400</v>
      </c>
      <c r="F111" s="237"/>
      <c r="G111" s="207"/>
      <c r="H111" s="11"/>
      <c r="I111" s="12"/>
      <c r="J111" s="133"/>
      <c r="K111" s="15"/>
      <c r="L111" s="103"/>
    </row>
    <row r="112" spans="1:12" x14ac:dyDescent="0.25">
      <c r="A112" s="234"/>
      <c r="B112" s="235">
        <v>43354</v>
      </c>
      <c r="C112" s="234" t="s">
        <v>55</v>
      </c>
      <c r="D112" s="236"/>
      <c r="E112" s="236">
        <v>500</v>
      </c>
      <c r="F112" s="237"/>
      <c r="G112" s="207"/>
      <c r="H112" s="11"/>
      <c r="I112" s="12"/>
      <c r="J112" s="133"/>
      <c r="K112" s="15"/>
      <c r="L112" s="104"/>
    </row>
    <row r="113" spans="1:13" x14ac:dyDescent="0.25">
      <c r="A113" s="234"/>
      <c r="B113" s="235">
        <v>43373</v>
      </c>
      <c r="C113" s="234" t="s">
        <v>15</v>
      </c>
      <c r="D113" s="236"/>
      <c r="E113" s="236">
        <v>1600</v>
      </c>
      <c r="F113" s="237"/>
      <c r="G113" s="207"/>
      <c r="H113" s="11"/>
      <c r="I113" s="12"/>
      <c r="J113" s="133"/>
      <c r="K113" s="15"/>
      <c r="L113" s="103"/>
    </row>
    <row r="114" spans="1:13" x14ac:dyDescent="0.25">
      <c r="A114" s="234"/>
      <c r="B114" s="235"/>
      <c r="C114" s="234"/>
      <c r="D114" s="236"/>
      <c r="E114" s="236"/>
      <c r="F114" s="237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4" t="s">
        <v>25</v>
      </c>
      <c r="B115" s="235">
        <v>43382</v>
      </c>
      <c r="C115" s="234" t="s">
        <v>13</v>
      </c>
      <c r="D115" s="236">
        <v>25000</v>
      </c>
      <c r="E115" s="236"/>
      <c r="F115" s="237"/>
      <c r="G115" s="208"/>
      <c r="H115" s="98"/>
      <c r="I115" s="12"/>
      <c r="J115" s="133"/>
      <c r="K115" s="105"/>
      <c r="L115" s="103"/>
    </row>
    <row r="116" spans="1:13" x14ac:dyDescent="0.25">
      <c r="A116" s="234"/>
      <c r="B116" s="235">
        <v>43380</v>
      </c>
      <c r="C116" s="234" t="s">
        <v>235</v>
      </c>
      <c r="D116" s="236"/>
      <c r="E116" s="236">
        <v>2500</v>
      </c>
      <c r="F116" s="237"/>
      <c r="G116" s="208"/>
      <c r="H116" s="98"/>
      <c r="I116" s="12"/>
      <c r="J116" s="133"/>
      <c r="K116" s="106"/>
      <c r="L116" s="103"/>
    </row>
    <row r="117" spans="1:13" x14ac:dyDescent="0.25">
      <c r="A117" s="234"/>
      <c r="B117" s="235">
        <v>43383</v>
      </c>
      <c r="C117" s="234" t="s">
        <v>234</v>
      </c>
      <c r="D117" s="236"/>
      <c r="E117" s="236">
        <v>7000</v>
      </c>
      <c r="F117" s="237"/>
      <c r="G117" s="208"/>
      <c r="H117" s="98"/>
      <c r="I117" s="12"/>
      <c r="J117" s="133"/>
      <c r="K117" s="105"/>
      <c r="L117" s="103"/>
    </row>
    <row r="118" spans="1:13" x14ac:dyDescent="0.25">
      <c r="A118" s="234"/>
      <c r="B118" s="235">
        <v>43385</v>
      </c>
      <c r="C118" s="234" t="s">
        <v>232</v>
      </c>
      <c r="D118" s="236"/>
      <c r="E118" s="236">
        <v>1300</v>
      </c>
      <c r="F118" s="237"/>
      <c r="G118" s="208"/>
      <c r="H118" s="98"/>
      <c r="I118" s="12"/>
      <c r="J118" s="133"/>
      <c r="K118" s="106"/>
      <c r="L118" s="103"/>
    </row>
    <row r="119" spans="1:13" x14ac:dyDescent="0.25">
      <c r="A119" s="234"/>
      <c r="B119" s="235">
        <v>43363</v>
      </c>
      <c r="C119" s="234" t="s">
        <v>183</v>
      </c>
      <c r="D119" s="236"/>
      <c r="E119" s="236">
        <v>1000</v>
      </c>
      <c r="F119" s="237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4"/>
      <c r="B120" s="235">
        <v>43378</v>
      </c>
      <c r="C120" s="234" t="s">
        <v>218</v>
      </c>
      <c r="D120" s="236"/>
      <c r="E120" s="236">
        <v>2100</v>
      </c>
      <c r="F120" s="237"/>
      <c r="G120" s="208"/>
      <c r="H120" s="72"/>
      <c r="I120" s="102"/>
      <c r="K120" s="48"/>
      <c r="L120" s="103"/>
      <c r="M120" s="103"/>
    </row>
    <row r="121" spans="1:13" x14ac:dyDescent="0.25">
      <c r="A121" s="234"/>
      <c r="B121" s="235">
        <v>43382</v>
      </c>
      <c r="C121" s="234" t="s">
        <v>55</v>
      </c>
      <c r="D121" s="236"/>
      <c r="E121" s="236">
        <v>1000</v>
      </c>
      <c r="F121" s="237"/>
      <c r="G121" s="208"/>
      <c r="H121" s="72"/>
      <c r="I121" s="102"/>
      <c r="K121" s="104"/>
      <c r="L121" s="103"/>
      <c r="M121" s="103"/>
    </row>
    <row r="122" spans="1:13" x14ac:dyDescent="0.25">
      <c r="A122" s="234"/>
      <c r="B122" s="235">
        <v>43378</v>
      </c>
      <c r="C122" s="234" t="s">
        <v>238</v>
      </c>
      <c r="D122" s="236"/>
      <c r="E122" s="236">
        <v>2300</v>
      </c>
      <c r="F122" s="237"/>
      <c r="G122" s="208"/>
      <c r="H122" s="72"/>
      <c r="I122" s="102"/>
      <c r="K122" s="104"/>
      <c r="L122" s="104"/>
      <c r="M122" s="104"/>
    </row>
    <row r="123" spans="1:13" x14ac:dyDescent="0.25">
      <c r="A123" s="234"/>
      <c r="B123" s="235">
        <v>43370</v>
      </c>
      <c r="C123" s="234" t="s">
        <v>239</v>
      </c>
      <c r="D123" s="236"/>
      <c r="E123" s="236">
        <v>400</v>
      </c>
      <c r="F123" s="237"/>
      <c r="G123" s="208"/>
      <c r="H123" s="72"/>
      <c r="I123" s="102"/>
      <c r="K123" s="104"/>
      <c r="L123" s="104"/>
      <c r="M123" s="104"/>
    </row>
    <row r="124" spans="1:13" x14ac:dyDescent="0.25">
      <c r="A124" s="234"/>
      <c r="B124" s="235">
        <v>43385</v>
      </c>
      <c r="C124" s="234" t="s">
        <v>183</v>
      </c>
      <c r="D124" s="236"/>
      <c r="E124" s="236">
        <v>1000</v>
      </c>
      <c r="F124" s="237"/>
      <c r="G124" s="208"/>
      <c r="H124" s="72"/>
      <c r="I124" s="102"/>
      <c r="K124" s="104"/>
      <c r="L124" s="104"/>
      <c r="M124" s="104"/>
    </row>
    <row r="125" spans="1:13" x14ac:dyDescent="0.25">
      <c r="A125" s="234"/>
      <c r="B125" s="235">
        <v>43382</v>
      </c>
      <c r="C125" s="234" t="s">
        <v>240</v>
      </c>
      <c r="D125" s="236"/>
      <c r="E125" s="236">
        <v>1000</v>
      </c>
      <c r="F125" s="237"/>
      <c r="G125" s="208"/>
      <c r="H125" s="72"/>
      <c r="I125" s="102"/>
      <c r="K125" s="104"/>
      <c r="L125" s="104"/>
      <c r="M125" s="104"/>
    </row>
    <row r="126" spans="1:13" x14ac:dyDescent="0.25">
      <c r="A126" s="234"/>
      <c r="B126" s="235">
        <v>43404</v>
      </c>
      <c r="C126" s="234" t="s">
        <v>15</v>
      </c>
      <c r="D126" s="236"/>
      <c r="E126" s="236">
        <v>100</v>
      </c>
      <c r="F126" s="237"/>
      <c r="G126" s="207"/>
      <c r="H126" s="72"/>
      <c r="I126" s="102"/>
      <c r="K126" s="104"/>
      <c r="L126" s="103"/>
      <c r="M126" s="103"/>
    </row>
    <row r="127" spans="1:13" x14ac:dyDescent="0.25">
      <c r="A127" s="234"/>
      <c r="B127" s="235"/>
      <c r="C127" s="234"/>
      <c r="D127" s="236"/>
      <c r="E127" s="236"/>
      <c r="F127" s="237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4" t="s">
        <v>26</v>
      </c>
      <c r="B128" s="235">
        <v>43406</v>
      </c>
      <c r="C128" s="234" t="s">
        <v>13</v>
      </c>
      <c r="D128" s="236">
        <v>25000</v>
      </c>
      <c r="E128" s="236"/>
      <c r="F128" s="237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4"/>
      <c r="B129" s="235">
        <v>43407</v>
      </c>
      <c r="C129" s="234" t="s">
        <v>235</v>
      </c>
      <c r="D129" s="236"/>
      <c r="E129" s="236">
        <v>2500</v>
      </c>
      <c r="F129" s="237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4"/>
      <c r="B130" s="235">
        <v>43412</v>
      </c>
      <c r="C130" s="234" t="s">
        <v>202</v>
      </c>
      <c r="D130" s="236"/>
      <c r="E130" s="236">
        <v>6000</v>
      </c>
      <c r="F130" s="237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4"/>
      <c r="B131" s="235">
        <v>43413</v>
      </c>
      <c r="C131" s="234" t="s">
        <v>234</v>
      </c>
      <c r="D131" s="236"/>
      <c r="E131" s="236">
        <f>4200+2700</f>
        <v>6900</v>
      </c>
      <c r="F131" s="237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4"/>
      <c r="B132" s="235">
        <v>43412</v>
      </c>
      <c r="C132" s="234" t="s">
        <v>232</v>
      </c>
      <c r="D132" s="236"/>
      <c r="E132" s="236">
        <v>1200</v>
      </c>
      <c r="F132" s="237"/>
      <c r="G132" s="207"/>
      <c r="H132" s="98"/>
      <c r="I132" s="12"/>
      <c r="J132" s="133"/>
      <c r="K132" s="88"/>
      <c r="L132" s="88"/>
    </row>
    <row r="133" spans="1:13" x14ac:dyDescent="0.25">
      <c r="A133" s="234"/>
      <c r="B133" s="235">
        <v>43412</v>
      </c>
      <c r="C133" s="234" t="s">
        <v>183</v>
      </c>
      <c r="D133" s="236"/>
      <c r="E133" s="236">
        <v>400</v>
      </c>
      <c r="F133" s="237"/>
      <c r="G133" s="207"/>
      <c r="H133" s="98"/>
      <c r="I133" s="12"/>
      <c r="M133" s="103"/>
    </row>
    <row r="134" spans="1:13" x14ac:dyDescent="0.25">
      <c r="A134" s="234"/>
      <c r="B134" s="235">
        <v>43405</v>
      </c>
      <c r="C134" s="234" t="s">
        <v>218</v>
      </c>
      <c r="D134" s="236"/>
      <c r="E134" s="236">
        <v>2200</v>
      </c>
      <c r="F134" s="237"/>
      <c r="G134" s="207"/>
      <c r="H134" s="98"/>
      <c r="I134" s="12"/>
      <c r="M134" s="103"/>
    </row>
    <row r="135" spans="1:13" x14ac:dyDescent="0.25">
      <c r="A135" s="234"/>
      <c r="B135" s="235">
        <v>43392</v>
      </c>
      <c r="C135" s="234" t="s">
        <v>39</v>
      </c>
      <c r="D135" s="236"/>
      <c r="E135" s="236">
        <v>300</v>
      </c>
      <c r="F135" s="237"/>
      <c r="G135" s="207"/>
      <c r="H135" s="98"/>
      <c r="I135" s="12"/>
      <c r="M135" s="104"/>
    </row>
    <row r="136" spans="1:13" x14ac:dyDescent="0.25">
      <c r="A136" s="234"/>
      <c r="B136" s="235">
        <v>43417</v>
      </c>
      <c r="C136" s="234" t="s">
        <v>39</v>
      </c>
      <c r="D136" s="236"/>
      <c r="E136" s="236">
        <v>400</v>
      </c>
      <c r="F136" s="237"/>
      <c r="G136" s="207"/>
      <c r="H136" s="98"/>
      <c r="I136" s="12"/>
      <c r="M136" s="103"/>
    </row>
    <row r="137" spans="1:13" x14ac:dyDescent="0.25">
      <c r="A137" s="234"/>
      <c r="B137" s="235">
        <v>43412</v>
      </c>
      <c r="C137" s="234" t="s">
        <v>55</v>
      </c>
      <c r="D137" s="236"/>
      <c r="E137" s="236">
        <v>600</v>
      </c>
      <c r="F137" s="237"/>
      <c r="G137" s="207"/>
      <c r="H137" s="98"/>
      <c r="I137" s="12"/>
    </row>
    <row r="138" spans="1:13" x14ac:dyDescent="0.25">
      <c r="A138" s="234"/>
      <c r="B138" s="235">
        <v>43406</v>
      </c>
      <c r="C138" s="234" t="s">
        <v>238</v>
      </c>
      <c r="D138" s="236"/>
      <c r="E138" s="236">
        <f>2000+600</f>
        <v>2600</v>
      </c>
      <c r="F138" s="237"/>
      <c r="G138" s="207"/>
      <c r="H138" s="98"/>
    </row>
    <row r="139" spans="1:13" x14ac:dyDescent="0.25">
      <c r="A139" s="234"/>
      <c r="B139" s="235">
        <v>43434</v>
      </c>
      <c r="C139" s="234" t="s">
        <v>15</v>
      </c>
      <c r="D139" s="236"/>
      <c r="E139" s="236">
        <v>800</v>
      </c>
      <c r="F139" s="237"/>
      <c r="G139" s="207"/>
      <c r="H139" s="98"/>
    </row>
    <row r="140" spans="1:13" x14ac:dyDescent="0.25">
      <c r="A140" s="234"/>
      <c r="B140" s="235"/>
      <c r="C140" s="234"/>
      <c r="D140" s="236"/>
      <c r="E140" s="236"/>
      <c r="F140" s="237">
        <f>SUM(D127:D140)-SUM(E127:E140)</f>
        <v>1100</v>
      </c>
      <c r="G140" s="207">
        <v>222714.42</v>
      </c>
      <c r="H140" s="98"/>
    </row>
    <row r="141" spans="1:13" x14ac:dyDescent="0.25">
      <c r="A141" s="234" t="s">
        <v>27</v>
      </c>
      <c r="B141" s="235">
        <v>43441</v>
      </c>
      <c r="C141" s="234" t="s">
        <v>13</v>
      </c>
      <c r="D141" s="236">
        <v>25000</v>
      </c>
      <c r="E141" s="236"/>
      <c r="F141" s="237"/>
      <c r="G141" s="207"/>
      <c r="H141" s="11"/>
      <c r="L141" s="40"/>
      <c r="M141" s="131"/>
    </row>
    <row r="142" spans="1:13" x14ac:dyDescent="0.25">
      <c r="A142" s="234"/>
      <c r="B142" s="235">
        <v>43452</v>
      </c>
      <c r="C142" s="234" t="s">
        <v>208</v>
      </c>
      <c r="D142" s="236">
        <v>42000</v>
      </c>
      <c r="E142" s="236"/>
      <c r="F142" s="237"/>
      <c r="G142" s="207"/>
      <c r="H142" s="11"/>
      <c r="J142"/>
      <c r="M142" s="131"/>
    </row>
    <row r="143" spans="1:13" x14ac:dyDescent="0.25">
      <c r="A143" s="234"/>
      <c r="B143" s="235">
        <v>43452</v>
      </c>
      <c r="C143" s="234" t="s">
        <v>183</v>
      </c>
      <c r="D143" s="236"/>
      <c r="E143" s="236">
        <v>9000</v>
      </c>
      <c r="F143" s="237"/>
      <c r="G143" s="207"/>
      <c r="H143" s="11"/>
      <c r="M143" s="131"/>
    </row>
    <row r="144" spans="1:13" x14ac:dyDescent="0.25">
      <c r="A144" s="234"/>
      <c r="B144" s="235">
        <v>43452</v>
      </c>
      <c r="C144" s="234" t="s">
        <v>247</v>
      </c>
      <c r="D144" s="236"/>
      <c r="E144" s="236">
        <v>3500</v>
      </c>
      <c r="F144" s="237"/>
      <c r="G144" s="207"/>
      <c r="M144" s="131"/>
    </row>
    <row r="145" spans="1:13" x14ac:dyDescent="0.25">
      <c r="A145" s="234"/>
      <c r="B145" s="235">
        <v>43452</v>
      </c>
      <c r="C145" s="234" t="s">
        <v>53</v>
      </c>
      <c r="D145" s="236"/>
      <c r="E145" s="236">
        <v>7000</v>
      </c>
      <c r="F145" s="237"/>
      <c r="G145" s="207"/>
      <c r="H145" s="11"/>
      <c r="M145" s="131"/>
    </row>
    <row r="146" spans="1:13" x14ac:dyDescent="0.25">
      <c r="A146" s="234"/>
      <c r="B146" s="235">
        <v>43452</v>
      </c>
      <c r="C146" s="234" t="s">
        <v>214</v>
      </c>
      <c r="D146" s="236"/>
      <c r="E146" s="236">
        <v>17500</v>
      </c>
      <c r="F146" s="237"/>
      <c r="G146" s="207"/>
      <c r="H146" s="11"/>
      <c r="M146" s="131"/>
    </row>
    <row r="147" spans="1:13" x14ac:dyDescent="0.25">
      <c r="A147" s="234"/>
      <c r="B147" s="235">
        <v>43456</v>
      </c>
      <c r="C147" s="234" t="s">
        <v>246</v>
      </c>
      <c r="D147" s="236"/>
      <c r="E147" s="236">
        <v>1500</v>
      </c>
      <c r="F147" s="237"/>
      <c r="G147" s="207"/>
      <c r="H147" s="11"/>
      <c r="M147" s="131"/>
    </row>
    <row r="148" spans="1:13" x14ac:dyDescent="0.25">
      <c r="A148" s="234"/>
      <c r="B148" s="235">
        <v>43441</v>
      </c>
      <c r="C148" s="234" t="s">
        <v>235</v>
      </c>
      <c r="D148" s="236"/>
      <c r="E148" s="236">
        <v>2500</v>
      </c>
      <c r="F148" s="237"/>
      <c r="G148" s="207"/>
      <c r="H148" s="98"/>
      <c r="K148" s="263"/>
      <c r="M148" s="131"/>
    </row>
    <row r="149" spans="1:13" x14ac:dyDescent="0.25">
      <c r="A149" s="234"/>
      <c r="B149" s="235">
        <v>43444</v>
      </c>
      <c r="C149" s="234" t="s">
        <v>201</v>
      </c>
      <c r="D149" s="236"/>
      <c r="E149" s="236">
        <v>2500</v>
      </c>
      <c r="F149" s="237"/>
      <c r="G149" s="207"/>
      <c r="H149" s="98"/>
      <c r="K149" s="131"/>
    </row>
    <row r="150" spans="1:13" x14ac:dyDescent="0.25">
      <c r="A150" s="234"/>
      <c r="B150" s="235">
        <v>43444</v>
      </c>
      <c r="C150" s="234" t="s">
        <v>202</v>
      </c>
      <c r="D150" s="236"/>
      <c r="E150" s="236">
        <v>6600</v>
      </c>
      <c r="F150" s="237"/>
      <c r="G150" s="207"/>
      <c r="K150" s="131"/>
    </row>
    <row r="151" spans="1:13" x14ac:dyDescent="0.25">
      <c r="A151" s="234"/>
      <c r="B151" s="235">
        <v>43434</v>
      </c>
      <c r="C151" s="234" t="s">
        <v>218</v>
      </c>
      <c r="D151" s="236"/>
      <c r="E151" s="236">
        <v>1600</v>
      </c>
      <c r="F151" s="237"/>
      <c r="G151" s="207"/>
      <c r="M151" s="103"/>
    </row>
    <row r="152" spans="1:13" x14ac:dyDescent="0.25">
      <c r="A152" s="234"/>
      <c r="B152" s="235">
        <v>43437</v>
      </c>
      <c r="C152" s="234" t="s">
        <v>39</v>
      </c>
      <c r="D152" s="236"/>
      <c r="E152" s="236">
        <f>800</f>
        <v>800</v>
      </c>
      <c r="F152" s="237"/>
      <c r="G152" s="207"/>
      <c r="H152" s="98"/>
      <c r="M152" s="103"/>
    </row>
    <row r="153" spans="1:13" x14ac:dyDescent="0.25">
      <c r="A153" s="234"/>
      <c r="B153" s="235">
        <v>43436</v>
      </c>
      <c r="C153" s="234" t="s">
        <v>248</v>
      </c>
      <c r="D153" s="236"/>
      <c r="E153" s="236">
        <v>2300</v>
      </c>
      <c r="F153" s="237"/>
      <c r="G153" s="207"/>
      <c r="H153" s="98"/>
      <c r="M153" s="104"/>
    </row>
    <row r="154" spans="1:13" x14ac:dyDescent="0.25">
      <c r="A154" s="234"/>
      <c r="B154" s="235">
        <v>43441</v>
      </c>
      <c r="C154" s="234" t="s">
        <v>243</v>
      </c>
      <c r="D154" s="236"/>
      <c r="E154" s="236">
        <v>600</v>
      </c>
      <c r="F154" s="237"/>
      <c r="G154" s="207"/>
      <c r="H154" s="98"/>
    </row>
    <row r="155" spans="1:13" x14ac:dyDescent="0.25">
      <c r="A155" s="234"/>
      <c r="B155" s="235">
        <v>43438</v>
      </c>
      <c r="C155" s="234" t="s">
        <v>245</v>
      </c>
      <c r="D155" s="236"/>
      <c r="E155" s="236">
        <v>1200</v>
      </c>
      <c r="F155" s="237"/>
      <c r="G155" s="207"/>
      <c r="H155" s="98"/>
    </row>
    <row r="156" spans="1:13" x14ac:dyDescent="0.25">
      <c r="A156" s="234"/>
      <c r="B156" s="235">
        <v>43442</v>
      </c>
      <c r="C156" s="234" t="s">
        <v>250</v>
      </c>
      <c r="D156" s="236"/>
      <c r="E156" s="236">
        <v>1000</v>
      </c>
      <c r="F156" s="237"/>
      <c r="G156" s="207"/>
      <c r="H156" s="98"/>
    </row>
    <row r="157" spans="1:13" x14ac:dyDescent="0.25">
      <c r="A157" s="234"/>
      <c r="B157" s="235">
        <v>43441</v>
      </c>
      <c r="C157" s="234" t="s">
        <v>249</v>
      </c>
      <c r="D157" s="236"/>
      <c r="E157" s="236">
        <v>1000</v>
      </c>
      <c r="F157" s="237"/>
      <c r="G157" s="207"/>
    </row>
    <row r="158" spans="1:13" x14ac:dyDescent="0.25">
      <c r="A158" s="234"/>
      <c r="B158" s="235">
        <v>43452</v>
      </c>
      <c r="C158" s="234" t="s">
        <v>55</v>
      </c>
      <c r="D158" s="236"/>
      <c r="E158" s="236">
        <v>1200</v>
      </c>
      <c r="F158" s="237"/>
      <c r="G158" s="207"/>
    </row>
    <row r="159" spans="1:13" x14ac:dyDescent="0.25">
      <c r="A159" s="234"/>
      <c r="B159" s="235">
        <v>43452</v>
      </c>
      <c r="C159" s="234" t="s">
        <v>251</v>
      </c>
      <c r="D159" s="236">
        <v>1500</v>
      </c>
      <c r="E159" s="236"/>
      <c r="F159" s="237"/>
      <c r="G159" s="207"/>
    </row>
    <row r="160" spans="1:13" x14ac:dyDescent="0.25">
      <c r="A160" s="234"/>
      <c r="B160" s="235">
        <v>43458</v>
      </c>
      <c r="C160" s="234" t="s">
        <v>203</v>
      </c>
      <c r="D160" s="236"/>
      <c r="E160" s="236">
        <v>4500</v>
      </c>
      <c r="F160" s="237"/>
      <c r="G160" s="207"/>
    </row>
    <row r="161" spans="1:12" x14ac:dyDescent="0.25">
      <c r="A161" s="234"/>
      <c r="B161" s="235">
        <v>43465</v>
      </c>
      <c r="C161" s="234" t="s">
        <v>15</v>
      </c>
      <c r="D161" s="236"/>
      <c r="E161" s="236">
        <v>1700</v>
      </c>
      <c r="F161" s="237"/>
      <c r="G161" s="207"/>
      <c r="H161" s="98"/>
    </row>
    <row r="162" spans="1:12" x14ac:dyDescent="0.25">
      <c r="A162" s="234"/>
      <c r="B162" s="235"/>
      <c r="C162" s="234"/>
      <c r="D162" s="236"/>
      <c r="E162" s="236"/>
      <c r="F162" s="237">
        <f>SUM(D140:D162)-SUM(E140:E162)</f>
        <v>2500</v>
      </c>
      <c r="G162" s="207">
        <v>214775.49</v>
      </c>
      <c r="H162" s="98"/>
      <c r="I162" s="212"/>
      <c r="J162" s="221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599" t="s">
        <v>28</v>
      </c>
      <c r="J167" s="598">
        <f>+J168/36</f>
        <v>4647.2241666666669</v>
      </c>
      <c r="K167" s="599"/>
    </row>
    <row r="168" spans="1:12" x14ac:dyDescent="0.25">
      <c r="A168" s="19"/>
      <c r="D168" s="121"/>
      <c r="E168" s="121"/>
      <c r="I168" s="599"/>
      <c r="J168" s="598">
        <v>167300.07</v>
      </c>
      <c r="K168" s="599"/>
    </row>
    <row r="169" spans="1:12" x14ac:dyDescent="0.25">
      <c r="A169" s="19"/>
      <c r="D169" s="121"/>
      <c r="E169" s="121"/>
      <c r="I169" s="599" t="s">
        <v>144</v>
      </c>
      <c r="J169" s="598" t="s">
        <v>145</v>
      </c>
      <c r="K169" s="599" t="s">
        <v>146</v>
      </c>
    </row>
    <row r="170" spans="1:12" x14ac:dyDescent="0.25">
      <c r="A170" s="19"/>
      <c r="D170" s="121"/>
      <c r="E170" s="121"/>
      <c r="I170" s="600">
        <f>_ENE18v</f>
        <v>160483.16</v>
      </c>
      <c r="J170" s="598">
        <f>+I170-J168</f>
        <v>-6816.9100000000035</v>
      </c>
      <c r="K170" s="601">
        <f>(+J170*100/J168)/100</f>
        <v>-4.0746605784444695E-2</v>
      </c>
    </row>
    <row r="171" spans="1:12" x14ac:dyDescent="0.25">
      <c r="A171" s="19"/>
      <c r="D171" s="121"/>
      <c r="E171" s="121"/>
      <c r="I171" s="600">
        <f>_FEB18v</f>
        <v>164817.97</v>
      </c>
      <c r="J171" s="598">
        <f t="shared" ref="J171:J179" si="0">+I171-I170</f>
        <v>4334.8099999999977</v>
      </c>
      <c r="K171" s="601">
        <f t="shared" ref="K171:K179" si="1">(+J171*100/I170)/100</f>
        <v>2.7010996044694022E-2</v>
      </c>
    </row>
    <row r="172" spans="1:12" x14ac:dyDescent="0.25">
      <c r="A172" s="19"/>
      <c r="D172" s="121"/>
      <c r="E172" s="121"/>
      <c r="I172" s="600">
        <f>_MAR18v</f>
        <v>169318.76</v>
      </c>
      <c r="J172" s="598">
        <f t="shared" si="0"/>
        <v>4500.7900000000081</v>
      </c>
      <c r="K172" s="601">
        <f t="shared" si="1"/>
        <v>2.730764127236859E-2</v>
      </c>
    </row>
    <row r="173" spans="1:12" x14ac:dyDescent="0.25">
      <c r="A173" s="19"/>
      <c r="D173" s="121"/>
      <c r="E173" s="121"/>
      <c r="I173" s="600">
        <f>_ABR18v</f>
        <v>176743.38</v>
      </c>
      <c r="J173" s="598">
        <f t="shared" si="0"/>
        <v>7424.6199999999953</v>
      </c>
      <c r="K173" s="601">
        <f t="shared" si="1"/>
        <v>4.3849954960690683E-2</v>
      </c>
    </row>
    <row r="174" spans="1:12" x14ac:dyDescent="0.25">
      <c r="A174" s="19"/>
      <c r="D174" s="121"/>
      <c r="E174" s="121"/>
      <c r="I174" s="600">
        <f>_MAY18v</f>
        <v>173726.11</v>
      </c>
      <c r="J174" s="598">
        <f t="shared" si="0"/>
        <v>-3017.2700000000186</v>
      </c>
      <c r="K174" s="601">
        <f t="shared" si="1"/>
        <v>-1.7071473907537688E-2</v>
      </c>
    </row>
    <row r="175" spans="1:12" x14ac:dyDescent="0.25">
      <c r="A175" s="19"/>
      <c r="D175" s="121"/>
      <c r="E175" s="121"/>
      <c r="I175" s="600">
        <f>_JUN18v</f>
        <v>172042.79</v>
      </c>
      <c r="J175" s="598">
        <f t="shared" si="0"/>
        <v>-1683.3199999999779</v>
      </c>
      <c r="K175" s="601">
        <f t="shared" si="1"/>
        <v>-9.6895049339444598E-3</v>
      </c>
    </row>
    <row r="176" spans="1:12" x14ac:dyDescent="0.25">
      <c r="A176" s="19"/>
      <c r="D176" s="121"/>
      <c r="E176" s="121"/>
      <c r="I176" s="600">
        <f>_JUL18v</f>
        <v>191421.62</v>
      </c>
      <c r="J176" s="598">
        <f t="shared" si="0"/>
        <v>19378.829999999987</v>
      </c>
      <c r="K176" s="601">
        <f t="shared" si="1"/>
        <v>0.11263959390567883</v>
      </c>
    </row>
    <row r="177" spans="1:15" x14ac:dyDescent="0.25">
      <c r="A177" s="19"/>
      <c r="D177" s="121"/>
      <c r="E177" s="121"/>
      <c r="I177" s="600">
        <f>_AGO18v</f>
        <v>210404.29</v>
      </c>
      <c r="J177" s="598">
        <f t="shared" si="0"/>
        <v>18982.670000000013</v>
      </c>
      <c r="K177" s="601">
        <f t="shared" si="1"/>
        <v>9.916680257956241E-2</v>
      </c>
    </row>
    <row r="178" spans="1:15" x14ac:dyDescent="0.25">
      <c r="A178" s="19"/>
      <c r="D178" s="121"/>
      <c r="E178" s="121"/>
      <c r="I178" s="600">
        <f>_SEP18v</f>
        <v>221158.59</v>
      </c>
      <c r="J178" s="598">
        <f t="shared" si="0"/>
        <v>10754.299999999988</v>
      </c>
      <c r="K178" s="601">
        <f t="shared" si="1"/>
        <v>5.1112550984582998E-2</v>
      </c>
    </row>
    <row r="179" spans="1:15" x14ac:dyDescent="0.25">
      <c r="A179" s="19"/>
      <c r="D179" s="121"/>
      <c r="E179" s="121"/>
      <c r="I179" s="600">
        <f>_OCT18v</f>
        <v>226772.68</v>
      </c>
      <c r="J179" s="598">
        <f t="shared" si="0"/>
        <v>5614.0899999999965</v>
      </c>
      <c r="K179" s="601">
        <f t="shared" si="1"/>
        <v>2.5384905917513745E-2</v>
      </c>
    </row>
    <row r="180" spans="1:15" x14ac:dyDescent="0.25">
      <c r="A180" s="19"/>
      <c r="D180" s="121"/>
      <c r="E180" s="121"/>
      <c r="I180" s="600">
        <f>_NOV18v</f>
        <v>222714.42</v>
      </c>
      <c r="J180" s="598">
        <f>+I180-I179</f>
        <v>-4058.2599999999802</v>
      </c>
      <c r="K180" s="601">
        <f>(+J180*100/I179)/100</f>
        <v>-1.7895718302574984E-2</v>
      </c>
    </row>
    <row r="181" spans="1:15" x14ac:dyDescent="0.25">
      <c r="A181" s="19"/>
      <c r="D181" s="121"/>
      <c r="E181" s="121"/>
      <c r="I181" s="600">
        <f>_DIC18v</f>
        <v>214775.49</v>
      </c>
      <c r="J181" s="598">
        <f>+I181-I180</f>
        <v>-7938.9300000000221</v>
      </c>
      <c r="K181" s="601">
        <f>(+J181*100/I180)/100</f>
        <v>-3.5646232516062595E-2</v>
      </c>
    </row>
    <row r="182" spans="1:15" x14ac:dyDescent="0.25">
      <c r="A182" s="19"/>
      <c r="D182" s="121"/>
      <c r="E182" s="121"/>
      <c r="I182" s="600"/>
      <c r="J182" s="598">
        <f>SUM(J170:J181)</f>
        <v>47475.419999999984</v>
      </c>
      <c r="K182" s="601">
        <f>SUM(K170:K181)</f>
        <v>0.26542291022052689</v>
      </c>
      <c r="L182" s="28"/>
    </row>
    <row r="183" spans="1:15" x14ac:dyDescent="0.25">
      <c r="A183" s="19"/>
      <c r="D183" s="121"/>
      <c r="E183" s="121"/>
      <c r="G183" s="116"/>
      <c r="I183" s="600" t="s">
        <v>944</v>
      </c>
      <c r="J183" s="700">
        <f>SUM(D6:D213)-SUM(E6:E213)</f>
        <v>14500</v>
      </c>
      <c r="K183" s="601"/>
      <c r="M183" s="103"/>
    </row>
    <row r="184" spans="1:15" x14ac:dyDescent="0.25">
      <c r="A184" s="92"/>
      <c r="F184" s="177"/>
      <c r="G184" s="116"/>
      <c r="I184" s="600" t="s">
        <v>945</v>
      </c>
      <c r="J184" s="700">
        <f>+J182-J183</f>
        <v>32975.419999999984</v>
      </c>
      <c r="K184" s="601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283</vt:i4>
      </vt:variant>
    </vt:vector>
  </HeadingPairs>
  <TitlesOfParts>
    <vt:vector size="305" baseType="lpstr">
      <vt:lpstr>Libre</vt:lpstr>
      <vt:lpstr>Plazos</vt:lpstr>
      <vt:lpstr>planVisa</vt:lpstr>
      <vt:lpstr>stockExchange</vt:lpstr>
      <vt:lpstr>resume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</vt:lpstr>
      <vt:lpstr>_ABR20v</vt:lpstr>
      <vt:lpstr>_ABR21</vt:lpstr>
      <vt:lpstr>_ABR21v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</vt:lpstr>
      <vt:lpstr>_AGO20v</vt:lpstr>
      <vt:lpstr>_AGO21</vt:lpstr>
      <vt:lpstr>_AGO21v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</vt:lpstr>
      <vt:lpstr>_DIC20v</vt:lpstr>
      <vt:lpstr>_DIC21</vt:lpstr>
      <vt:lpstr>_DIC21v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</vt:lpstr>
      <vt:lpstr>_ENE20v</vt:lpstr>
      <vt:lpstr>_ENE21</vt:lpstr>
      <vt:lpstr>_ENE21v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</vt:lpstr>
      <vt:lpstr>_FEB20v</vt:lpstr>
      <vt:lpstr>_FEB21</vt:lpstr>
      <vt:lpstr>_FEB21v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</vt:lpstr>
      <vt:lpstr>_JUL20v</vt:lpstr>
      <vt:lpstr>_JUL21</vt:lpstr>
      <vt:lpstr>_JUL21v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</vt:lpstr>
      <vt:lpstr>_JUN20v</vt:lpstr>
      <vt:lpstr>_JUN21</vt:lpstr>
      <vt:lpstr>_JUN21v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</vt:lpstr>
      <vt:lpstr>_MAR20v</vt:lpstr>
      <vt:lpstr>_MAR21</vt:lpstr>
      <vt:lpstr>_MAR21v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</vt:lpstr>
      <vt:lpstr>_MAY20v</vt:lpstr>
      <vt:lpstr>_MAY21</vt:lpstr>
      <vt:lpstr>_MAY21v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</vt:lpstr>
      <vt:lpstr>_NOV20v</vt:lpstr>
      <vt:lpstr>_NOV21</vt:lpstr>
      <vt:lpstr>_NOV21v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</vt:lpstr>
      <vt:lpstr>_OCT20v</vt:lpstr>
      <vt:lpstr>_OCT21</vt:lpstr>
      <vt:lpstr>_OCT21v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</vt:lpstr>
      <vt:lpstr>_SEP20v</vt:lpstr>
      <vt:lpstr>_SEP21</vt:lpstr>
      <vt:lpstr>_SEP21v</vt:lpstr>
      <vt:lpstr>Bolsa_Total_D</vt:lpstr>
      <vt:lpstr>Bolsa_Total_P</vt:lpstr>
      <vt:lpstr>Brubank_Total</vt:lpstr>
      <vt:lpstr>Ctz</vt:lpstr>
      <vt:lpstr>CtzC</vt:lpstr>
      <vt:lpstr>CtzDBitcoin</vt:lpstr>
      <vt:lpstr>CtzE</vt:lpstr>
      <vt:lpstr>CtzG</vt:lpstr>
      <vt:lpstr>CtzM</vt:lpstr>
      <vt:lpstr>CtzN</vt:lpstr>
      <vt:lpstr>CtzS</vt:lpstr>
      <vt:lpstr>Ctzv</vt:lpstr>
      <vt:lpstr>CtzvC</vt:lpstr>
      <vt:lpstr>CtzvDBitcoin</vt:lpstr>
      <vt:lpstr>CtzvE</vt:lpstr>
      <vt:lpstr>CtzvG</vt:lpstr>
      <vt:lpstr>CtzvM</vt:lpstr>
      <vt:lpstr>CtzvN</vt:lpstr>
      <vt:lpstr>CtzvS</vt:lpstr>
      <vt:lpstr>CtzvZ</vt:lpstr>
      <vt:lpstr>CtzZ</vt:lpstr>
      <vt:lpstr>Dolares_Bolsa</vt:lpstr>
      <vt:lpstr>Especies_Bolsa</vt:lpstr>
      <vt:lpstr>FinanciadaVisa</vt:lpstr>
      <vt:lpstr>Pesos_Bolsa</vt:lpstr>
      <vt:lpstr>Rebank_Total</vt:lpstr>
      <vt:lpstr>Santander_Total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</cp:lastModifiedBy>
  <cp:lastPrinted>2020-05-17T15:02:54Z</cp:lastPrinted>
  <dcterms:created xsi:type="dcterms:W3CDTF">2006-09-12T12:46:56Z</dcterms:created>
  <dcterms:modified xsi:type="dcterms:W3CDTF">2021-09-01T12:20:29Z</dcterms:modified>
</cp:coreProperties>
</file>