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mic\Dropbox\saved\"/>
    </mc:Choice>
  </mc:AlternateContent>
  <xr:revisionPtr revIDLastSave="0" documentId="13_ncr:1_{A652217F-A587-44D5-B2EE-49CCFCC9BDB1}" xr6:coauthVersionLast="47" xr6:coauthVersionMax="47" xr10:uidLastSave="{00000000-0000-0000-0000-000000000000}"/>
  <bookViews>
    <workbookView xWindow="-110" yWindow="-110" windowWidth="25820" windowHeight="15500" tabRatio="599" activeTab="4" xr2:uid="{00000000-000D-0000-FFFF-FFFF00000000}"/>
  </bookViews>
  <sheets>
    <sheet name="Libre" sheetId="10" r:id="rId1"/>
    <sheet name="deuda" sheetId="37" r:id="rId2"/>
    <sheet name="plazosUVA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'2022-39'!$G$36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'2022-39'!$G$54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plazosUVA!$A$4:$R$4</definedName>
    <definedName name="_xlnm._FilterDatabase" localSheetId="3" hidden="1">stockExchange!$A$1:$U$348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'2022-39'!$G$31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'2022-39'!$G$49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'2022-39'!$G$45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'2022-39'!$G$41</definedName>
    <definedName name="_SEP23v">'2023-40'!$G$41</definedName>
    <definedName name="_SEP24v">'2024-41'!$G$41</definedName>
    <definedName name="Ctz">resume!$H$16</definedName>
    <definedName name="CtzB">resume!$H$18</definedName>
    <definedName name="CtzC">resume!$H$19</definedName>
    <definedName name="CtzM">resume!$H$17</definedName>
    <definedName name="CtzU">resume!$H$20</definedName>
    <definedName name="Ctzv">resume!$I$16</definedName>
    <definedName name="CtzvB">resume!$I$18</definedName>
    <definedName name="CtzvC">resume!$I$19</definedName>
    <definedName name="CtzvM">resume!$I$17</definedName>
    <definedName name="Dias_Restantes">resume!$C$2</definedName>
    <definedName name="Plazo_EstFinal">plazosUVA!$H$3</definedName>
    <definedName name="Plazo_EstMensual">plazosUVA!$H$2</definedName>
    <definedName name="Plazo_EstParcial">plazosUVA!$H$1</definedName>
    <definedName name="Plazo_TenFinal">plazosUVA!$P$4</definedName>
    <definedName name="Plazo_TenInicial">plazosUVA!$M$4</definedName>
    <definedName name="Plazo_TenMensual">plazosUVA!$O$4</definedName>
    <definedName name="Plazo_TenParcial">plazosUVA!$N$4</definedName>
    <definedName name="Stock_DOL">stockExchange!$E$1</definedName>
    <definedName name="Stock_PES">stockExchange!$H$1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4" i="31" l="1"/>
  <c r="H329" i="31"/>
  <c r="H324" i="31"/>
  <c r="H327" i="31"/>
  <c r="H17" i="2"/>
  <c r="H320" i="31"/>
  <c r="H328" i="31"/>
  <c r="H19" i="2"/>
  <c r="E11" i="2" l="1"/>
  <c r="I9" i="37"/>
  <c r="J15" i="6"/>
  <c r="H362" i="31"/>
  <c r="H363" i="31" s="1"/>
  <c r="C351" i="31"/>
  <c r="H309" i="31"/>
  <c r="H307" i="31"/>
  <c r="H305" i="31"/>
  <c r="J13" i="6"/>
  <c r="H311" i="31"/>
  <c r="H313" i="31"/>
  <c r="F13" i="2"/>
  <c r="J12" i="6" l="1"/>
  <c r="T16" i="6"/>
  <c r="H291" i="31"/>
  <c r="H298" i="31"/>
  <c r="H292" i="31"/>
  <c r="H301" i="31"/>
  <c r="H295" i="31"/>
  <c r="H294" i="31"/>
  <c r="H283" i="31"/>
  <c r="I7" i="2" l="1"/>
  <c r="T24" i="6" l="1"/>
  <c r="J9" i="6"/>
  <c r="J10" i="6"/>
  <c r="E12" i="2"/>
  <c r="H285" i="31"/>
  <c r="J17" i="6"/>
  <c r="J348" i="31"/>
  <c r="G348" i="31"/>
  <c r="E348" i="31"/>
  <c r="J14" i="6"/>
  <c r="J16" i="6"/>
  <c r="J11" i="6"/>
  <c r="J8" i="6"/>
  <c r="J347" i="31" l="1"/>
  <c r="G347" i="31"/>
  <c r="E347" i="31"/>
  <c r="J346" i="31"/>
  <c r="G346" i="31"/>
  <c r="E346" i="31"/>
  <c r="J345" i="31"/>
  <c r="G345" i="31"/>
  <c r="E345" i="31"/>
  <c r="H279" i="31"/>
  <c r="H278" i="31"/>
  <c r="I9" i="2" l="1"/>
  <c r="G9" i="37"/>
  <c r="I2" i="37"/>
  <c r="G2" i="37"/>
  <c r="I233" i="31" l="1"/>
  <c r="I228" i="31"/>
  <c r="I225" i="31"/>
  <c r="I222" i="31"/>
  <c r="I218" i="31"/>
  <c r="H276" i="31"/>
  <c r="H273" i="31"/>
  <c r="B9" i="10" l="1"/>
  <c r="J18" i="6"/>
  <c r="T17" i="6" l="1"/>
  <c r="T18" i="6" s="1"/>
  <c r="T19" i="6" s="1"/>
  <c r="T20" i="6" s="1"/>
  <c r="T22" i="6" s="1"/>
  <c r="H263" i="31" l="1"/>
  <c r="G263" i="31"/>
  <c r="H261" i="31"/>
  <c r="H260" i="31"/>
  <c r="H262" i="31"/>
  <c r="H264" i="31"/>
  <c r="J344" i="31" l="1"/>
  <c r="G344" i="31"/>
  <c r="E344" i="31"/>
  <c r="J343" i="31"/>
  <c r="G343" i="31"/>
  <c r="E343" i="31"/>
  <c r="J342" i="31"/>
  <c r="G342" i="31"/>
  <c r="E342" i="31"/>
  <c r="J341" i="31"/>
  <c r="G341" i="31"/>
  <c r="E341" i="31"/>
  <c r="J340" i="31"/>
  <c r="G340" i="31"/>
  <c r="E340" i="31"/>
  <c r="J339" i="31"/>
  <c r="G339" i="31"/>
  <c r="E339" i="31"/>
  <c r="J338" i="31"/>
  <c r="G338" i="31"/>
  <c r="E338" i="31"/>
  <c r="J337" i="31" l="1"/>
  <c r="G337" i="31"/>
  <c r="E337" i="31"/>
  <c r="J330" i="31" l="1"/>
  <c r="B6" i="2" l="1"/>
  <c r="E251" i="31" l="1"/>
  <c r="H253" i="31" l="1"/>
  <c r="J336" i="31"/>
  <c r="G336" i="31"/>
  <c r="E336" i="31"/>
  <c r="E330" i="31"/>
  <c r="G330" i="31"/>
  <c r="J335" i="31"/>
  <c r="G335" i="31"/>
  <c r="E335" i="31"/>
  <c r="H249" i="31"/>
  <c r="J334" i="31"/>
  <c r="G334" i="31"/>
  <c r="E334" i="31"/>
  <c r="L348" i="31" l="1"/>
  <c r="K348" i="31"/>
  <c r="L347" i="31"/>
  <c r="L346" i="31"/>
  <c r="L345" i="31"/>
  <c r="K345" i="31"/>
  <c r="K346" i="31"/>
  <c r="K347" i="31"/>
  <c r="L330" i="31"/>
  <c r="L344" i="31"/>
  <c r="L338" i="31"/>
  <c r="L341" i="31"/>
  <c r="L342" i="31"/>
  <c r="L343" i="31"/>
  <c r="L340" i="31"/>
  <c r="L339" i="31"/>
  <c r="K343" i="31"/>
  <c r="K339" i="31"/>
  <c r="K342" i="31"/>
  <c r="K344" i="31"/>
  <c r="L337" i="31"/>
  <c r="K341" i="31"/>
  <c r="K338" i="31"/>
  <c r="K340" i="31"/>
  <c r="K337" i="31"/>
  <c r="L336" i="31"/>
  <c r="K330" i="31"/>
  <c r="L335" i="31"/>
  <c r="K335" i="31"/>
  <c r="K336" i="31"/>
  <c r="G331" i="31"/>
  <c r="G332" i="31"/>
  <c r="G333" i="31"/>
  <c r="J331" i="31"/>
  <c r="J332" i="31"/>
  <c r="J333" i="31"/>
  <c r="H244" i="31" l="1"/>
  <c r="H241" i="31"/>
  <c r="I10" i="37" l="1"/>
  <c r="C11" i="2" l="1"/>
  <c r="B4" i="2" l="1"/>
  <c r="B5" i="2" l="1"/>
  <c r="G10" i="37"/>
  <c r="I1" i="37" l="1"/>
  <c r="G1" i="37"/>
  <c r="H18" i="2" l="1"/>
  <c r="H234" i="31"/>
  <c r="I234" i="31" s="1"/>
  <c r="E14" i="2" l="1"/>
  <c r="F27" i="34" l="1"/>
  <c r="C2" i="2" l="1"/>
  <c r="B2" i="2" l="1"/>
  <c r="I13" i="37" l="1"/>
  <c r="I3" i="37"/>
  <c r="I5" i="37" s="1"/>
  <c r="I4" i="37"/>
  <c r="G3" i="37"/>
  <c r="G4" i="37"/>
  <c r="G5" i="37" l="1"/>
  <c r="I7" i="37"/>
  <c r="R6" i="6" l="1"/>
  <c r="Q6" i="6" s="1"/>
  <c r="R7" i="6"/>
  <c r="Q7" i="6" s="1"/>
  <c r="R8" i="6"/>
  <c r="Q8" i="6" s="1"/>
  <c r="R9" i="6"/>
  <c r="Q9" i="6" s="1"/>
  <c r="R10" i="6"/>
  <c r="Q10" i="6" s="1"/>
  <c r="R11" i="6"/>
  <c r="Q11" i="6" s="1"/>
  <c r="R12" i="6"/>
  <c r="Q12" i="6" s="1"/>
  <c r="R13" i="6"/>
  <c r="Q13" i="6" s="1"/>
  <c r="R14" i="6"/>
  <c r="Q14" i="6" s="1"/>
  <c r="R15" i="6"/>
  <c r="Q15" i="6" s="1"/>
  <c r="R16" i="6"/>
  <c r="Q16" i="6" s="1"/>
  <c r="R17" i="6"/>
  <c r="Q17" i="6" s="1"/>
  <c r="R18" i="6"/>
  <c r="Q18" i="6" s="1"/>
  <c r="R19" i="6"/>
  <c r="Q19" i="6" s="1"/>
  <c r="R20" i="6"/>
  <c r="Q20" i="6" s="1"/>
  <c r="R21" i="6"/>
  <c r="Q21" i="6" s="1"/>
  <c r="R22" i="6"/>
  <c r="Q22" i="6" s="1"/>
  <c r="R23" i="6"/>
  <c r="Q23" i="6" s="1"/>
  <c r="R24" i="6"/>
  <c r="Q24" i="6" s="1"/>
  <c r="R25" i="6"/>
  <c r="Q25" i="6" s="1"/>
  <c r="R26" i="6"/>
  <c r="Q26" i="6" s="1"/>
  <c r="R27" i="6"/>
  <c r="Q27" i="6" s="1"/>
  <c r="R28" i="6"/>
  <c r="Q28" i="6" s="1"/>
  <c r="R29" i="6"/>
  <c r="Q29" i="6" s="1"/>
  <c r="R30" i="6"/>
  <c r="Q30" i="6" s="1"/>
  <c r="R5" i="6"/>
  <c r="Q5" i="6" s="1"/>
  <c r="F16" i="6"/>
  <c r="E16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M16" i="6" l="1"/>
  <c r="B19" i="2" l="1"/>
  <c r="J1" i="6"/>
  <c r="J2" i="6" s="1"/>
  <c r="J3" i="6" l="1"/>
  <c r="L334" i="31" l="1"/>
  <c r="K334" i="31"/>
  <c r="K331" i="31"/>
  <c r="K332" i="31"/>
  <c r="L332" i="31"/>
  <c r="K333" i="31"/>
  <c r="L333" i="31"/>
  <c r="L331" i="31"/>
  <c r="I16" i="2"/>
  <c r="H16" i="2"/>
  <c r="J4" i="6"/>
  <c r="F12" i="2" l="1"/>
  <c r="C12" i="2" s="1"/>
  <c r="K4" i="2"/>
  <c r="K5" i="2"/>
  <c r="F10" i="2"/>
  <c r="F11" i="2"/>
  <c r="I15" i="2"/>
  <c r="J16" i="2"/>
  <c r="I18" i="6"/>
  <c r="I16" i="6"/>
  <c r="L16" i="6"/>
  <c r="N16" i="6"/>
  <c r="H15" i="2"/>
  <c r="J24" i="6"/>
  <c r="J22" i="6"/>
  <c r="J21" i="6"/>
  <c r="J23" i="6"/>
  <c r="J20" i="6"/>
  <c r="J30" i="6"/>
  <c r="J19" i="6"/>
  <c r="J29" i="6"/>
  <c r="J28" i="6"/>
  <c r="J27" i="6"/>
  <c r="J26" i="6"/>
  <c r="J25" i="6"/>
  <c r="F1" i="6"/>
  <c r="F2" i="6" s="1"/>
  <c r="I22" i="6"/>
  <c r="I23" i="6"/>
  <c r="I24" i="6"/>
  <c r="I25" i="6"/>
  <c r="I26" i="6"/>
  <c r="I27" i="6"/>
  <c r="I28" i="6"/>
  <c r="I29" i="6"/>
  <c r="I30" i="6"/>
  <c r="I6" i="6"/>
  <c r="I7" i="6"/>
  <c r="I8" i="6"/>
  <c r="I9" i="6"/>
  <c r="I10" i="6"/>
  <c r="I11" i="6"/>
  <c r="I12" i="6"/>
  <c r="I13" i="6"/>
  <c r="I14" i="6"/>
  <c r="I5" i="6"/>
  <c r="B5" i="6"/>
  <c r="F3" i="6" l="1"/>
  <c r="D3" i="6"/>
  <c r="I17" i="6" s="1"/>
  <c r="P16" i="6" l="1"/>
  <c r="O16" i="6"/>
  <c r="E332" i="31" l="1"/>
  <c r="G13" i="37" l="1"/>
  <c r="E331" i="31" l="1"/>
  <c r="D15" i="34" l="1"/>
  <c r="E351" i="31" l="1"/>
  <c r="C352" i="31" l="1"/>
  <c r="E350" i="31"/>
  <c r="E352" i="31" s="1"/>
  <c r="E354" i="31" s="1"/>
  <c r="C353" i="31" l="1"/>
  <c r="C354" i="31"/>
  <c r="E353" i="31"/>
  <c r="E355" i="31" s="1"/>
  <c r="E356" i="31" s="1"/>
  <c r="E357" i="31" s="1"/>
  <c r="E358" i="31" s="1"/>
  <c r="C355" i="31" l="1"/>
  <c r="C356" i="31" s="1"/>
  <c r="C357" i="31" s="1"/>
  <c r="C358" i="31" l="1"/>
  <c r="C361" i="31" s="1"/>
  <c r="D358" i="31" l="1"/>
  <c r="G350" i="31"/>
  <c r="C363" i="31"/>
  <c r="B22" i="2"/>
  <c r="K47" i="2"/>
  <c r="H50" i="2"/>
  <c r="K50" i="2"/>
  <c r="P14" i="10" l="1"/>
  <c r="G7" i="37" l="1"/>
  <c r="J3" i="2"/>
  <c r="D17" i="2" l="1"/>
  <c r="G7" i="2"/>
  <c r="G4" i="2" l="1"/>
  <c r="B3" i="2" l="1"/>
  <c r="D11" i="34" l="1"/>
  <c r="G6" i="2" l="1"/>
  <c r="E7" i="2" l="1"/>
  <c r="H7" i="2"/>
  <c r="H9" i="2"/>
  <c r="H8" i="2"/>
  <c r="E215" i="31"/>
  <c r="E213" i="31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C13" i="2" l="1"/>
  <c r="M15" i="10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P60" i="10"/>
  <c r="P61" i="10" s="1"/>
  <c r="H198" i="31" l="1"/>
  <c r="G3" i="12" l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F7" i="34"/>
  <c r="E1" i="34"/>
  <c r="E10" i="36" l="1"/>
  <c r="F12" i="36"/>
  <c r="D13" i="36"/>
  <c r="F8" i="35"/>
  <c r="E10" i="35"/>
  <c r="D13" i="35"/>
  <c r="F10" i="34"/>
  <c r="F18" i="34"/>
  <c r="F14" i="34"/>
  <c r="E14" i="36" l="1"/>
  <c r="D17" i="36"/>
  <c r="F12" i="35"/>
  <c r="E14" i="35"/>
  <c r="D17" i="35"/>
  <c r="D21" i="36" l="1"/>
  <c r="E18" i="36"/>
  <c r="F20" i="36" s="1"/>
  <c r="F16" i="36"/>
  <c r="D21" i="35"/>
  <c r="E18" i="35"/>
  <c r="F20" i="35" s="1"/>
  <c r="F16" i="35"/>
  <c r="F31" i="34"/>
  <c r="D32" i="34"/>
  <c r="E34" i="34" s="1"/>
  <c r="F22" i="34"/>
  <c r="F36" i="34" l="1"/>
  <c r="D37" i="34"/>
  <c r="E39" i="34" s="1"/>
  <c r="D25" i="36"/>
  <c r="E22" i="36"/>
  <c r="F24" i="36" s="1"/>
  <c r="D25" i="35"/>
  <c r="E22" i="35"/>
  <c r="F24" i="35" s="1"/>
  <c r="D42" i="34" l="1"/>
  <c r="F41" i="34"/>
  <c r="D26" i="36"/>
  <c r="E27" i="36" s="1"/>
  <c r="D30" i="36"/>
  <c r="D26" i="35"/>
  <c r="E27" i="35" s="1"/>
  <c r="D30" i="35"/>
  <c r="D46" i="34" l="1"/>
  <c r="E43" i="34"/>
  <c r="E31" i="36"/>
  <c r="F33" i="36" s="1"/>
  <c r="D34" i="36"/>
  <c r="F29" i="36"/>
  <c r="E31" i="35"/>
  <c r="D34" i="35"/>
  <c r="F33" i="35"/>
  <c r="F29" i="35"/>
  <c r="F45" i="34" l="1"/>
  <c r="D50" i="34"/>
  <c r="E47" i="34"/>
  <c r="F49" i="34" s="1"/>
  <c r="D38" i="36"/>
  <c r="E35" i="36"/>
  <c r="F37" i="36" s="1"/>
  <c r="D38" i="35"/>
  <c r="E35" i="35"/>
  <c r="F37" i="35" s="1"/>
  <c r="D51" i="34" l="1"/>
  <c r="E52" i="34" s="1"/>
  <c r="F54" i="34" s="1"/>
  <c r="E39" i="36"/>
  <c r="F41" i="36" s="1"/>
  <c r="D42" i="36"/>
  <c r="E39" i="35"/>
  <c r="F41" i="35" s="1"/>
  <c r="D42" i="35"/>
  <c r="C99" i="34" l="1"/>
  <c r="J75" i="34"/>
  <c r="B99" i="34"/>
  <c r="D46" i="36"/>
  <c r="E43" i="36"/>
  <c r="F45" i="36" s="1"/>
  <c r="E43" i="35"/>
  <c r="F45" i="35" s="1"/>
  <c r="D46" i="35"/>
  <c r="B100" i="34" l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F54" i="36" l="1"/>
  <c r="J75" i="36"/>
  <c r="B100" i="36"/>
  <c r="B100" i="35"/>
  <c r="J75" i="35"/>
  <c r="F54" i="35"/>
  <c r="E370" i="31"/>
  <c r="H186" i="31" l="1"/>
  <c r="C16" i="2" l="1"/>
  <c r="A3" i="2" l="1"/>
  <c r="F6" i="2" l="1"/>
  <c r="F4" i="2"/>
  <c r="E333" i="31" s="1"/>
  <c r="C6" i="2"/>
  <c r="C4" i="2"/>
  <c r="F5" i="2" l="1"/>
  <c r="C5" i="2"/>
  <c r="D59" i="33"/>
  <c r="H176" i="31" l="1"/>
  <c r="I139" i="31" l="1"/>
  <c r="H172" i="31" l="1"/>
  <c r="H173" i="31" l="1"/>
  <c r="H168" i="31" l="1"/>
  <c r="H164" i="31" l="1"/>
  <c r="H161" i="31" l="1"/>
  <c r="H158" i="31" l="1"/>
  <c r="H154" i="31" l="1"/>
  <c r="C7" i="2" l="1"/>
  <c r="B7" i="2" s="1"/>
  <c r="F3" i="2" l="1"/>
  <c r="F7" i="2" s="1"/>
  <c r="C3" i="2"/>
  <c r="E11" i="33" l="1"/>
  <c r="E17" i="33" l="1"/>
  <c r="H150" i="31" l="1"/>
  <c r="H146" i="31" l="1"/>
  <c r="E369" i="31"/>
  <c r="G33" i="10" l="1"/>
  <c r="H142" i="31" l="1"/>
  <c r="H137" i="31" l="1"/>
  <c r="H133" i="31"/>
  <c r="H134" i="31" l="1"/>
  <c r="E128" i="31" l="1"/>
  <c r="E126" i="31"/>
  <c r="H124" i="31" l="1"/>
  <c r="H122" i="31" l="1"/>
  <c r="E119" i="31" l="1"/>
  <c r="E117" i="31" l="1"/>
  <c r="J82" i="33" l="1"/>
  <c r="K82" i="33" s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H90" i="31" l="1"/>
  <c r="H89" i="31" l="1"/>
  <c r="H83" i="31" l="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371" i="31"/>
  <c r="E372" i="31" l="1"/>
  <c r="E373" i="31"/>
  <c r="E374" i="31" l="1"/>
  <c r="E375" i="31" s="1"/>
  <c r="E376" i="31" s="1"/>
  <c r="E377" i="31" s="1"/>
  <c r="C34" i="10"/>
  <c r="C15" i="2" l="1"/>
  <c r="G115" i="31"/>
  <c r="H61" i="31" l="1"/>
  <c r="G62" i="31" s="1"/>
  <c r="C371" i="31"/>
  <c r="C373" i="31" l="1"/>
  <c r="C372" i="31"/>
  <c r="C374" i="31" l="1"/>
  <c r="C375" i="31" s="1"/>
  <c r="C376" i="31" s="1"/>
  <c r="H58" i="31"/>
  <c r="G59" i="31" s="1"/>
  <c r="C377" i="31" l="1"/>
  <c r="D377" i="31" l="1"/>
  <c r="H51" i="31" l="1"/>
  <c r="H50" i="31" l="1"/>
  <c r="A2" i="10" l="1"/>
  <c r="E42" i="32" l="1"/>
  <c r="E33" i="32"/>
  <c r="E25" i="32"/>
  <c r="E17" i="32"/>
  <c r="E10" i="32" l="1"/>
  <c r="J105" i="32" s="1"/>
  <c r="K105" i="32" s="1"/>
  <c r="H42" i="31" l="1"/>
  <c r="E39" i="31" l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H8" i="31"/>
  <c r="H17" i="31"/>
  <c r="F116" i="20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F105" i="14"/>
  <c r="E1" i="14"/>
  <c r="G61" i="12"/>
  <c r="I163" i="12" s="1"/>
  <c r="I162" i="12"/>
  <c r="I164" i="12"/>
  <c r="I161" i="12"/>
  <c r="I160" i="12"/>
  <c r="J160" i="12" s="1"/>
  <c r="K160" i="12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B145" i="8"/>
  <c r="C145" i="8"/>
  <c r="E83" i="1"/>
  <c r="F96" i="1" s="1"/>
  <c r="I113" i="1" s="1"/>
  <c r="E48" i="1"/>
  <c r="H3" i="1" s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I176" i="14"/>
  <c r="F127" i="14"/>
  <c r="I177" i="14"/>
  <c r="I178" i="14"/>
  <c r="I179" i="14"/>
  <c r="H5" i="14"/>
  <c r="F51" i="20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I142" i="20"/>
  <c r="H1" i="31" l="1"/>
  <c r="F1" i="31" s="1"/>
  <c r="E1" i="31" s="1"/>
  <c r="B207" i="14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J181" i="14"/>
  <c r="K181" i="14" s="1"/>
  <c r="F126" i="12"/>
  <c r="I3" i="1"/>
  <c r="F60" i="29"/>
  <c r="I109" i="29" s="1"/>
  <c r="D2" i="23"/>
  <c r="J171" i="12"/>
  <c r="K171" i="12" s="1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J171" i="14"/>
  <c r="K171" i="14" s="1"/>
  <c r="J161" i="12"/>
  <c r="K161" i="12" s="1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F19" i="14"/>
  <c r="H4" i="8"/>
  <c r="J177" i="14"/>
  <c r="K177" i="14" s="1"/>
  <c r="B177" i="26"/>
  <c r="A10" i="28"/>
  <c r="A12" i="28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F42" i="1"/>
  <c r="I107" i="1" s="1"/>
  <c r="D2" i="25"/>
  <c r="I171" i="25" s="1"/>
  <c r="D2" i="24"/>
  <c r="I299" i="24" s="1"/>
  <c r="J136" i="20"/>
  <c r="K136" i="20" s="1"/>
  <c r="J135" i="20"/>
  <c r="K135" i="20" s="1"/>
  <c r="B319" i="24"/>
  <c r="C14" i="2" l="1"/>
  <c r="J146" i="20"/>
  <c r="J41" i="21"/>
  <c r="L41" i="21" s="1"/>
  <c r="G2" i="20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C2" i="27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H177" i="25"/>
  <c r="H185" i="25" s="1"/>
  <c r="J185" i="25" s="1"/>
  <c r="K172" i="12"/>
  <c r="B196" i="12"/>
  <c r="J172" i="12"/>
  <c r="K172" i="14"/>
  <c r="K182" i="14" s="1"/>
  <c r="J182" i="14"/>
  <c r="J184" i="14" s="1"/>
  <c r="B2" i="25"/>
  <c r="B2" i="24" l="1"/>
  <c r="H73" i="24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H5" i="20" l="1"/>
  <c r="F5" i="6" l="1"/>
  <c r="L5" i="6" l="1"/>
  <c r="M5" i="6"/>
  <c r="O5" i="6" s="1"/>
  <c r="B6" i="6"/>
  <c r="E5" i="6"/>
  <c r="F6" i="6"/>
  <c r="P5" i="6" l="1"/>
  <c r="M6" i="6"/>
  <c r="O6" i="6" s="1"/>
  <c r="L6" i="6"/>
  <c r="B7" i="6"/>
  <c r="E6" i="6"/>
  <c r="P6" i="6" l="1"/>
  <c r="F7" i="6"/>
  <c r="M7" i="6" l="1"/>
  <c r="O7" i="6" s="1"/>
  <c r="L7" i="6"/>
  <c r="B8" i="6"/>
  <c r="E7" i="6"/>
  <c r="P7" i="6" l="1"/>
  <c r="F8" i="6"/>
  <c r="M8" i="6" l="1"/>
  <c r="O8" i="6" s="1"/>
  <c r="L8" i="6"/>
  <c r="B9" i="6"/>
  <c r="E8" i="6"/>
  <c r="P8" i="6" l="1"/>
  <c r="F9" i="6"/>
  <c r="M9" i="6" l="1"/>
  <c r="O9" i="6" s="1"/>
  <c r="L9" i="6"/>
  <c r="B10" i="6"/>
  <c r="E9" i="6"/>
  <c r="F10" i="6"/>
  <c r="P9" i="6" l="1"/>
  <c r="L10" i="6"/>
  <c r="M10" i="6"/>
  <c r="O10" i="6" s="1"/>
  <c r="E10" i="6"/>
  <c r="B11" i="6"/>
  <c r="P10" i="6" l="1"/>
  <c r="F11" i="6"/>
  <c r="L11" i="6" l="1"/>
  <c r="M11" i="6"/>
  <c r="O11" i="6" s="1"/>
  <c r="E11" i="6"/>
  <c r="B12" i="6"/>
  <c r="P11" i="6" l="1"/>
  <c r="F12" i="6"/>
  <c r="L12" i="6" l="1"/>
  <c r="M12" i="6"/>
  <c r="O12" i="6" s="1"/>
  <c r="E12" i="6"/>
  <c r="B13" i="6"/>
  <c r="P12" i="6" l="1"/>
  <c r="F13" i="6"/>
  <c r="L13" i="6" l="1"/>
  <c r="M13" i="6"/>
  <c r="O13" i="6" s="1"/>
  <c r="E13" i="6"/>
  <c r="B14" i="6"/>
  <c r="P13" i="6" l="1"/>
  <c r="F14" i="6"/>
  <c r="L14" i="6" l="1"/>
  <c r="M14" i="6"/>
  <c r="O14" i="6" s="1"/>
  <c r="E14" i="6"/>
  <c r="B15" i="6"/>
  <c r="I19" i="6" l="1"/>
  <c r="P14" i="6"/>
  <c r="F15" i="6"/>
  <c r="G5" i="20"/>
  <c r="I5" i="20" s="1"/>
  <c r="L15" i="6" l="1"/>
  <c r="M15" i="6"/>
  <c r="O15" i="6" s="1"/>
  <c r="E15" i="6"/>
  <c r="I95" i="32"/>
  <c r="I93" i="32"/>
  <c r="I97" i="32"/>
  <c r="I96" i="32"/>
  <c r="I94" i="32"/>
  <c r="I92" i="32"/>
  <c r="I144" i="20"/>
  <c r="I143" i="20"/>
  <c r="J143" i="20" s="1"/>
  <c r="P15" i="6" l="1"/>
  <c r="J94" i="32"/>
  <c r="J144" i="20"/>
  <c r="K144" i="20" s="1"/>
  <c r="J95" i="32"/>
  <c r="J96" i="32"/>
  <c r="J97" i="32"/>
  <c r="K143" i="20"/>
  <c r="J93" i="32"/>
  <c r="K97" i="32" l="1"/>
  <c r="L97" i="32"/>
  <c r="K96" i="32"/>
  <c r="L96" i="32"/>
  <c r="K94" i="32"/>
  <c r="L94" i="32"/>
  <c r="K93" i="32"/>
  <c r="L93" i="32"/>
  <c r="K95" i="32"/>
  <c r="L95" i="32"/>
  <c r="I20" i="6"/>
  <c r="F17" i="6"/>
  <c r="J92" i="32"/>
  <c r="L92" i="32" s="1"/>
  <c r="K145" i="20"/>
  <c r="J145" i="20"/>
  <c r="J147" i="20" s="1"/>
  <c r="L17" i="6" l="1"/>
  <c r="M17" i="6"/>
  <c r="O17" i="6" s="1"/>
  <c r="E17" i="6"/>
  <c r="K92" i="32"/>
  <c r="P17" i="6" l="1"/>
  <c r="F18" i="6"/>
  <c r="L18" i="6" l="1"/>
  <c r="M18" i="6"/>
  <c r="O18" i="6" s="1"/>
  <c r="E18" i="6"/>
  <c r="P18" i="6" l="1"/>
  <c r="I21" i="6" l="1"/>
  <c r="F19" i="6"/>
  <c r="O19" i="6" s="1"/>
  <c r="M19" i="6" l="1"/>
  <c r="N19" i="6"/>
  <c r="L19" i="6"/>
  <c r="P19" i="6"/>
  <c r="E19" i="6"/>
  <c r="F20" i="6" l="1"/>
  <c r="O20" i="6" s="1"/>
  <c r="P20" i="6" l="1"/>
  <c r="M20" i="6"/>
  <c r="N20" i="6"/>
  <c r="L20" i="6"/>
  <c r="E20" i="6"/>
  <c r="F21" i="6" l="1"/>
  <c r="O21" i="6" s="1"/>
  <c r="P21" i="6" l="1"/>
  <c r="M21" i="6"/>
  <c r="L21" i="6"/>
  <c r="N21" i="6"/>
  <c r="E21" i="6"/>
  <c r="F22" i="6" l="1"/>
  <c r="O22" i="6" s="1"/>
  <c r="P22" i="6" l="1"/>
  <c r="M22" i="6"/>
  <c r="N22" i="6"/>
  <c r="L22" i="6"/>
  <c r="E22" i="6"/>
  <c r="F23" i="6" l="1"/>
  <c r="O23" i="6" s="1"/>
  <c r="L23" i="6" l="1"/>
  <c r="P23" i="6"/>
  <c r="M23" i="6"/>
  <c r="N23" i="6"/>
  <c r="E23" i="6"/>
  <c r="F24" i="6" l="1"/>
  <c r="O24" i="6" s="1"/>
  <c r="N24" i="6" l="1"/>
  <c r="L24" i="6"/>
  <c r="P24" i="6"/>
  <c r="M24" i="6"/>
  <c r="E24" i="6"/>
  <c r="F25" i="6" l="1"/>
  <c r="O25" i="6" s="1"/>
  <c r="N25" i="6" l="1"/>
  <c r="L25" i="6"/>
  <c r="M25" i="6"/>
  <c r="P25" i="6"/>
  <c r="E25" i="6"/>
  <c r="F26" i="6" l="1"/>
  <c r="O26" i="6" s="1"/>
  <c r="N26" i="6" l="1"/>
  <c r="L26" i="6"/>
  <c r="M26" i="6"/>
  <c r="P26" i="6"/>
  <c r="E26" i="6"/>
  <c r="F27" i="6" l="1"/>
  <c r="O27" i="6" s="1"/>
  <c r="N27" i="6" l="1"/>
  <c r="L27" i="6"/>
  <c r="M27" i="6"/>
  <c r="P27" i="6"/>
  <c r="E27" i="6"/>
  <c r="F28" i="6" l="1"/>
  <c r="O28" i="6" s="1"/>
  <c r="N28" i="6" l="1"/>
  <c r="L28" i="6"/>
  <c r="P28" i="6"/>
  <c r="M28" i="6"/>
  <c r="E28" i="6"/>
  <c r="F29" i="6" l="1"/>
  <c r="O29" i="6" s="1"/>
  <c r="P29" i="6" l="1"/>
  <c r="N29" i="6"/>
  <c r="L29" i="6"/>
  <c r="M29" i="6"/>
  <c r="E29" i="6"/>
  <c r="F30" i="6" l="1"/>
  <c r="O30" i="6" s="1"/>
  <c r="O4" i="6" s="1"/>
  <c r="M30" i="6" l="1"/>
  <c r="M4" i="6" s="1"/>
  <c r="N30" i="6"/>
  <c r="L30" i="6"/>
  <c r="L4" i="6" s="1"/>
  <c r="P30" i="6"/>
  <c r="E30" i="6"/>
  <c r="P4" i="6" l="1"/>
  <c r="H3" i="6" s="1"/>
  <c r="H2" i="6" s="1"/>
  <c r="G5" i="12"/>
  <c r="H4" i="12"/>
  <c r="H5" i="12" s="1"/>
  <c r="I98" i="32"/>
  <c r="J98" i="32" s="1"/>
  <c r="K98" i="32" l="1"/>
  <c r="L98" i="32"/>
  <c r="I99" i="32"/>
  <c r="J99" i="32" s="1"/>
  <c r="I100" i="32"/>
  <c r="I102" i="32"/>
  <c r="K99" i="32" l="1"/>
  <c r="L99" i="32"/>
  <c r="I101" i="32"/>
  <c r="J102" i="32" s="1"/>
  <c r="J100" i="32"/>
  <c r="K100" i="32" l="1"/>
  <c r="L100" i="32"/>
  <c r="K102" i="32"/>
  <c r="L102" i="32"/>
  <c r="J101" i="32"/>
  <c r="K101" i="32" l="1"/>
  <c r="L101" i="32"/>
  <c r="I69" i="33"/>
  <c r="J69" i="33" s="1"/>
  <c r="L69" i="33" s="1"/>
  <c r="K69" i="33" l="1"/>
  <c r="I103" i="32"/>
  <c r="J103" i="32" s="1"/>
  <c r="L103" i="32" s="1"/>
  <c r="K103" i="32" l="1"/>
  <c r="K104" i="32" s="1"/>
  <c r="J104" i="32"/>
  <c r="J106" i="32" l="1"/>
  <c r="K106" i="32" s="1"/>
  <c r="L104" i="32"/>
  <c r="I71" i="33"/>
  <c r="G5" i="32"/>
  <c r="I70" i="33"/>
  <c r="J70" i="33" s="1"/>
  <c r="K70" i="33" l="1"/>
  <c r="L70" i="33"/>
  <c r="K75" i="34"/>
  <c r="I63" i="34"/>
  <c r="I65" i="34"/>
  <c r="I62" i="34"/>
  <c r="I64" i="34"/>
  <c r="I74" i="33"/>
  <c r="I80" i="33"/>
  <c r="I73" i="33"/>
  <c r="I76" i="33"/>
  <c r="I75" i="33"/>
  <c r="I77" i="33"/>
  <c r="I79" i="33"/>
  <c r="I72" i="33"/>
  <c r="J72" i="33" s="1"/>
  <c r="I78" i="33"/>
  <c r="J71" i="33"/>
  <c r="K71" i="33" l="1"/>
  <c r="L71" i="33"/>
  <c r="K72" i="33"/>
  <c r="L72" i="33"/>
  <c r="J62" i="34"/>
  <c r="L62" i="34" s="1"/>
  <c r="J63" i="34"/>
  <c r="K63" i="34" s="1"/>
  <c r="J65" i="34"/>
  <c r="L65" i="34" s="1"/>
  <c r="J64" i="34"/>
  <c r="J75" i="33"/>
  <c r="J78" i="33"/>
  <c r="J80" i="33"/>
  <c r="J74" i="33"/>
  <c r="J73" i="33"/>
  <c r="J79" i="33"/>
  <c r="J76" i="33"/>
  <c r="J77" i="33"/>
  <c r="K77" i="33" l="1"/>
  <c r="L77" i="33"/>
  <c r="K78" i="33"/>
  <c r="L78" i="33"/>
  <c r="K76" i="33"/>
  <c r="L76" i="33"/>
  <c r="K73" i="33"/>
  <c r="L73" i="33"/>
  <c r="K75" i="33"/>
  <c r="L75" i="33"/>
  <c r="K74" i="33"/>
  <c r="L74" i="33"/>
  <c r="K62" i="34"/>
  <c r="L63" i="34"/>
  <c r="K65" i="34"/>
  <c r="K80" i="33"/>
  <c r="L80" i="33"/>
  <c r="K64" i="34"/>
  <c r="L64" i="34"/>
  <c r="K79" i="33"/>
  <c r="L79" i="33"/>
  <c r="J81" i="33"/>
  <c r="K81" i="33" l="1"/>
  <c r="J83" i="33"/>
  <c r="K83" i="33" s="1"/>
  <c r="L81" i="33"/>
  <c r="C380" i="31"/>
  <c r="I20" i="2"/>
  <c r="K20" i="6"/>
  <c r="C382" i="31" l="1"/>
  <c r="G369" i="31"/>
  <c r="G363" i="31" s="1"/>
  <c r="N18" i="6"/>
  <c r="K22" i="6"/>
  <c r="K6" i="6"/>
  <c r="K25" i="6"/>
  <c r="K21" i="6"/>
  <c r="K5" i="6"/>
  <c r="N5" i="6" s="1"/>
  <c r="K27" i="6"/>
  <c r="K24" i="6"/>
  <c r="K28" i="6"/>
  <c r="K30" i="6"/>
  <c r="K29" i="6"/>
  <c r="K23" i="6"/>
  <c r="K26" i="6"/>
  <c r="N17" i="6"/>
  <c r="K19" i="6"/>
  <c r="K7" i="6"/>
  <c r="N11" i="6" l="1"/>
  <c r="N13" i="6"/>
  <c r="N8" i="6"/>
  <c r="N14" i="6"/>
  <c r="N6" i="6"/>
  <c r="N7" i="6"/>
  <c r="N10" i="6"/>
  <c r="N12" i="6"/>
  <c r="N9" i="6"/>
  <c r="N15" i="6" l="1"/>
  <c r="N4" i="6" s="1"/>
  <c r="I15" i="6"/>
  <c r="H1" i="6" l="1"/>
  <c r="F8" i="2" l="1"/>
  <c r="I66" i="34"/>
  <c r="J66" i="34" s="1"/>
  <c r="K66" i="34" s="1"/>
  <c r="L66" i="34" l="1"/>
  <c r="G10" i="2" l="1"/>
  <c r="H10" i="2"/>
  <c r="I3" i="2"/>
  <c r="H3" i="2" s="1"/>
  <c r="C17" i="2" l="1"/>
  <c r="F9" i="2"/>
  <c r="F17" i="2" s="1"/>
  <c r="D10" i="2" l="1"/>
  <c r="D8" i="2"/>
  <c r="D12" i="2"/>
  <c r="D14" i="2"/>
  <c r="D13" i="2"/>
  <c r="D11" i="2"/>
  <c r="D9" i="2"/>
  <c r="I68" i="34"/>
  <c r="G36" i="34"/>
  <c r="I69" i="34" s="1"/>
  <c r="G41" i="34"/>
  <c r="I70" i="34" s="1"/>
  <c r="G2" i="35"/>
  <c r="D16" i="2"/>
  <c r="G49" i="34"/>
  <c r="I72" i="34" s="1"/>
  <c r="I67" i="34"/>
  <c r="G45" i="34"/>
  <c r="I71" i="34" s="1"/>
  <c r="G2" i="36"/>
  <c r="D15" i="2"/>
  <c r="G54" i="34"/>
  <c r="I73" i="34" s="1"/>
  <c r="J71" i="34" l="1"/>
  <c r="K71" i="34" s="1"/>
  <c r="J69" i="34"/>
  <c r="K69" i="34" s="1"/>
  <c r="J70" i="34"/>
  <c r="K70" i="34" s="1"/>
  <c r="J68" i="34"/>
  <c r="J67" i="34"/>
  <c r="J72" i="34"/>
  <c r="J73" i="34"/>
  <c r="G16" i="35"/>
  <c r="I64" i="35" s="1"/>
  <c r="G12" i="35"/>
  <c r="I63" i="35" s="1"/>
  <c r="G8" i="35"/>
  <c r="I62" i="35" s="1"/>
  <c r="G24" i="35"/>
  <c r="I66" i="35" s="1"/>
  <c r="G33" i="35"/>
  <c r="I68" i="35" s="1"/>
  <c r="G41" i="35"/>
  <c r="I70" i="35" s="1"/>
  <c r="G54" i="35"/>
  <c r="I73" i="35" s="1"/>
  <c r="G45" i="35"/>
  <c r="I71" i="35" s="1"/>
  <c r="G37" i="35"/>
  <c r="I69" i="35" s="1"/>
  <c r="G29" i="35"/>
  <c r="I67" i="35" s="1"/>
  <c r="J60" i="35"/>
  <c r="K75" i="35" s="1"/>
  <c r="G49" i="35"/>
  <c r="I72" i="35" s="1"/>
  <c r="G20" i="35"/>
  <c r="I65" i="35" s="1"/>
  <c r="G37" i="36"/>
  <c r="I69" i="36" s="1"/>
  <c r="G33" i="36"/>
  <c r="I68" i="36" s="1"/>
  <c r="G12" i="36"/>
  <c r="I63" i="36" s="1"/>
  <c r="G49" i="36"/>
  <c r="I72" i="36" s="1"/>
  <c r="G45" i="36"/>
  <c r="I71" i="36" s="1"/>
  <c r="G41" i="36"/>
  <c r="I70" i="36" s="1"/>
  <c r="G29" i="36"/>
  <c r="I67" i="36" s="1"/>
  <c r="G16" i="36"/>
  <c r="I64" i="36" s="1"/>
  <c r="G24" i="36"/>
  <c r="I66" i="36" s="1"/>
  <c r="G54" i="36"/>
  <c r="I73" i="36" s="1"/>
  <c r="G20" i="36"/>
  <c r="I65" i="36" s="1"/>
  <c r="G8" i="36"/>
  <c r="I62" i="36" s="1"/>
  <c r="J60" i="36"/>
  <c r="K75" i="36" s="1"/>
  <c r="L69" i="34" l="1"/>
  <c r="J68" i="35"/>
  <c r="K68" i="35" s="1"/>
  <c r="J65" i="35"/>
  <c r="L65" i="35" s="1"/>
  <c r="J73" i="36"/>
  <c r="K73" i="36" s="1"/>
  <c r="L71" i="34"/>
  <c r="J62" i="35"/>
  <c r="K62" i="35" s="1"/>
  <c r="J64" i="36"/>
  <c r="K64" i="36" s="1"/>
  <c r="J69" i="36"/>
  <c r="K69" i="36" s="1"/>
  <c r="J62" i="36"/>
  <c r="L62" i="36" s="1"/>
  <c r="L70" i="34"/>
  <c r="J65" i="36"/>
  <c r="K65" i="36" s="1"/>
  <c r="J70" i="35"/>
  <c r="K70" i="35" s="1"/>
  <c r="J71" i="35"/>
  <c r="L71" i="35" s="1"/>
  <c r="J73" i="35"/>
  <c r="L73" i="35" s="1"/>
  <c r="J66" i="35"/>
  <c r="K66" i="35" s="1"/>
  <c r="J72" i="36"/>
  <c r="K72" i="36" s="1"/>
  <c r="J67" i="36"/>
  <c r="J63" i="35"/>
  <c r="J70" i="36"/>
  <c r="J64" i="35"/>
  <c r="J71" i="36"/>
  <c r="J72" i="35"/>
  <c r="K73" i="34"/>
  <c r="L73" i="34"/>
  <c r="J66" i="36"/>
  <c r="K72" i="34"/>
  <c r="L72" i="34"/>
  <c r="J67" i="35"/>
  <c r="K67" i="34"/>
  <c r="L67" i="34"/>
  <c r="J74" i="34"/>
  <c r="J76" i="34" s="1"/>
  <c r="K76" i="34" s="1"/>
  <c r="J63" i="36"/>
  <c r="J68" i="36"/>
  <c r="J69" i="35"/>
  <c r="L68" i="34"/>
  <c r="K68" i="34"/>
  <c r="L68" i="35" l="1"/>
  <c r="K65" i="35"/>
  <c r="L62" i="35"/>
  <c r="L70" i="35"/>
  <c r="L69" i="36"/>
  <c r="L73" i="36"/>
  <c r="K62" i="36"/>
  <c r="L65" i="36"/>
  <c r="K71" i="35"/>
  <c r="L64" i="36"/>
  <c r="L66" i="35"/>
  <c r="K73" i="35"/>
  <c r="L72" i="36"/>
  <c r="K74" i="34"/>
  <c r="J74" i="35"/>
  <c r="L74" i="35" s="1"/>
  <c r="K63" i="36"/>
  <c r="L63" i="36"/>
  <c r="K68" i="36"/>
  <c r="L68" i="36"/>
  <c r="J74" i="36"/>
  <c r="K70" i="36"/>
  <c r="L70" i="36"/>
  <c r="K69" i="35"/>
  <c r="L69" i="35"/>
  <c r="L64" i="35"/>
  <c r="K64" i="35"/>
  <c r="L72" i="35"/>
  <c r="K72" i="35"/>
  <c r="L63" i="35"/>
  <c r="K63" i="35"/>
  <c r="L67" i="35"/>
  <c r="K67" i="35"/>
  <c r="L66" i="36"/>
  <c r="K66" i="36"/>
  <c r="K71" i="36"/>
  <c r="L71" i="36"/>
  <c r="L67" i="36"/>
  <c r="K67" i="36"/>
  <c r="L74" i="34"/>
  <c r="K74" i="36" l="1"/>
  <c r="J76" i="35"/>
  <c r="K76" i="35" s="1"/>
  <c r="K74" i="35"/>
  <c r="L74" i="36"/>
  <c r="J76" i="36"/>
  <c r="K76" i="3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Gonzalez</author>
    <author>Andres</author>
  </authors>
  <commentList>
    <comment ref="D3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cbu alquiler pago:</t>
        </r>
        <r>
          <rPr>
            <sz val="9"/>
            <color indexed="81"/>
            <rFont val="Tahoma"/>
            <charset val="1"/>
          </rPr>
          <t xml:space="preserve">
0150872501000000633166</t>
        </r>
      </text>
    </comment>
    <comment ref="B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1" shapeId="0" xr:uid="{00000000-0006-0000-0400-000005000000}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3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4" authorId="1" shapeId="0" xr:uid="{00000000-0006-0000-0400-000007000000}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5" authorId="1" shapeId="0" xr:uid="{00000000-0006-0000-0400-000008000000}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BADDOG</author>
    <author>Raul Andres</author>
  </authors>
  <commentList>
    <comment ref="B55" authorId="0" shapeId="0" xr:uid="{00000000-0006-0000-1300-000001000000}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 xr:uid="{00000000-0006-0000-1300-000002000000}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 xr:uid="{00000000-0006-0000-1300-000003000000}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 xr:uid="{00000000-0006-0000-1300-000004000000}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 xr:uid="{00000000-0006-0000-1300-000005000000}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 Andres Gonzalez Ibarrola</author>
  </authors>
  <commentList>
    <comment ref="F2" authorId="0" shapeId="0" xr:uid="{00000000-0006-0000-1800-000001000000}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<sst xmlns="http://schemas.openxmlformats.org/spreadsheetml/2006/main" count="4401" uniqueCount="1149">
  <si>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</si>
  <si>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</si>
  <si>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</si>
  <si>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</si>
  <si>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</si>
  <si>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</si>
  <si>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</si>
  <si>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</si>
  <si>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</si>
  <si>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</si>
  <si>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</si>
  <si>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</si>
  <si>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</si>
  <si>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</si>
  <si>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</si>
  <si>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</si>
  <si>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</si>
  <si>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</si>
  <si>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</si>
  <si>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</si>
  <si>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</si>
  <si>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</si>
  <si>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</si>
  <si>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</si>
  <si>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</si>
  <si>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</si>
  <si>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</si>
  <si>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</si>
  <si>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</si>
  <si>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</si>
  <si>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</si>
  <si>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</si>
  <si>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</si>
  <si>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</si>
  <si>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</si>
  <si>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</si>
  <si>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</si>
  <si>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</si>
  <si>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</si>
  <si>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</si>
  <si>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</si>
  <si>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</si>
  <si>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</si>
  <si>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</si>
  <si>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</si>
  <si>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</si>
  <si>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</si>
  <si>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</si>
  <si>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</si>
  <si>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</si>
  <si>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</si>
  <si>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</si>
  <si>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</si>
  <si>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</si>
  <si>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</si>
  <si>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</si>
  <si>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</si>
  <si>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</si>
  <si>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</si>
  <si>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</si>
  <si>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</si>
  <si>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</si>
  <si>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</si>
  <si>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</si>
  <si>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</si>
  <si>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</si>
  <si>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</si>
  <si>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</si>
  <si>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</si>
  <si>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</si>
  <si>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</si>
  <si>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</si>
  <si>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</si>
  <si>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</si>
  <si>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</si>
  <si>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</si>
  <si>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</si>
  <si>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</si>
  <si>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</si>
  <si>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</si>
  <si>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</si>
  <si>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</si>
  <si>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</si>
  <si>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</si>
  <si>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</si>
  <si>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</si>
  <si>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</si>
  <si>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</si>
  <si>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</si>
  <si>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</si>
  <si>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</si>
  <si>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</si>
  <si>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</si>
  <si>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</si>
  <si>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</si>
  <si>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</si>
  <si>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</si>
  <si>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</si>
  <si>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</si>
  <si>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</si>
  <si>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</si>
  <si>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</si>
  <si>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</si>
  <si>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</si>
  <si>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</si>
  <si>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</si>
  <si>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</si>
  <si>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</si>
  <si>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</si>
  <si>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cumple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</si>
  <si>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</si>
  <si>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</si>
  <si>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</si>
  <si>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</si>
  <si>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</si>
  <si>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</si>
  <si>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</si>
  <si>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</si>
  <si>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</si>
  <si>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</si>
  <si>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</si>
  <si>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</si>
  <si>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</si>
  <si>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</si>
  <si>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</si>
  <si>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</si>
  <si>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</si>
  <si>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</si>
  <si>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</si>
  <si>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</si>
  <si>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</si>
  <si>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</si>
  <si>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</si>
  <si>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</si>
  <si>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</si>
  <si>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</si>
  <si>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</si>
  <si>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</si>
  <si>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</si>
  <si>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</si>
  <si>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</si>
  <si>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</si>
  <si>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</si>
  <si>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AliExpress</t>
  </si>
  <si>
    <t>SamMobile</t>
  </si>
  <si>
    <t>Eva2015</t>
  </si>
  <si>
    <t>celular</t>
  </si>
  <si>
    <t>ahijado jardin</t>
  </si>
  <si>
    <t>salida con ale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</si>
  <si>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</si>
  <si>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</si>
  <si>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</si>
  <si>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</si>
  <si>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</si>
  <si>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</si>
  <si>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</si>
  <si>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</si>
  <si>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</si>
  <si>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</si>
  <si>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</si>
  <si>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</si>
  <si>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</si>
  <si>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</si>
  <si>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</si>
  <si>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</si>
  <si>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</si>
  <si>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</si>
  <si>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</si>
  <si>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</si>
  <si>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</si>
  <si>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</si>
  <si>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</si>
  <si>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</si>
  <si>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</si>
  <si>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</si>
  <si>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</si>
  <si>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</si>
  <si>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</si>
  <si>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</si>
  <si>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</si>
  <si>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</si>
  <si>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</si>
  <si>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</si>
  <si>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</si>
  <si>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</si>
  <si>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</si>
  <si>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</si>
  <si>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</si>
  <si>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</si>
  <si>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</si>
  <si>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</si>
  <si>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</si>
  <si>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</si>
  <si>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</si>
  <si>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</si>
  <si>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</si>
  <si>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</si>
  <si>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</si>
  <si>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</si>
  <si>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</si>
  <si>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</si>
  <si>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</si>
  <si>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</si>
  <si>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</si>
  <si>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</si>
  <si>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</si>
  <si>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</si>
  <si>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</si>
  <si>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</si>
  <si>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</si>
  <si>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</si>
  <si>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</si>
  <si>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</si>
  <si>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</si>
  <si>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</si>
  <si>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</si>
  <si>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</si>
  <si>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</si>
  <si>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</si>
  <si>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</si>
  <si>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</si>
  <si>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</si>
  <si>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</si>
  <si>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</si>
  <si>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</si>
  <si>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</si>
  <si>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</si>
  <si>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</si>
  <si>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</si>
  <si>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</si>
  <si>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</si>
  <si>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</si>
  <si>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</si>
  <si>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</si>
  <si>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</si>
  <si>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</si>
  <si>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</si>
  <si>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</si>
  <si>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</si>
  <si>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</si>
  <si>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</si>
  <si>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</si>
  <si>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</si>
  <si>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</si>
  <si>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</si>
  <si>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</si>
  <si>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</si>
  <si>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</si>
  <si>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</si>
  <si>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</si>
  <si>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</si>
  <si>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</si>
  <si>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</si>
  <si>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</si>
  <si>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</si>
  <si>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</si>
  <si>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</si>
  <si>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</si>
  <si>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</si>
  <si>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</si>
  <si>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</si>
  <si>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</si>
  <si>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</si>
  <si>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</si>
  <si>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</si>
  <si>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</si>
  <si>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</si>
  <si>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</si>
  <si>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</si>
  <si>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</si>
  <si>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</si>
  <si>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</si>
  <si>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</si>
  <si>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</si>
  <si>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</si>
  <si>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</si>
  <si>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</si>
  <si>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</si>
  <si>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</si>
  <si>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</si>
  <si>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</si>
  <si>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</si>
  <si>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</si>
  <si>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</si>
  <si>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</si>
  <si>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</si>
  <si>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</si>
  <si>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</si>
  <si>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</si>
  <si>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</si>
  <si>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</si>
  <si>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</si>
  <si>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</si>
  <si>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</si>
  <si>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</si>
  <si>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</si>
  <si>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</si>
  <si>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</si>
  <si>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</si>
  <si>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</si>
  <si>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</si>
  <si>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</si>
  <si>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</si>
  <si>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</si>
  <si>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</si>
  <si>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</si>
  <si>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</si>
  <si>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</si>
  <si>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</si>
  <si>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</si>
  <si>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</si>
  <si>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</si>
  <si>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</si>
  <si>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</si>
  <si>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</si>
  <si>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</si>
  <si>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</si>
  <si>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</si>
  <si>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</si>
  <si>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</si>
  <si>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</si>
  <si>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</si>
  <si>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</si>
  <si>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</si>
  <si>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</si>
  <si>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</si>
  <si>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</si>
  <si>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</si>
  <si>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</si>
  <si>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</si>
  <si>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</si>
  <si>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</si>
  <si>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</si>
  <si>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</si>
  <si>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</si>
  <si>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</si>
  <si>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</si>
  <si>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</si>
  <si>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</si>
  <si>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</si>
  <si>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</si>
  <si>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</si>
  <si>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</si>
  <si>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</si>
  <si>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</si>
  <si>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</si>
  <si>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</si>
  <si>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</si>
  <si>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</si>
  <si>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</si>
  <si>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</si>
  <si>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</si>
  <si>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</si>
  <si>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</si>
  <si>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</si>
  <si>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</si>
  <si>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</si>
  <si>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</si>
  <si>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</si>
  <si>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</si>
  <si>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</si>
  <si>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</si>
  <si>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</si>
  <si>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</si>
  <si>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</si>
  <si>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</si>
  <si>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</si>
  <si>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</si>
  <si>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</si>
  <si>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</si>
  <si>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</si>
  <si>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</si>
  <si>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</si>
  <si>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</si>
  <si>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</si>
  <si>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</si>
  <si>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</si>
  <si>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</si>
  <si>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</si>
  <si>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</si>
  <si>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</si>
  <si>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</si>
  <si>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</si>
  <si>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</si>
  <si>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</si>
  <si>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</si>
  <si>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</si>
  <si>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</si>
  <si>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</si>
  <si>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</si>
  <si>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</si>
  <si>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</si>
  <si>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</si>
  <si>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</si>
  <si>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</si>
  <si>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</si>
  <si>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</si>
  <si>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</si>
  <si>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</si>
  <si>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</si>
  <si>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</si>
  <si>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</si>
  <si>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</si>
  <si>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</si>
  <si>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</si>
  <si>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</si>
  <si>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</si>
  <si>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</si>
  <si>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</si>
  <si>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</si>
  <si>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</si>
  <si>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</si>
  <si>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</si>
  <si>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</si>
  <si>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</si>
  <si>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</si>
  <si>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</si>
  <si>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</si>
  <si>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</si>
  <si>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</si>
  <si>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</si>
  <si>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</si>
  <si>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</si>
  <si>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</si>
  <si>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</si>
  <si>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</si>
  <si>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</si>
  <si>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</si>
  <si>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</si>
  <si>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</si>
  <si>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</si>
  <si>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</si>
  <si>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</si>
  <si>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</si>
  <si>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</si>
  <si>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</si>
  <si>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</si>
  <si>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</si>
  <si>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</si>
  <si>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</si>
  <si>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</si>
  <si>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</si>
  <si>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</si>
  <si>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</si>
  <si>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</si>
  <si>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</si>
  <si>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</si>
  <si>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</si>
  <si>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</si>
  <si>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</si>
  <si>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</si>
  <si>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</si>
  <si>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</si>
  <si>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</si>
  <si>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</si>
  <si>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</si>
  <si>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</si>
  <si>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</si>
  <si>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</si>
  <si>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</si>
  <si>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</si>
  <si>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</si>
  <si>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</si>
  <si>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</si>
  <si>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</si>
  <si>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</si>
  <si>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</si>
  <si>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</si>
  <si>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</si>
  <si>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</si>
  <si>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</si>
  <si>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</si>
  <si>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</si>
  <si>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</si>
  <si>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</si>
  <si>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</si>
  <si>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</si>
  <si>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</si>
  <si>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</si>
  <si>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</si>
  <si>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</si>
  <si>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</si>
  <si>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</si>
  <si>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</si>
  <si>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</si>
  <si>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</si>
  <si>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</si>
  <si>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</si>
  <si>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</si>
  <si>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</si>
  <si>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</si>
  <si>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</si>
  <si>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</si>
  <si>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</si>
  <si>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</si>
  <si>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</si>
  <si>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</si>
  <si>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</si>
  <si>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</si>
  <si>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</si>
  <si>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</si>
  <si>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</si>
  <si>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</si>
  <si>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</si>
  <si>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</si>
  <si>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</si>
  <si>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</si>
  <si>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</si>
  <si>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</si>
  <si>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</si>
  <si>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</si>
  <si>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</si>
  <si>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</si>
  <si>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</si>
  <si>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</si>
  <si>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</si>
  <si>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</si>
  <si>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</si>
  <si>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</si>
  <si>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</si>
  <si>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</si>
  <si>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</si>
  <si>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</si>
  <si>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</si>
  <si>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</si>
  <si>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</si>
  <si>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</si>
  <si>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</si>
  <si>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</si>
  <si>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</si>
  <si>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</si>
  <si>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</si>
  <si>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</si>
  <si>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</si>
  <si>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</si>
  <si>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</si>
  <si>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</si>
  <si>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</si>
  <si>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</si>
  <si>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</si>
  <si>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</si>
  <si>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</si>
  <si>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</si>
  <si>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</si>
  <si>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</si>
  <si>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</si>
  <si>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</si>
  <si>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</si>
  <si>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</si>
  <si>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</si>
  <si>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</si>
  <si>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</si>
  <si>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</si>
  <si>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</si>
  <si>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</si>
  <si>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</si>
  <si>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</si>
  <si>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</si>
  <si>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</si>
  <si>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</si>
  <si>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</si>
  <si>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</si>
  <si>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</si>
  <si>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</si>
  <si>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</si>
  <si>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</si>
  <si>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</si>
  <si>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</si>
  <si>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</si>
  <si>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</si>
  <si>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</si>
  <si>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</si>
  <si>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</si>
  <si>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</si>
  <si>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</si>
  <si>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</si>
  <si>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</si>
  <si>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</si>
  <si>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</si>
  <si>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</si>
  <si>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</si>
  <si>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</si>
  <si>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</si>
  <si>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</si>
  <si>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</si>
  <si>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</si>
  <si>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</si>
  <si>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</si>
  <si>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</si>
  <si>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</si>
  <si>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</si>
  <si>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</si>
  <si>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</si>
  <si>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</si>
  <si>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</si>
  <si>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</si>
  <si>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</si>
  <si>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</si>
  <si>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</si>
  <si>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</si>
  <si>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</si>
  <si>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</si>
  <si>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</si>
  <si>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</si>
  <si>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</si>
  <si>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</si>
  <si>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</si>
  <si>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</si>
  <si>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</si>
  <si>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</si>
  <si>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</si>
  <si>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</si>
  <si>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</si>
  <si>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</si>
  <si>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</si>
  <si>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</si>
  <si>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</si>
  <si>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</si>
  <si>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</si>
  <si>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</si>
  <si>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</si>
  <si>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</si>
  <si>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</si>
  <si>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</si>
  <si>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</si>
  <si>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</si>
  <si>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</si>
  <si>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</si>
  <si>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</si>
  <si>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</si>
  <si>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</si>
  <si>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</si>
  <si>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</si>
  <si>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</si>
  <si>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</si>
  <si>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</si>
  <si>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</si>
  <si>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</si>
  <si>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</si>
  <si>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</si>
  <si>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</si>
  <si>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</si>
  <si>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</si>
  <si>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</si>
  <si>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</si>
  <si>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</si>
  <si>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</si>
  <si>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</si>
  <si>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</si>
  <si>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</si>
  <si>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</si>
  <si>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</si>
  <si>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</si>
  <si>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</si>
  <si>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</si>
  <si>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</si>
  <si>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</si>
  <si>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</si>
  <si>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</si>
  <si>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</si>
  <si>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</si>
  <si>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</si>
  <si>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</si>
  <si>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</si>
  <si>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</si>
  <si>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</si>
  <si>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</si>
  <si>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</si>
  <si>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</si>
  <si>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</si>
  <si>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</si>
  <si>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</si>
  <si>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</si>
  <si>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</si>
  <si>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</si>
  <si>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</si>
  <si>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</si>
  <si>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</si>
  <si>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</si>
  <si>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</si>
  <si>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</si>
  <si>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</si>
  <si>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</si>
  <si>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</si>
  <si>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</si>
  <si>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</si>
  <si>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</si>
  <si>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</si>
  <si>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</si>
  <si>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</si>
  <si>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</si>
  <si>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</si>
  <si>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</si>
  <si>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</si>
  <si>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</si>
  <si>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</si>
  <si>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</si>
  <si>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</si>
  <si>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</si>
  <si>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</si>
  <si>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</si>
  <si>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</si>
  <si>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</si>
  <si>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</si>
  <si>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</si>
  <si>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</si>
  <si>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</si>
  <si>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</si>
  <si>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</si>
  <si>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</si>
  <si>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</si>
  <si>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</si>
  <si>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</si>
  <si>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</si>
  <si>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</si>
  <si>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</si>
  <si>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</si>
  <si>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</si>
  <si>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</si>
  <si>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</si>
  <si>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</si>
  <si>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</si>
  <si>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</si>
  <si>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</si>
  <si>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</si>
  <si>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</si>
  <si>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</si>
  <si>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</si>
  <si>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</si>
  <si>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</si>
  <si>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</si>
  <si>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</si>
  <si>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</si>
  <si>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</si>
  <si>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</si>
  <si>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</si>
  <si>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</si>
  <si>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</si>
  <si>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</si>
  <si>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</si>
  <si>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</si>
  <si>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</si>
  <si>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</si>
  <si>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</si>
  <si>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</si>
  <si>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</si>
  <si>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</si>
  <si>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Dolares egreso - AY24D</t>
  </si>
  <si>
    <t>Pesos ingreso - AY24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</si>
  <si>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</si>
  <si>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</si>
  <si>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</si>
  <si>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</si>
  <si>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</si>
  <si>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</si>
  <si>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</si>
  <si>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</si>
  <si>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</si>
  <si>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</si>
  <si>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</si>
  <si>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</si>
  <si>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</si>
  <si>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</si>
  <si>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</si>
  <si>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</si>
  <si>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</si>
  <si>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</si>
  <si>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</si>
  <si>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</si>
  <si>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</si>
  <si>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</si>
  <si>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</si>
  <si>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</si>
  <si>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</si>
  <si>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</si>
  <si>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</si>
  <si>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</si>
  <si>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</si>
  <si>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2626213-613129</t>
  </si>
  <si>
    <t>0Andres0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</si>
  <si>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</si>
  <si>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</si>
  <si>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</si>
  <si>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</si>
  <si>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</si>
  <si>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</si>
  <si>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</si>
  <si>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</si>
  <si>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</si>
  <si>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</si>
  <si>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Ingreso</t>
  </si>
  <si>
    <t>001300</t>
  </si>
  <si>
    <t>Andres2020w</t>
  </si>
  <si>
    <t>Apertura</t>
  </si>
  <si>
    <t>Pesos ingreso - PARYD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</si>
  <si>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</si>
  <si>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</si>
  <si>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</si>
  <si>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</si>
  <si>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</si>
  <si>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</si>
  <si>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</si>
  <si>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</si>
  <si>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</si>
  <si>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</si>
  <si>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</si>
  <si>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</si>
  <si>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</si>
  <si>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</si>
  <si>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</si>
  <si>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</si>
  <si>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</si>
  <si>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</si>
  <si>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</si>
  <si>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</si>
  <si>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</si>
  <si>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</si>
  <si>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</si>
  <si>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</si>
  <si>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</si>
  <si>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</si>
  <si>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</si>
  <si>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</si>
  <si>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</si>
  <si>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</si>
  <si>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</si>
  <si>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</si>
  <si>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</si>
  <si>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</si>
  <si>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</si>
  <si>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</si>
  <si>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</si>
  <si>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</si>
  <si>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</si>
  <si>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</si>
  <si>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</si>
  <si>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</si>
  <si>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</si>
  <si>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</si>
  <si>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</si>
  <si>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</si>
  <si>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</si>
  <si>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</si>
  <si>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</si>
  <si>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</si>
  <si>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</si>
  <si>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</si>
  <si>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</si>
  <si>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</si>
  <si>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</si>
  <si>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</si>
  <si>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</si>
  <si>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MUNICIPAL</t>
  </si>
  <si>
    <t>CEDEAR-DESP</t>
  </si>
  <si>
    <t>nubiandres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</si>
  <si>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</si>
  <si>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</si>
  <si>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</si>
  <si>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</si>
  <si>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</si>
  <si>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</si>
  <si>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</si>
  <si>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</si>
  <si>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</si>
  <si>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</si>
  <si>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</si>
  <si>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</si>
  <si>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</si>
  <si>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</si>
  <si>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</si>
  <si>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</si>
  <si>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</si>
  <si>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</si>
  <si>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</si>
  <si>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</si>
  <si>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</si>
  <si>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</si>
  <si>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</si>
  <si>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</si>
  <si>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</si>
  <si>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</si>
  <si>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</si>
  <si>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</si>
  <si>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</si>
  <si>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</si>
  <si>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</si>
  <si>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</si>
  <si>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</si>
  <si>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</si>
  <si>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</si>
  <si>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</si>
  <si>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</si>
  <si>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</si>
  <si>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</si>
  <si>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</si>
  <si>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</si>
  <si>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</si>
  <si>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</si>
  <si>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Bet*3574</t>
  </si>
  <si>
    <t>WebMail</t>
  </si>
  <si>
    <t>1mas1Popeye</t>
  </si>
  <si>
    <t>5623</t>
  </si>
  <si>
    <t>Telecentro</t>
  </si>
  <si>
    <t>Boomeran</t>
  </si>
  <si>
    <t>mi_correo</t>
  </si>
  <si>
    <t>nat_correo</t>
  </si>
  <si>
    <t>beta_correo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</si>
  <si>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</si>
  <si>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</si>
  <si>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</si>
  <si>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</si>
  <si>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</si>
  <si>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</si>
  <si>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</si>
  <si>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</si>
  <si>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</si>
  <si>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</si>
  <si>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</si>
  <si>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</si>
  <si>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</si>
  <si>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</si>
  <si>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</si>
  <si>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</si>
  <si>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</si>
  <si>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</si>
  <si>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</si>
  <si>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</si>
  <si>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</si>
  <si>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</si>
  <si>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</si>
  <si>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</si>
  <si>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</si>
  <si>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</si>
  <si>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LM6Z90OP</t>
  </si>
  <si>
    <t>1mas1Pago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</si>
  <si>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</si>
  <si>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</si>
  <si>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</si>
  <si>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</si>
  <si>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</si>
  <si>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</si>
  <si>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</si>
  <si>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</si>
  <si>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inversion BULL</t>
  </si>
  <si>
    <t>inversion INVIU</t>
  </si>
  <si>
    <t>sueldo BETA-liq</t>
  </si>
  <si>
    <t>BullPay</t>
  </si>
  <si>
    <t>0000060400000001559839</t>
  </si>
  <si>
    <t>Bolsa-Pesos-Billetera</t>
  </si>
  <si>
    <t>102033.BULLPAY</t>
  </si>
  <si>
    <t>FALTA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</si>
  <si>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</si>
  <si>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</si>
  <si>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</si>
  <si>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</si>
  <si>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</si>
  <si>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</si>
  <si>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Compra</t>
  </si>
  <si>
    <t>Andres#5342124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</si>
  <si>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</si>
  <si>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</si>
  <si>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</si>
  <si>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</si>
  <si>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</si>
  <si>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</si>
  <si>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</si>
  <si>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</si>
  <si>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</si>
  <si>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</si>
  <si>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</si>
  <si>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</si>
  <si>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</si>
  <si>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</si>
  <si>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</si>
  <si>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</si>
  <si>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</si>
  <si>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</si>
  <si>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</si>
  <si>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</si>
  <si>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</si>
  <si>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</si>
  <si>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CEDEAR-NVDA</t>
  </si>
  <si>
    <t>Personal pay</t>
  </si>
  <si>
    <t>0000076500000000099242</t>
  </si>
  <si>
    <t>auth:google</t>
  </si>
  <si>
    <t>Venta</t>
  </si>
  <si>
    <t>Reba</t>
  </si>
  <si>
    <t>reba.andres.p/.d</t>
  </si>
  <si>
    <t>Tap</t>
  </si>
  <si>
    <t>0000040600203039778656</t>
  </si>
  <si>
    <t xml:space="preserve">Dolares egreso </t>
  </si>
  <si>
    <t>REBA</t>
  </si>
  <si>
    <t>PLAN V</t>
  </si>
  <si>
    <t>Lemon</t>
  </si>
  <si>
    <t>0000053600000003207873</t>
  </si>
  <si>
    <t>20303977865.lemon</t>
  </si>
  <si>
    <t>Billetera-Pesos-Cripto</t>
  </si>
  <si>
    <t>alqu+Exp+Limp</t>
  </si>
  <si>
    <t>JUMBO QUILMES QUILMES OESTE Tv</t>
  </si>
  <si>
    <t>1mas1@Ndres</t>
  </si>
  <si>
    <t>Capdevila 4653 (Calle 383bis), Quilmes Oeste, CP1879, 1C,Gral Juan Manuel Savio,Calle 347 (Juan Vucetich)</t>
  </si>
  <si>
    <t>edesur+Gym+OSDE</t>
  </si>
  <si>
    <t>internet+Seg</t>
  </si>
  <si>
    <t>sueldo BET</t>
  </si>
  <si>
    <t>1mas1Wilo</t>
  </si>
  <si>
    <t>Ad de Inversiones</t>
  </si>
  <si>
    <t>1mas1netflix</t>
  </si>
  <si>
    <t>1mas1amazon</t>
  </si>
  <si>
    <t>Iudu</t>
  </si>
  <si>
    <t>RAULANDRESGONZA.IUDU</t>
  </si>
  <si>
    <t>andresIudu22</t>
  </si>
  <si>
    <t>4380000511001012163435</t>
  </si>
  <si>
    <t>julio en agosto</t>
  </si>
  <si>
    <t>Bitso</t>
  </si>
  <si>
    <t>1mas1Bits@</t>
  </si>
  <si>
    <t>836216</t>
  </si>
  <si>
    <t>0000025300000031673709</t>
  </si>
  <si>
    <t>OpenBank</t>
  </si>
  <si>
    <t>021013</t>
  </si>
  <si>
    <t>1580001101030000644068</t>
  </si>
  <si>
    <t>Abr-2022</t>
  </si>
  <si>
    <t>01355013</t>
  </si>
  <si>
    <t>open.andres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</si>
  <si>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</si>
  <si>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</si>
  <si>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</si>
  <si>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</si>
  <si>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</si>
  <si>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</si>
  <si>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</si>
  <si>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</si>
  <si>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</si>
  <si>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</si>
  <si>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</si>
  <si>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</si>
  <si>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1mas1Invi@</t>
  </si>
  <si>
    <t>VENTA</t>
  </si>
  <si>
    <t>COMPRA</t>
  </si>
  <si>
    <t>MetaMask</t>
  </si>
  <si>
    <t>1mas1meta</t>
  </si>
  <si>
    <t>0x4d02216dE5d65682270eB10739A451aAA2dd7962</t>
  </si>
  <si>
    <t>1mas1Origin</t>
  </si>
  <si>
    <t>CEDEAR-NKE</t>
  </si>
  <si>
    <t>B-CEDEAR-NKE</t>
  </si>
  <si>
    <t>B-CEDEAR-AAPL</t>
  </si>
  <si>
    <t>B-CEDEAR-JPM</t>
  </si>
  <si>
    <t>CEDEAR-JPM</t>
  </si>
  <si>
    <t>1mas1Andres</t>
  </si>
  <si>
    <t>NaranjaX</t>
  </si>
  <si>
    <t>UVAs</t>
  </si>
  <si>
    <t>Uva-B</t>
  </si>
  <si>
    <t>Uva-G</t>
  </si>
  <si>
    <t>Alza</t>
  </si>
  <si>
    <t>.Uva</t>
  </si>
  <si>
    <t>Cotizaciones</t>
  </si>
  <si>
    <t>Anterior</t>
  </si>
  <si>
    <t>Aproximado</t>
  </si>
  <si>
    <t>TazaM</t>
  </si>
  <si>
    <t>TazaD</t>
  </si>
  <si>
    <t>Est. Final</t>
  </si>
  <si>
    <t>Parcial</t>
  </si>
  <si>
    <t>Est. Parcial</t>
  </si>
  <si>
    <t>Est. Mensual</t>
  </si>
  <si>
    <t>Mensual</t>
  </si>
  <si>
    <t>Inicial</t>
  </si>
  <si>
    <t>Final</t>
  </si>
  <si>
    <t>May-2022</t>
  </si>
  <si>
    <t>4530000800012470391315(29286861877)</t>
  </si>
  <si>
    <t>Valor</t>
  </si>
  <si>
    <t>4578/001300</t>
  </si>
  <si>
    <t>Steam</t>
  </si>
  <si>
    <t>.USDC</t>
  </si>
  <si>
    <t>CEDEAR-SPY</t>
  </si>
  <si>
    <t>andres.dev/1mas1Andres</t>
  </si>
  <si>
    <t>Periodo</t>
  </si>
  <si>
    <t>agosto en septiembre</t>
  </si>
  <si>
    <t>sueldo NAC+vac</t>
  </si>
  <si>
    <t>andres.decrypto</t>
  </si>
  <si>
    <t>andres2022</t>
  </si>
  <si>
    <t>1mas1Reba</t>
  </si>
  <si>
    <t>luz+Agua</t>
  </si>
  <si>
    <t>Kucoin</t>
  </si>
  <si>
    <t>1mas1Kucoin</t>
  </si>
  <si>
    <t>Jun-2022</t>
  </si>
  <si>
    <t>Agosto</t>
  </si>
  <si>
    <t>R83370</t>
  </si>
  <si>
    <t>plazo-uva</t>
  </si>
  <si>
    <t>Gemini</t>
  </si>
  <si>
    <t>Global</t>
  </si>
  <si>
    <t>1mas1gemini</t>
  </si>
  <si>
    <t>1mas1Glob@al</t>
  </si>
  <si>
    <t>uphold</t>
  </si>
  <si>
    <t>Dato</t>
  </si>
  <si>
    <t>andresGlobal</t>
  </si>
  <si>
    <t>B-CEDEAR-SPY</t>
  </si>
  <si>
    <t>1mas1Samsung</t>
  </si>
  <si>
    <t>RATIO</t>
  </si>
  <si>
    <t>DIVIDENDO</t>
  </si>
  <si>
    <t>Enero-Abril-Julio-Octubre</t>
  </si>
  <si>
    <t>Marzo-Junio-Septiembre-Diciembre</t>
  </si>
  <si>
    <t>Febrero-Mayo-Agosto-Noviembre</t>
  </si>
  <si>
    <t>CEDEAR-CSCO</t>
  </si>
  <si>
    <t>B-CEDEAR-CSCO</t>
  </si>
  <si>
    <t>Julio</t>
  </si>
  <si>
    <t>DOLARES</t>
  </si>
  <si>
    <t>ValorPES</t>
  </si>
  <si>
    <t>B-CEDEAR-MSFT</t>
  </si>
  <si>
    <t>CEDEAR-MSFT</t>
  </si>
  <si>
    <t>CEDEAR-AMZN</t>
  </si>
  <si>
    <t>B-CEDEAR-AMZN</t>
  </si>
  <si>
    <t>CAUCION</t>
  </si>
  <si>
    <t>Saldo DOL</t>
  </si>
  <si>
    <t>Saldo PES</t>
  </si>
  <si>
    <t>B-CEDEAR-DIA</t>
  </si>
  <si>
    <t>B-CEDEAR-XLF</t>
  </si>
  <si>
    <t>B-CEDEAR-EEM</t>
  </si>
  <si>
    <t>B-CEDEAR-MMM</t>
  </si>
  <si>
    <t>B-CEDEAR-HD</t>
  </si>
  <si>
    <t>B-CEDEAR-WMT</t>
  </si>
  <si>
    <t>B-CEDEAR-KO</t>
  </si>
  <si>
    <t>TotalDOL</t>
  </si>
  <si>
    <t>TotalPES</t>
  </si>
  <si>
    <t>Marzo</t>
  </si>
  <si>
    <t>Junio</t>
  </si>
  <si>
    <t>Septiembre</t>
  </si>
  <si>
    <t>Diciembre</t>
  </si>
  <si>
    <t>CEDEAR-XLF</t>
  </si>
  <si>
    <t>CEDEAR-DIA</t>
  </si>
  <si>
    <t>CEDEAR-EEM</t>
  </si>
  <si>
    <t>CEDEAR-KO</t>
  </si>
  <si>
    <t>Beta2022</t>
  </si>
  <si>
    <t>andresDev</t>
  </si>
  <si>
    <t>Bet@6459</t>
  </si>
  <si>
    <t>Jupiter12@</t>
  </si>
  <si>
    <t>B-CEDEAR-BRKB</t>
  </si>
  <si>
    <t>CEDEAR-BRKB</t>
  </si>
  <si>
    <t>BILLETERA+TAZA-ALTO AVELLANEDA</t>
  </si>
  <si>
    <t>CEDEAR-WMT</t>
  </si>
  <si>
    <t>CEDEAR-MMM</t>
  </si>
  <si>
    <t>B-CEDEAR-MA</t>
  </si>
  <si>
    <t>B-CEDEAR-GOLD</t>
  </si>
  <si>
    <t>CEDEAR-GOGL</t>
  </si>
  <si>
    <t>B-CEDEAR-GOGL</t>
  </si>
  <si>
    <t>B-CEDEAR-IBM</t>
  </si>
  <si>
    <t>CEDEAR-MA</t>
  </si>
  <si>
    <t>CEDEAR-HD</t>
  </si>
  <si>
    <t>RESULTADO</t>
  </si>
  <si>
    <t>1mas1dropbox</t>
  </si>
  <si>
    <t>vuelo.carbon.casa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</si>
</sst>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[$$-2C0A]\ #,##0.00"/>
    <numFmt numFmtId="181" formatCode="[$$-2C0A]\ #,##0.000000"/>
    <numFmt numFmtId="182" formatCode="[$$-2C0A]\ #,##0.0000"/>
    <numFmt numFmtId="183" formatCode="[$$-2C0A]\ #,##0"/>
    <numFmt numFmtId="184" formatCode="[$$-2C0A]\ #,##0.00000"/>
    <numFmt numFmtId="185" formatCode="[$$-2C0A]\ #,##0.000"/>
    <numFmt numFmtId="186" formatCode="[$USD]\ #,##0.00"/>
    <numFmt numFmtId="187" formatCode="[$-F800]dddd\,\ mmmm\ dd\,\ yyyy"/>
    <numFmt numFmtId="188" formatCode="[$$-2C0A]\ #,##0.0"/>
    <numFmt numFmtId="189" formatCode="[$USD]\ #,##0"/>
    <numFmt numFmtId="190" formatCode="0.00000000000"/>
    <numFmt numFmtId="191" formatCode="0.0"/>
    <numFmt numFmtId="192" formatCode="0.00000000000000%"/>
    <numFmt numFmtId="193" formatCode="0.0000%"/>
    <numFmt numFmtId="194" formatCode="0.000000000000"/>
    <numFmt numFmtId="195" formatCode="0.0000000000000"/>
    <numFmt numFmtId="196" formatCode="0.00000000000000"/>
    <numFmt numFmtId="197" formatCode="0.000000%"/>
    <numFmt numFmtId="198" formatCode="[$$-2C0A]\ #,##0.000000000"/>
    <numFmt numFmtId="199" formatCode="&quot;$&quot;\ #,##0"/>
    <numFmt numFmtId="200" formatCode="&quot;$&quot;\ #,##0.00000"/>
  </numFmts>
  <fonts count="10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D5617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theme="7" tint="-0.49998474074526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181" fontId="0" fillId="0" borderId="0"/>
    <xf numFmtId="164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14" fillId="5" borderId="0" applyNumberFormat="0" applyBorder="0" applyAlignment="0" applyProtection="0"/>
    <xf numFmtId="181" fontId="26" fillId="7" borderId="15" applyNumberFormat="0" applyAlignment="0" applyProtection="0"/>
    <xf numFmtId="181" fontId="27" fillId="8" borderId="0" applyNumberFormat="0" applyBorder="0" applyAlignment="0" applyProtection="0"/>
    <xf numFmtId="181" fontId="28" fillId="9" borderId="0" applyNumberFormat="0" applyBorder="0" applyAlignment="0" applyProtection="0"/>
    <xf numFmtId="9" fontId="1" fillId="0" borderId="0" applyFont="0" applyFill="0" applyBorder="0" applyAlignment="0" applyProtection="0"/>
    <xf numFmtId="181" fontId="36" fillId="0" borderId="0" applyNumberFormat="0" applyFill="0" applyBorder="0" applyAlignment="0" applyProtection="0"/>
    <xf numFmtId="181" fontId="1" fillId="10" borderId="0" applyNumberFormat="0" applyBorder="0" applyAlignment="0" applyProtection="0"/>
    <xf numFmtId="181" fontId="1" fillId="11" borderId="0" applyNumberFormat="0" applyBorder="0" applyAlignment="0" applyProtection="0"/>
    <xf numFmtId="181" fontId="46" fillId="13" borderId="0" applyNumberFormat="0" applyBorder="0" applyAlignment="0" applyProtection="0"/>
    <xf numFmtId="181" fontId="46" fillId="16" borderId="0" applyNumberFormat="0" applyBorder="0" applyAlignment="0" applyProtection="0"/>
    <xf numFmtId="181" fontId="46" fillId="17" borderId="0" applyNumberFormat="0" applyBorder="0" applyAlignment="0" applyProtection="0"/>
    <xf numFmtId="181" fontId="67" fillId="0" borderId="0" applyNumberFormat="0" applyFill="0" applyBorder="0" applyAlignment="0" applyProtection="0"/>
  </cellStyleXfs>
  <cellXfs count="1201">
    <xf numFmtId="181" fontId="0" fillId="0" borderId="0" xfId="0"/>
    <xf numFmtId="181" fontId="2" fillId="2" borderId="0" xfId="0" applyFont="1" applyFill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0" borderId="0" xfId="0" applyFont="1"/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1" fontId="2" fillId="2" borderId="8" xfId="0" applyFont="1" applyFill="1" applyBorder="1" applyAlignment="1">
      <alignment horizontal="center"/>
    </xf>
    <xf numFmtId="181" fontId="2" fillId="2" borderId="11" xfId="0" applyFont="1" applyFill="1" applyBorder="1" applyAlignment="1">
      <alignment horizontal="center"/>
    </xf>
    <xf numFmtId="181" fontId="0" fillId="0" borderId="0" xfId="0" applyAlignment="1">
      <alignment horizontal="center"/>
    </xf>
    <xf numFmtId="181" fontId="3" fillId="0" borderId="0" xfId="0" applyFont="1" applyFill="1" applyBorder="1" applyAlignment="1">
      <alignment horizontal="center"/>
    </xf>
    <xf numFmtId="181" fontId="3" fillId="0" borderId="0" xfId="0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Font="1"/>
    <xf numFmtId="181" fontId="3" fillId="0" borderId="0" xfId="0" applyNumberFormat="1" applyFont="1"/>
    <xf numFmtId="181" fontId="3" fillId="0" borderId="0" xfId="0" applyNumberFormat="1" applyFont="1" applyFill="1" applyBorder="1" applyAlignment="1">
      <alignment horizontal="center"/>
    </xf>
    <xf numFmtId="181" fontId="0" fillId="0" borderId="0" xfId="0" applyNumberFormat="1"/>
    <xf numFmtId="181" fontId="6" fillId="0" borderId="0" xfId="0" applyFont="1"/>
    <xf numFmtId="166" fontId="7" fillId="0" borderId="0" xfId="0" applyNumberFormat="1" applyFont="1" applyFill="1" applyBorder="1"/>
    <xf numFmtId="181" fontId="7" fillId="0" borderId="0" xfId="0" applyFont="1" applyFill="1" applyBorder="1"/>
    <xf numFmtId="181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1" fontId="0" fillId="0" borderId="0" xfId="0" applyNumberFormat="1"/>
    <xf numFmtId="181" fontId="4" fillId="0" borderId="0" xfId="0" applyNumberFormat="1" applyFont="1" applyFill="1" applyBorder="1" applyAlignment="1">
      <alignment horizontal="left" vertical="justify" wrapText="1"/>
    </xf>
    <xf numFmtId="181" fontId="11" fillId="0" borderId="0" xfId="0" applyNumberFormat="1" applyFont="1" applyFill="1" applyBorder="1"/>
    <xf numFmtId="2" fontId="0" fillId="0" borderId="0" xfId="0" applyNumberFormat="1"/>
    <xf numFmtId="181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1" fontId="0" fillId="0" borderId="0" xfId="0" applyFill="1" applyBorder="1"/>
    <xf numFmtId="181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1" fontId="3" fillId="0" borderId="0" xfId="0" applyNumberFormat="1" applyFont="1"/>
    <xf numFmtId="181" fontId="0" fillId="0" borderId="0" xfId="0" applyBorder="1"/>
    <xf numFmtId="181" fontId="3" fillId="0" borderId="0" xfId="0" applyFont="1" applyFill="1"/>
    <xf numFmtId="181" fontId="3" fillId="0" borderId="0" xfId="0" applyNumberFormat="1" applyFont="1" applyFill="1" applyBorder="1"/>
    <xf numFmtId="14" fontId="0" fillId="0" borderId="0" xfId="0" applyNumberFormat="1"/>
    <xf numFmtId="181" fontId="0" fillId="0" borderId="0" xfId="0" applyFill="1"/>
    <xf numFmtId="181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1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1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1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1" fontId="4" fillId="0" borderId="0" xfId="0" applyFont="1" applyFill="1" applyBorder="1" applyAlignment="1">
      <alignment horizontal="left"/>
    </xf>
    <xf numFmtId="181" fontId="3" fillId="0" borderId="0" xfId="0" applyNumberFormat="1" applyFont="1" applyFill="1" applyBorder="1"/>
    <xf numFmtId="181" fontId="2" fillId="3" borderId="0" xfId="0" applyFont="1" applyFill="1" applyAlignment="1">
      <alignment horizontal="center"/>
    </xf>
    <xf numFmtId="181" fontId="2" fillId="3" borderId="0" xfId="0" applyFont="1" applyFill="1"/>
    <xf numFmtId="181" fontId="2" fillId="2" borderId="0" xfId="0" applyFont="1" applyFill="1" applyAlignment="1">
      <alignment horizontal="center" vertical="center"/>
    </xf>
    <xf numFmtId="181" fontId="2" fillId="2" borderId="4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 wrapText="1"/>
    </xf>
    <xf numFmtId="181" fontId="12" fillId="4" borderId="4" xfId="0" applyFont="1" applyFill="1" applyBorder="1"/>
    <xf numFmtId="165" fontId="3" fillId="4" borderId="4" xfId="0" applyNumberFormat="1" applyFont="1" applyFill="1" applyBorder="1"/>
    <xf numFmtId="181" fontId="3" fillId="4" borderId="4" xfId="0" applyFont="1" applyFill="1" applyBorder="1"/>
    <xf numFmtId="181" fontId="3" fillId="4" borderId="4" xfId="0" applyFont="1" applyFill="1" applyBorder="1" applyAlignment="1">
      <alignment horizontal="center"/>
    </xf>
    <xf numFmtId="181" fontId="12" fillId="4" borderId="4" xfId="0" applyNumberFormat="1" applyFont="1" applyFill="1" applyBorder="1"/>
    <xf numFmtId="181" fontId="3" fillId="4" borderId="4" xfId="0" applyNumberFormat="1" applyFont="1" applyFill="1" applyBorder="1" applyAlignment="1">
      <alignment horizontal="center"/>
    </xf>
    <xf numFmtId="181" fontId="5" fillId="4" borderId="4" xfId="0" applyNumberFormat="1" applyFont="1" applyFill="1" applyBorder="1" applyAlignment="1">
      <alignment horizontal="center"/>
    </xf>
    <xf numFmtId="181" fontId="2" fillId="4" borderId="4" xfId="0" applyFont="1" applyFill="1" applyBorder="1" applyAlignment="1">
      <alignment horizontal="center"/>
    </xf>
    <xf numFmtId="181" fontId="0" fillId="0" borderId="0" xfId="0" applyNumberFormat="1" applyAlignment="1">
      <alignment horizontal="center"/>
    </xf>
    <xf numFmtId="181" fontId="20" fillId="0" borderId="0" xfId="0" applyNumberFormat="1" applyFont="1"/>
    <xf numFmtId="181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1" fontId="13" fillId="0" borderId="0" xfId="0" applyNumberFormat="1" applyFont="1"/>
    <xf numFmtId="164" fontId="3" fillId="0" borderId="0" xfId="1" applyFont="1" applyFill="1" applyBorder="1"/>
    <xf numFmtId="181" fontId="28" fillId="9" borderId="15" xfId="6" applyBorder="1"/>
    <xf numFmtId="181" fontId="28" fillId="9" borderId="4" xfId="6" applyBorder="1"/>
    <xf numFmtId="165" fontId="28" fillId="9" borderId="4" xfId="6" applyNumberFormat="1" applyBorder="1"/>
    <xf numFmtId="181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1" fontId="28" fillId="9" borderId="15" xfId="6" applyNumberFormat="1" applyBorder="1"/>
    <xf numFmtId="175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6" fillId="0" borderId="0" xfId="0" applyFont="1" applyFill="1"/>
    <xf numFmtId="181" fontId="0" fillId="0" borderId="0" xfId="0" applyFill="1" applyAlignment="1">
      <alignment horizontal="center"/>
    </xf>
    <xf numFmtId="181" fontId="26" fillId="6" borderId="15" xfId="4" applyFill="1"/>
    <xf numFmtId="165" fontId="26" fillId="6" borderId="15" xfId="4" applyNumberFormat="1" applyFill="1"/>
    <xf numFmtId="181" fontId="26" fillId="6" borderId="15" xfId="4" applyNumberFormat="1" applyFill="1"/>
    <xf numFmtId="181" fontId="26" fillId="6" borderId="15" xfId="4" applyNumberFormat="1" applyFill="1"/>
    <xf numFmtId="18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1" fontId="3" fillId="0" borderId="0" xfId="0" applyNumberFormat="1" applyFont="1" applyFill="1" applyBorder="1"/>
    <xf numFmtId="181" fontId="0" fillId="0" borderId="0" xfId="0" applyNumberFormat="1"/>
    <xf numFmtId="181" fontId="0" fillId="0" borderId="0" xfId="0" applyNumberFormat="1"/>
    <xf numFmtId="181" fontId="3" fillId="0" borderId="0" xfId="0" applyNumberFormat="1" applyFont="1"/>
    <xf numFmtId="16" fontId="3" fillId="0" borderId="0" xfId="0" applyNumberFormat="1" applyFont="1"/>
    <xf numFmtId="181" fontId="0" fillId="0" borderId="0" xfId="0" applyFont="1"/>
    <xf numFmtId="181" fontId="2" fillId="3" borderId="0" xfId="1" applyNumberFormat="1" applyFont="1" applyFill="1" applyAlignment="1">
      <alignment horizontal="right"/>
    </xf>
    <xf numFmtId="181" fontId="33" fillId="2" borderId="5" xfId="1" applyNumberFormat="1" applyFont="1" applyFill="1" applyBorder="1" applyAlignment="1">
      <alignment horizontal="right" vertical="center"/>
    </xf>
    <xf numFmtId="181" fontId="24" fillId="2" borderId="5" xfId="1" applyNumberFormat="1" applyFont="1" applyFill="1" applyBorder="1" applyAlignment="1">
      <alignment horizontal="right" vertical="center"/>
    </xf>
    <xf numFmtId="181" fontId="34" fillId="2" borderId="5" xfId="1" applyNumberFormat="1" applyFont="1" applyFill="1" applyBorder="1" applyAlignment="1">
      <alignment horizontal="right" vertical="justify"/>
    </xf>
    <xf numFmtId="181" fontId="32" fillId="2" borderId="5" xfId="1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2" fillId="2" borderId="0" xfId="0" applyNumberFormat="1" applyFont="1" applyFill="1" applyBorder="1" applyAlignment="1">
      <alignment horizontal="left"/>
    </xf>
    <xf numFmtId="181" fontId="2" fillId="2" borderId="5" xfId="0" applyNumberFormat="1" applyFont="1" applyFill="1" applyBorder="1" applyAlignment="1">
      <alignment horizontal="center" vertical="center" wrapText="1"/>
    </xf>
    <xf numFmtId="181" fontId="2" fillId="2" borderId="10" xfId="0" applyNumberFormat="1" applyFont="1" applyFill="1" applyBorder="1" applyAlignment="1">
      <alignment horizontal="center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2" fillId="2" borderId="0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6" xfId="0" applyNumberFormat="1" applyFont="1" applyFill="1" applyBorder="1" applyAlignment="1">
      <alignment horizontal="center" vertical="center"/>
    </xf>
    <xf numFmtId="181" fontId="2" fillId="2" borderId="9" xfId="0" applyNumberFormat="1" applyFont="1" applyFill="1" applyBorder="1" applyAlignment="1">
      <alignment horizontal="center"/>
    </xf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" fillId="0" borderId="0" xfId="0" applyNumberFormat="1" applyFont="1"/>
    <xf numFmtId="181" fontId="0" fillId="0" borderId="0" xfId="0" applyNumberFormat="1"/>
    <xf numFmtId="181" fontId="3" fillId="0" borderId="0" xfId="0" applyNumberFormat="1" applyFont="1" applyFill="1" applyBorder="1"/>
    <xf numFmtId="181" fontId="3" fillId="0" borderId="0" xfId="0" applyNumberFormat="1" applyFont="1"/>
    <xf numFmtId="181" fontId="10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2" borderId="6" xfId="0" applyNumberFormat="1" applyFont="1" applyFill="1" applyBorder="1" applyAlignment="1">
      <alignment horizontal="right"/>
    </xf>
    <xf numFmtId="181" fontId="4" fillId="4" borderId="4" xfId="0" applyNumberFormat="1" applyFont="1" applyFill="1" applyBorder="1" applyAlignment="1">
      <alignment horizontal="center" vertical="justify" wrapText="1"/>
    </xf>
    <xf numFmtId="181" fontId="2" fillId="2" borderId="5" xfId="0" applyNumberFormat="1" applyFont="1" applyFill="1" applyBorder="1" applyAlignment="1">
      <alignment horizontal="center" vertical="center"/>
    </xf>
    <xf numFmtId="181" fontId="2" fillId="2" borderId="7" xfId="0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/>
    </xf>
    <xf numFmtId="181" fontId="21" fillId="2" borderId="5" xfId="1" applyNumberFormat="1" applyFont="1" applyFill="1" applyBorder="1" applyAlignment="1">
      <alignment horizontal="center" vertical="center"/>
    </xf>
    <xf numFmtId="181" fontId="2" fillId="2" borderId="5" xfId="1" applyNumberFormat="1" applyFont="1" applyFill="1" applyBorder="1" applyAlignment="1">
      <alignment horizontal="center" vertical="justify"/>
    </xf>
    <xf numFmtId="181" fontId="22" fillId="2" borderId="5" xfId="1" applyNumberFormat="1" applyFont="1" applyFill="1" applyBorder="1" applyAlignment="1">
      <alignment horizontal="center" vertical="justify"/>
    </xf>
    <xf numFmtId="181" fontId="3" fillId="0" borderId="0" xfId="1" applyNumberFormat="1" applyFont="1" applyFill="1" applyBorder="1" applyAlignment="1">
      <alignment horizontal="left"/>
    </xf>
    <xf numFmtId="181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right"/>
    </xf>
    <xf numFmtId="181" fontId="0" fillId="0" borderId="0" xfId="0" applyNumberFormat="1" applyFill="1" applyBorder="1" applyAlignment="1">
      <alignment horizontal="center"/>
    </xf>
    <xf numFmtId="181" fontId="2" fillId="3" borderId="0" xfId="0" applyNumberFormat="1" applyFont="1" applyFill="1"/>
    <xf numFmtId="181" fontId="3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/>
    <xf numFmtId="181" fontId="10" fillId="0" borderId="0" xfId="0" applyNumberFormat="1" applyFont="1"/>
    <xf numFmtId="181" fontId="28" fillId="9" borderId="4" xfId="6" applyNumberFormat="1" applyBorder="1" applyAlignment="1">
      <alignment horizontal="center" vertical="justify" wrapText="1"/>
    </xf>
    <xf numFmtId="181" fontId="28" fillId="9" borderId="15" xfId="6" applyNumberFormat="1" applyBorder="1" applyAlignment="1">
      <alignment horizontal="center" vertical="justify" wrapText="1"/>
    </xf>
    <xf numFmtId="181" fontId="2" fillId="3" borderId="3" xfId="0" applyNumberFormat="1" applyFont="1" applyFill="1" applyBorder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center" vertical="center" wrapText="1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11" xfId="0" applyNumberFormat="1" applyFont="1" applyFill="1" applyBorder="1" applyAlignment="1">
      <alignment horizontal="center"/>
    </xf>
    <xf numFmtId="181" fontId="28" fillId="9" borderId="4" xfId="6" applyNumberFormat="1" applyBorder="1" applyAlignment="1">
      <alignment horizontal="center"/>
    </xf>
    <xf numFmtId="181" fontId="28" fillId="9" borderId="15" xfId="6" applyNumberFormat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23" fillId="2" borderId="5" xfId="1" applyNumberFormat="1" applyFont="1" applyFill="1" applyBorder="1" applyAlignment="1">
      <alignment horizontal="center" vertical="center"/>
    </xf>
    <xf numFmtId="181" fontId="25" fillId="2" borderId="5" xfId="1" applyNumberFormat="1" applyFont="1" applyFill="1" applyBorder="1" applyAlignment="1">
      <alignment horizontal="center" vertical="justify"/>
    </xf>
    <xf numFmtId="181" fontId="24" fillId="2" borderId="5" xfId="1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 vertical="center"/>
    </xf>
    <xf numFmtId="181" fontId="2" fillId="3" borderId="0" xfId="1" applyNumberFormat="1" applyFont="1" applyFill="1"/>
    <xf numFmtId="181" fontId="3" fillId="0" borderId="0" xfId="1" applyNumberFormat="1" applyFont="1" applyFill="1" applyBorder="1"/>
    <xf numFmtId="181" fontId="26" fillId="6" borderId="15" xfId="4" applyNumberFormat="1" applyFill="1" applyAlignment="1">
      <alignment horizontal="center" vertical="justify" wrapText="1"/>
    </xf>
    <xf numFmtId="181" fontId="26" fillId="6" borderId="15" xfId="4" applyNumberFormat="1" applyFont="1" applyFill="1" applyAlignment="1">
      <alignment horizontal="center" vertical="justify" wrapText="1"/>
    </xf>
    <xf numFmtId="181" fontId="35" fillId="6" borderId="15" xfId="4" applyNumberFormat="1" applyFont="1" applyFill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left" vertical="center" wrapText="1"/>
    </xf>
    <xf numFmtId="181" fontId="26" fillId="6" borderId="15" xfId="4" applyNumberFormat="1" applyFill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0" applyNumberFormat="1"/>
    <xf numFmtId="2" fontId="4" fillId="0" borderId="0" xfId="0" applyNumberFormat="1" applyFont="1" applyBorder="1"/>
    <xf numFmtId="181" fontId="0" fillId="0" borderId="0" xfId="0" applyNumberFormat="1"/>
    <xf numFmtId="181" fontId="38" fillId="2" borderId="0" xfId="8" applyNumberFormat="1" applyFont="1" applyFill="1"/>
    <xf numFmtId="181" fontId="38" fillId="2" borderId="0" xfId="8" applyNumberFormat="1" applyFont="1" applyFill="1" applyBorder="1" applyAlignment="1">
      <alignment horizontal="right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3" borderId="0" xfId="8" applyNumberFormat="1" applyFont="1" applyFill="1" applyAlignment="1">
      <alignment horizontal="right"/>
    </xf>
    <xf numFmtId="181" fontId="38" fillId="3" borderId="0" xfId="8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2" borderId="0" xfId="8" applyNumberFormat="1" applyFont="1" applyFill="1" applyAlignment="1">
      <alignment horizontal="center" vertical="center"/>
    </xf>
    <xf numFmtId="181" fontId="38" fillId="2" borderId="4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4" xfId="8" applyNumberFormat="1" applyFont="1" applyFill="1" applyBorder="1" applyAlignment="1">
      <alignment horizontal="right"/>
    </xf>
    <xf numFmtId="181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1" fontId="38" fillId="2" borderId="8" xfId="8" applyNumberFormat="1" applyFont="1" applyFill="1" applyBorder="1" applyAlignment="1">
      <alignment horizontal="center"/>
    </xf>
    <xf numFmtId="181" fontId="38" fillId="2" borderId="9" xfId="8" applyNumberFormat="1" applyFont="1" applyFill="1" applyBorder="1" applyAlignment="1">
      <alignment horizontal="center"/>
    </xf>
    <xf numFmtId="181" fontId="38" fillId="2" borderId="10" xfId="8" applyNumberFormat="1" applyFont="1" applyFill="1" applyBorder="1" applyAlignment="1">
      <alignment horizontal="center"/>
    </xf>
    <xf numFmtId="181" fontId="38" fillId="2" borderId="11" xfId="8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2" fontId="40" fillId="0" borderId="0" xfId="0" applyNumberFormat="1" applyFont="1"/>
    <xf numFmtId="181" fontId="40" fillId="0" borderId="0" xfId="0" applyFont="1"/>
    <xf numFmtId="181" fontId="40" fillId="0" borderId="0" xfId="0" applyNumberFormat="1" applyFon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left"/>
    </xf>
    <xf numFmtId="181" fontId="42" fillId="5" borderId="15" xfId="3" applyNumberFormat="1" applyFont="1" applyBorder="1"/>
    <xf numFmtId="165" fontId="42" fillId="5" borderId="15" xfId="3" applyNumberFormat="1" applyFont="1" applyBorder="1"/>
    <xf numFmtId="181" fontId="42" fillId="5" borderId="15" xfId="3" applyNumberFormat="1" applyFont="1" applyBorder="1" applyAlignment="1">
      <alignment horizontal="center" vertical="justify" wrapText="1"/>
    </xf>
    <xf numFmtId="181" fontId="42" fillId="5" borderId="15" xfId="3" applyNumberFormat="1" applyFont="1" applyBorder="1" applyAlignment="1">
      <alignment horizontal="center"/>
    </xf>
    <xf numFmtId="181" fontId="40" fillId="0" borderId="0" xfId="0" applyFont="1" applyFill="1" applyBorder="1"/>
    <xf numFmtId="181" fontId="39" fillId="2" borderId="5" xfId="8" applyNumberFormat="1" applyFont="1" applyFill="1" applyBorder="1" applyAlignment="1">
      <alignment horizontal="center" vertical="center" wrapText="1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/>
    </xf>
    <xf numFmtId="164" fontId="44" fillId="3" borderId="0" xfId="8" applyNumberFormat="1" applyFont="1" applyFill="1"/>
    <xf numFmtId="181" fontId="37" fillId="0" borderId="0" xfId="8" applyNumberFormat="1" applyFont="1" applyAlignment="1">
      <alignment horizontal="center" vertical="center"/>
    </xf>
    <xf numFmtId="181" fontId="42" fillId="5" borderId="16" xfId="3" applyNumberFormat="1" applyFont="1" applyBorder="1"/>
    <xf numFmtId="165" fontId="42" fillId="5" borderId="16" xfId="3" applyNumberFormat="1" applyFont="1" applyBorder="1"/>
    <xf numFmtId="181" fontId="42" fillId="5" borderId="16" xfId="3" applyNumberFormat="1" applyFont="1" applyBorder="1" applyAlignment="1">
      <alignment horizontal="center" vertical="justify" wrapText="1"/>
    </xf>
    <xf numFmtId="181" fontId="42" fillId="5" borderId="16" xfId="3" applyNumberFormat="1" applyFont="1" applyBorder="1" applyAlignment="1">
      <alignment horizontal="center"/>
    </xf>
    <xf numFmtId="181" fontId="42" fillId="5" borderId="17" xfId="3" applyNumberFormat="1" applyFont="1" applyBorder="1"/>
    <xf numFmtId="165" fontId="42" fillId="5" borderId="17" xfId="3" applyNumberFormat="1" applyFont="1" applyBorder="1"/>
    <xf numFmtId="181" fontId="42" fillId="5" borderId="17" xfId="3" applyNumberFormat="1" applyFont="1" applyBorder="1" applyAlignment="1">
      <alignment horizontal="center" vertical="justify" wrapText="1"/>
    </xf>
    <xf numFmtId="181" fontId="42" fillId="5" borderId="17" xfId="3" applyNumberFormat="1" applyFont="1" applyBorder="1" applyAlignment="1">
      <alignment horizontal="center"/>
    </xf>
    <xf numFmtId="181" fontId="42" fillId="5" borderId="18" xfId="3" applyNumberFormat="1" applyFont="1" applyBorder="1"/>
    <xf numFmtId="165" fontId="42" fillId="5" borderId="18" xfId="3" applyNumberFormat="1" applyFont="1" applyBorder="1"/>
    <xf numFmtId="181" fontId="42" fillId="5" borderId="18" xfId="3" applyNumberFormat="1" applyFont="1" applyBorder="1" applyAlignment="1">
      <alignment horizontal="center" vertical="justify" wrapText="1"/>
    </xf>
    <xf numFmtId="181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1" fontId="39" fillId="2" borderId="1" xfId="8" applyNumberFormat="1" applyFont="1" applyFill="1" applyBorder="1" applyAlignment="1">
      <alignment horizontal="left" vertical="center" wrapText="1"/>
    </xf>
    <xf numFmtId="181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1" fontId="38" fillId="2" borderId="0" xfId="8" applyNumberFormat="1" applyFont="1" applyFill="1" applyBorder="1" applyAlignment="1">
      <alignment horizontal="left"/>
    </xf>
    <xf numFmtId="181" fontId="0" fillId="0" borderId="0" xfId="0" applyNumberFormat="1"/>
    <xf numFmtId="181" fontId="45" fillId="15" borderId="0" xfId="11" applyNumberFormat="1" applyFont="1" applyFill="1" applyBorder="1"/>
    <xf numFmtId="165" fontId="45" fillId="15" borderId="0" xfId="11" applyNumberFormat="1" applyFont="1" applyFill="1" applyBorder="1"/>
    <xf numFmtId="181" fontId="15" fillId="20" borderId="2" xfId="0" applyNumberFormat="1" applyFont="1" applyFill="1" applyBorder="1" applyAlignment="1">
      <alignment horizontal="left" vertical="justify" wrapText="1"/>
    </xf>
    <xf numFmtId="166" fontId="47" fillId="21" borderId="4" xfId="0" applyNumberFormat="1" applyFont="1" applyFill="1" applyBorder="1" applyAlignment="1">
      <alignment horizontal="right"/>
    </xf>
    <xf numFmtId="181" fontId="47" fillId="21" borderId="4" xfId="0" applyFont="1" applyFill="1" applyBorder="1"/>
    <xf numFmtId="181" fontId="47" fillId="21" borderId="6" xfId="0" applyNumberFormat="1" applyFont="1" applyFill="1" applyBorder="1" applyAlignment="1">
      <alignment horizontal="left" vertical="center"/>
    </xf>
    <xf numFmtId="166" fontId="3" fillId="19" borderId="4" xfId="0" applyNumberFormat="1" applyFont="1" applyFill="1" applyBorder="1"/>
    <xf numFmtId="181" fontId="3" fillId="19" borderId="4" xfId="0" applyFont="1" applyFill="1" applyBorder="1"/>
    <xf numFmtId="181" fontId="3" fillId="19" borderId="4" xfId="0" applyNumberFormat="1" applyFont="1" applyFill="1" applyBorder="1" applyAlignment="1">
      <alignment horizontal="center" vertical="distributed" wrapText="1"/>
    </xf>
    <xf numFmtId="181" fontId="3" fillId="19" borderId="19" xfId="0" applyNumberFormat="1" applyFont="1" applyFill="1" applyBorder="1" applyAlignment="1">
      <alignment horizontal="center" vertical="distributed" wrapText="1"/>
    </xf>
    <xf numFmtId="166" fontId="3" fillId="22" borderId="4" xfId="0" applyNumberFormat="1" applyFont="1" applyFill="1" applyBorder="1"/>
    <xf numFmtId="181" fontId="3" fillId="22" borderId="4" xfId="0" applyFont="1" applyFill="1" applyBorder="1"/>
    <xf numFmtId="181" fontId="3" fillId="22" borderId="4" xfId="0" applyNumberFormat="1" applyFont="1" applyFill="1" applyBorder="1" applyAlignment="1">
      <alignment horizontal="center" vertical="distributed" wrapText="1"/>
    </xf>
    <xf numFmtId="181" fontId="3" fillId="22" borderId="4" xfId="0" applyNumberFormat="1" applyFont="1" applyFill="1" applyBorder="1"/>
    <xf numFmtId="166" fontId="3" fillId="19" borderId="8" xfId="0" applyNumberFormat="1" applyFont="1" applyFill="1" applyBorder="1"/>
    <xf numFmtId="181" fontId="3" fillId="19" borderId="8" xfId="0" applyFont="1" applyFill="1" applyBorder="1"/>
    <xf numFmtId="181" fontId="3" fillId="19" borderId="8" xfId="0" applyNumberFormat="1" applyFont="1" applyFill="1" applyBorder="1" applyAlignment="1">
      <alignment horizontal="center" vertical="distributed" wrapText="1"/>
    </xf>
    <xf numFmtId="166" fontId="3" fillId="22" borderId="8" xfId="0" applyNumberFormat="1" applyFont="1" applyFill="1" applyBorder="1"/>
    <xf numFmtId="181" fontId="3" fillId="22" borderId="8" xfId="0" applyFont="1" applyFill="1" applyBorder="1"/>
    <xf numFmtId="181" fontId="3" fillId="22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 vertical="distributed" wrapText="1"/>
    </xf>
    <xf numFmtId="181" fontId="3" fillId="0" borderId="0" xfId="0" applyNumberFormat="1" applyFont="1" applyFill="1" applyBorder="1" applyAlignment="1">
      <alignment horizontal="center" vertical="center" wrapText="1"/>
    </xf>
    <xf numFmtId="181" fontId="3" fillId="0" borderId="0" xfId="0" applyNumberFormat="1" applyFont="1" applyFill="1" applyBorder="1" applyAlignment="1">
      <alignment horizontal="left" vertical="center" wrapText="1"/>
    </xf>
    <xf numFmtId="181" fontId="47" fillId="0" borderId="0" xfId="0" applyFont="1" applyFill="1" applyBorder="1"/>
    <xf numFmtId="181" fontId="3" fillId="0" borderId="0" xfId="0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/>
    <xf numFmtId="181" fontId="47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 applyAlignment="1">
      <alignment horizontal="left" vertical="center"/>
    </xf>
    <xf numFmtId="181" fontId="4" fillId="0" borderId="0" xfId="0" applyFont="1" applyFill="1" applyBorder="1" applyAlignment="1">
      <alignment horizontal="right"/>
    </xf>
    <xf numFmtId="166" fontId="47" fillId="19" borderId="19" xfId="0" applyNumberFormat="1" applyFont="1" applyFill="1" applyBorder="1"/>
    <xf numFmtId="181" fontId="47" fillId="19" borderId="19" xfId="0" applyFont="1" applyFill="1" applyBorder="1"/>
    <xf numFmtId="181" fontId="47" fillId="19" borderId="19" xfId="0" applyNumberFormat="1" applyFont="1" applyFill="1" applyBorder="1" applyAlignment="1">
      <alignment horizontal="left" vertical="center"/>
    </xf>
    <xf numFmtId="166" fontId="47" fillId="19" borderId="4" xfId="0" applyNumberFormat="1" applyFont="1" applyFill="1" applyBorder="1"/>
    <xf numFmtId="181" fontId="47" fillId="19" borderId="4" xfId="0" applyFont="1" applyFill="1" applyBorder="1"/>
    <xf numFmtId="181" fontId="47" fillId="19" borderId="4" xfId="0" applyNumberFormat="1" applyFont="1" applyFill="1" applyBorder="1" applyAlignment="1">
      <alignment horizontal="left" vertical="center"/>
    </xf>
    <xf numFmtId="181" fontId="53" fillId="26" borderId="0" xfId="0" applyNumberFormat="1" applyFont="1" applyFill="1" applyBorder="1" applyAlignment="1">
      <alignment horizontal="left"/>
    </xf>
    <xf numFmtId="181" fontId="18" fillId="2" borderId="4" xfId="0" applyNumberFormat="1" applyFont="1" applyFill="1" applyBorder="1" applyAlignment="1">
      <alignment horizontal="right"/>
    </xf>
    <xf numFmtId="181" fontId="17" fillId="2" borderId="1" xfId="0" applyNumberFormat="1" applyFont="1" applyFill="1" applyBorder="1" applyAlignment="1">
      <alignment horizontal="left"/>
    </xf>
    <xf numFmtId="181" fontId="18" fillId="27" borderId="1" xfId="0" applyNumberFormat="1" applyFont="1" applyFill="1" applyBorder="1" applyAlignment="1">
      <alignment horizontal="left"/>
    </xf>
    <xf numFmtId="166" fontId="8" fillId="24" borderId="4" xfId="0" applyNumberFormat="1" applyFont="1" applyFill="1" applyBorder="1" applyAlignment="1">
      <alignment horizontal="right"/>
    </xf>
    <xf numFmtId="181" fontId="8" fillId="24" borderId="4" xfId="0" applyFont="1" applyFill="1" applyBorder="1" applyAlignment="1">
      <alignment horizontal="center"/>
    </xf>
    <xf numFmtId="181" fontId="8" fillId="24" borderId="19" xfId="0" applyFont="1" applyFill="1" applyBorder="1" applyAlignment="1">
      <alignment horizontal="left"/>
    </xf>
    <xf numFmtId="181" fontId="15" fillId="29" borderId="4" xfId="0" applyNumberFormat="1" applyFont="1" applyFill="1" applyBorder="1"/>
    <xf numFmtId="181" fontId="15" fillId="29" borderId="4" xfId="0" applyFont="1" applyFill="1" applyBorder="1"/>
    <xf numFmtId="181" fontId="54" fillId="29" borderId="4" xfId="0" applyNumberFormat="1" applyFont="1" applyFill="1" applyBorder="1" applyAlignment="1">
      <alignment horizontal="left" vertical="justify" wrapText="1"/>
    </xf>
    <xf numFmtId="165" fontId="7" fillId="26" borderId="4" xfId="0" applyNumberFormat="1" applyFont="1" applyFill="1" applyBorder="1"/>
    <xf numFmtId="181" fontId="7" fillId="26" borderId="4" xfId="0" applyFont="1" applyFill="1" applyBorder="1"/>
    <xf numFmtId="181" fontId="8" fillId="26" borderId="4" xfId="0" applyNumberFormat="1" applyFont="1" applyFill="1" applyBorder="1" applyAlignment="1">
      <alignment horizontal="left" vertical="justify" wrapText="1"/>
    </xf>
    <xf numFmtId="181" fontId="53" fillId="0" borderId="0" xfId="0" applyFont="1"/>
    <xf numFmtId="181" fontId="15" fillId="0" borderId="0" xfId="0" applyFont="1"/>
    <xf numFmtId="181" fontId="55" fillId="2" borderId="0" xfId="0" applyFont="1" applyFill="1"/>
    <xf numFmtId="165" fontId="7" fillId="29" borderId="4" xfId="0" applyNumberFormat="1" applyFont="1" applyFill="1" applyBorder="1"/>
    <xf numFmtId="181" fontId="7" fillId="29" borderId="4" xfId="0" applyFont="1" applyFill="1" applyBorder="1"/>
    <xf numFmtId="181" fontId="8" fillId="29" borderId="4" xfId="0" applyNumberFormat="1" applyFont="1" applyFill="1" applyBorder="1" applyAlignment="1">
      <alignment horizontal="left" vertical="justify" wrapText="1"/>
    </xf>
    <xf numFmtId="181" fontId="16" fillId="2" borderId="0" xfId="0" applyNumberFormat="1" applyFont="1" applyFill="1" applyAlignment="1">
      <alignment horizontal="center"/>
    </xf>
    <xf numFmtId="181" fontId="16" fillId="2" borderId="0" xfId="0" applyNumberFormat="1" applyFont="1" applyFill="1"/>
    <xf numFmtId="181" fontId="16" fillId="0" borderId="0" xfId="0" applyNumberFormat="1" applyFont="1" applyFill="1" applyAlignment="1">
      <alignment horizontal="center"/>
    </xf>
    <xf numFmtId="181" fontId="16" fillId="0" borderId="0" xfId="0" applyFont="1"/>
    <xf numFmtId="181" fontId="8" fillId="29" borderId="4" xfId="0" applyNumberFormat="1" applyFont="1" applyFill="1" applyBorder="1" applyAlignment="1">
      <alignment horizontal="left"/>
    </xf>
    <xf numFmtId="181" fontId="15" fillId="0" borderId="0" xfId="0" applyFont="1" applyAlignment="1">
      <alignment horizontal="center"/>
    </xf>
    <xf numFmtId="165" fontId="7" fillId="29" borderId="8" xfId="0" applyNumberFormat="1" applyFont="1" applyFill="1" applyBorder="1"/>
    <xf numFmtId="181" fontId="7" fillId="29" borderId="8" xfId="0" applyFont="1" applyFill="1" applyBorder="1"/>
    <xf numFmtId="181" fontId="8" fillId="29" borderId="8" xfId="0" applyNumberFormat="1" applyFont="1" applyFill="1" applyBorder="1" applyAlignment="1">
      <alignment horizontal="left" vertical="justify" wrapText="1"/>
    </xf>
    <xf numFmtId="181" fontId="16" fillId="2" borderId="0" xfId="0" applyFont="1" applyFill="1"/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left"/>
    </xf>
    <xf numFmtId="181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1" fontId="56" fillId="19" borderId="0" xfId="0" applyNumberFormat="1" applyFont="1" applyFill="1" applyBorder="1" applyAlignment="1">
      <alignment horizontal="right"/>
    </xf>
    <xf numFmtId="181" fontId="3" fillId="0" borderId="3" xfId="0" applyNumberFormat="1" applyFont="1" applyFill="1" applyBorder="1" applyAlignment="1">
      <alignment horizontal="left" vertical="justify" wrapText="1"/>
    </xf>
    <xf numFmtId="181" fontId="4" fillId="19" borderId="1" xfId="0" applyNumberFormat="1" applyFont="1" applyFill="1" applyBorder="1" applyAlignment="1">
      <alignment horizontal="right"/>
    </xf>
    <xf numFmtId="181" fontId="4" fillId="19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1" fontId="8" fillId="2" borderId="4" xfId="0" applyFont="1" applyFill="1" applyBorder="1" applyAlignment="1">
      <alignment horizontal="center"/>
    </xf>
    <xf numFmtId="181" fontId="8" fillId="2" borderId="19" xfId="0" applyFont="1" applyFill="1" applyBorder="1" applyAlignment="1">
      <alignment horizontal="center"/>
    </xf>
    <xf numFmtId="181" fontId="8" fillId="2" borderId="6" xfId="0" applyFont="1" applyFill="1" applyBorder="1" applyAlignment="1">
      <alignment horizontal="center"/>
    </xf>
    <xf numFmtId="181" fontId="3" fillId="0" borderId="1" xfId="0" applyFont="1" applyFill="1" applyBorder="1" applyAlignment="1">
      <alignment horizontal="left"/>
    </xf>
    <xf numFmtId="165" fontId="15" fillId="19" borderId="4" xfId="0" applyNumberFormat="1" applyFont="1" applyFill="1" applyBorder="1"/>
    <xf numFmtId="181" fontId="15" fillId="19" borderId="4" xfId="0" applyFont="1" applyFill="1" applyBorder="1"/>
    <xf numFmtId="181" fontId="54" fillId="19" borderId="4" xfId="0" applyNumberFormat="1" applyFont="1" applyFill="1" applyBorder="1" applyAlignment="1">
      <alignment horizontal="center" vertical="justify" wrapText="1"/>
    </xf>
    <xf numFmtId="165" fontId="7" fillId="30" borderId="4" xfId="0" applyNumberFormat="1" applyFont="1" applyFill="1" applyBorder="1"/>
    <xf numFmtId="181" fontId="7" fillId="30" borderId="4" xfId="0" applyFont="1" applyFill="1" applyBorder="1"/>
    <xf numFmtId="181" fontId="8" fillId="30" borderId="4" xfId="0" applyNumberFormat="1" applyFont="1" applyFill="1" applyBorder="1" applyAlignment="1">
      <alignment horizontal="center" vertical="justify" wrapText="1"/>
    </xf>
    <xf numFmtId="181" fontId="16" fillId="0" borderId="0" xfId="0" applyFont="1" applyAlignment="1">
      <alignment horizontal="right"/>
    </xf>
    <xf numFmtId="181" fontId="55" fillId="2" borderId="0" xfId="0" applyFont="1" applyFill="1" applyAlignment="1">
      <alignment horizontal="center"/>
    </xf>
    <xf numFmtId="165" fontId="7" fillId="19" borderId="4" xfId="0" applyNumberFormat="1" applyFont="1" applyFill="1" applyBorder="1"/>
    <xf numFmtId="181" fontId="7" fillId="19" borderId="4" xfId="0" applyFont="1" applyFill="1" applyBorder="1"/>
    <xf numFmtId="181" fontId="8" fillId="19" borderId="4" xfId="0" applyNumberFormat="1" applyFont="1" applyFill="1" applyBorder="1" applyAlignment="1">
      <alignment horizontal="center" vertical="justify" wrapText="1"/>
    </xf>
    <xf numFmtId="181" fontId="8" fillId="30" borderId="4" xfId="0" applyNumberFormat="1" applyFont="1" applyFill="1" applyBorder="1" applyAlignment="1">
      <alignment horizontal="left" vertical="justify" wrapText="1"/>
    </xf>
    <xf numFmtId="181" fontId="8" fillId="19" borderId="4" xfId="0" applyNumberFormat="1" applyFont="1" applyFill="1" applyBorder="1" applyAlignment="1">
      <alignment horizontal="left" vertical="justify" wrapText="1"/>
    </xf>
    <xf numFmtId="165" fontId="7" fillId="19" borderId="8" xfId="0" applyNumberFormat="1" applyFont="1" applyFill="1" applyBorder="1"/>
    <xf numFmtId="181" fontId="7" fillId="19" borderId="8" xfId="0" applyFont="1" applyFill="1" applyBorder="1"/>
    <xf numFmtId="181" fontId="8" fillId="19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/>
    <xf numFmtId="181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1" fontId="56" fillId="31" borderId="0" xfId="0" applyNumberFormat="1" applyFont="1" applyFill="1" applyBorder="1" applyAlignment="1">
      <alignment horizontal="center"/>
    </xf>
    <xf numFmtId="181" fontId="57" fillId="31" borderId="0" xfId="0" applyFont="1" applyFill="1" applyBorder="1" applyAlignment="1">
      <alignment horizontal="center"/>
    </xf>
    <xf numFmtId="181" fontId="4" fillId="0" borderId="3" xfId="0" applyNumberFormat="1" applyFont="1" applyFill="1" applyBorder="1" applyAlignment="1">
      <alignment horizontal="left" vertical="justify" wrapText="1"/>
    </xf>
    <xf numFmtId="181" fontId="4" fillId="0" borderId="0" xfId="0" applyNumberFormat="1" applyFont="1" applyAlignment="1">
      <alignment horizontal="left"/>
    </xf>
    <xf numFmtId="181" fontId="4" fillId="31" borderId="1" xfId="0" applyNumberFormat="1" applyFont="1" applyFill="1" applyBorder="1" applyAlignment="1">
      <alignment horizontal="center"/>
    </xf>
    <xf numFmtId="181" fontId="4" fillId="31" borderId="1" xfId="0" applyNumberFormat="1" applyFont="1" applyFill="1" applyBorder="1" applyAlignment="1">
      <alignment horizontal="left" vertical="justify" wrapText="1"/>
    </xf>
    <xf numFmtId="181" fontId="4" fillId="31" borderId="5" xfId="0" applyNumberFormat="1" applyFont="1" applyFill="1" applyBorder="1" applyAlignment="1">
      <alignment horizontal="left" vertical="justify"/>
    </xf>
    <xf numFmtId="181" fontId="4" fillId="31" borderId="1" xfId="0" applyFont="1" applyFill="1" applyBorder="1" applyAlignment="1">
      <alignment horizontal="left"/>
    </xf>
    <xf numFmtId="165" fontId="3" fillId="18" borderId="4" xfId="0" applyNumberFormat="1" applyFont="1" applyFill="1" applyBorder="1"/>
    <xf numFmtId="181" fontId="3" fillId="18" borderId="4" xfId="0" applyFont="1" applyFill="1" applyBorder="1"/>
    <xf numFmtId="181" fontId="4" fillId="18" borderId="4" xfId="0" applyNumberFormat="1" applyFont="1" applyFill="1" applyBorder="1" applyAlignment="1">
      <alignment horizontal="center" vertical="justify" wrapText="1"/>
    </xf>
    <xf numFmtId="165" fontId="58" fillId="32" borderId="4" xfId="0" applyNumberFormat="1" applyFont="1" applyFill="1" applyBorder="1"/>
    <xf numFmtId="181" fontId="58" fillId="32" borderId="4" xfId="0" applyFont="1" applyFill="1" applyBorder="1"/>
    <xf numFmtId="181" fontId="9" fillId="32" borderId="4" xfId="0" applyNumberFormat="1" applyFont="1" applyFill="1" applyBorder="1" applyAlignment="1">
      <alignment horizontal="center" vertical="justify" wrapText="1"/>
    </xf>
    <xf numFmtId="181" fontId="16" fillId="0" borderId="0" xfId="0" applyNumberFormat="1" applyFont="1" applyAlignment="1">
      <alignment horizontal="right"/>
    </xf>
    <xf numFmtId="181" fontId="4" fillId="0" borderId="0" xfId="0" applyNumberFormat="1" applyFont="1"/>
    <xf numFmtId="181" fontId="54" fillId="2" borderId="0" xfId="0" applyFont="1" applyFill="1"/>
    <xf numFmtId="181" fontId="54" fillId="2" borderId="0" xfId="0" applyFont="1" applyFill="1" applyAlignment="1">
      <alignment horizontal="center"/>
    </xf>
    <xf numFmtId="181" fontId="15" fillId="2" borderId="0" xfId="0" applyFont="1" applyFill="1" applyAlignment="1">
      <alignment horizontal="center"/>
    </xf>
    <xf numFmtId="181" fontId="15" fillId="2" borderId="0" xfId="0" applyNumberFormat="1" applyFont="1" applyFill="1" applyAlignment="1">
      <alignment horizontal="center"/>
    </xf>
    <xf numFmtId="181" fontId="15" fillId="2" borderId="0" xfId="0" applyNumberFormat="1" applyFont="1" applyFill="1"/>
    <xf numFmtId="181" fontId="15" fillId="0" borderId="0" xfId="0" applyNumberFormat="1" applyFont="1" applyFill="1" applyAlignment="1">
      <alignment horizontal="center"/>
    </xf>
    <xf numFmtId="165" fontId="3" fillId="18" borderId="8" xfId="0" applyNumberFormat="1" applyFont="1" applyFill="1" applyBorder="1"/>
    <xf numFmtId="181" fontId="4" fillId="18" borderId="8" xfId="0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center" vertical="justify" wrapText="1"/>
    </xf>
    <xf numFmtId="181" fontId="4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center" vertical="justify" wrapText="1"/>
    </xf>
    <xf numFmtId="181" fontId="58" fillId="32" borderId="0" xfId="0" applyNumberFormat="1" applyFont="1" applyFill="1" applyBorder="1" applyAlignment="1">
      <alignment horizontal="right"/>
    </xf>
    <xf numFmtId="181" fontId="9" fillId="32" borderId="0" xfId="0" applyFont="1" applyFill="1" applyBorder="1" applyAlignment="1">
      <alignment horizontal="left"/>
    </xf>
    <xf numFmtId="181" fontId="9" fillId="32" borderId="1" xfId="0" applyNumberFormat="1" applyFont="1" applyFill="1" applyBorder="1" applyAlignment="1">
      <alignment horizontal="right"/>
    </xf>
    <xf numFmtId="181" fontId="9" fillId="32" borderId="5" xfId="0" applyNumberFormat="1" applyFont="1" applyFill="1" applyBorder="1" applyAlignment="1">
      <alignment horizontal="left" vertical="justify"/>
    </xf>
    <xf numFmtId="181" fontId="9" fillId="32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1" fontId="9" fillId="2" borderId="4" xfId="0" applyFont="1" applyFill="1" applyBorder="1" applyAlignment="1">
      <alignment horizontal="center"/>
    </xf>
    <xf numFmtId="181" fontId="9" fillId="2" borderId="19" xfId="0" applyFont="1" applyFill="1" applyBorder="1" applyAlignment="1">
      <alignment horizontal="center"/>
    </xf>
    <xf numFmtId="181" fontId="9" fillId="2" borderId="6" xfId="0" applyFont="1" applyFill="1" applyBorder="1" applyAlignment="1">
      <alignment horizontal="center"/>
    </xf>
    <xf numFmtId="181" fontId="9" fillId="32" borderId="1" xfId="0" applyFont="1" applyFill="1" applyBorder="1" applyAlignment="1">
      <alignment horizontal="left"/>
    </xf>
    <xf numFmtId="181" fontId="9" fillId="32" borderId="4" xfId="0" applyNumberFormat="1" applyFont="1" applyFill="1" applyBorder="1" applyAlignment="1">
      <alignment horizontal="left" vertical="justify" wrapText="1"/>
    </xf>
    <xf numFmtId="181" fontId="0" fillId="18" borderId="4" xfId="0" applyFill="1" applyBorder="1"/>
    <xf numFmtId="181" fontId="4" fillId="18" borderId="4" xfId="0" applyNumberFormat="1" applyFont="1" applyFill="1" applyBorder="1" applyAlignment="1">
      <alignment horizontal="left" vertical="justify" wrapText="1"/>
    </xf>
    <xf numFmtId="181" fontId="4" fillId="18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/>
    <xf numFmtId="181" fontId="3" fillId="33" borderId="0" xfId="0" applyNumberFormat="1" applyFont="1" applyFill="1" applyBorder="1" applyAlignment="1">
      <alignment horizontal="right"/>
    </xf>
    <xf numFmtId="181" fontId="4" fillId="33" borderId="0" xfId="0" applyFont="1" applyFill="1" applyBorder="1" applyAlignment="1">
      <alignment horizontal="left"/>
    </xf>
    <xf numFmtId="181" fontId="4" fillId="33" borderId="1" xfId="0" applyNumberFormat="1" applyFont="1" applyFill="1" applyBorder="1" applyAlignment="1">
      <alignment horizontal="right"/>
    </xf>
    <xf numFmtId="181" fontId="4" fillId="33" borderId="1" xfId="0" applyNumberFormat="1" applyFont="1" applyFill="1" applyBorder="1" applyAlignment="1">
      <alignment horizontal="left" vertical="justify" wrapText="1"/>
    </xf>
    <xf numFmtId="181" fontId="4" fillId="33" borderId="6" xfId="0" applyNumberFormat="1" applyFont="1" applyFill="1" applyBorder="1" applyAlignment="1">
      <alignment horizontal="right"/>
    </xf>
    <xf numFmtId="181" fontId="4" fillId="33" borderId="7" xfId="0" applyNumberFormat="1" applyFont="1" applyFill="1" applyBorder="1" applyAlignment="1">
      <alignment horizontal="center" vertical="justify"/>
    </xf>
    <xf numFmtId="181" fontId="4" fillId="33" borderId="1" xfId="0" applyFont="1" applyFill="1" applyBorder="1" applyAlignment="1">
      <alignment horizontal="left"/>
    </xf>
    <xf numFmtId="165" fontId="3" fillId="33" borderId="4" xfId="0" applyNumberFormat="1" applyFont="1" applyFill="1" applyBorder="1"/>
    <xf numFmtId="181" fontId="3" fillId="33" borderId="4" xfId="0" applyFont="1" applyFill="1" applyBorder="1"/>
    <xf numFmtId="181" fontId="4" fillId="33" borderId="4" xfId="0" applyNumberFormat="1" applyFont="1" applyFill="1" applyBorder="1" applyAlignment="1">
      <alignment horizontal="center" vertical="justify" wrapText="1"/>
    </xf>
    <xf numFmtId="165" fontId="3" fillId="33" borderId="20" xfId="0" applyNumberFormat="1" applyFont="1" applyFill="1" applyBorder="1"/>
    <xf numFmtId="181" fontId="3" fillId="33" borderId="20" xfId="0" applyFont="1" applyFill="1" applyBorder="1"/>
    <xf numFmtId="181" fontId="4" fillId="33" borderId="20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0" fillId="33" borderId="4" xfId="0" applyFill="1" applyBorder="1"/>
    <xf numFmtId="181" fontId="3" fillId="0" borderId="0" xfId="0" applyNumberFormat="1" applyFont="1"/>
    <xf numFmtId="181" fontId="15" fillId="2" borderId="21" xfId="0" applyNumberFormat="1" applyFont="1" applyFill="1" applyBorder="1"/>
    <xf numFmtId="165" fontId="3" fillId="33" borderId="19" xfId="0" applyNumberFormat="1" applyFont="1" applyFill="1" applyBorder="1"/>
    <xf numFmtId="181" fontId="3" fillId="33" borderId="19" xfId="0" applyFont="1" applyFill="1" applyBorder="1"/>
    <xf numFmtId="181" fontId="4" fillId="33" borderId="19" xfId="0" applyNumberFormat="1" applyFont="1" applyFill="1" applyBorder="1" applyAlignment="1">
      <alignment horizontal="center" vertical="justify" wrapText="1"/>
    </xf>
    <xf numFmtId="181" fontId="3" fillId="33" borderId="4" xfId="0" applyNumberFormat="1" applyFont="1" applyFill="1" applyBorder="1"/>
    <xf numFmtId="181" fontId="53" fillId="2" borderId="0" xfId="0" applyFont="1" applyFill="1"/>
    <xf numFmtId="181" fontId="3" fillId="34" borderId="0" xfId="0" applyNumberFormat="1" applyFont="1" applyFill="1" applyBorder="1" applyAlignment="1">
      <alignment horizontal="right"/>
    </xf>
    <xf numFmtId="181" fontId="4" fillId="34" borderId="0" xfId="0" applyFont="1" applyFill="1" applyBorder="1" applyAlignment="1">
      <alignment horizontal="left"/>
    </xf>
    <xf numFmtId="181" fontId="3" fillId="0" borderId="3" xfId="0" applyNumberFormat="1" applyFont="1" applyFill="1" applyBorder="1" applyAlignment="1">
      <alignment horizontal="center" vertical="justify" wrapText="1"/>
    </xf>
    <xf numFmtId="181" fontId="4" fillId="0" borderId="0" xfId="1" applyNumberFormat="1" applyFont="1" applyAlignment="1">
      <alignment horizontal="left"/>
    </xf>
    <xf numFmtId="181" fontId="53" fillId="2" borderId="4" xfId="0" applyNumberFormat="1" applyFont="1" applyFill="1" applyBorder="1" applyAlignment="1">
      <alignment horizontal="right"/>
    </xf>
    <xf numFmtId="181" fontId="48" fillId="2" borderId="1" xfId="0" applyNumberFormat="1" applyFont="1" applyFill="1" applyBorder="1" applyAlignment="1">
      <alignment horizontal="left"/>
    </xf>
    <xf numFmtId="181" fontId="4" fillId="34" borderId="1" xfId="0" applyNumberFormat="1" applyFont="1" applyFill="1" applyBorder="1" applyAlignment="1">
      <alignment horizontal="right"/>
    </xf>
    <xf numFmtId="181" fontId="4" fillId="34" borderId="5" xfId="0" applyNumberFormat="1" applyFont="1" applyFill="1" applyBorder="1" applyAlignment="1">
      <alignment horizontal="center" vertical="justify"/>
    </xf>
    <xf numFmtId="181" fontId="3" fillId="34" borderId="1" xfId="0" applyNumberFormat="1" applyFont="1" applyFill="1" applyBorder="1" applyAlignment="1">
      <alignment horizontal="center" vertical="justify" wrapText="1"/>
    </xf>
    <xf numFmtId="181" fontId="4" fillId="34" borderId="5" xfId="1" applyNumberFormat="1" applyFont="1" applyFill="1" applyBorder="1" applyAlignment="1">
      <alignment horizontal="center" vertical="justify"/>
    </xf>
    <xf numFmtId="181" fontId="4" fillId="34" borderId="6" xfId="0" applyNumberFormat="1" applyFont="1" applyFill="1" applyBorder="1" applyAlignment="1">
      <alignment horizontal="right"/>
    </xf>
    <xf numFmtId="181" fontId="4" fillId="34" borderId="7" xfId="0" applyNumberFormat="1" applyFont="1" applyFill="1" applyBorder="1" applyAlignment="1">
      <alignment horizontal="center" vertical="justify"/>
    </xf>
    <xf numFmtId="166" fontId="48" fillId="2" borderId="4" xfId="0" applyNumberFormat="1" applyFont="1" applyFill="1" applyBorder="1" applyAlignment="1">
      <alignment horizontal="right"/>
    </xf>
    <xf numFmtId="181" fontId="48" fillId="2" borderId="4" xfId="0" applyFont="1" applyFill="1" applyBorder="1" applyAlignment="1">
      <alignment horizontal="center"/>
    </xf>
    <xf numFmtId="181" fontId="4" fillId="2" borderId="19" xfId="0" applyFont="1" applyFill="1" applyBorder="1" applyAlignment="1">
      <alignment horizontal="center"/>
    </xf>
    <xf numFmtId="181" fontId="4" fillId="2" borderId="6" xfId="0" applyFont="1" applyFill="1" applyBorder="1" applyAlignment="1">
      <alignment horizontal="center"/>
    </xf>
    <xf numFmtId="181" fontId="3" fillId="34" borderId="1" xfId="0" applyFont="1" applyFill="1" applyBorder="1" applyAlignment="1">
      <alignment horizontal="center"/>
    </xf>
    <xf numFmtId="181" fontId="0" fillId="0" borderId="0" xfId="1" applyNumberFormat="1" applyFont="1"/>
    <xf numFmtId="181" fontId="48" fillId="25" borderId="0" xfId="0" applyFont="1" applyFill="1"/>
    <xf numFmtId="165" fontId="53" fillId="34" borderId="4" xfId="0" applyNumberFormat="1" applyFont="1" applyFill="1" applyBorder="1"/>
    <xf numFmtId="181" fontId="53" fillId="34" borderId="4" xfId="0" applyFont="1" applyFill="1" applyBorder="1"/>
    <xf numFmtId="181" fontId="48" fillId="34" borderId="4" xfId="0" applyNumberFormat="1" applyFont="1" applyFill="1" applyBorder="1" applyAlignment="1">
      <alignment horizontal="center" vertical="justify" wrapText="1"/>
    </xf>
    <xf numFmtId="181" fontId="48" fillId="3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/>
    <xf numFmtId="181" fontId="53" fillId="2" borderId="0" xfId="0" applyNumberFormat="1" applyFont="1" applyFill="1"/>
    <xf numFmtId="181" fontId="3" fillId="0" borderId="0" xfId="1" applyNumberFormat="1" applyFont="1" applyFill="1" applyBorder="1" applyAlignment="1">
      <alignment horizontal="right"/>
    </xf>
    <xf numFmtId="181" fontId="60" fillId="2" borderId="0" xfId="0" applyNumberFormat="1" applyFont="1" applyFill="1"/>
    <xf numFmtId="181" fontId="3" fillId="0" borderId="0" xfId="1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1" fontId="61" fillId="35" borderId="0" xfId="0" applyNumberFormat="1" applyFont="1" applyFill="1" applyBorder="1" applyAlignment="1">
      <alignment horizontal="right"/>
    </xf>
    <xf numFmtId="181" fontId="62" fillId="35" borderId="0" xfId="0" applyFont="1" applyFill="1" applyBorder="1" applyAlignment="1">
      <alignment horizontal="left"/>
    </xf>
    <xf numFmtId="181" fontId="4" fillId="0" borderId="0" xfId="1" applyNumberFormat="1" applyFont="1" applyAlignment="1">
      <alignment horizontal="center"/>
    </xf>
    <xf numFmtId="181" fontId="62" fillId="35" borderId="1" xfId="0" applyNumberFormat="1" applyFont="1" applyFill="1" applyBorder="1" applyAlignment="1">
      <alignment horizontal="right"/>
    </xf>
    <xf numFmtId="181" fontId="62" fillId="35" borderId="5" xfId="0" applyNumberFormat="1" applyFont="1" applyFill="1" applyBorder="1" applyAlignment="1">
      <alignment horizontal="center" vertical="justify"/>
    </xf>
    <xf numFmtId="181" fontId="61" fillId="35" borderId="1" xfId="0" applyNumberFormat="1" applyFont="1" applyFill="1" applyBorder="1" applyAlignment="1">
      <alignment horizontal="center" vertical="justify" wrapText="1"/>
    </xf>
    <xf numFmtId="181" fontId="62" fillId="35" borderId="5" xfId="1" applyNumberFormat="1" applyFont="1" applyFill="1" applyBorder="1" applyAlignment="1">
      <alignment horizontal="center" vertical="justify"/>
    </xf>
    <xf numFmtId="181" fontId="62" fillId="35" borderId="6" xfId="0" applyNumberFormat="1" applyFont="1" applyFill="1" applyBorder="1" applyAlignment="1">
      <alignment horizontal="right"/>
    </xf>
    <xf numFmtId="181" fontId="62" fillId="35" borderId="7" xfId="0" applyNumberFormat="1" applyFont="1" applyFill="1" applyBorder="1" applyAlignment="1">
      <alignment horizontal="center" vertical="justify"/>
    </xf>
    <xf numFmtId="181" fontId="48" fillId="2" borderId="19" xfId="0" applyFont="1" applyFill="1" applyBorder="1" applyAlignment="1">
      <alignment horizontal="center"/>
    </xf>
    <xf numFmtId="181" fontId="48" fillId="2" borderId="6" xfId="0" applyFont="1" applyFill="1" applyBorder="1" applyAlignment="1">
      <alignment horizontal="center"/>
    </xf>
    <xf numFmtId="181" fontId="61" fillId="35" borderId="1" xfId="0" applyFont="1" applyFill="1" applyBorder="1" applyAlignment="1">
      <alignment horizontal="center"/>
    </xf>
    <xf numFmtId="165" fontId="63" fillId="14" borderId="4" xfId="0" applyNumberFormat="1" applyFont="1" applyFill="1" applyBorder="1"/>
    <xf numFmtId="181" fontId="63" fillId="14" borderId="4" xfId="0" applyFont="1" applyFill="1" applyBorder="1"/>
    <xf numFmtId="181" fontId="64" fillId="14" borderId="4" xfId="0" applyNumberFormat="1" applyFont="1" applyFill="1" applyBorder="1" applyAlignment="1">
      <alignment horizontal="center" vertical="justify" wrapText="1"/>
    </xf>
    <xf numFmtId="181" fontId="0" fillId="0" borderId="0" xfId="1" applyNumberFormat="1" applyFont="1" applyAlignment="1">
      <alignment horizontal="center"/>
    </xf>
    <xf numFmtId="181" fontId="64" fillId="1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left"/>
    </xf>
    <xf numFmtId="181" fontId="3" fillId="0" borderId="0" xfId="1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1" fontId="2" fillId="2" borderId="0" xfId="0" applyNumberFormat="1" applyFont="1" applyFill="1" applyBorder="1" applyAlignment="1">
      <alignment horizontal="right"/>
    </xf>
    <xf numFmtId="181" fontId="2" fillId="2" borderId="0" xfId="0" applyFont="1" applyFill="1" applyBorder="1" applyAlignment="1">
      <alignment horizontal="left"/>
    </xf>
    <xf numFmtId="181" fontId="2" fillId="0" borderId="3" xfId="0" applyNumberFormat="1" applyFont="1" applyFill="1" applyBorder="1" applyAlignment="1">
      <alignment horizontal="center" vertical="justify" wrapText="1"/>
    </xf>
    <xf numFmtId="181" fontId="2" fillId="0" borderId="0" xfId="1" applyNumberFormat="1" applyFont="1" applyAlignment="1">
      <alignment horizontal="center"/>
    </xf>
    <xf numFmtId="181" fontId="2" fillId="0" borderId="0" xfId="0" applyFont="1" applyAlignment="1">
      <alignment horizontal="center"/>
    </xf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right"/>
    </xf>
    <xf numFmtId="181" fontId="2" fillId="2" borderId="5" xfId="0" applyNumberFormat="1" applyFont="1" applyFill="1" applyBorder="1" applyAlignment="1">
      <alignment horizontal="center" vertical="justify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5" xfId="1" applyNumberFormat="1" applyFont="1" applyFill="1" applyBorder="1" applyAlignment="1">
      <alignment horizontal="center" vertical="justify"/>
    </xf>
    <xf numFmtId="181" fontId="2" fillId="2" borderId="6" xfId="0" applyNumberFormat="1" applyFont="1" applyFill="1" applyBorder="1" applyAlignment="1">
      <alignment horizontal="right"/>
    </xf>
    <xf numFmtId="181" fontId="2" fillId="2" borderId="7" xfId="0" applyNumberFormat="1" applyFont="1" applyFill="1" applyBorder="1" applyAlignment="1">
      <alignment horizontal="center" vertical="justify"/>
    </xf>
    <xf numFmtId="181" fontId="2" fillId="2" borderId="9" xfId="0" applyFont="1" applyFill="1" applyBorder="1" applyAlignment="1">
      <alignment horizontal="center"/>
    </xf>
    <xf numFmtId="181" fontId="2" fillId="2" borderId="10" xfId="0" applyFont="1" applyFill="1" applyBorder="1" applyAlignment="1">
      <alignment horizontal="center"/>
    </xf>
    <xf numFmtId="181" fontId="6" fillId="36" borderId="4" xfId="0" applyFont="1" applyFill="1" applyBorder="1"/>
    <xf numFmtId="165" fontId="3" fillId="36" borderId="4" xfId="0" applyNumberFormat="1" applyFont="1" applyFill="1" applyBorder="1"/>
    <xf numFmtId="181" fontId="3" fillId="36" borderId="4" xfId="0" applyFont="1" applyFill="1" applyBorder="1"/>
    <xf numFmtId="181" fontId="4" fillId="36" borderId="4" xfId="0" applyNumberFormat="1" applyFont="1" applyFill="1" applyBorder="1" applyAlignment="1">
      <alignment horizontal="center" vertical="justify" wrapText="1"/>
    </xf>
    <xf numFmtId="181" fontId="2" fillId="36" borderId="4" xfId="0" applyFont="1" applyFill="1" applyBorder="1" applyAlignment="1">
      <alignment horizontal="center"/>
    </xf>
    <xf numFmtId="181" fontId="2" fillId="2" borderId="0" xfId="1" applyNumberFormat="1" applyFont="1" applyFill="1" applyAlignment="1">
      <alignment horizontal="center"/>
    </xf>
    <xf numFmtId="181" fontId="2" fillId="36" borderId="4" xfId="0" applyFont="1" applyFill="1" applyBorder="1"/>
    <xf numFmtId="181" fontId="3" fillId="36" borderId="4" xfId="0" applyFont="1" applyFill="1" applyBorder="1" applyAlignment="1">
      <alignment horizontal="center"/>
    </xf>
    <xf numFmtId="181" fontId="6" fillId="36" borderId="4" xfId="0" applyNumberFormat="1" applyFont="1" applyFill="1" applyBorder="1"/>
    <xf numFmtId="181" fontId="3" fillId="36" borderId="4" xfId="0" applyNumberFormat="1" applyFont="1" applyFill="1" applyBorder="1" applyAlignment="1">
      <alignment horizontal="center"/>
    </xf>
    <xf numFmtId="181" fontId="2" fillId="36" borderId="4" xfId="0" applyNumberFormat="1" applyFont="1" applyFill="1" applyBorder="1"/>
    <xf numFmtId="181" fontId="5" fillId="36" borderId="4" xfId="0" applyNumberFormat="1" applyFont="1" applyFill="1" applyBorder="1" applyAlignment="1">
      <alignment horizontal="center"/>
    </xf>
    <xf numFmtId="181" fontId="55" fillId="36" borderId="4" xfId="0" applyNumberFormat="1" applyFont="1" applyFill="1" applyBorder="1" applyAlignment="1">
      <alignment horizontal="center"/>
    </xf>
    <xf numFmtId="181" fontId="4" fillId="36" borderId="4" xfId="0" applyNumberFormat="1" applyFont="1" applyFill="1" applyBorder="1" applyAlignment="1">
      <alignment horizontal="center"/>
    </xf>
    <xf numFmtId="167" fontId="3" fillId="36" borderId="4" xfId="0" applyNumberFormat="1" applyFont="1" applyFill="1" applyBorder="1" applyAlignment="1">
      <alignment horizontal="center"/>
    </xf>
    <xf numFmtId="181" fontId="6" fillId="36" borderId="8" xfId="0" applyFont="1" applyFill="1" applyBorder="1"/>
    <xf numFmtId="165" fontId="3" fillId="36" borderId="8" xfId="0" applyNumberFormat="1" applyFont="1" applyFill="1" applyBorder="1"/>
    <xf numFmtId="181" fontId="3" fillId="36" borderId="8" xfId="0" applyFont="1" applyFill="1" applyBorder="1"/>
    <xf numFmtId="181" fontId="4" fillId="36" borderId="8" xfId="0" applyNumberFormat="1" applyFont="1" applyFill="1" applyBorder="1" applyAlignment="1">
      <alignment horizontal="center" vertical="justify" wrapText="1"/>
    </xf>
    <xf numFmtId="181" fontId="4" fillId="36" borderId="8" xfId="0" applyNumberFormat="1" applyFont="1" applyFill="1" applyBorder="1" applyAlignment="1">
      <alignment horizontal="center"/>
    </xf>
    <xf numFmtId="181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81" fontId="65" fillId="0" borderId="0" xfId="0" applyFont="1"/>
    <xf numFmtId="181" fontId="11" fillId="0" borderId="0" xfId="0" applyNumberFormat="1" applyFont="1" applyFill="1" applyBorder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3" borderId="0" xfId="1" applyNumberFormat="1" applyFont="1" applyFill="1" applyAlignment="1">
      <alignment horizontal="center"/>
    </xf>
    <xf numFmtId="181" fontId="2" fillId="14" borderId="4" xfId="0" applyFont="1" applyFill="1" applyBorder="1"/>
    <xf numFmtId="165" fontId="3" fillId="14" borderId="4" xfId="0" applyNumberFormat="1" applyFont="1" applyFill="1" applyBorder="1"/>
    <xf numFmtId="181" fontId="3" fillId="14" borderId="4" xfId="0" applyFont="1" applyFill="1" applyBorder="1"/>
    <xf numFmtId="181" fontId="4" fillId="14" borderId="4" xfId="0" applyNumberFormat="1" applyFont="1" applyFill="1" applyBorder="1" applyAlignment="1">
      <alignment horizontal="center" vertical="justify" wrapText="1"/>
    </xf>
    <xf numFmtId="181" fontId="2" fillId="14" borderId="4" xfId="0" applyFont="1" applyFill="1" applyBorder="1" applyAlignment="1">
      <alignment horizontal="center"/>
    </xf>
    <xf numFmtId="181" fontId="3" fillId="14" borderId="4" xfId="0" applyFont="1" applyFill="1" applyBorder="1" applyAlignment="1">
      <alignment horizontal="center"/>
    </xf>
    <xf numFmtId="181" fontId="2" fillId="14" borderId="4" xfId="0" applyNumberFormat="1" applyFont="1" applyFill="1" applyBorder="1"/>
    <xf numFmtId="181" fontId="3" fillId="14" borderId="4" xfId="0" applyNumberFormat="1" applyFont="1" applyFill="1" applyBorder="1" applyAlignment="1">
      <alignment horizontal="center"/>
    </xf>
    <xf numFmtId="181" fontId="5" fillId="14" borderId="4" xfId="0" applyNumberFormat="1" applyFont="1" applyFill="1" applyBorder="1" applyAlignment="1">
      <alignment horizontal="center"/>
    </xf>
    <xf numFmtId="181" fontId="0" fillId="23" borderId="4" xfId="0" applyNumberFormat="1" applyFill="1" applyBorder="1"/>
    <xf numFmtId="181" fontId="66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1" fontId="48" fillId="0" borderId="0" xfId="0" applyFont="1" applyFill="1" applyBorder="1" applyAlignment="1">
      <alignment horizontal="center"/>
    </xf>
    <xf numFmtId="172" fontId="48" fillId="0" borderId="0" xfId="0" applyNumberFormat="1" applyFont="1" applyFill="1" applyBorder="1" applyAlignment="1">
      <alignment horizontal="right"/>
    </xf>
    <xf numFmtId="181" fontId="49" fillId="0" borderId="0" xfId="0" applyFont="1" applyFill="1" applyBorder="1" applyAlignment="1">
      <alignment horizontal="center"/>
    </xf>
    <xf numFmtId="172" fontId="49" fillId="0" borderId="0" xfId="0" applyNumberFormat="1" applyFont="1" applyFill="1" applyBorder="1" applyAlignment="1">
      <alignment horizontal="right"/>
    </xf>
    <xf numFmtId="181" fontId="17" fillId="0" borderId="0" xfId="0" applyFont="1" applyFill="1" applyBorder="1" applyAlignment="1">
      <alignment horizontal="center"/>
    </xf>
    <xf numFmtId="181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0" fillId="0" borderId="0" xfId="0" applyNumberFormat="1" applyFont="1" applyFill="1" applyBorder="1" applyAlignment="1">
      <alignment horizontal="right"/>
    </xf>
    <xf numFmtId="181" fontId="50" fillId="0" borderId="0" xfId="0" applyFont="1" applyFill="1" applyBorder="1" applyAlignment="1">
      <alignment horizontal="center"/>
    </xf>
    <xf numFmtId="181" fontId="51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1" fontId="46" fillId="17" borderId="11" xfId="13" applyNumberFormat="1" applyBorder="1"/>
    <xf numFmtId="181" fontId="46" fillId="17" borderId="12" xfId="13" applyNumberFormat="1" applyBorder="1"/>
    <xf numFmtId="181" fontId="46" fillId="17" borderId="0" xfId="13" applyNumberFormat="1"/>
    <xf numFmtId="170" fontId="46" fillId="17" borderId="10" xfId="13" applyNumberFormat="1" applyBorder="1"/>
    <xf numFmtId="170" fontId="46" fillId="17" borderId="14" xfId="13" applyNumberFormat="1" applyBorder="1"/>
    <xf numFmtId="170" fontId="46" fillId="17" borderId="6" xfId="13" applyNumberFormat="1" applyBorder="1"/>
    <xf numFmtId="170" fontId="46" fillId="17" borderId="13" xfId="13" applyNumberFormat="1" applyBorder="1"/>
    <xf numFmtId="170" fontId="46" fillId="17" borderId="0" xfId="13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6" fillId="17" borderId="0" xfId="13" applyNumberFormat="1"/>
    <xf numFmtId="181" fontId="46" fillId="17" borderId="12" xfId="13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8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8" borderId="0" xfId="0" applyNumberFormat="1" applyFill="1" applyBorder="1" applyAlignment="1">
      <alignment horizontal="right"/>
    </xf>
    <xf numFmtId="181" fontId="0" fillId="0" borderId="0" xfId="0" applyNumberFormat="1" applyBorder="1"/>
    <xf numFmtId="181" fontId="46" fillId="16" borderId="0" xfId="12" applyNumberFormat="1" applyBorder="1"/>
    <xf numFmtId="181" fontId="46" fillId="16" borderId="0" xfId="12" applyNumberFormat="1" applyBorder="1"/>
    <xf numFmtId="181" fontId="46" fillId="16" borderId="0" xfId="12" applyNumberFormat="1"/>
    <xf numFmtId="170" fontId="46" fillId="16" borderId="0" xfId="12" applyNumberFormat="1" applyBorder="1"/>
    <xf numFmtId="170" fontId="46" fillId="16" borderId="0" xfId="12" applyNumberFormat="1"/>
    <xf numFmtId="181" fontId="3" fillId="0" borderId="0" xfId="0" applyFont="1" applyBorder="1" applyAlignment="1">
      <alignment horizontal="center"/>
    </xf>
    <xf numFmtId="181" fontId="0" fillId="0" borderId="0" xfId="1" applyNumberFormat="1" applyFont="1" applyBorder="1"/>
    <xf numFmtId="169" fontId="10" fillId="0" borderId="0" xfId="0" applyNumberFormat="1" applyFont="1" applyBorder="1"/>
    <xf numFmtId="181" fontId="0" fillId="0" borderId="0" xfId="1" applyNumberFormat="1" applyFont="1" applyBorder="1" applyAlignment="1">
      <alignment horizontal="center"/>
    </xf>
    <xf numFmtId="181" fontId="46" fillId="13" borderId="0" xfId="11" applyNumberFormat="1" applyBorder="1"/>
    <xf numFmtId="181" fontId="46" fillId="13" borderId="0" xfId="11" applyNumberFormat="1" applyBorder="1"/>
    <xf numFmtId="170" fontId="46" fillId="13" borderId="0" xfId="11" applyNumberFormat="1" applyBorder="1"/>
    <xf numFmtId="10" fontId="46" fillId="13" borderId="0" xfId="11" applyNumberFormat="1" applyBorder="1"/>
    <xf numFmtId="181" fontId="4" fillId="0" borderId="0" xfId="0" applyNumberFormat="1" applyFont="1" applyAlignment="1">
      <alignment horizontal="center"/>
    </xf>
    <xf numFmtId="181" fontId="37" fillId="0" borderId="0" xfId="8" applyNumberFormat="1" applyFont="1" applyFill="1" applyAlignment="1">
      <alignment horizontal="center" vertical="center"/>
    </xf>
    <xf numFmtId="181" fontId="0" fillId="0" borderId="10" xfId="0" applyBorder="1" applyAlignment="1">
      <alignment horizontal="center"/>
    </xf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9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38" fillId="3" borderId="0" xfId="8" applyNumberFormat="1" applyFont="1" applyFill="1" applyAlignment="1">
      <alignment horizontal="right"/>
    </xf>
    <xf numFmtId="181" fontId="38" fillId="2" borderId="5" xfId="8" applyNumberFormat="1" applyFont="1" applyFill="1" applyBorder="1" applyAlignment="1">
      <alignment horizontal="right" vertical="center"/>
    </xf>
    <xf numFmtId="181" fontId="39" fillId="2" borderId="5" xfId="8" applyNumberFormat="1" applyFont="1" applyFill="1" applyBorder="1" applyAlignment="1">
      <alignment horizontal="right" vertical="center"/>
    </xf>
    <xf numFmtId="181" fontId="38" fillId="2" borderId="5" xfId="8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0" fillId="0" borderId="0" xfId="0" applyNumberFormat="1"/>
    <xf numFmtId="181" fontId="37" fillId="0" borderId="0" xfId="8" applyNumberFormat="1" applyFont="1" applyAlignment="1">
      <alignment horizontal="center" vertical="center"/>
    </xf>
    <xf numFmtId="181" fontId="0" fillId="0" borderId="0" xfId="0" applyNumberFormat="1" applyFill="1"/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40" fillId="0" borderId="0" xfId="0" applyNumberFormat="1" applyFont="1"/>
    <xf numFmtId="181" fontId="0" fillId="0" borderId="0" xfId="0" applyNumberForma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Font="1" applyAlignment="1">
      <alignment horizontal="center"/>
    </xf>
    <xf numFmtId="181" fontId="68" fillId="0" borderId="0" xfId="0" applyFont="1"/>
    <xf numFmtId="181" fontId="68" fillId="0" borderId="0" xfId="0" applyFont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4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0" applyNumberFormat="1" applyFont="1" applyAlignment="1">
      <alignment horizontal="center"/>
    </xf>
    <xf numFmtId="181" fontId="43" fillId="0" borderId="0" xfId="0" applyFont="1" applyFill="1" applyBorder="1" applyAlignment="1">
      <alignment horizontal="center"/>
    </xf>
    <xf numFmtId="181" fontId="37" fillId="0" borderId="0" xfId="8" applyNumberFormat="1" applyFont="1" applyBorder="1" applyAlignment="1">
      <alignment horizontal="center" vertical="center"/>
    </xf>
    <xf numFmtId="181" fontId="28" fillId="9" borderId="0" xfId="6"/>
    <xf numFmtId="181" fontId="27" fillId="8" borderId="0" xfId="5"/>
    <xf numFmtId="14" fontId="28" fillId="9" borderId="0" xfId="6" applyNumberFormat="1"/>
    <xf numFmtId="14" fontId="27" fillId="8" borderId="0" xfId="5" applyNumberFormat="1"/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0" fillId="0" borderId="11" xfId="0" applyBorder="1"/>
    <xf numFmtId="181" fontId="0" fillId="0" borderId="10" xfId="0" applyBorder="1"/>
    <xf numFmtId="181" fontId="0" fillId="0" borderId="6" xfId="0" applyBorder="1"/>
    <xf numFmtId="181" fontId="0" fillId="0" borderId="0" xfId="0" applyNumberFormat="1"/>
    <xf numFmtId="181" fontId="28" fillId="9" borderId="0" xfId="6" applyAlignment="1">
      <alignment horizontal="center"/>
    </xf>
    <xf numFmtId="181" fontId="28" fillId="9" borderId="0" xfId="6" applyNumberFormat="1" applyAlignment="1">
      <alignment horizontal="center"/>
    </xf>
    <xf numFmtId="181" fontId="27" fillId="8" borderId="0" xfId="5" applyAlignment="1">
      <alignment horizontal="center"/>
    </xf>
    <xf numFmtId="181" fontId="27" fillId="8" borderId="0" xfId="5" applyNumberFormat="1" applyAlignment="1">
      <alignment horizontal="center"/>
    </xf>
    <xf numFmtId="181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69" fillId="0" borderId="3" xfId="0" applyNumberFormat="1" applyFont="1" applyBorder="1" applyAlignment="1">
      <alignment horizontal="center"/>
    </xf>
    <xf numFmtId="181" fontId="0" fillId="0" borderId="3" xfId="0" applyBorder="1" applyAlignment="1">
      <alignment horizontal="center"/>
    </xf>
    <xf numFmtId="164" fontId="69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1" fontId="28" fillId="9" borderId="10" xfId="6" applyBorder="1" applyAlignment="1">
      <alignment horizontal="center"/>
    </xf>
    <xf numFmtId="181" fontId="27" fillId="8" borderId="10" xfId="5" applyBorder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2" fillId="0" borderId="0" xfId="0" applyNumberFormat="1" applyFont="1"/>
    <xf numFmtId="181" fontId="4" fillId="0" borderId="0" xfId="0" applyNumberFormat="1" applyFont="1"/>
    <xf numFmtId="181" fontId="13" fillId="0" borderId="0" xfId="0" applyNumberFormat="1" applyFont="1"/>
    <xf numFmtId="181" fontId="0" fillId="0" borderId="0" xfId="0" applyNumberFormat="1" applyFont="1"/>
    <xf numFmtId="181" fontId="68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/>
    <xf numFmtId="181" fontId="46" fillId="13" borderId="0" xfId="11" applyNumberFormat="1" applyBorder="1"/>
    <xf numFmtId="181" fontId="3" fillId="0" borderId="0" xfId="0" applyNumberFormat="1" applyFont="1" applyFill="1" applyBorder="1"/>
    <xf numFmtId="181" fontId="0" fillId="0" borderId="7" xfId="0" applyNumberFormat="1" applyBorder="1" applyAlignment="1">
      <alignment horizontal="center"/>
    </xf>
    <xf numFmtId="181" fontId="27" fillId="8" borderId="0" xfId="5" applyNumberFormat="1" applyAlignment="1">
      <alignment horizontal="center"/>
    </xf>
    <xf numFmtId="181" fontId="0" fillId="0" borderId="0" xfId="0" applyNumberFormat="1"/>
    <xf numFmtId="181" fontId="0" fillId="0" borderId="0" xfId="0" applyNumberFormat="1" applyBorder="1" applyAlignment="1">
      <alignment horizontal="center"/>
    </xf>
    <xf numFmtId="181" fontId="28" fillId="9" borderId="0" xfId="6" applyNumberFormat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46" fillId="38" borderId="0" xfId="12" applyNumberFormat="1" applyFill="1" applyBorder="1"/>
    <xf numFmtId="165" fontId="46" fillId="38" borderId="0" xfId="12" applyNumberFormat="1" applyFill="1" applyBorder="1"/>
    <xf numFmtId="181" fontId="0" fillId="0" borderId="0" xfId="0" applyNumberFormat="1"/>
    <xf numFmtId="10" fontId="46" fillId="13" borderId="0" xfId="7" applyNumberFormat="1" applyFont="1" applyFill="1" applyBorder="1"/>
    <xf numFmtId="181" fontId="67" fillId="0" borderId="0" xfId="14"/>
    <xf numFmtId="181" fontId="0" fillId="0" borderId="0" xfId="0" applyAlignment="1">
      <alignment horizontal="left"/>
    </xf>
    <xf numFmtId="18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1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7" fillId="0" borderId="0" xfId="14" applyNumberFormat="1" applyAlignment="1">
      <alignment horizontal="left"/>
    </xf>
    <xf numFmtId="181" fontId="67" fillId="0" borderId="0" xfId="14" applyAlignment="1">
      <alignment horizontal="left"/>
    </xf>
    <xf numFmtId="10" fontId="70" fillId="37" borderId="4" xfId="7" applyNumberFormat="1" applyFont="1" applyFill="1" applyBorder="1" applyAlignment="1">
      <alignment horizontal="center" vertical="center"/>
    </xf>
    <xf numFmtId="181" fontId="70" fillId="37" borderId="4" xfId="7" applyNumberFormat="1" applyFont="1" applyFill="1" applyBorder="1" applyAlignment="1">
      <alignment horizontal="center" vertical="center"/>
    </xf>
    <xf numFmtId="49" fontId="70" fillId="37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/>
    <xf numFmtId="14" fontId="27" fillId="8" borderId="0" xfId="5" applyNumberFormat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70" fillId="37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0" fontId="37" fillId="0" borderId="0" xfId="8" applyNumberFormat="1" applyFont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38" fillId="2" borderId="0" xfId="8" applyNumberFormat="1" applyFont="1" applyFill="1" applyBorder="1" applyAlignment="1">
      <alignment horizontal="right"/>
    </xf>
    <xf numFmtId="180" fontId="38" fillId="2" borderId="1" xfId="8" applyNumberFormat="1" applyFont="1" applyFill="1" applyBorder="1" applyAlignment="1">
      <alignment horizontal="center" vertical="center"/>
    </xf>
    <xf numFmtId="180" fontId="39" fillId="2" borderId="6" xfId="8" applyNumberFormat="1" applyFont="1" applyFill="1" applyBorder="1" applyAlignment="1">
      <alignment horizontal="center" vertical="center"/>
    </xf>
    <xf numFmtId="180" fontId="38" fillId="2" borderId="6" xfId="8" applyNumberFormat="1" applyFont="1" applyFill="1" applyBorder="1" applyAlignment="1">
      <alignment horizontal="center" vertical="center"/>
    </xf>
    <xf numFmtId="180" fontId="38" fillId="2" borderId="9" xfId="8" applyNumberFormat="1" applyFont="1" applyFill="1" applyBorder="1" applyAlignment="1">
      <alignment horizontal="center"/>
    </xf>
    <xf numFmtId="180" fontId="46" fillId="38" borderId="0" xfId="12" applyNumberFormat="1" applyFill="1" applyBorder="1" applyAlignment="1">
      <alignment horizontal="center" vertical="justify" wrapText="1"/>
    </xf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NumberFormat="1" applyFont="1" applyFill="1" applyBorder="1" applyAlignment="1"/>
    <xf numFmtId="180" fontId="38" fillId="2" borderId="0" xfId="8" applyNumberFormat="1" applyFont="1" applyFill="1" applyBorder="1" applyAlignment="1">
      <alignment horizontal="left"/>
    </xf>
    <xf numFmtId="180" fontId="38" fillId="2" borderId="5" xfId="8" applyNumberFormat="1" applyFont="1" applyFill="1" applyBorder="1" applyAlignment="1">
      <alignment horizontal="center" vertical="center" wrapText="1"/>
    </xf>
    <xf numFmtId="180" fontId="39" fillId="2" borderId="5" xfId="8" applyNumberFormat="1" applyFont="1" applyFill="1" applyBorder="1" applyAlignment="1">
      <alignment horizontal="center" vertical="center" wrapText="1"/>
    </xf>
    <xf numFmtId="180" fontId="38" fillId="2" borderId="10" xfId="8" applyNumberFormat="1" applyFont="1" applyFill="1" applyBorder="1" applyAlignment="1">
      <alignment horizontal="center"/>
    </xf>
    <xf numFmtId="180" fontId="38" fillId="3" borderId="3" xfId="8" applyNumberFormat="1" applyFont="1" applyFill="1" applyBorder="1" applyAlignment="1">
      <alignment horizontal="center" vertical="justify" wrapText="1"/>
    </xf>
    <xf numFmtId="180" fontId="38" fillId="2" borderId="1" xfId="8" applyNumberFormat="1" applyFont="1" applyFill="1" applyBorder="1" applyAlignment="1">
      <alignment horizontal="left" vertical="center" wrapText="1"/>
    </xf>
    <xf numFmtId="180" fontId="38" fillId="2" borderId="11" xfId="8" applyNumberFormat="1" applyFont="1" applyFill="1" applyBorder="1" applyAlignment="1">
      <alignment horizontal="center"/>
    </xf>
    <xf numFmtId="180" fontId="46" fillId="38" borderId="0" xfId="12" applyNumberForma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0" fontId="38" fillId="3" borderId="0" xfId="8" applyNumberFormat="1" applyFont="1" applyFill="1"/>
    <xf numFmtId="180" fontId="38" fillId="3" borderId="0" xfId="8" applyNumberFormat="1" applyFont="1" applyFill="1" applyAlignment="1">
      <alignment horizontal="center" vertical="center"/>
    </xf>
    <xf numFmtId="180" fontId="44" fillId="3" borderId="0" xfId="8" applyNumberFormat="1" applyFont="1" applyFill="1"/>
    <xf numFmtId="180" fontId="0" fillId="0" borderId="0" xfId="0" applyNumberFormat="1"/>
    <xf numFmtId="180" fontId="3" fillId="0" borderId="0" xfId="0" applyNumberFormat="1" applyFont="1" applyFill="1" applyBorder="1"/>
    <xf numFmtId="180" fontId="43" fillId="0" borderId="0" xfId="0" applyNumberFormat="1" applyFont="1" applyFill="1" applyBorder="1" applyAlignment="1">
      <alignment horizontal="center"/>
    </xf>
    <xf numFmtId="180" fontId="43" fillId="0" borderId="0" xfId="8" applyNumberFormat="1" applyFont="1" applyFill="1" applyBorder="1" applyAlignment="1">
      <alignment horizontal="center"/>
    </xf>
    <xf numFmtId="180" fontId="43" fillId="0" borderId="0" xfId="8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left"/>
    </xf>
    <xf numFmtId="180" fontId="46" fillId="13" borderId="0" xfId="11" applyNumberFormat="1" applyBorder="1"/>
    <xf numFmtId="180" fontId="3" fillId="0" borderId="0" xfId="0" applyNumberFormat="1" applyFont="1"/>
    <xf numFmtId="180" fontId="4" fillId="0" borderId="0" xfId="0" applyNumberFormat="1" applyFont="1"/>
    <xf numFmtId="180" fontId="4" fillId="0" borderId="0" xfId="0" applyNumberFormat="1" applyFont="1" applyFill="1" applyBorder="1"/>
    <xf numFmtId="180" fontId="3" fillId="0" borderId="0" xfId="0" applyNumberFormat="1" applyFont="1" applyFill="1"/>
    <xf numFmtId="180" fontId="0" fillId="0" borderId="0" xfId="0" applyNumberFormat="1" applyFill="1"/>
    <xf numFmtId="180" fontId="2" fillId="0" borderId="0" xfId="0" applyNumberFormat="1" applyFont="1"/>
    <xf numFmtId="180" fontId="13" fillId="0" borderId="0" xfId="0" applyNumberFormat="1" applyFont="1"/>
    <xf numFmtId="180" fontId="29" fillId="0" borderId="0" xfId="0" applyNumberFormat="1" applyFont="1"/>
    <xf numFmtId="180" fontId="43" fillId="0" borderId="0" xfId="0" applyNumberFormat="1" applyFont="1" applyAlignment="1">
      <alignment horizontal="center"/>
    </xf>
    <xf numFmtId="180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0" fontId="37" fillId="0" borderId="0" xfId="8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right"/>
    </xf>
    <xf numFmtId="180" fontId="0" fillId="0" borderId="7" xfId="0" applyNumberFormat="1" applyBorder="1" applyAlignment="1">
      <alignment horizontal="right"/>
    </xf>
    <xf numFmtId="180" fontId="20" fillId="0" borderId="3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180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1" fontId="28" fillId="12" borderId="10" xfId="6" applyFill="1" applyBorder="1" applyAlignment="1">
      <alignment horizontal="center"/>
    </xf>
    <xf numFmtId="180" fontId="43" fillId="0" borderId="0" xfId="0" applyNumberFormat="1" applyFont="1" applyFill="1" applyBorder="1"/>
    <xf numFmtId="180" fontId="68" fillId="0" borderId="0" xfId="0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0" fontId="0" fillId="0" borderId="10" xfId="0" applyNumberFormat="1" applyBorder="1" applyAlignment="1">
      <alignment horizontal="center"/>
    </xf>
    <xf numFmtId="183" fontId="37" fillId="0" borderId="0" xfId="8" applyNumberFormat="1" applyFont="1" applyBorder="1" applyAlignment="1">
      <alignment horizontal="center" vertical="center"/>
    </xf>
    <xf numFmtId="181" fontId="28" fillId="39" borderId="10" xfId="6" applyFill="1" applyBorder="1" applyAlignment="1">
      <alignment horizontal="center"/>
    </xf>
    <xf numFmtId="180" fontId="28" fillId="9" borderId="14" xfId="6" applyNumberFormat="1" applyBorder="1" applyAlignment="1">
      <alignment horizontal="center"/>
    </xf>
    <xf numFmtId="180" fontId="27" fillId="8" borderId="14" xfId="5" applyNumberFormat="1" applyBorder="1" applyAlignment="1">
      <alignment horizontal="center"/>
    </xf>
    <xf numFmtId="180" fontId="28" fillId="12" borderId="14" xfId="6" applyNumberFormat="1" applyFill="1" applyBorder="1" applyAlignment="1">
      <alignment horizontal="center"/>
    </xf>
    <xf numFmtId="180" fontId="28" fillId="39" borderId="14" xfId="6" applyNumberFormat="1" applyFill="1" applyBorder="1" applyAlignment="1">
      <alignment horizontal="center"/>
    </xf>
    <xf numFmtId="180" fontId="0" fillId="0" borderId="14" xfId="0" applyNumberFormat="1" applyBorder="1" applyAlignment="1">
      <alignment horizontal="center"/>
    </xf>
    <xf numFmtId="180" fontId="28" fillId="9" borderId="0" xfId="6" applyNumberFormat="1" applyBorder="1" applyAlignment="1">
      <alignment horizontal="center"/>
    </xf>
    <xf numFmtId="180" fontId="27" fillId="8" borderId="0" xfId="5" applyNumberFormat="1" applyBorder="1" applyAlignment="1">
      <alignment horizontal="center"/>
    </xf>
    <xf numFmtId="180" fontId="28" fillId="12" borderId="0" xfId="6" applyNumberFormat="1" applyFill="1" applyBorder="1" applyAlignment="1">
      <alignment horizontal="center"/>
    </xf>
    <xf numFmtId="180" fontId="28" fillId="39" borderId="0" xfId="6" applyNumberFormat="1" applyFill="1" applyBorder="1" applyAlignment="1">
      <alignment horizontal="center"/>
    </xf>
    <xf numFmtId="180" fontId="0" fillId="0" borderId="0" xfId="7" applyNumberFormat="1" applyFont="1"/>
    <xf numFmtId="181" fontId="0" fillId="0" borderId="0" xfId="0" applyNumberFormat="1" applyFill="1" applyAlignment="1">
      <alignment horizontal="right"/>
    </xf>
    <xf numFmtId="0" fontId="0" fillId="0" borderId="0" xfId="7" applyNumberFormat="1" applyFont="1"/>
    <xf numFmtId="180" fontId="40" fillId="0" borderId="0" xfId="0" applyNumberFormat="1" applyFont="1" applyFill="1" applyBorder="1" applyAlignment="1">
      <alignment horizontal="center"/>
    </xf>
    <xf numFmtId="180" fontId="40" fillId="0" borderId="14" xfId="0" applyNumberFormat="1" applyFont="1" applyFill="1" applyBorder="1" applyAlignment="1">
      <alignment horizontal="center"/>
    </xf>
    <xf numFmtId="181" fontId="40" fillId="0" borderId="0" xfId="0" applyFont="1" applyFill="1" applyAlignment="1">
      <alignment horizontal="center"/>
    </xf>
    <xf numFmtId="180" fontId="40" fillId="0" borderId="0" xfId="0" applyNumberFormat="1" applyFont="1" applyFill="1" applyAlignment="1">
      <alignment horizontal="center"/>
    </xf>
    <xf numFmtId="185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/>
    <xf numFmtId="0" fontId="40" fillId="0" borderId="0" xfId="0" applyNumberFormat="1" applyFont="1" applyFill="1" applyBorder="1"/>
    <xf numFmtId="180" fontId="37" fillId="0" borderId="0" xfId="8" applyNumberFormat="1" applyFont="1" applyFill="1" applyAlignment="1">
      <alignment horizontal="center" vertical="center"/>
    </xf>
    <xf numFmtId="181" fontId="46" fillId="15" borderId="0" xfId="12" applyNumberFormat="1" applyFill="1" applyBorder="1"/>
    <xf numFmtId="165" fontId="46" fillId="15" borderId="0" xfId="12" applyNumberFormat="1" applyFill="1" applyBorder="1"/>
    <xf numFmtId="180" fontId="46" fillId="15" borderId="0" xfId="12" applyNumberFormat="1" applyFill="1" applyBorder="1" applyAlignment="1">
      <alignment horizontal="center" vertical="justify" wrapText="1"/>
    </xf>
    <xf numFmtId="180" fontId="46" fillId="15" borderId="0" xfId="12" applyNumberFormat="1" applyFill="1" applyBorder="1" applyAlignment="1">
      <alignment horizontal="center"/>
    </xf>
    <xf numFmtId="181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1" fontId="77" fillId="0" borderId="0" xfId="0" applyFont="1" applyAlignment="1">
      <alignment horizontal="left"/>
    </xf>
    <xf numFmtId="167" fontId="0" fillId="0" borderId="0" xfId="0" applyNumberFormat="1"/>
    <xf numFmtId="167" fontId="0" fillId="0" borderId="0" xfId="0" applyNumberFormat="1" applyFill="1"/>
    <xf numFmtId="181" fontId="40" fillId="0" borderId="0" xfId="0" applyFont="1" applyFill="1" applyBorder="1" applyAlignment="1">
      <alignment horizontal="left"/>
    </xf>
    <xf numFmtId="181" fontId="40" fillId="0" borderId="0" xfId="0" applyNumberFormat="1" applyFont="1" applyFill="1" applyBorder="1"/>
    <xf numFmtId="181" fontId="78" fillId="0" borderId="0" xfId="0" applyFont="1" applyFill="1" applyBorder="1"/>
    <xf numFmtId="181" fontId="78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1" fontId="79" fillId="0" borderId="0" xfId="14" applyFont="1" applyFill="1" applyBorder="1" applyAlignment="1">
      <alignment horizontal="left"/>
    </xf>
    <xf numFmtId="181" fontId="79" fillId="0" borderId="0" xfId="14" applyFont="1" applyFill="1" applyBorder="1"/>
    <xf numFmtId="182" fontId="40" fillId="0" borderId="0" xfId="0" applyNumberFormat="1" applyFont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0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5" fontId="47" fillId="19" borderId="8" xfId="0" applyNumberFormat="1" applyFont="1" applyFill="1" applyBorder="1" applyAlignment="1">
      <alignment horizontal="left" vertical="justify" wrapText="1"/>
    </xf>
    <xf numFmtId="185" fontId="47" fillId="21" borderId="6" xfId="0" applyNumberFormat="1" applyFont="1" applyFill="1" applyBorder="1" applyAlignment="1">
      <alignment horizontal="left"/>
    </xf>
    <xf numFmtId="185" fontId="3" fillId="0" borderId="0" xfId="0" applyNumberFormat="1" applyFont="1"/>
    <xf numFmtId="185" fontId="3" fillId="22" borderId="4" xfId="0" applyNumberFormat="1" applyFont="1" applyFill="1" applyBorder="1"/>
    <xf numFmtId="185" fontId="3" fillId="22" borderId="8" xfId="0" applyNumberFormat="1" applyFont="1" applyFill="1" applyBorder="1"/>
    <xf numFmtId="185" fontId="3" fillId="0" borderId="0" xfId="0" applyNumberFormat="1" applyFont="1" applyFill="1" applyBorder="1"/>
    <xf numFmtId="185" fontId="47" fillId="0" borderId="0" xfId="0" applyNumberFormat="1" applyFont="1" applyFill="1" applyBorder="1"/>
    <xf numFmtId="185" fontId="47" fillId="0" borderId="0" xfId="0" applyNumberFormat="1" applyFont="1"/>
    <xf numFmtId="180" fontId="47" fillId="19" borderId="8" xfId="0" applyNumberFormat="1" applyFont="1" applyFill="1" applyBorder="1" applyAlignment="1">
      <alignment horizontal="left" vertical="justify" wrapText="1"/>
    </xf>
    <xf numFmtId="180" fontId="47" fillId="21" borderId="19" xfId="0" applyNumberFormat="1" applyFont="1" applyFill="1" applyBorder="1" applyAlignment="1">
      <alignment horizontal="left"/>
    </xf>
    <xf numFmtId="180" fontId="3" fillId="22" borderId="4" xfId="0" applyNumberFormat="1" applyFont="1" applyFill="1" applyBorder="1"/>
    <xf numFmtId="180" fontId="47" fillId="0" borderId="0" xfId="0" applyNumberFormat="1" applyFont="1"/>
    <xf numFmtId="180" fontId="47" fillId="0" borderId="0" xfId="0" applyNumberFormat="1" applyFont="1" applyFill="1" applyBorder="1"/>
    <xf numFmtId="185" fontId="15" fillId="20" borderId="1" xfId="0" applyNumberFormat="1" applyFont="1" applyFill="1" applyBorder="1" applyAlignment="1">
      <alignment horizontal="left" vertical="center"/>
    </xf>
    <xf numFmtId="185" fontId="47" fillId="21" borderId="19" xfId="0" applyNumberFormat="1" applyFont="1" applyFill="1" applyBorder="1" applyAlignment="1">
      <alignment horizontal="left" vertical="center"/>
    </xf>
    <xf numFmtId="185" fontId="3" fillId="19" borderId="4" xfId="0" applyNumberFormat="1" applyFont="1" applyFill="1" applyBorder="1" applyAlignment="1">
      <alignment horizontal="center" vertical="distributed" wrapText="1"/>
    </xf>
    <xf numFmtId="185" fontId="3" fillId="22" borderId="4" xfId="0" applyNumberFormat="1" applyFont="1" applyFill="1" applyBorder="1" applyAlignment="1">
      <alignment horizontal="center" vertical="distributed" wrapText="1"/>
    </xf>
    <xf numFmtId="185" fontId="3" fillId="19" borderId="8" xfId="0" applyNumberFormat="1" applyFont="1" applyFill="1" applyBorder="1" applyAlignment="1">
      <alignment horizontal="center" vertical="distributed" wrapText="1"/>
    </xf>
    <xf numFmtId="185" fontId="3" fillId="22" borderId="8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center" wrapText="1"/>
    </xf>
    <xf numFmtId="185" fontId="3" fillId="0" borderId="0" xfId="0" applyNumberFormat="1" applyFont="1" applyFill="1" applyBorder="1" applyAlignment="1">
      <alignment horizontal="left" vertical="center" wrapText="1"/>
    </xf>
    <xf numFmtId="185" fontId="3" fillId="0" borderId="0" xfId="0" applyNumberFormat="1" applyFont="1" applyFill="1" applyBorder="1" applyAlignment="1">
      <alignment horizontal="left" vertical="center"/>
    </xf>
    <xf numFmtId="185" fontId="47" fillId="0" borderId="0" xfId="0" applyNumberFormat="1" applyFont="1" applyFill="1" applyBorder="1" applyAlignment="1">
      <alignment horizontal="left" vertical="center"/>
    </xf>
    <xf numFmtId="185" fontId="47" fillId="19" borderId="19" xfId="0" applyNumberFormat="1" applyFont="1" applyFill="1" applyBorder="1" applyAlignment="1">
      <alignment horizontal="left" vertical="center"/>
    </xf>
    <xf numFmtId="185" fontId="47" fillId="19" borderId="4" xfId="0" applyNumberFormat="1" applyFont="1" applyFill="1" applyBorder="1" applyAlignment="1">
      <alignment horizontal="left" vertical="center"/>
    </xf>
    <xf numFmtId="185" fontId="4" fillId="19" borderId="5" xfId="0" applyNumberFormat="1" applyFont="1" applyFill="1" applyBorder="1" applyAlignment="1">
      <alignment horizontal="left" vertical="justify"/>
    </xf>
    <xf numFmtId="185" fontId="16" fillId="2" borderId="0" xfId="0" applyNumberFormat="1" applyFont="1" applyFill="1" applyAlignment="1">
      <alignment horizontal="center"/>
    </xf>
    <xf numFmtId="185" fontId="53" fillId="0" borderId="0" xfId="0" applyNumberFormat="1" applyFont="1"/>
    <xf numFmtId="185" fontId="15" fillId="0" borderId="0" xfId="0" applyNumberFormat="1" applyFont="1"/>
    <xf numFmtId="185" fontId="16" fillId="2" borderId="0" xfId="0" applyNumberFormat="1" applyFont="1" applyFill="1"/>
    <xf numFmtId="185" fontId="16" fillId="0" borderId="0" xfId="0" applyNumberFormat="1" applyFont="1" applyFill="1" applyAlignment="1">
      <alignment horizontal="center"/>
    </xf>
    <xf numFmtId="185" fontId="40" fillId="0" borderId="0" xfId="0" applyNumberFormat="1" applyFont="1" applyFill="1" applyBorder="1"/>
    <xf numFmtId="180" fontId="4" fillId="19" borderId="5" xfId="0" applyNumberFormat="1" applyFont="1" applyFill="1" applyBorder="1" applyAlignment="1">
      <alignment horizontal="left" vertical="justify"/>
    </xf>
    <xf numFmtId="180" fontId="4" fillId="0" borderId="5" xfId="0" applyNumberFormat="1" applyFont="1" applyFill="1" applyBorder="1" applyAlignment="1">
      <alignment horizontal="left" vertical="justify"/>
    </xf>
    <xf numFmtId="180" fontId="16" fillId="0" borderId="0" xfId="0" applyNumberFormat="1" applyFont="1" applyAlignment="1">
      <alignment horizontal="right"/>
    </xf>
    <xf numFmtId="180" fontId="15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16" fillId="2" borderId="0" xfId="0" applyNumberFormat="1" applyFont="1" applyFill="1" applyAlignment="1">
      <alignment horizontal="center"/>
    </xf>
    <xf numFmtId="180" fontId="53" fillId="0" borderId="0" xfId="0" applyNumberFormat="1" applyFont="1"/>
    <xf numFmtId="180" fontId="15" fillId="0" borderId="0" xfId="0" applyNumberFormat="1" applyFont="1"/>
    <xf numFmtId="180" fontId="16" fillId="2" borderId="0" xfId="0" applyNumberFormat="1" applyFont="1" applyFill="1"/>
    <xf numFmtId="180" fontId="16" fillId="0" borderId="0" xfId="0" applyNumberFormat="1" applyFont="1"/>
    <xf numFmtId="180" fontId="16" fillId="0" borderId="0" xfId="0" applyNumberFormat="1" applyFont="1" applyFill="1" applyAlignment="1">
      <alignment horizontal="center"/>
    </xf>
    <xf numFmtId="180" fontId="0" fillId="0" borderId="0" xfId="0" applyNumberFormat="1" applyBorder="1"/>
    <xf numFmtId="180" fontId="4" fillId="0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right"/>
    </xf>
    <xf numFmtId="185" fontId="15" fillId="0" borderId="0" xfId="0" applyNumberFormat="1" applyFont="1" applyAlignment="1">
      <alignment horizontal="center"/>
    </xf>
    <xf numFmtId="180" fontId="18" fillId="27" borderId="1" xfId="0" applyNumberFormat="1" applyFont="1" applyFill="1" applyBorder="1" applyAlignment="1">
      <alignment horizontal="left" vertical="justify" wrapText="1"/>
    </xf>
    <xf numFmtId="180" fontId="3" fillId="28" borderId="1" xfId="0" applyNumberFormat="1" applyFont="1" applyFill="1" applyBorder="1" applyAlignment="1">
      <alignment horizontal="left"/>
    </xf>
    <xf numFmtId="180" fontId="55" fillId="2" borderId="0" xfId="0" applyNumberFormat="1" applyFont="1" applyFill="1"/>
    <xf numFmtId="180" fontId="55" fillId="2" borderId="0" xfId="0" applyNumberFormat="1" applyFont="1" applyFill="1" applyAlignment="1">
      <alignment horizontal="left"/>
    </xf>
    <xf numFmtId="180" fontId="55" fillId="0" borderId="0" xfId="0" applyNumberFormat="1" applyFont="1" applyFill="1"/>
    <xf numFmtId="180" fontId="15" fillId="0" borderId="0" xfId="0" applyNumberFormat="1" applyFont="1" applyAlignment="1">
      <alignment horizontal="center"/>
    </xf>
    <xf numFmtId="185" fontId="17" fillId="27" borderId="5" xfId="0" applyNumberFormat="1" applyFont="1" applyFill="1" applyBorder="1" applyAlignment="1">
      <alignment horizontal="right" vertical="justify"/>
    </xf>
    <xf numFmtId="185" fontId="4" fillId="28" borderId="5" xfId="0" applyNumberFormat="1" applyFont="1" applyFill="1" applyBorder="1" applyAlignment="1">
      <alignment horizontal="right" vertical="justify"/>
    </xf>
    <xf numFmtId="185" fontId="53" fillId="0" borderId="0" xfId="0" applyNumberFormat="1" applyFont="1" applyAlignment="1">
      <alignment horizontal="right"/>
    </xf>
    <xf numFmtId="185" fontId="16" fillId="2" borderId="0" xfId="0" applyNumberFormat="1" applyFont="1" applyFill="1" applyAlignment="1">
      <alignment horizontal="left"/>
    </xf>
    <xf numFmtId="185" fontId="8" fillId="2" borderId="6" xfId="0" applyNumberFormat="1" applyFont="1" applyFill="1" applyBorder="1" applyAlignment="1">
      <alignment horizontal="center"/>
    </xf>
    <xf numFmtId="185" fontId="54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center" vertical="justify" wrapText="1"/>
    </xf>
    <xf numFmtId="185" fontId="8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left" vertical="justify" wrapText="1"/>
    </xf>
    <xf numFmtId="185" fontId="8" fillId="19" borderId="4" xfId="0" applyNumberFormat="1" applyFont="1" applyFill="1" applyBorder="1" applyAlignment="1">
      <alignment horizontal="left" vertical="justify" wrapText="1"/>
    </xf>
    <xf numFmtId="185" fontId="8" fillId="1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/>
    <xf numFmtId="185" fontId="48" fillId="26" borderId="0" xfId="0" applyNumberFormat="1" applyFont="1" applyFill="1" applyBorder="1" applyAlignment="1">
      <alignment horizontal="left"/>
    </xf>
    <xf numFmtId="185" fontId="17" fillId="27" borderId="5" xfId="0" applyNumberFormat="1" applyFont="1" applyFill="1" applyBorder="1" applyAlignment="1">
      <alignment horizontal="left" vertical="justify"/>
    </xf>
    <xf numFmtId="185" fontId="8" fillId="24" borderId="6" xfId="0" applyNumberFormat="1" applyFont="1" applyFill="1" applyBorder="1" applyAlignment="1">
      <alignment horizontal="left"/>
    </xf>
    <xf numFmtId="185" fontId="54" fillId="29" borderId="4" xfId="0" applyNumberFormat="1" applyFont="1" applyFill="1" applyBorder="1" applyAlignment="1">
      <alignment horizontal="left" vertical="justify" wrapText="1"/>
    </xf>
    <xf numFmtId="185" fontId="8" fillId="26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/>
    </xf>
    <xf numFmtId="185" fontId="8" fillId="2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80" fontId="37" fillId="0" borderId="0" xfId="8" applyNumberFormat="1" applyFont="1" applyBorder="1" applyAlignment="1">
      <alignment horizontal="right" vertical="center"/>
    </xf>
    <xf numFmtId="175" fontId="82" fillId="41" borderId="0" xfId="8" applyNumberFormat="1" applyFont="1" applyFill="1" applyBorder="1" applyAlignment="1">
      <alignment horizontal="center" vertical="center"/>
    </xf>
    <xf numFmtId="180" fontId="82" fillId="41" borderId="0" xfId="8" applyNumberFormat="1" applyFont="1" applyFill="1" applyBorder="1" applyAlignment="1">
      <alignment horizontal="center" vertical="center"/>
    </xf>
    <xf numFmtId="0" fontId="40" fillId="0" borderId="0" xfId="14" applyNumberFormat="1" applyFont="1" applyFill="1" applyBorder="1"/>
    <xf numFmtId="0" fontId="40" fillId="0" borderId="0" xfId="0" applyNumberFormat="1" applyFont="1" applyBorder="1"/>
    <xf numFmtId="180" fontId="40" fillId="0" borderId="0" xfId="0" applyNumberFormat="1" applyFont="1" applyFill="1" applyBorder="1" applyAlignment="1">
      <alignment horizontal="right"/>
    </xf>
    <xf numFmtId="188" fontId="0" fillId="0" borderId="0" xfId="0" applyNumberFormat="1"/>
    <xf numFmtId="180" fontId="27" fillId="8" borderId="0" xfId="5" applyNumberFormat="1" applyAlignment="1">
      <alignment horizontal="center"/>
    </xf>
    <xf numFmtId="189" fontId="37" fillId="0" borderId="0" xfId="8" applyNumberFormat="1" applyFont="1" applyBorder="1" applyAlignment="1">
      <alignment horizontal="center" vertical="center"/>
    </xf>
    <xf numFmtId="181" fontId="78" fillId="0" borderId="0" xfId="8" applyNumberFormat="1" applyFont="1" applyAlignment="1">
      <alignment horizontal="left" vertical="center"/>
    </xf>
    <xf numFmtId="181" fontId="73" fillId="0" borderId="0" xfId="0" applyFont="1" applyAlignment="1">
      <alignment horizontal="left"/>
    </xf>
    <xf numFmtId="181" fontId="78" fillId="0" borderId="0" xfId="0" applyFont="1" applyFill="1" applyBorder="1" applyAlignment="1">
      <alignment horizontal="left"/>
    </xf>
    <xf numFmtId="14" fontId="78" fillId="0" borderId="0" xfId="8" applyNumberFormat="1" applyFont="1" applyFill="1" applyBorder="1" applyAlignment="1">
      <alignment horizontal="left" vertical="center"/>
    </xf>
    <xf numFmtId="181" fontId="73" fillId="0" borderId="0" xfId="0" applyNumberFormat="1" applyFont="1" applyAlignment="1">
      <alignment horizontal="left"/>
    </xf>
    <xf numFmtId="17" fontId="73" fillId="0" borderId="0" xfId="0" applyNumberFormat="1" applyFont="1" applyAlignment="1">
      <alignment horizontal="left"/>
    </xf>
    <xf numFmtId="180" fontId="78" fillId="0" borderId="0" xfId="8" applyNumberFormat="1" applyFont="1" applyAlignment="1">
      <alignment horizontal="left" vertical="center"/>
    </xf>
    <xf numFmtId="180" fontId="78" fillId="0" borderId="0" xfId="8" applyNumberFormat="1" applyFont="1" applyFill="1" applyBorder="1" applyAlignment="1">
      <alignment horizontal="left" vertical="center"/>
    </xf>
    <xf numFmtId="181" fontId="73" fillId="0" borderId="0" xfId="0" applyFont="1" applyBorder="1" applyAlignment="1">
      <alignment horizontal="left"/>
    </xf>
    <xf numFmtId="0" fontId="84" fillId="0" borderId="0" xfId="0" applyNumberFormat="1" applyFont="1" applyFill="1" applyBorder="1" applyAlignment="1">
      <alignment vertical="top" wrapText="1"/>
    </xf>
    <xf numFmtId="181" fontId="46" fillId="15" borderId="0" xfId="12" applyNumberFormat="1" applyFont="1" applyFill="1" applyBorder="1"/>
    <xf numFmtId="14" fontId="37" fillId="0" borderId="0" xfId="8" applyNumberFormat="1" applyFont="1" applyFill="1" applyAlignment="1">
      <alignment horizontal="center" vertical="center"/>
    </xf>
    <xf numFmtId="185" fontId="37" fillId="0" borderId="0" xfId="8" applyNumberFormat="1" applyFont="1" applyAlignment="1">
      <alignment horizontal="center" vertical="center"/>
    </xf>
    <xf numFmtId="10" fontId="46" fillId="42" borderId="0" xfId="7" applyNumberFormat="1" applyFont="1" applyFill="1" applyBorder="1"/>
    <xf numFmtId="182" fontId="42" fillId="5" borderId="15" xfId="3" applyNumberFormat="1" applyFont="1" applyBorder="1" applyAlignment="1">
      <alignment horizontal="center" vertical="justify" wrapText="1"/>
    </xf>
    <xf numFmtId="185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1" fontId="46" fillId="43" borderId="0" xfId="12" applyNumberFormat="1" applyFill="1" applyBorder="1"/>
    <xf numFmtId="165" fontId="46" fillId="43" borderId="0" xfId="12" applyNumberFormat="1" applyFill="1" applyBorder="1"/>
    <xf numFmtId="180" fontId="46" fillId="43" borderId="0" xfId="12" applyNumberFormat="1" applyFill="1" applyBorder="1" applyAlignment="1">
      <alignment horizontal="center" vertical="justify" wrapText="1"/>
    </xf>
    <xf numFmtId="180" fontId="46" fillId="43" borderId="0" xfId="12" applyNumberFormat="1" applyFill="1" applyBorder="1" applyAlignment="1">
      <alignment horizontal="center"/>
    </xf>
    <xf numFmtId="185" fontId="46" fillId="13" borderId="0" xfId="11" applyNumberFormat="1" applyBorder="1"/>
    <xf numFmtId="185" fontId="46" fillId="16" borderId="0" xfId="12" applyNumberFormat="1" applyBorder="1"/>
    <xf numFmtId="0" fontId="57" fillId="19" borderId="0" xfId="0" applyNumberFormat="1" applyFont="1" applyFill="1" applyBorder="1" applyAlignment="1">
      <alignment horizontal="left"/>
    </xf>
    <xf numFmtId="185" fontId="4" fillId="31" borderId="5" xfId="0" applyNumberFormat="1" applyFont="1" applyFill="1" applyBorder="1" applyAlignment="1">
      <alignment horizontal="center" vertical="justify"/>
    </xf>
    <xf numFmtId="185" fontId="9" fillId="32" borderId="5" xfId="0" applyNumberFormat="1" applyFont="1" applyFill="1" applyBorder="1" applyAlignment="1">
      <alignment horizontal="left" vertical="justify"/>
    </xf>
    <xf numFmtId="185" fontId="9" fillId="32" borderId="4" xfId="0" applyNumberFormat="1" applyFont="1" applyFill="1" applyBorder="1" applyAlignment="1">
      <alignment horizontal="center" vertical="justify" wrapText="1"/>
    </xf>
    <xf numFmtId="180" fontId="15" fillId="2" borderId="21" xfId="0" applyNumberFormat="1" applyFont="1" applyFill="1" applyBorder="1" applyAlignment="1">
      <alignment horizontal="center"/>
    </xf>
    <xf numFmtId="180" fontId="46" fillId="16" borderId="0" xfId="12" applyNumberFormat="1" applyBorder="1"/>
    <xf numFmtId="185" fontId="48" fillId="34" borderId="1" xfId="0" applyNumberFormat="1" applyFont="1" applyFill="1" applyBorder="1" applyAlignment="1">
      <alignment horizontal="center" vertical="justify" wrapText="1"/>
    </xf>
    <xf numFmtId="176" fontId="0" fillId="0" borderId="0" xfId="0" applyNumberFormat="1" applyFill="1" applyBorder="1"/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1" fontId="46" fillId="4" borderId="0" xfId="12" applyNumberFormat="1" applyFill="1" applyBorder="1"/>
    <xf numFmtId="165" fontId="46" fillId="4" borderId="0" xfId="12" applyNumberFormat="1" applyFill="1" applyBorder="1"/>
    <xf numFmtId="180" fontId="46" fillId="4" borderId="0" xfId="12" applyNumberFormat="1" applyFill="1" applyBorder="1" applyAlignment="1">
      <alignment horizontal="center" vertical="justify" wrapText="1"/>
    </xf>
    <xf numFmtId="180" fontId="46" fillId="4" borderId="0" xfId="12" applyNumberFormat="1" applyFill="1" applyBorder="1" applyAlignment="1">
      <alignment horizontal="center"/>
    </xf>
    <xf numFmtId="181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3" fillId="0" borderId="0" xfId="0" applyNumberFormat="1" applyFont="1" applyAlignment="1">
      <alignment horizontal="left"/>
    </xf>
    <xf numFmtId="0" fontId="78" fillId="0" borderId="0" xfId="8" applyNumberFormat="1" applyFont="1" applyAlignment="1">
      <alignment horizontal="left" vertical="center"/>
    </xf>
    <xf numFmtId="0" fontId="78" fillId="0" borderId="0" xfId="8" applyNumberFormat="1" applyFont="1" applyFill="1" applyBorder="1" applyAlignment="1">
      <alignment horizontal="left" vertical="center"/>
    </xf>
    <xf numFmtId="190" fontId="0" fillId="0" borderId="0" xfId="0" applyNumberFormat="1" applyFont="1" applyFill="1" applyAlignment="1">
      <alignment horizontal="center"/>
    </xf>
    <xf numFmtId="191" fontId="0" fillId="0" borderId="0" xfId="0" applyNumberFormat="1"/>
    <xf numFmtId="180" fontId="40" fillId="0" borderId="0" xfId="8" applyNumberFormat="1" applyFont="1" applyAlignment="1">
      <alignment horizontal="left" vertical="center"/>
    </xf>
    <xf numFmtId="182" fontId="37" fillId="0" borderId="0" xfId="7" applyNumberFormat="1" applyFont="1" applyBorder="1" applyAlignment="1">
      <alignment horizontal="center" vertical="center"/>
    </xf>
    <xf numFmtId="181" fontId="0" fillId="0" borderId="0" xfId="0" applyNumberFormat="1" applyFont="1" applyAlignment="1">
      <alignment horizontal="center"/>
    </xf>
    <xf numFmtId="181" fontId="0" fillId="0" borderId="0" xfId="0" applyNumberFormat="1" applyFont="1" applyFill="1" applyAlignment="1">
      <alignment horizontal="center"/>
    </xf>
    <xf numFmtId="2" fontId="87" fillId="6" borderId="10" xfId="8" applyNumberFormat="1" applyFont="1" applyFill="1" applyBorder="1" applyAlignment="1">
      <alignment horizontal="center" vertical="center"/>
    </xf>
    <xf numFmtId="181" fontId="87" fillId="6" borderId="0" xfId="8" applyNumberFormat="1" applyFont="1" applyFill="1" applyBorder="1" applyAlignment="1">
      <alignment horizontal="center" vertical="center"/>
    </xf>
    <xf numFmtId="181" fontId="75" fillId="40" borderId="0" xfId="8" applyNumberFormat="1" applyFont="1" applyFill="1" applyBorder="1" applyAlignment="1">
      <alignment horizontal="center" vertical="center"/>
    </xf>
    <xf numFmtId="181" fontId="75" fillId="40" borderId="0" xfId="8" applyNumberFormat="1" applyFont="1" applyFill="1" applyBorder="1" applyAlignment="1">
      <alignment horizontal="center" vertical="center" wrapText="1"/>
    </xf>
    <xf numFmtId="0" fontId="75" fillId="40" borderId="0" xfId="8" applyNumberFormat="1" applyFont="1" applyFill="1" applyBorder="1" applyAlignment="1">
      <alignment horizontal="center" vertical="center" wrapText="1"/>
    </xf>
    <xf numFmtId="167" fontId="75" fillId="40" borderId="0" xfId="8" applyNumberFormat="1" applyFont="1" applyFill="1" applyBorder="1" applyAlignment="1">
      <alignment horizontal="center" vertical="center" wrapText="1"/>
    </xf>
    <xf numFmtId="186" fontId="85" fillId="3" borderId="0" xfId="8" applyNumberFormat="1" applyFont="1" applyFill="1" applyBorder="1" applyAlignment="1">
      <alignment horizontal="center" vertical="center"/>
    </xf>
    <xf numFmtId="180" fontId="85" fillId="3" borderId="0" xfId="8" applyNumberFormat="1" applyFont="1" applyFill="1" applyBorder="1" applyAlignment="1">
      <alignment horizontal="right" vertical="center"/>
    </xf>
    <xf numFmtId="167" fontId="85" fillId="3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Border="1" applyAlignment="1">
      <alignment horizontal="right" vertical="center"/>
    </xf>
    <xf numFmtId="0" fontId="83" fillId="0" borderId="0" xfId="8" applyNumberFormat="1" applyFont="1" applyBorder="1" applyAlignment="1">
      <alignment horizontal="right" vertical="center"/>
    </xf>
    <xf numFmtId="174" fontId="85" fillId="3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Border="1" applyAlignment="1">
      <alignment horizontal="center" vertical="center"/>
    </xf>
    <xf numFmtId="181" fontId="37" fillId="37" borderId="4" xfId="8" applyNumberFormat="1" applyFont="1" applyFill="1" applyBorder="1" applyAlignment="1">
      <alignment horizontal="center" vertical="center"/>
    </xf>
    <xf numFmtId="181" fontId="70" fillId="37" borderId="4" xfId="0" applyFont="1" applyFill="1" applyBorder="1" applyAlignment="1">
      <alignment horizontal="left"/>
    </xf>
    <xf numFmtId="2" fontId="70" fillId="37" borderId="4" xfId="0" applyNumberFormat="1" applyFont="1" applyFill="1" applyBorder="1" applyAlignment="1">
      <alignment horizontal="left"/>
    </xf>
    <xf numFmtId="180" fontId="70" fillId="37" borderId="4" xfId="0" applyNumberFormat="1" applyFont="1" applyFill="1" applyBorder="1" applyAlignment="1">
      <alignment horizontal="left"/>
    </xf>
    <xf numFmtId="180" fontId="37" fillId="37" borderId="4" xfId="8" applyNumberFormat="1" applyFont="1" applyFill="1" applyBorder="1" applyAlignment="1">
      <alignment horizontal="center" vertical="center"/>
    </xf>
    <xf numFmtId="49" fontId="37" fillId="37" borderId="4" xfId="8" applyNumberFormat="1" applyFont="1" applyFill="1" applyBorder="1" applyAlignment="1">
      <alignment horizontal="left" vertical="center"/>
    </xf>
    <xf numFmtId="49" fontId="37" fillId="37" borderId="4" xfId="8" applyNumberFormat="1" applyFont="1" applyFill="1" applyBorder="1" applyAlignment="1">
      <alignment horizontal="center" vertical="center"/>
    </xf>
    <xf numFmtId="180" fontId="37" fillId="37" borderId="4" xfId="8" applyNumberFormat="1" applyFont="1" applyFill="1" applyBorder="1" applyAlignment="1">
      <alignment horizontal="left" vertical="center"/>
    </xf>
    <xf numFmtId="180" fontId="72" fillId="37" borderId="4" xfId="14" applyNumberFormat="1" applyFont="1" applyFill="1" applyBorder="1" applyAlignment="1">
      <alignment horizontal="left"/>
    </xf>
    <xf numFmtId="181" fontId="37" fillId="37" borderId="4" xfId="8" applyNumberFormat="1" applyFont="1" applyFill="1" applyBorder="1" applyAlignment="1">
      <alignment horizontal="left" vertical="center"/>
    </xf>
    <xf numFmtId="181" fontId="70" fillId="37" borderId="4" xfId="0" applyFont="1" applyFill="1" applyBorder="1"/>
    <xf numFmtId="167" fontId="88" fillId="6" borderId="0" xfId="8" applyNumberFormat="1" applyFont="1" applyFill="1" applyBorder="1" applyAlignment="1">
      <alignment horizontal="center" vertical="center"/>
    </xf>
    <xf numFmtId="2" fontId="39" fillId="41" borderId="10" xfId="8" applyNumberFormat="1" applyFont="1" applyFill="1" applyBorder="1" applyAlignment="1">
      <alignment horizontal="center" vertical="center"/>
    </xf>
    <xf numFmtId="181" fontId="39" fillId="41" borderId="0" xfId="8" applyNumberFormat="1" applyFont="1" applyFill="1" applyBorder="1" applyAlignment="1">
      <alignment horizontal="center" vertical="center"/>
    </xf>
    <xf numFmtId="181" fontId="89" fillId="41" borderId="0" xfId="8" applyNumberFormat="1" applyFont="1" applyFill="1" applyBorder="1" applyAlignment="1">
      <alignment horizontal="center" vertical="center"/>
    </xf>
    <xf numFmtId="2" fontId="86" fillId="6" borderId="10" xfId="8" applyNumberFormat="1" applyFont="1" applyFill="1" applyBorder="1" applyAlignment="1">
      <alignment horizontal="center" vertical="center"/>
    </xf>
    <xf numFmtId="181" fontId="86" fillId="6" borderId="0" xfId="8" applyNumberFormat="1" applyFont="1" applyFill="1" applyBorder="1" applyAlignment="1">
      <alignment horizontal="center" vertical="center"/>
    </xf>
    <xf numFmtId="193" fontId="85" fillId="3" borderId="0" xfId="8" applyNumberFormat="1" applyFont="1" applyFill="1" applyBorder="1" applyAlignment="1">
      <alignment horizontal="center" vertical="center"/>
    </xf>
    <xf numFmtId="186" fontId="81" fillId="3" borderId="0" xfId="8" applyNumberFormat="1" applyFont="1" applyFill="1" applyBorder="1" applyAlignment="1">
      <alignment horizontal="center" vertical="center"/>
    </xf>
    <xf numFmtId="180" fontId="81" fillId="3" borderId="0" xfId="8" applyNumberFormat="1" applyFont="1" applyFill="1" applyBorder="1" applyAlignment="1">
      <alignment horizontal="right" vertical="center"/>
    </xf>
    <xf numFmtId="180" fontId="81" fillId="3" borderId="0" xfId="10" applyNumberFormat="1" applyFont="1" applyFill="1" applyBorder="1" applyAlignment="1">
      <alignment horizontal="center" vertical="center"/>
    </xf>
    <xf numFmtId="181" fontId="80" fillId="44" borderId="0" xfId="8" applyNumberFormat="1" applyFont="1" applyFill="1" applyBorder="1" applyAlignment="1">
      <alignment horizontal="center" vertical="center"/>
    </xf>
    <xf numFmtId="192" fontId="81" fillId="44" borderId="0" xfId="8" applyNumberFormat="1" applyFont="1" applyFill="1" applyBorder="1" applyAlignment="1">
      <alignment horizontal="right" vertical="center"/>
    </xf>
    <xf numFmtId="0" fontId="38" fillId="2" borderId="0" xfId="8" applyNumberFormat="1" applyFont="1" applyFill="1" applyBorder="1" applyAlignment="1">
      <alignment horizontal="left"/>
    </xf>
    <xf numFmtId="2" fontId="92" fillId="6" borderId="10" xfId="8" applyNumberFormat="1" applyFont="1" applyFill="1" applyBorder="1" applyAlignment="1">
      <alignment horizontal="center" vertical="center"/>
    </xf>
    <xf numFmtId="181" fontId="92" fillId="6" borderId="0" xfId="8" applyNumberFormat="1" applyFont="1" applyFill="1" applyBorder="1" applyAlignment="1">
      <alignment horizontal="center" vertical="center"/>
    </xf>
    <xf numFmtId="167" fontId="37" fillId="0" borderId="0" xfId="8" applyNumberFormat="1" applyFont="1" applyAlignment="1">
      <alignment horizontal="center" vertical="center"/>
    </xf>
    <xf numFmtId="167" fontId="82" fillId="45" borderId="0" xfId="8" applyNumberFormat="1" applyFont="1" applyFill="1" applyBorder="1" applyAlignment="1">
      <alignment horizontal="right" vertical="center"/>
    </xf>
    <xf numFmtId="180" fontId="82" fillId="45" borderId="0" xfId="8" applyNumberFormat="1" applyFont="1" applyFill="1" applyBorder="1" applyAlignment="1">
      <alignment horizontal="right" vertical="center"/>
    </xf>
    <xf numFmtId="181" fontId="82" fillId="45" borderId="0" xfId="8" applyNumberFormat="1" applyFont="1" applyFill="1" applyBorder="1" applyAlignment="1">
      <alignment horizontal="center" vertical="center"/>
    </xf>
    <xf numFmtId="14" fontId="80" fillId="46" borderId="0" xfId="8" applyNumberFormat="1" applyFont="1" applyFill="1" applyBorder="1" applyAlignment="1">
      <alignment horizontal="center" vertical="center" wrapText="1"/>
    </xf>
    <xf numFmtId="180" fontId="87" fillId="6" borderId="0" xfId="8" applyNumberFormat="1" applyFont="1" applyFill="1" applyBorder="1" applyAlignment="1">
      <alignment horizontal="center" vertical="center"/>
    </xf>
    <xf numFmtId="180" fontId="39" fillId="41" borderId="0" xfId="8" applyNumberFormat="1" applyFont="1" applyFill="1" applyBorder="1" applyAlignment="1">
      <alignment horizontal="center" vertical="center"/>
    </xf>
    <xf numFmtId="180" fontId="89" fillId="41" borderId="0" xfId="8" applyNumberFormat="1" applyFont="1" applyFill="1" applyBorder="1" applyAlignment="1">
      <alignment horizontal="center" vertical="center"/>
    </xf>
    <xf numFmtId="180" fontId="92" fillId="6" borderId="0" xfId="8" applyNumberFormat="1" applyFont="1" applyFill="1" applyBorder="1" applyAlignment="1">
      <alignment horizontal="center" vertical="center"/>
    </xf>
    <xf numFmtId="174" fontId="93" fillId="6" borderId="0" xfId="8" applyNumberFormat="1" applyFont="1" applyFill="1" applyBorder="1" applyAlignment="1">
      <alignment horizontal="center" vertical="center"/>
    </xf>
    <xf numFmtId="174" fontId="94" fillId="6" borderId="0" xfId="8" applyNumberFormat="1" applyFont="1" applyFill="1" applyBorder="1" applyAlignment="1">
      <alignment horizontal="center" vertical="center"/>
    </xf>
    <xf numFmtId="16" fontId="37" fillId="0" borderId="0" xfId="8" applyNumberFormat="1" applyFont="1" applyFill="1" applyBorder="1" applyAlignment="1">
      <alignment horizontal="center" vertical="center"/>
    </xf>
    <xf numFmtId="181" fontId="70" fillId="12" borderId="4" xfId="8" applyNumberFormat="1" applyFont="1" applyFill="1" applyBorder="1" applyAlignment="1">
      <alignment horizontal="center" vertical="center"/>
    </xf>
    <xf numFmtId="49" fontId="70" fillId="12" borderId="4" xfId="8" applyNumberFormat="1" applyFont="1" applyFill="1" applyBorder="1" applyAlignment="1">
      <alignment horizontal="center" vertical="center"/>
    </xf>
    <xf numFmtId="181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80" fontId="37" fillId="12" borderId="4" xfId="8" applyNumberFormat="1" applyFont="1" applyFill="1" applyBorder="1" applyAlignment="1">
      <alignment horizontal="left" vertical="center"/>
    </xf>
    <xf numFmtId="181" fontId="70" fillId="12" borderId="4" xfId="7" applyNumberFormat="1" applyFont="1" applyFill="1" applyBorder="1" applyAlignment="1">
      <alignment horizontal="center" vertical="center"/>
    </xf>
    <xf numFmtId="181" fontId="70" fillId="12" borderId="4" xfId="0" applyFont="1" applyFill="1" applyBorder="1" applyAlignment="1">
      <alignment horizontal="left"/>
    </xf>
    <xf numFmtId="180" fontId="70" fillId="12" borderId="4" xfId="0" applyNumberFormat="1" applyFont="1" applyFill="1" applyBorder="1" applyAlignment="1">
      <alignment horizontal="left"/>
    </xf>
    <xf numFmtId="181" fontId="70" fillId="12" borderId="4" xfId="0" applyFont="1" applyFill="1" applyBorder="1"/>
    <xf numFmtId="181" fontId="37" fillId="12" borderId="4" xfId="8" applyNumberFormat="1" applyFont="1" applyFill="1" applyBorder="1" applyAlignment="1">
      <alignment horizontal="left" vertical="center"/>
    </xf>
    <xf numFmtId="180" fontId="37" fillId="12" borderId="4" xfId="8" applyNumberFormat="1" applyFont="1" applyFill="1" applyBorder="1" applyAlignment="1">
      <alignment horizontal="center" vertical="center"/>
    </xf>
    <xf numFmtId="181" fontId="70" fillId="12" borderId="4" xfId="0" applyNumberFormat="1" applyFont="1" applyFill="1" applyBorder="1" applyAlignment="1">
      <alignment horizontal="left"/>
    </xf>
    <xf numFmtId="181" fontId="40" fillId="0" borderId="0" xfId="0" applyFont="1" applyFill="1" applyBorder="1" applyAlignment="1">
      <alignment horizontal="center" vertical="top" wrapText="1"/>
    </xf>
    <xf numFmtId="0" fontId="0" fillId="0" borderId="10" xfId="0" applyNumberFormat="1" applyBorder="1" applyAlignment="1">
      <alignment horizontal="center"/>
    </xf>
    <xf numFmtId="0" fontId="69" fillId="0" borderId="0" xfId="0" applyNumberFormat="1" applyFont="1" applyBorder="1" applyAlignment="1">
      <alignment horizontal="center"/>
    </xf>
    <xf numFmtId="167" fontId="95" fillId="41" borderId="0" xfId="8" applyNumberFormat="1" applyFont="1" applyFill="1" applyBorder="1" applyAlignment="1">
      <alignment horizontal="center" vertical="center"/>
    </xf>
    <xf numFmtId="194" fontId="37" fillId="0" borderId="0" xfId="8" applyNumberFormat="1" applyFont="1" applyAlignment="1">
      <alignment horizontal="center" vertical="center"/>
    </xf>
    <xf numFmtId="195" fontId="37" fillId="0" borderId="0" xfId="8" applyNumberFormat="1" applyFont="1" applyAlignment="1">
      <alignment horizontal="center" vertical="center"/>
    </xf>
    <xf numFmtId="196" fontId="37" fillId="0" borderId="0" xfId="8" applyNumberFormat="1" applyFont="1" applyAlignment="1">
      <alignment horizontal="center" vertical="center"/>
    </xf>
    <xf numFmtId="184" fontId="0" fillId="0" borderId="0" xfId="0" applyNumberFormat="1" applyBorder="1" applyAlignment="1">
      <alignment horizontal="center"/>
    </xf>
    <xf numFmtId="0" fontId="75" fillId="40" borderId="0" xfId="8" applyNumberFormat="1" applyFont="1" applyFill="1" applyBorder="1" applyAlignment="1">
      <alignment horizontal="center" vertical="center"/>
    </xf>
    <xf numFmtId="181" fontId="100" fillId="14" borderId="0" xfId="8" applyNumberFormat="1" applyFont="1" applyFill="1" applyAlignment="1">
      <alignment horizontal="center" vertical="center"/>
    </xf>
    <xf numFmtId="181" fontId="100" fillId="14" borderId="0" xfId="8" applyNumberFormat="1" applyFont="1" applyFill="1" applyBorder="1" applyAlignment="1">
      <alignment horizontal="center" vertical="center"/>
    </xf>
    <xf numFmtId="180" fontId="100" fillId="14" borderId="0" xfId="8" applyNumberFormat="1" applyFont="1" applyFill="1" applyAlignment="1">
      <alignment horizontal="center" vertical="center"/>
    </xf>
    <xf numFmtId="2" fontId="101" fillId="40" borderId="0" xfId="0" applyNumberFormat="1" applyFont="1" applyFill="1" applyAlignment="1">
      <alignment horizontal="center"/>
    </xf>
    <xf numFmtId="181" fontId="101" fillId="40" borderId="0" xfId="0" applyFont="1" applyFill="1" applyAlignment="1">
      <alignment horizontal="center"/>
    </xf>
    <xf numFmtId="167" fontId="101" fillId="40" borderId="0" xfId="8" applyNumberFormat="1" applyFont="1" applyFill="1" applyAlignment="1">
      <alignment horizontal="center"/>
    </xf>
    <xf numFmtId="180" fontId="94" fillId="6" borderId="0" xfId="8" applyNumberFormat="1" applyFont="1" applyFill="1" applyBorder="1" applyAlignment="1">
      <alignment horizontal="right" vertical="center"/>
    </xf>
    <xf numFmtId="186" fontId="94" fillId="6" borderId="0" xfId="8" applyNumberFormat="1" applyFont="1" applyFill="1" applyBorder="1" applyAlignment="1">
      <alignment horizontal="center" vertical="center"/>
    </xf>
    <xf numFmtId="180" fontId="99" fillId="6" borderId="0" xfId="8" applyNumberFormat="1" applyFont="1" applyFill="1" applyBorder="1" applyAlignment="1">
      <alignment horizontal="right" vertical="center"/>
    </xf>
    <xf numFmtId="174" fontId="99" fillId="6" borderId="0" xfId="8" applyNumberFormat="1" applyFont="1" applyFill="1" applyBorder="1" applyAlignment="1">
      <alignment horizontal="center" vertical="center"/>
    </xf>
    <xf numFmtId="186" fontId="99" fillId="6" borderId="0" xfId="8" applyNumberFormat="1" applyFont="1" applyFill="1" applyBorder="1" applyAlignment="1">
      <alignment horizontal="center" vertical="center"/>
    </xf>
    <xf numFmtId="180" fontId="93" fillId="6" borderId="0" xfId="8" applyNumberFormat="1" applyFont="1" applyFill="1" applyBorder="1" applyAlignment="1">
      <alignment horizontal="right" vertical="center"/>
    </xf>
    <xf numFmtId="186" fontId="93" fillId="6" borderId="0" xfId="8" applyNumberFormat="1" applyFont="1" applyFill="1" applyBorder="1" applyAlignment="1">
      <alignment horizontal="center" vertical="center"/>
    </xf>
    <xf numFmtId="167" fontId="100" fillId="14" borderId="0" xfId="8" applyNumberFormat="1" applyFont="1" applyFill="1" applyBorder="1" applyAlignment="1">
      <alignment horizontal="center" vertical="center"/>
    </xf>
    <xf numFmtId="180" fontId="86" fillId="41" borderId="0" xfId="8" applyNumberFormat="1" applyFont="1" applyFill="1" applyBorder="1" applyAlignment="1">
      <alignment horizontal="right" vertical="center"/>
    </xf>
    <xf numFmtId="175" fontId="86" fillId="41" borderId="0" xfId="8" applyNumberFormat="1" applyFont="1" applyFill="1" applyBorder="1" applyAlignment="1">
      <alignment horizontal="center" vertical="center"/>
    </xf>
    <xf numFmtId="181" fontId="96" fillId="41" borderId="10" xfId="8" applyNumberFormat="1" applyFont="1" applyFill="1" applyBorder="1" applyAlignment="1">
      <alignment horizontal="center" vertical="center"/>
    </xf>
    <xf numFmtId="181" fontId="96" fillId="41" borderId="0" xfId="8" applyNumberFormat="1" applyFont="1" applyFill="1" applyBorder="1" applyAlignment="1">
      <alignment horizontal="center" vertical="center"/>
    </xf>
    <xf numFmtId="180" fontId="96" fillId="41" borderId="0" xfId="8" applyNumberFormat="1" applyFont="1" applyFill="1" applyBorder="1" applyAlignment="1">
      <alignment horizontal="center" vertical="center"/>
    </xf>
    <xf numFmtId="167" fontId="96" fillId="41" borderId="0" xfId="8" applyNumberFormat="1" applyFont="1" applyFill="1" applyBorder="1" applyAlignment="1">
      <alignment horizontal="center" vertical="center"/>
    </xf>
    <xf numFmtId="181" fontId="96" fillId="14" borderId="10" xfId="8" applyNumberFormat="1" applyFont="1" applyFill="1" applyBorder="1" applyAlignment="1">
      <alignment horizontal="center" vertical="center"/>
    </xf>
    <xf numFmtId="167" fontId="96" fillId="14" borderId="0" xfId="8" applyNumberFormat="1" applyFont="1" applyFill="1" applyBorder="1" applyAlignment="1">
      <alignment horizontal="center" vertical="center"/>
    </xf>
    <xf numFmtId="181" fontId="96" fillId="14" borderId="0" xfId="8" applyNumberFormat="1" applyFont="1" applyFill="1" applyBorder="1" applyAlignment="1">
      <alignment horizontal="center" vertical="center"/>
    </xf>
    <xf numFmtId="167" fontId="37" fillId="0" borderId="0" xfId="1" applyNumberFormat="1" applyFont="1" applyFill="1" applyBorder="1" applyAlignment="1">
      <alignment horizontal="center" vertical="center"/>
    </xf>
    <xf numFmtId="14" fontId="80" fillId="44" borderId="0" xfId="8" applyNumberFormat="1" applyFont="1" applyFill="1" applyBorder="1" applyAlignment="1">
      <alignment horizontal="center" vertical="center"/>
    </xf>
    <xf numFmtId="167" fontId="39" fillId="41" borderId="0" xfId="8" applyNumberFormat="1" applyFont="1" applyFill="1" applyBorder="1" applyAlignment="1">
      <alignment horizontal="center" vertical="center"/>
    </xf>
    <xf numFmtId="180" fontId="39" fillId="41" borderId="0" xfId="8" applyNumberFormat="1" applyFont="1" applyFill="1" applyBorder="1" applyAlignment="1">
      <alignment horizontal="right" vertical="center"/>
    </xf>
    <xf numFmtId="175" fontId="39" fillId="41" borderId="0" xfId="8" applyNumberFormat="1" applyFont="1" applyFill="1" applyBorder="1" applyAlignment="1">
      <alignment horizontal="center" vertical="center"/>
    </xf>
    <xf numFmtId="184" fontId="92" fillId="6" borderId="0" xfId="8" applyNumberFormat="1" applyFont="1" applyFill="1" applyBorder="1" applyAlignment="1">
      <alignment horizontal="center" vertical="center"/>
    </xf>
    <xf numFmtId="181" fontId="40" fillId="0" borderId="0" xfId="0" applyFont="1" applyFill="1" applyBorder="1" applyAlignment="1">
      <alignment horizontal="center"/>
    </xf>
    <xf numFmtId="14" fontId="40" fillId="0" borderId="0" xfId="0" applyNumberFormat="1" applyFont="1" applyFill="1" applyBorder="1"/>
    <xf numFmtId="2" fontId="37" fillId="0" borderId="0" xfId="8" applyNumberFormat="1" applyFont="1" applyBorder="1" applyAlignment="1">
      <alignment horizontal="center" vertical="center"/>
    </xf>
    <xf numFmtId="181" fontId="98" fillId="14" borderId="18" xfId="5" applyNumberFormat="1" applyFont="1" applyFill="1" applyBorder="1"/>
    <xf numFmtId="14" fontId="98" fillId="14" borderId="18" xfId="5" applyNumberFormat="1" applyFont="1" applyFill="1" applyBorder="1"/>
    <xf numFmtId="0" fontId="98" fillId="14" borderId="18" xfId="5" applyNumberFormat="1" applyFont="1" applyFill="1" applyBorder="1"/>
    <xf numFmtId="2" fontId="98" fillId="14" borderId="18" xfId="3" applyNumberFormat="1" applyFont="1" applyFill="1" applyBorder="1"/>
    <xf numFmtId="2" fontId="98" fillId="14" borderId="18" xfId="5" applyNumberFormat="1" applyFont="1" applyFill="1" applyBorder="1"/>
    <xf numFmtId="2" fontId="98" fillId="14" borderId="18" xfId="0" applyNumberFormat="1" applyFont="1" applyFill="1" applyBorder="1"/>
    <xf numFmtId="181" fontId="101" fillId="40" borderId="0" xfId="0" applyNumberFormat="1" applyFont="1" applyFill="1"/>
    <xf numFmtId="14" fontId="101" fillId="40" borderId="0" xfId="0" applyNumberFormat="1" applyFont="1" applyFill="1"/>
    <xf numFmtId="2" fontId="101" fillId="40" borderId="0" xfId="0" applyNumberFormat="1" applyFont="1" applyFill="1"/>
    <xf numFmtId="180" fontId="101" fillId="40" borderId="0" xfId="0" applyNumberFormat="1" applyFont="1" applyFill="1"/>
    <xf numFmtId="181" fontId="101" fillId="3" borderId="0" xfId="0" applyFont="1" applyFill="1"/>
    <xf numFmtId="180" fontId="101" fillId="3" borderId="0" xfId="0" applyNumberFormat="1" applyFont="1" applyFill="1" applyAlignment="1">
      <alignment horizontal="left"/>
    </xf>
    <xf numFmtId="181" fontId="101" fillId="40" borderId="0" xfId="0" applyFont="1" applyFill="1"/>
    <xf numFmtId="0" fontId="101" fillId="40" borderId="0" xfId="0" applyNumberFormat="1" applyFont="1" applyFill="1"/>
    <xf numFmtId="10" fontId="101" fillId="40" borderId="0" xfId="0" applyNumberFormat="1" applyFont="1" applyFill="1"/>
    <xf numFmtId="180" fontId="101" fillId="40" borderId="0" xfId="0" applyNumberFormat="1" applyFont="1" applyFill="1" applyAlignment="1">
      <alignment horizontal="left"/>
    </xf>
    <xf numFmtId="197" fontId="101" fillId="40" borderId="0" xfId="7" applyNumberFormat="1" applyFont="1" applyFill="1"/>
    <xf numFmtId="180" fontId="101" fillId="40" borderId="0" xfId="8" applyNumberFormat="1" applyFont="1" applyFill="1" applyBorder="1" applyAlignment="1"/>
    <xf numFmtId="197" fontId="101" fillId="40" borderId="0" xfId="7" applyNumberFormat="1" applyFont="1" applyFill="1" applyBorder="1" applyAlignment="1"/>
    <xf numFmtId="181" fontId="101" fillId="40" borderId="0" xfId="8" applyNumberFormat="1" applyFont="1" applyFill="1"/>
    <xf numFmtId="0" fontId="101" fillId="40" borderId="0" xfId="8" applyNumberFormat="1" applyFont="1" applyFill="1"/>
    <xf numFmtId="181" fontId="101" fillId="40" borderId="0" xfId="8" applyNumberFormat="1" applyFont="1" applyFill="1" applyBorder="1" applyAlignment="1"/>
    <xf numFmtId="180" fontId="101" fillId="40" borderId="0" xfId="8" applyNumberFormat="1" applyFont="1" applyFill="1" applyAlignment="1">
      <alignment horizontal="center"/>
    </xf>
    <xf numFmtId="198" fontId="100" fillId="14" borderId="0" xfId="8" applyNumberFormat="1" applyFont="1" applyFill="1" applyBorder="1" applyAlignment="1">
      <alignment horizontal="center" vertical="center"/>
    </xf>
    <xf numFmtId="175" fontId="0" fillId="0" borderId="10" xfId="0" applyNumberFormat="1" applyBorder="1" applyAlignment="1">
      <alignment horizontal="center"/>
    </xf>
    <xf numFmtId="0" fontId="76" fillId="40" borderId="0" xfId="8" applyNumberFormat="1" applyFont="1" applyFill="1" applyBorder="1" applyAlignment="1">
      <alignment horizontal="center" vertical="center" wrapText="1"/>
    </xf>
    <xf numFmtId="2" fontId="98" fillId="14" borderId="22" xfId="5" applyNumberFormat="1" applyFont="1" applyFill="1" applyBorder="1"/>
    <xf numFmtId="181" fontId="101" fillId="40" borderId="10" xfId="0" applyFont="1" applyFill="1" applyBorder="1"/>
    <xf numFmtId="181" fontId="101" fillId="40" borderId="10" xfId="0" applyFont="1" applyFill="1" applyBorder="1" applyAlignment="1">
      <alignment horizontal="center"/>
    </xf>
    <xf numFmtId="0" fontId="101" fillId="40" borderId="10" xfId="8" applyNumberFormat="1" applyFont="1" applyFill="1" applyBorder="1" applyAlignment="1">
      <alignment horizontal="center"/>
    </xf>
    <xf numFmtId="2" fontId="98" fillId="14" borderId="23" xfId="5" applyNumberFormat="1" applyFont="1" applyFill="1" applyBorder="1"/>
    <xf numFmtId="181" fontId="40" fillId="0" borderId="10" xfId="0" applyFont="1" applyBorder="1"/>
    <xf numFmtId="199" fontId="93" fillId="6" borderId="0" xfId="8" applyNumberFormat="1" applyFont="1" applyFill="1" applyBorder="1" applyAlignment="1">
      <alignment horizontal="center" vertical="center"/>
    </xf>
    <xf numFmtId="199" fontId="88" fillId="6" borderId="0" xfId="8" applyNumberFormat="1" applyFont="1" applyFill="1" applyBorder="1" applyAlignment="1">
      <alignment horizontal="center" vertical="center"/>
    </xf>
    <xf numFmtId="199" fontId="99" fillId="6" borderId="0" xfId="8" applyNumberFormat="1" applyFont="1" applyFill="1" applyBorder="1" applyAlignment="1">
      <alignment horizontal="center" vertical="center"/>
    </xf>
    <xf numFmtId="199" fontId="94" fillId="6" borderId="0" xfId="8" applyNumberFormat="1" applyFont="1" applyFill="1" applyBorder="1" applyAlignment="1">
      <alignment horizontal="center" vertical="center"/>
    </xf>
    <xf numFmtId="200" fontId="37" fillId="0" borderId="0" xfId="8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181" fontId="67" fillId="37" borderId="4" xfId="14" applyNumberFormat="1" applyFill="1" applyBorder="1" applyAlignment="1">
      <alignment horizontal="left" vertical="center"/>
    </xf>
    <xf numFmtId="167" fontId="99" fillId="6" borderId="0" xfId="8" applyNumberFormat="1" applyFont="1" applyFill="1" applyBorder="1" applyAlignment="1">
      <alignment horizontal="center" vertical="center"/>
    </xf>
    <xf numFmtId="0" fontId="28" fillId="9" borderId="0" xfId="6" applyNumberFormat="1" applyAlignment="1">
      <alignment horizontal="center"/>
    </xf>
    <xf numFmtId="0" fontId="27" fillId="8" borderId="0" xfId="5" applyNumberFormat="1" applyAlignment="1">
      <alignment horizontal="center"/>
    </xf>
    <xf numFmtId="0" fontId="27" fillId="8" borderId="0" xfId="5" applyNumberFormat="1"/>
    <xf numFmtId="0" fontId="40" fillId="0" borderId="0" xfId="0" applyNumberFormat="1" applyFont="1" applyFill="1" applyAlignment="1">
      <alignment horizontal="center"/>
    </xf>
    <xf numFmtId="14" fontId="102" fillId="15" borderId="0" xfId="6" applyNumberFormat="1" applyFont="1" applyFill="1"/>
    <xf numFmtId="181" fontId="102" fillId="15" borderId="0" xfId="6" applyFont="1" applyFill="1"/>
    <xf numFmtId="181" fontId="102" fillId="15" borderId="0" xfId="6" applyFont="1" applyFill="1" applyAlignment="1">
      <alignment horizontal="center"/>
    </xf>
    <xf numFmtId="181" fontId="102" fillId="15" borderId="0" xfId="6" applyNumberFormat="1" applyFont="1" applyFill="1" applyAlignment="1">
      <alignment horizontal="center"/>
    </xf>
    <xf numFmtId="180" fontId="102" fillId="15" borderId="14" xfId="6" applyNumberFormat="1" applyFont="1" applyFill="1" applyBorder="1" applyAlignment="1">
      <alignment horizontal="center"/>
    </xf>
    <xf numFmtId="0" fontId="102" fillId="15" borderId="0" xfId="6" applyNumberFormat="1" applyFont="1" applyFill="1" applyAlignment="1">
      <alignment horizontal="center"/>
    </xf>
    <xf numFmtId="2" fontId="102" fillId="15" borderId="0" xfId="6" applyNumberFormat="1" applyFont="1" applyFill="1" applyBorder="1" applyAlignment="1">
      <alignment horizontal="center"/>
    </xf>
    <xf numFmtId="0" fontId="102" fillId="15" borderId="10" xfId="6" applyNumberFormat="1" applyFont="1" applyFill="1" applyBorder="1" applyAlignment="1">
      <alignment horizontal="center"/>
    </xf>
    <xf numFmtId="14" fontId="103" fillId="15" borderId="0" xfId="0" applyNumberFormat="1" applyFont="1" applyFill="1"/>
    <xf numFmtId="181" fontId="103" fillId="15" borderId="0" xfId="0" applyFont="1" applyFill="1"/>
    <xf numFmtId="181" fontId="103" fillId="15" borderId="0" xfId="0" applyFont="1" applyFill="1" applyAlignment="1">
      <alignment horizontal="center"/>
    </xf>
    <xf numFmtId="180" fontId="103" fillId="15" borderId="3" xfId="0" applyNumberFormat="1" applyFont="1" applyFill="1" applyBorder="1" applyAlignment="1">
      <alignment horizontal="center"/>
    </xf>
    <xf numFmtId="180" fontId="103" fillId="15" borderId="12" xfId="0" applyNumberFormat="1" applyFont="1" applyFill="1" applyBorder="1" applyAlignment="1">
      <alignment horizontal="center"/>
    </xf>
    <xf numFmtId="0" fontId="103" fillId="15" borderId="0" xfId="0" applyNumberFormat="1" applyFont="1" applyFill="1" applyAlignment="1">
      <alignment horizontal="center"/>
    </xf>
    <xf numFmtId="180" fontId="103" fillId="15" borderId="0" xfId="0" applyNumberFormat="1" applyFont="1" applyFill="1" applyAlignment="1">
      <alignment horizontal="center"/>
    </xf>
    <xf numFmtId="180" fontId="103" fillId="15" borderId="0" xfId="0" applyNumberFormat="1" applyFont="1" applyFill="1"/>
    <xf numFmtId="180" fontId="103" fillId="15" borderId="0" xfId="9" applyNumberFormat="1" applyFont="1" applyFill="1"/>
    <xf numFmtId="181" fontId="104" fillId="15" borderId="0" xfId="9" applyFont="1" applyFill="1"/>
    <xf numFmtId="0" fontId="39" fillId="41" borderId="0" xfId="8" applyNumberFormat="1" applyFont="1" applyFill="1" applyBorder="1" applyAlignment="1">
      <alignment horizontal="center" vertical="center"/>
    </xf>
    <xf numFmtId="186" fontId="103" fillId="15" borderId="0" xfId="0" applyNumberFormat="1" applyFont="1" applyFill="1" applyAlignment="1">
      <alignment horizontal="center"/>
    </xf>
    <xf numFmtId="186" fontId="103" fillId="15" borderId="11" xfId="0" applyNumberFormat="1" applyFont="1" applyFill="1" applyBorder="1" applyAlignment="1">
      <alignment horizontal="center"/>
    </xf>
    <xf numFmtId="180" fontId="28" fillId="9" borderId="0" xfId="6" applyNumberFormat="1" applyAlignment="1">
      <alignment horizontal="center"/>
    </xf>
    <xf numFmtId="180" fontId="27" fillId="8" borderId="0" xfId="5" applyNumberFormat="1"/>
    <xf numFmtId="180" fontId="102" fillId="15" borderId="0" xfId="6" applyNumberFormat="1" applyFont="1" applyFill="1" applyAlignment="1">
      <alignment horizontal="center"/>
    </xf>
    <xf numFmtId="180" fontId="37" fillId="0" borderId="0" xfId="8" applyNumberFormat="1" applyFont="1" applyFill="1" applyBorder="1" applyAlignment="1">
      <alignment horizontal="right" vertical="center"/>
    </xf>
    <xf numFmtId="180" fontId="37" fillId="0" borderId="0" xfId="8" applyNumberFormat="1" applyFont="1" applyAlignment="1">
      <alignment horizontal="right" vertical="center"/>
    </xf>
    <xf numFmtId="180" fontId="40" fillId="0" borderId="0" xfId="8" applyNumberFormat="1" applyFont="1" applyFill="1" applyBorder="1" applyAlignment="1">
      <alignment horizontal="center" vertical="center"/>
    </xf>
    <xf numFmtId="180" fontId="0" fillId="0" borderId="0" xfId="0" applyNumberFormat="1" applyFill="1" applyAlignment="1">
      <alignment horizontal="center"/>
    </xf>
    <xf numFmtId="180" fontId="28" fillId="9" borderId="0" xfId="6" applyNumberFormat="1"/>
    <xf numFmtId="180" fontId="102" fillId="15" borderId="0" xfId="6" applyNumberFormat="1" applyFont="1" applyFill="1"/>
    <xf numFmtId="180" fontId="14" fillId="0" borderId="0" xfId="3" applyNumberFormat="1" applyFill="1"/>
    <xf numFmtId="180" fontId="28" fillId="0" borderId="0" xfId="6" applyNumberFormat="1" applyFill="1"/>
    <xf numFmtId="4" fontId="27" fillId="8" borderId="0" xfId="5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4" fontId="28" fillId="9" borderId="0" xfId="6" applyNumberFormat="1" applyAlignment="1">
      <alignment horizontal="center"/>
    </xf>
    <xf numFmtId="180" fontId="40" fillId="0" borderId="0" xfId="0" applyNumberFormat="1" applyFont="1"/>
    <xf numFmtId="181" fontId="97" fillId="3" borderId="18" xfId="5" applyNumberFormat="1" applyFont="1" applyFill="1" applyBorder="1"/>
    <xf numFmtId="14" fontId="97" fillId="3" borderId="18" xfId="3" applyNumberFormat="1" applyFont="1" applyFill="1" applyBorder="1"/>
    <xf numFmtId="0" fontId="97" fillId="3" borderId="18" xfId="5" applyNumberFormat="1" applyFont="1" applyFill="1" applyBorder="1"/>
    <xf numFmtId="14" fontId="97" fillId="3" borderId="18" xfId="5" applyNumberFormat="1" applyFont="1" applyFill="1" applyBorder="1"/>
    <xf numFmtId="2" fontId="97" fillId="3" borderId="18" xfId="3" applyNumberFormat="1" applyFont="1" applyFill="1" applyBorder="1"/>
    <xf numFmtId="2" fontId="97" fillId="3" borderId="18" xfId="5" applyNumberFormat="1" applyFont="1" applyFill="1" applyBorder="1"/>
    <xf numFmtId="2" fontId="97" fillId="3" borderId="22" xfId="5" applyNumberFormat="1" applyFont="1" applyFill="1" applyBorder="1"/>
    <xf numFmtId="2" fontId="97" fillId="3" borderId="23" xfId="5" applyNumberFormat="1" applyFont="1" applyFill="1" applyBorder="1"/>
    <xf numFmtId="2" fontId="97" fillId="3" borderId="18" xfId="0" applyNumberFormat="1" applyFont="1" applyFill="1" applyBorder="1"/>
    <xf numFmtId="181" fontId="97" fillId="40" borderId="18" xfId="5" applyNumberFormat="1" applyFont="1" applyFill="1" applyBorder="1"/>
    <xf numFmtId="14" fontId="97" fillId="40" borderId="18" xfId="3" applyNumberFormat="1" applyFont="1" applyFill="1" applyBorder="1"/>
    <xf numFmtId="0" fontId="97" fillId="40" borderId="18" xfId="5" applyNumberFormat="1" applyFont="1" applyFill="1" applyBorder="1"/>
    <xf numFmtId="14" fontId="97" fillId="40" borderId="18" xfId="5" applyNumberFormat="1" applyFont="1" applyFill="1" applyBorder="1"/>
    <xf numFmtId="2" fontId="97" fillId="40" borderId="18" xfId="3" applyNumberFormat="1" applyFont="1" applyFill="1" applyBorder="1"/>
    <xf numFmtId="2" fontId="97" fillId="40" borderId="18" xfId="5" applyNumberFormat="1" applyFont="1" applyFill="1" applyBorder="1"/>
    <xf numFmtId="2" fontId="97" fillId="40" borderId="22" xfId="5" applyNumberFormat="1" applyFont="1" applyFill="1" applyBorder="1"/>
    <xf numFmtId="2" fontId="97" fillId="40" borderId="23" xfId="5" applyNumberFormat="1" applyFont="1" applyFill="1" applyBorder="1"/>
    <xf numFmtId="2" fontId="97" fillId="40" borderId="18" xfId="0" applyNumberFormat="1" applyFont="1" applyFill="1" applyBorder="1"/>
    <xf numFmtId="167" fontId="37" fillId="0" borderId="0" xfId="8" applyNumberFormat="1" applyFont="1" applyFill="1" applyAlignment="1">
      <alignment horizontal="center" vertical="center"/>
    </xf>
    <xf numFmtId="0" fontId="105" fillId="15" borderId="0" xfId="6" applyNumberFormat="1" applyFont="1" applyFill="1" applyAlignment="1">
      <alignment horizont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1" fontId="2" fillId="2" borderId="1" xfId="0" applyNumberFormat="1" applyFont="1" applyFill="1" applyBorder="1" applyAlignment="1">
      <alignment horizontal="center"/>
    </xf>
    <xf numFmtId="181" fontId="2" fillId="2" borderId="2" xfId="0" applyFont="1" applyFill="1" applyBorder="1"/>
    <xf numFmtId="14" fontId="61" fillId="35" borderId="1" xfId="0" applyNumberFormat="1" applyFont="1" applyFill="1" applyBorder="1" applyAlignment="1">
      <alignment horizontal="center"/>
    </xf>
    <xf numFmtId="14" fontId="61" fillId="35" borderId="2" xfId="0" applyNumberFormat="1" applyFont="1" applyFill="1" applyBorder="1"/>
    <xf numFmtId="181" fontId="3" fillId="34" borderId="1" xfId="0" applyNumberFormat="1" applyFont="1" applyFill="1" applyBorder="1" applyAlignment="1">
      <alignment horizontal="center"/>
    </xf>
    <xf numFmtId="181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8" fillId="32" borderId="1" xfId="0" applyNumberFormat="1" applyFont="1" applyFill="1" applyBorder="1" applyAlignment="1">
      <alignment horizontal="center"/>
    </xf>
    <xf numFmtId="14" fontId="58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7" fontId="0" fillId="0" borderId="10" xfId="0" applyNumberFormat="1" applyBorder="1" applyAlignment="1">
      <alignment horizontal="center"/>
    </xf>
    <xf numFmtId="187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1" fontId="15" fillId="0" borderId="7" xfId="0" applyNumberFormat="1" applyFont="1" applyFill="1" applyBorder="1" applyAlignment="1">
      <alignment horizontal="center" vertical="justify" wrapText="1"/>
    </xf>
    <xf numFmtId="181" fontId="47" fillId="19" borderId="1" xfId="0" applyFont="1" applyFill="1" applyBorder="1" applyAlignment="1">
      <alignment horizontal="center"/>
    </xf>
    <xf numFmtId="181" fontId="47" fillId="19" borderId="5" xfId="0" applyFont="1" applyFill="1" applyBorder="1" applyAlignment="1">
      <alignment horizontal="center"/>
    </xf>
  </cellXfs>
  <cellStyles count="15">
    <cellStyle name="20% - Énfasis2" xfId="10" builtinId="34"/>
    <cellStyle name="40% - Énfasis3" xfId="9" builtinId="39"/>
    <cellStyle name="Bueno" xfId="6" builtinId="26"/>
    <cellStyle name="Cálculo" xfId="4" builtinId="22"/>
    <cellStyle name="Énfasis1" xfId="11" builtinId="29"/>
    <cellStyle name="Énfasis2" xfId="12" builtinId="33"/>
    <cellStyle name="Énfasis4" xfId="13" builtinId="41"/>
    <cellStyle name="Euro" xfId="2" xr:uid="{00000000-0005-0000-0000-000007000000}"/>
    <cellStyle name="Hipervínculo" xfId="14" builtinId="8"/>
    <cellStyle name="Incorrecto" xfId="5" builtinId="27"/>
    <cellStyle name="Moneda" xfId="1" builtinId="4"/>
    <cellStyle name="Neutral" xfId="3" builtinId="28"/>
    <cellStyle name="Normal" xfId="0" builtinId="0"/>
    <cellStyle name="Porcentaje" xfId="7" builtinId="5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0000"/>
      <color rgb="FF281E32"/>
      <color rgb="FFD56172"/>
      <color rgb="FFFE3000"/>
      <color rgb="FF7DCB6B"/>
      <color rgb="FFFFCC66"/>
      <color rgb="FFFF9999"/>
      <color rgb="FFE31D1D"/>
      <color rgb="FFC6EFCE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'2022-39'!$I$73</c:f>
              <c:numCache>
                <c:formatCode>[$$-2C0A]\ #,##0.00</c:formatCode>
                <c:ptCount val="1"/>
                <c:pt idx="0">
                  <c:v>1542144.38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  <c:pt idx="0">
                  <c:v>151328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  <c:pt idx="0">
                  <c:v>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t@6459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1mas1Glob@al" TargetMode="External"/><Relationship Id="rId1" Type="http://schemas.openxmlformats.org/officeDocument/2006/relationships/hyperlink" Target="mailto:1m@s1brav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120"/>
  <sheetViews>
    <sheetView workbookViewId="0">
      <selection activeCell="C22" sqref="C22"/>
    </sheetView>
  </sheetViews>
  <sheetFormatPr baseColWidth="10" defaultColWidth="11.36328125" defaultRowHeight="14.5" x14ac:dyDescent="0.35"/>
  <cols>
    <col min="1" max="1" width="14.7265625" customWidth="1"/>
    <col min="2" max="2" width="30.36328125" style="688" customWidth="1"/>
    <col min="3" max="3" width="35.7265625" style="688" customWidth="1"/>
    <col min="4" max="4" width="30.36328125" style="688" customWidth="1"/>
    <col min="5" max="5" width="28" customWidth="1"/>
    <col min="6" max="6" width="23" style="914" customWidth="1"/>
    <col min="7" max="7" width="17.08984375" style="622" customWidth="1"/>
    <col min="8" max="8" width="23" customWidth="1"/>
    <col min="9" max="9" width="21.36328125" customWidth="1"/>
    <col min="10" max="10" width="18.26953125" customWidth="1"/>
    <col min="11" max="11" width="22.36328125" customWidth="1"/>
    <col min="12" max="12" width="19" customWidth="1"/>
    <col min="13" max="13" width="14.7265625" style="953" customWidth="1"/>
    <col min="14" max="14" width="17.7265625" style="953" customWidth="1"/>
    <col min="15" max="15" width="24.36328125" style="953" customWidth="1"/>
    <col min="16" max="16" width="15.26953125" style="953" customWidth="1"/>
    <col min="17" max="17" width="12.36328125" style="739" customWidth="1"/>
    <col min="18" max="18" width="12.36328125" customWidth="1"/>
    <col min="19" max="19" width="15.7265625" style="771" customWidth="1"/>
    <col min="20" max="20" width="16.08984375" customWidth="1"/>
    <col min="21" max="21" width="17.7265625" customWidth="1"/>
    <col min="22" max="22" width="12.36328125" customWidth="1"/>
    <col min="23" max="23" width="15.36328125" customWidth="1"/>
    <col min="24" max="24" width="14.08984375" customWidth="1"/>
    <col min="25" max="25" width="12.36328125" customWidth="1"/>
  </cols>
  <sheetData>
    <row r="1" spans="1:26" s="212" customFormat="1" x14ac:dyDescent="0.35">
      <c r="A1"/>
      <c r="B1" s="688"/>
      <c r="C1" s="688"/>
      <c r="D1" s="688"/>
      <c r="E1"/>
      <c r="F1" s="914"/>
      <c r="G1" s="685"/>
      <c r="H1" s="700"/>
      <c r="I1"/>
      <c r="J1"/>
      <c r="K1"/>
      <c r="L1" s="666"/>
      <c r="M1" s="951"/>
      <c r="N1" s="952"/>
      <c r="O1" s="952"/>
      <c r="P1" s="952"/>
      <c r="Q1" s="215"/>
      <c r="R1" s="702"/>
      <c r="S1" s="698"/>
    </row>
    <row r="2" spans="1:26" s="702" customFormat="1" x14ac:dyDescent="0.35">
      <c r="A2" t="str">
        <f xml:space="preserve"> "Claves " &amp; COUNTA(A4:A71)</f>
        <v>Claves 49</v>
      </c>
      <c r="B2" s="688"/>
      <c r="C2" s="690"/>
      <c r="D2" s="806"/>
      <c r="E2" s="229"/>
      <c r="F2" s="915"/>
      <c r="G2" s="807"/>
      <c r="H2" s="229"/>
      <c r="I2" s="229"/>
      <c r="J2" s="807"/>
      <c r="K2" s="229"/>
      <c r="M2" s="952" t="s">
        <v>979</v>
      </c>
      <c r="N2" s="952" t="s">
        <v>622</v>
      </c>
      <c r="O2" s="952" t="s">
        <v>980</v>
      </c>
      <c r="P2" s="793" t="s">
        <v>950</v>
      </c>
      <c r="R2" s="764"/>
      <c r="S2" s="698"/>
    </row>
    <row r="3" spans="1:26" s="702" customFormat="1" x14ac:dyDescent="0.35">
      <c r="A3" t="s">
        <v>761</v>
      </c>
      <c r="B3" s="688" t="s">
        <v>762</v>
      </c>
      <c r="C3" s="690" t="s">
        <v>763</v>
      </c>
      <c r="D3" s="808"/>
      <c r="E3" s="771" t="s">
        <v>874</v>
      </c>
      <c r="F3" s="914"/>
      <c r="G3" s="809"/>
      <c r="H3" s="809"/>
      <c r="I3" s="808"/>
      <c r="J3" s="808"/>
      <c r="K3" s="808"/>
      <c r="M3" s="952">
        <v>1</v>
      </c>
      <c r="N3" s="952">
        <v>44</v>
      </c>
      <c r="O3" s="952">
        <v>32</v>
      </c>
      <c r="P3" s="955">
        <f t="shared" ref="P3:P13" si="0">+N3-O3</f>
        <v>12</v>
      </c>
      <c r="R3" s="764"/>
      <c r="S3" s="698"/>
    </row>
    <row r="4" spans="1:26" s="212" customFormat="1" x14ac:dyDescent="0.35">
      <c r="A4" t="s">
        <v>765</v>
      </c>
      <c r="B4" s="688" t="s">
        <v>797</v>
      </c>
      <c r="C4" s="688" t="s">
        <v>758</v>
      </c>
      <c r="D4" s="810"/>
      <c r="E4" s="750" t="s">
        <v>875</v>
      </c>
      <c r="F4" s="914"/>
      <c r="G4" s="811"/>
      <c r="H4" s="812"/>
      <c r="I4" s="813"/>
      <c r="J4" s="813"/>
      <c r="K4" s="814"/>
      <c r="L4" s="666"/>
      <c r="M4" s="952">
        <f t="shared" ref="M4:M13" si="1">+M3+1</f>
        <v>2</v>
      </c>
      <c r="N4" s="952">
        <v>59</v>
      </c>
      <c r="O4" s="952">
        <v>36</v>
      </c>
      <c r="P4" s="955">
        <f t="shared" si="0"/>
        <v>23</v>
      </c>
      <c r="Q4" s="215"/>
      <c r="R4" s="764"/>
      <c r="S4" s="702"/>
      <c r="X4" s="702"/>
      <c r="Z4" s="702"/>
    </row>
    <row r="5" spans="1:26" s="212" customFormat="1" x14ac:dyDescent="0.35">
      <c r="A5" t="s">
        <v>850</v>
      </c>
      <c r="B5" s="688" t="s">
        <v>797</v>
      </c>
      <c r="C5" s="688" t="s">
        <v>959</v>
      </c>
      <c r="D5" s="810"/>
      <c r="E5" s="41" t="s">
        <v>876</v>
      </c>
      <c r="F5" s="914"/>
      <c r="G5" s="811"/>
      <c r="H5" s="812"/>
      <c r="I5" s="813"/>
      <c r="J5" s="813"/>
      <c r="K5" s="814"/>
      <c r="L5" s="666"/>
      <c r="M5" s="952">
        <f t="shared" si="1"/>
        <v>3</v>
      </c>
      <c r="N5" s="952">
        <v>59</v>
      </c>
      <c r="O5" s="952">
        <v>33</v>
      </c>
      <c r="P5" s="955">
        <f t="shared" si="0"/>
        <v>26</v>
      </c>
      <c r="Q5" s="215"/>
      <c r="R5" s="764"/>
      <c r="X5" s="702"/>
      <c r="Y5" s="702"/>
      <c r="Z5" s="702"/>
    </row>
    <row r="6" spans="1:26" x14ac:dyDescent="0.35">
      <c r="A6" t="s">
        <v>851</v>
      </c>
      <c r="B6" s="688" t="s">
        <v>797</v>
      </c>
      <c r="C6" s="688" t="s">
        <v>1026</v>
      </c>
      <c r="D6" s="810"/>
      <c r="E6" s="739" t="s">
        <v>877</v>
      </c>
      <c r="G6" s="811"/>
      <c r="H6" s="812"/>
      <c r="I6" s="813"/>
      <c r="J6" s="813"/>
      <c r="K6" s="814"/>
      <c r="M6" s="952">
        <f t="shared" si="1"/>
        <v>4</v>
      </c>
      <c r="N6" s="953">
        <v>59</v>
      </c>
      <c r="O6" s="953">
        <v>31</v>
      </c>
      <c r="P6" s="955">
        <f t="shared" si="0"/>
        <v>28</v>
      </c>
      <c r="X6" s="702"/>
      <c r="Y6" s="702"/>
      <c r="Z6" s="702"/>
    </row>
    <row r="7" spans="1:26" s="212" customFormat="1" x14ac:dyDescent="0.35">
      <c r="A7" t="s">
        <v>894</v>
      </c>
      <c r="B7" s="688" t="s">
        <v>895</v>
      </c>
      <c r="C7" s="688" t="s">
        <v>915</v>
      </c>
      <c r="D7" s="810"/>
      <c r="E7" s="739" t="s">
        <v>878</v>
      </c>
      <c r="F7" s="914"/>
      <c r="G7" s="811"/>
      <c r="H7" s="812"/>
      <c r="I7" s="813"/>
      <c r="J7" s="813"/>
      <c r="K7" s="814"/>
      <c r="L7" s="666"/>
      <c r="M7" s="952">
        <f t="shared" si="1"/>
        <v>5</v>
      </c>
      <c r="N7" s="952">
        <v>59</v>
      </c>
      <c r="O7" s="952">
        <v>38</v>
      </c>
      <c r="P7" s="955">
        <f t="shared" si="0"/>
        <v>21</v>
      </c>
      <c r="Q7" s="215"/>
      <c r="R7" s="764"/>
      <c r="X7" s="702"/>
      <c r="Y7" s="702"/>
      <c r="Z7" s="702"/>
    </row>
    <row r="8" spans="1:26" x14ac:dyDescent="0.35">
      <c r="A8" t="s">
        <v>767</v>
      </c>
      <c r="B8" s="688" t="s">
        <v>756</v>
      </c>
      <c r="C8" s="688" t="s">
        <v>739</v>
      </c>
      <c r="D8" s="810"/>
      <c r="E8" s="739" t="s">
        <v>879</v>
      </c>
      <c r="G8" s="811"/>
      <c r="H8" s="812"/>
      <c r="I8" s="813"/>
      <c r="J8" s="813"/>
      <c r="K8" s="814"/>
      <c r="L8" s="702"/>
      <c r="M8" s="952">
        <f t="shared" si="1"/>
        <v>6</v>
      </c>
      <c r="N8" s="953">
        <v>59</v>
      </c>
      <c r="O8" s="953">
        <v>28</v>
      </c>
      <c r="P8" s="955">
        <f t="shared" si="0"/>
        <v>31</v>
      </c>
      <c r="X8" s="702"/>
      <c r="Y8" s="702"/>
      <c r="Z8" s="702"/>
    </row>
    <row r="9" spans="1:26" s="702" customFormat="1" x14ac:dyDescent="0.35">
      <c r="A9" t="s">
        <v>733</v>
      </c>
      <c r="B9" s="688" t="str">
        <f>"@andresGitDev"</f>
        <v>@andresGitDev</v>
      </c>
      <c r="C9" s="688" t="s">
        <v>927</v>
      </c>
      <c r="D9" s="810"/>
      <c r="E9" s="739" t="s">
        <v>880</v>
      </c>
      <c r="F9" s="914"/>
      <c r="G9" s="811"/>
      <c r="H9" s="812"/>
      <c r="I9" s="813"/>
      <c r="J9" s="813"/>
      <c r="K9" s="814"/>
      <c r="L9" s="623"/>
      <c r="M9" s="952">
        <f t="shared" si="1"/>
        <v>7</v>
      </c>
      <c r="N9" s="952">
        <v>59</v>
      </c>
      <c r="O9" s="952">
        <v>33</v>
      </c>
      <c r="P9" s="955">
        <f t="shared" si="0"/>
        <v>26</v>
      </c>
      <c r="R9" s="764"/>
    </row>
    <row r="10" spans="1:26" s="212" customFormat="1" x14ac:dyDescent="0.35">
      <c r="A10" t="s">
        <v>885</v>
      </c>
      <c r="B10" s="694" t="s">
        <v>886</v>
      </c>
      <c r="C10" s="688" t="s">
        <v>758</v>
      </c>
      <c r="D10" s="810"/>
      <c r="E10" s="739" t="s">
        <v>881</v>
      </c>
      <c r="F10" s="914"/>
      <c r="G10" s="811"/>
      <c r="H10" s="812"/>
      <c r="I10" s="813"/>
      <c r="J10" s="813"/>
      <c r="K10" s="814"/>
      <c r="L10" s="666"/>
      <c r="M10" s="952">
        <f t="shared" si="1"/>
        <v>8</v>
      </c>
      <c r="N10" s="952">
        <v>59</v>
      </c>
      <c r="O10" s="952">
        <v>42</v>
      </c>
      <c r="P10" s="955">
        <f t="shared" si="0"/>
        <v>17</v>
      </c>
      <c r="Q10" s="215"/>
      <c r="R10" s="764"/>
      <c r="X10" s="702"/>
      <c r="Y10" s="702"/>
      <c r="Z10" s="702"/>
    </row>
    <row r="11" spans="1:26" s="212" customFormat="1" x14ac:dyDescent="0.35">
      <c r="A11" t="s">
        <v>795</v>
      </c>
      <c r="B11" s="688" t="s">
        <v>796</v>
      </c>
      <c r="C11" s="688" t="s">
        <v>750</v>
      </c>
      <c r="D11" s="810"/>
      <c r="E11" s="229"/>
      <c r="F11" s="914"/>
      <c r="G11" s="811"/>
      <c r="H11" s="812"/>
      <c r="I11" s="813"/>
      <c r="J11" s="813"/>
      <c r="K11" s="814"/>
      <c r="L11" s="28"/>
      <c r="M11" s="952">
        <f t="shared" si="1"/>
        <v>9</v>
      </c>
      <c r="N11" s="952">
        <v>59</v>
      </c>
      <c r="O11" s="952">
        <v>35</v>
      </c>
      <c r="P11" s="955">
        <f t="shared" si="0"/>
        <v>24</v>
      </c>
      <c r="Q11" s="702"/>
      <c r="R11" s="764"/>
      <c r="X11" s="702"/>
      <c r="Y11" s="702"/>
      <c r="Z11" s="702"/>
    </row>
    <row r="12" spans="1:26" s="702" customFormat="1" x14ac:dyDescent="0.35">
      <c r="A12" t="s">
        <v>804</v>
      </c>
      <c r="B12" s="688" t="s">
        <v>805</v>
      </c>
      <c r="C12" s="688" t="s">
        <v>1041</v>
      </c>
      <c r="D12" s="810"/>
      <c r="E12" s="795"/>
      <c r="F12" s="802"/>
      <c r="G12" s="811"/>
      <c r="H12" s="812"/>
      <c r="I12" s="813"/>
      <c r="J12" s="813"/>
      <c r="K12" s="814"/>
      <c r="L12" s="212"/>
      <c r="M12" s="952">
        <f t="shared" si="1"/>
        <v>10</v>
      </c>
      <c r="N12" s="952">
        <v>59</v>
      </c>
      <c r="O12" s="952">
        <v>35</v>
      </c>
      <c r="P12" s="955">
        <f t="shared" si="0"/>
        <v>24</v>
      </c>
      <c r="R12" s="764"/>
      <c r="S12" s="698"/>
    </row>
    <row r="13" spans="1:26" s="702" customFormat="1" x14ac:dyDescent="0.35">
      <c r="A13" t="s">
        <v>1070</v>
      </c>
      <c r="B13" s="688" t="s">
        <v>805</v>
      </c>
      <c r="C13" s="688" t="s">
        <v>896</v>
      </c>
      <c r="D13" s="810" t="s">
        <v>1085</v>
      </c>
      <c r="E13" s="795"/>
      <c r="F13" s="802"/>
      <c r="G13" s="811"/>
      <c r="H13" s="812"/>
      <c r="I13" s="813"/>
      <c r="J13" s="813"/>
      <c r="K13" s="814"/>
      <c r="L13" s="251"/>
      <c r="M13" s="952">
        <f t="shared" si="1"/>
        <v>11</v>
      </c>
      <c r="N13" s="952">
        <v>59</v>
      </c>
      <c r="O13" s="952">
        <v>38</v>
      </c>
      <c r="P13" s="955">
        <f t="shared" si="0"/>
        <v>21</v>
      </c>
      <c r="R13" s="764"/>
      <c r="S13" s="698"/>
    </row>
    <row r="14" spans="1:26" x14ac:dyDescent="0.35">
      <c r="A14" t="s">
        <v>810</v>
      </c>
      <c r="B14" s="688" t="s">
        <v>811</v>
      </c>
      <c r="C14" s="688" t="s">
        <v>896</v>
      </c>
      <c r="D14" s="810"/>
      <c r="E14" s="739" t="s">
        <v>874</v>
      </c>
      <c r="F14" s="802"/>
      <c r="G14" s="811"/>
      <c r="H14" s="812"/>
      <c r="I14" s="813"/>
      <c r="J14" s="813"/>
      <c r="K14" s="814"/>
      <c r="L14" s="251"/>
      <c r="M14" s="952">
        <f>+M13+1</f>
        <v>12</v>
      </c>
      <c r="N14" s="952">
        <v>59</v>
      </c>
      <c r="O14" s="952">
        <v>35</v>
      </c>
      <c r="P14" s="955">
        <f>+N14-O14</f>
        <v>24</v>
      </c>
    </row>
    <row r="15" spans="1:26" s="234" customFormat="1" x14ac:dyDescent="0.35">
      <c r="A15" t="s">
        <v>902</v>
      </c>
      <c r="B15" t="s">
        <v>904</v>
      </c>
      <c r="C15" s="688" t="s">
        <v>896</v>
      </c>
      <c r="D15" s="810"/>
      <c r="E15" s="750" t="s">
        <v>875</v>
      </c>
      <c r="F15" s="802"/>
      <c r="G15" s="811"/>
      <c r="H15" s="812"/>
      <c r="I15" s="813"/>
      <c r="J15" s="813"/>
      <c r="K15" s="814"/>
      <c r="L15" s="251"/>
      <c r="M15" s="952">
        <f>+resume!L43+1</f>
        <v>1</v>
      </c>
      <c r="N15" s="952">
        <v>59</v>
      </c>
      <c r="O15" s="952">
        <v>36</v>
      </c>
      <c r="P15" s="955">
        <f t="shared" ref="P15:P58" si="2">+N15-O15</f>
        <v>23</v>
      </c>
      <c r="R15" s="764"/>
      <c r="S15" s="698"/>
    </row>
    <row r="16" spans="1:26" x14ac:dyDescent="0.35">
      <c r="A16" t="s">
        <v>130</v>
      </c>
      <c r="B16" s="688" t="s">
        <v>768</v>
      </c>
      <c r="C16" s="801" t="s">
        <v>896</v>
      </c>
      <c r="D16" s="229"/>
      <c r="E16" s="750" t="s">
        <v>876</v>
      </c>
      <c r="F16" s="802"/>
      <c r="G16" s="229"/>
      <c r="H16" s="229"/>
      <c r="I16" s="229"/>
      <c r="J16" s="229"/>
      <c r="K16" s="229"/>
      <c r="L16" s="251"/>
      <c r="M16" s="952">
        <f t="shared" ref="M16:M58" si="3">+M15+1</f>
        <v>2</v>
      </c>
      <c r="N16" s="952">
        <v>59</v>
      </c>
      <c r="O16" s="952">
        <v>41</v>
      </c>
      <c r="P16" s="955">
        <f t="shared" si="2"/>
        <v>18</v>
      </c>
      <c r="R16" s="771"/>
    </row>
    <row r="17" spans="1:19" x14ac:dyDescent="0.35">
      <c r="A17" t="s">
        <v>131</v>
      </c>
      <c r="B17" s="688" t="s">
        <v>904</v>
      </c>
      <c r="C17" s="688" t="s">
        <v>896</v>
      </c>
      <c r="D17" s="815"/>
      <c r="E17" s="739" t="s">
        <v>877</v>
      </c>
      <c r="F17" s="802"/>
      <c r="G17" s="807"/>
      <c r="H17" s="807"/>
      <c r="I17" s="807"/>
      <c r="J17" s="807"/>
      <c r="K17" s="807"/>
      <c r="L17" s="251"/>
      <c r="M17" s="952">
        <f t="shared" si="3"/>
        <v>3</v>
      </c>
      <c r="N17" s="952">
        <v>59</v>
      </c>
      <c r="O17" s="952">
        <v>36</v>
      </c>
      <c r="P17" s="955">
        <f t="shared" si="2"/>
        <v>23</v>
      </c>
      <c r="R17" s="771"/>
    </row>
    <row r="18" spans="1:19" x14ac:dyDescent="0.35">
      <c r="A18" t="s">
        <v>961</v>
      </c>
      <c r="B18" s="688" t="s">
        <v>904</v>
      </c>
      <c r="C18" s="688" t="s">
        <v>910</v>
      </c>
      <c r="D18" s="815"/>
      <c r="E18" s="739" t="s">
        <v>878</v>
      </c>
      <c r="F18" s="802"/>
      <c r="G18" s="807"/>
      <c r="H18" s="807"/>
      <c r="I18" s="807"/>
      <c r="J18" s="807"/>
      <c r="K18" s="807"/>
      <c r="L18" s="251"/>
      <c r="M18" s="952">
        <f t="shared" si="3"/>
        <v>4</v>
      </c>
      <c r="N18" s="952">
        <v>59</v>
      </c>
      <c r="O18" s="952">
        <v>32</v>
      </c>
      <c r="P18" s="955">
        <f t="shared" si="2"/>
        <v>27</v>
      </c>
      <c r="R18" s="771"/>
    </row>
    <row r="19" spans="1:19" x14ac:dyDescent="0.35">
      <c r="A19" t="s">
        <v>229</v>
      </c>
      <c r="B19" s="688" t="s">
        <v>904</v>
      </c>
      <c r="C19" s="688" t="s">
        <v>230</v>
      </c>
      <c r="D19" s="815"/>
      <c r="E19" s="739" t="s">
        <v>879</v>
      </c>
      <c r="F19" s="802"/>
      <c r="G19" s="807"/>
      <c r="H19" s="708"/>
      <c r="I19" s="807"/>
      <c r="J19" s="807"/>
      <c r="K19" s="807"/>
      <c r="L19" s="251"/>
      <c r="M19" s="952">
        <f t="shared" si="3"/>
        <v>5</v>
      </c>
      <c r="N19" s="952">
        <v>59</v>
      </c>
      <c r="O19" s="952">
        <v>33</v>
      </c>
      <c r="P19" s="955">
        <f t="shared" si="2"/>
        <v>26</v>
      </c>
      <c r="R19" s="771"/>
    </row>
    <row r="20" spans="1:19" x14ac:dyDescent="0.35">
      <c r="A20" t="s">
        <v>134</v>
      </c>
      <c r="B20" s="688" t="s">
        <v>904</v>
      </c>
      <c r="C20" s="688" t="s">
        <v>896</v>
      </c>
      <c r="D20" s="815"/>
      <c r="E20" s="739" t="s">
        <v>880</v>
      </c>
      <c r="F20" s="802"/>
      <c r="G20" s="807"/>
      <c r="H20" s="708"/>
      <c r="I20" s="807"/>
      <c r="J20" s="807"/>
      <c r="K20" s="807"/>
      <c r="L20" s="251"/>
      <c r="M20" s="952">
        <f t="shared" si="3"/>
        <v>6</v>
      </c>
      <c r="N20" s="952">
        <v>59</v>
      </c>
      <c r="O20" s="952">
        <v>34</v>
      </c>
      <c r="P20" s="955">
        <f t="shared" si="2"/>
        <v>25</v>
      </c>
      <c r="R20" s="771"/>
    </row>
    <row r="21" spans="1:19" x14ac:dyDescent="0.35">
      <c r="A21" t="s">
        <v>133</v>
      </c>
      <c r="B21" s="688" t="s">
        <v>904</v>
      </c>
      <c r="C21" s="801" t="s">
        <v>1147</v>
      </c>
      <c r="D21" s="815"/>
      <c r="E21" s="739" t="s">
        <v>881</v>
      </c>
      <c r="F21" s="802"/>
      <c r="G21" s="807"/>
      <c r="H21" s="708"/>
      <c r="I21" s="807"/>
      <c r="J21" s="807"/>
      <c r="K21" s="807"/>
      <c r="L21" s="251"/>
      <c r="M21" s="952">
        <f t="shared" si="3"/>
        <v>7</v>
      </c>
      <c r="N21" s="952">
        <v>59</v>
      </c>
      <c r="O21" s="952">
        <v>34</v>
      </c>
      <c r="P21" s="955">
        <f t="shared" si="2"/>
        <v>25</v>
      </c>
      <c r="R21" s="771"/>
    </row>
    <row r="22" spans="1:19" x14ac:dyDescent="0.35">
      <c r="A22" t="s">
        <v>214</v>
      </c>
      <c r="B22" s="688" t="s">
        <v>904</v>
      </c>
      <c r="C22" s="801" t="s">
        <v>1026</v>
      </c>
      <c r="D22" s="815"/>
      <c r="E22" s="795"/>
      <c r="F22" s="802"/>
      <c r="G22" s="807"/>
      <c r="H22" s="708"/>
      <c r="I22" s="807"/>
      <c r="J22" s="807"/>
      <c r="K22" s="807"/>
      <c r="L22" s="251"/>
      <c r="M22" s="952">
        <f t="shared" si="3"/>
        <v>8</v>
      </c>
      <c r="N22" s="952">
        <v>59</v>
      </c>
      <c r="O22" s="952">
        <v>39</v>
      </c>
      <c r="P22" s="955">
        <f t="shared" si="2"/>
        <v>20</v>
      </c>
      <c r="R22" s="771"/>
    </row>
    <row r="23" spans="1:19" x14ac:dyDescent="0.35">
      <c r="A23" t="s">
        <v>769</v>
      </c>
      <c r="B23" s="688" t="s">
        <v>153</v>
      </c>
      <c r="C23" s="688" t="s">
        <v>750</v>
      </c>
      <c r="D23" s="806"/>
      <c r="E23" s="795"/>
      <c r="F23" s="802"/>
      <c r="G23" s="807"/>
      <c r="H23" s="708"/>
      <c r="I23" s="807"/>
      <c r="J23" s="807"/>
      <c r="K23" s="807"/>
      <c r="L23" s="251"/>
      <c r="M23" s="952">
        <f t="shared" si="3"/>
        <v>9</v>
      </c>
      <c r="N23" s="952">
        <v>59</v>
      </c>
      <c r="O23" s="952">
        <v>39</v>
      </c>
      <c r="P23" s="955">
        <f t="shared" si="2"/>
        <v>20</v>
      </c>
      <c r="R23" s="771"/>
    </row>
    <row r="24" spans="1:19" x14ac:dyDescent="0.35">
      <c r="A24" t="s">
        <v>770</v>
      </c>
      <c r="B24" s="801" t="s">
        <v>771</v>
      </c>
      <c r="C24" s="688" t="s">
        <v>232</v>
      </c>
      <c r="D24" s="816"/>
      <c r="E24" s="795"/>
      <c r="F24" s="802"/>
      <c r="G24" s="807"/>
      <c r="H24" s="708"/>
      <c r="I24" s="807"/>
      <c r="J24" s="807"/>
      <c r="K24" s="807"/>
      <c r="L24" s="251"/>
      <c r="M24" s="952">
        <f t="shared" si="3"/>
        <v>10</v>
      </c>
      <c r="N24" s="952">
        <v>59</v>
      </c>
      <c r="O24" s="952">
        <v>34</v>
      </c>
      <c r="P24" s="955">
        <f t="shared" si="2"/>
        <v>25</v>
      </c>
      <c r="R24" s="771"/>
    </row>
    <row r="25" spans="1:19" x14ac:dyDescent="0.35">
      <c r="A25" s="107" t="s">
        <v>799</v>
      </c>
      <c r="B25" t="s">
        <v>771</v>
      </c>
      <c r="C25" s="801" t="s">
        <v>800</v>
      </c>
      <c r="D25" s="816"/>
      <c r="E25" s="795"/>
      <c r="F25" s="802"/>
      <c r="G25" s="807"/>
      <c r="H25" s="708"/>
      <c r="I25" s="807"/>
      <c r="J25" s="807"/>
      <c r="K25" s="807"/>
      <c r="L25" s="251"/>
      <c r="M25" s="952">
        <f t="shared" si="3"/>
        <v>11</v>
      </c>
      <c r="N25" s="952">
        <v>59</v>
      </c>
      <c r="O25" s="952">
        <v>37</v>
      </c>
      <c r="P25" s="955">
        <f t="shared" si="2"/>
        <v>22</v>
      </c>
      <c r="R25" s="771"/>
    </row>
    <row r="26" spans="1:19" x14ac:dyDescent="0.35">
      <c r="A26" s="107" t="s">
        <v>801</v>
      </c>
      <c r="B26" s="801" t="s">
        <v>771</v>
      </c>
      <c r="C26" s="801" t="s">
        <v>232</v>
      </c>
      <c r="D26" s="907"/>
      <c r="E26" s="229"/>
      <c r="G26" s="807"/>
      <c r="H26" s="807"/>
      <c r="I26" s="807"/>
      <c r="J26" s="807"/>
      <c r="K26" s="807"/>
      <c r="L26" s="251"/>
      <c r="M26" s="952">
        <f t="shared" si="3"/>
        <v>12</v>
      </c>
      <c r="N26" s="952">
        <v>59</v>
      </c>
      <c r="O26" s="952">
        <v>40</v>
      </c>
      <c r="P26" s="955">
        <f t="shared" si="2"/>
        <v>19</v>
      </c>
      <c r="R26" s="771"/>
    </row>
    <row r="27" spans="1:19" x14ac:dyDescent="0.35">
      <c r="A27" s="107" t="s">
        <v>215</v>
      </c>
      <c r="B27" s="803" t="s">
        <v>216</v>
      </c>
      <c r="C27" s="803" t="s">
        <v>132</v>
      </c>
      <c r="D27" s="806"/>
      <c r="E27" s="229"/>
      <c r="G27" s="699"/>
      <c r="H27" s="807"/>
      <c r="I27" s="807"/>
      <c r="J27" s="807"/>
      <c r="K27" s="807"/>
      <c r="L27" s="251"/>
      <c r="M27" s="952">
        <f t="shared" si="3"/>
        <v>13</v>
      </c>
      <c r="N27" s="952">
        <v>59</v>
      </c>
      <c r="O27" s="952">
        <v>37</v>
      </c>
      <c r="P27" s="955">
        <f t="shared" si="2"/>
        <v>22</v>
      </c>
      <c r="R27" s="771"/>
    </row>
    <row r="28" spans="1:19" x14ac:dyDescent="0.35">
      <c r="A28" s="107" t="s">
        <v>140</v>
      </c>
      <c r="B28" s="802">
        <v>47120738</v>
      </c>
      <c r="C28" s="801" t="s">
        <v>141</v>
      </c>
      <c r="D28" s="806"/>
      <c r="E28" s="229"/>
      <c r="G28" s="699"/>
      <c r="H28" s="807"/>
      <c r="I28" s="807"/>
      <c r="J28" s="807"/>
      <c r="K28" s="807"/>
      <c r="L28" s="251"/>
      <c r="M28" s="952">
        <f t="shared" si="3"/>
        <v>14</v>
      </c>
      <c r="N28" s="952">
        <v>59</v>
      </c>
      <c r="O28" s="952">
        <v>34</v>
      </c>
      <c r="P28" s="955">
        <f t="shared" si="2"/>
        <v>25</v>
      </c>
      <c r="R28" s="771"/>
    </row>
    <row r="29" spans="1:19" x14ac:dyDescent="0.35">
      <c r="A29" t="s">
        <v>143</v>
      </c>
      <c r="C29" s="801" t="s">
        <v>897</v>
      </c>
      <c r="D29"/>
      <c r="H29" s="131"/>
      <c r="I29" s="131"/>
      <c r="J29" s="131"/>
      <c r="K29" s="700"/>
      <c r="L29" s="251"/>
      <c r="M29" s="952">
        <f t="shared" si="3"/>
        <v>15</v>
      </c>
      <c r="N29" s="952">
        <v>59</v>
      </c>
      <c r="O29" s="952">
        <v>37</v>
      </c>
      <c r="P29" s="955">
        <f t="shared" si="2"/>
        <v>22</v>
      </c>
      <c r="R29" s="771"/>
      <c r="S29" s="818"/>
    </row>
    <row r="30" spans="1:19" x14ac:dyDescent="0.35">
      <c r="A30" t="s">
        <v>218</v>
      </c>
      <c r="B30" s="688" t="s">
        <v>904</v>
      </c>
      <c r="C30" s="688" t="s">
        <v>132</v>
      </c>
      <c r="D30" s="694"/>
      <c r="F30" s="914" t="s">
        <v>978</v>
      </c>
      <c r="H30" s="131"/>
      <c r="I30" s="131"/>
      <c r="J30" s="131"/>
      <c r="K30" s="700"/>
      <c r="L30" s="251"/>
      <c r="M30" s="952">
        <f t="shared" si="3"/>
        <v>16</v>
      </c>
      <c r="N30" s="952">
        <v>59</v>
      </c>
      <c r="O30" s="952">
        <v>24</v>
      </c>
      <c r="P30" s="955">
        <f t="shared" si="2"/>
        <v>35</v>
      </c>
      <c r="R30" s="771"/>
      <c r="S30" s="908"/>
    </row>
    <row r="31" spans="1:19" x14ac:dyDescent="0.35">
      <c r="A31" t="s">
        <v>144</v>
      </c>
      <c r="B31" s="691" t="s">
        <v>145</v>
      </c>
      <c r="C31" s="688" t="s">
        <v>750</v>
      </c>
      <c r="H31" s="212"/>
      <c r="I31" s="215"/>
      <c r="J31" s="215"/>
      <c r="K31" s="700"/>
      <c r="L31" s="251"/>
      <c r="M31" s="952">
        <f t="shared" si="3"/>
        <v>17</v>
      </c>
      <c r="N31" s="952">
        <v>59</v>
      </c>
      <c r="O31" s="952">
        <v>30</v>
      </c>
      <c r="P31" s="955">
        <f t="shared" si="2"/>
        <v>29</v>
      </c>
      <c r="R31" s="771"/>
      <c r="S31" s="826"/>
    </row>
    <row r="32" spans="1:19" x14ac:dyDescent="0.35">
      <c r="A32" t="s">
        <v>772</v>
      </c>
      <c r="B32" s="688" t="s">
        <v>153</v>
      </c>
      <c r="C32" s="224" t="s">
        <v>730</v>
      </c>
      <c r="H32" s="212"/>
      <c r="I32" s="215"/>
      <c r="J32" s="215"/>
      <c r="K32" s="700"/>
      <c r="L32" s="251"/>
      <c r="M32" s="952">
        <f t="shared" si="3"/>
        <v>18</v>
      </c>
      <c r="N32" s="952">
        <v>59</v>
      </c>
      <c r="O32" s="952">
        <v>29</v>
      </c>
      <c r="P32" s="955">
        <f t="shared" si="2"/>
        <v>30</v>
      </c>
      <c r="R32" s="771"/>
      <c r="S32" s="826"/>
    </row>
    <row r="33" spans="1:19" x14ac:dyDescent="0.35">
      <c r="A33" t="s">
        <v>889</v>
      </c>
      <c r="B33" s="688" t="s">
        <v>905</v>
      </c>
      <c r="C33" t="s">
        <v>1133</v>
      </c>
      <c r="D33" s="693"/>
      <c r="F33" s="916">
        <v>42802</v>
      </c>
      <c r="G33" s="218">
        <f ca="1">TODAY()</f>
        <v>44765</v>
      </c>
      <c r="H33" s="629">
        <f ca="1">+G33-F33</f>
        <v>1963</v>
      </c>
      <c r="I33" s="210">
        <f ca="1">+H33/30</f>
        <v>65.430000000000007</v>
      </c>
      <c r="J33" s="214" t="s">
        <v>181</v>
      </c>
      <c r="K33" s="700"/>
      <c r="L33" s="251"/>
      <c r="M33" s="952">
        <f t="shared" si="3"/>
        <v>19</v>
      </c>
      <c r="N33" s="952">
        <v>59</v>
      </c>
      <c r="O33" s="952">
        <v>32</v>
      </c>
      <c r="P33" s="955">
        <f t="shared" si="2"/>
        <v>27</v>
      </c>
      <c r="R33" s="771"/>
      <c r="S33" s="826"/>
    </row>
    <row r="34" spans="1:19" x14ac:dyDescent="0.35">
      <c r="A34" t="s">
        <v>852</v>
      </c>
      <c r="B34" s="757">
        <v>87184</v>
      </c>
      <c r="C34" s="757" t="str">
        <f>"0448"</f>
        <v>0448</v>
      </c>
      <c r="D34" s="694"/>
      <c r="F34" s="916">
        <v>42813</v>
      </c>
      <c r="G34" s="218">
        <f ca="1">TODAY()</f>
        <v>44765</v>
      </c>
      <c r="H34" s="629">
        <f ca="1">+G34-F34</f>
        <v>1952</v>
      </c>
      <c r="I34" s="210">
        <f ca="1">+H34/30</f>
        <v>65.069999999999993</v>
      </c>
      <c r="J34" s="214" t="s">
        <v>182</v>
      </c>
      <c r="K34" s="700"/>
      <c r="L34" s="251"/>
      <c r="M34" s="952">
        <f t="shared" si="3"/>
        <v>20</v>
      </c>
      <c r="N34" s="952">
        <v>59</v>
      </c>
      <c r="O34" s="952">
        <v>34</v>
      </c>
      <c r="P34" s="955">
        <f t="shared" si="2"/>
        <v>25</v>
      </c>
      <c r="R34" s="771"/>
      <c r="S34" s="826"/>
    </row>
    <row r="35" spans="1:19" x14ac:dyDescent="0.35">
      <c r="A35" t="s">
        <v>773</v>
      </c>
      <c r="B35" s="757">
        <v>3828289</v>
      </c>
      <c r="C35" t="s">
        <v>911</v>
      </c>
      <c r="F35" s="916">
        <v>42879</v>
      </c>
      <c r="G35" s="218">
        <f ca="1">TODAY()</f>
        <v>44765</v>
      </c>
      <c r="H35" s="629">
        <f ca="1">+G35-F35</f>
        <v>1886</v>
      </c>
      <c r="I35" s="210">
        <f ca="1">+H35/30</f>
        <v>62.87</v>
      </c>
      <c r="J35" s="214" t="s">
        <v>183</v>
      </c>
      <c r="K35" s="700"/>
      <c r="L35" s="251"/>
      <c r="M35" s="952">
        <f t="shared" si="3"/>
        <v>21</v>
      </c>
      <c r="N35" s="952">
        <v>59</v>
      </c>
      <c r="O35" s="952">
        <v>27</v>
      </c>
      <c r="P35" s="955">
        <f t="shared" si="2"/>
        <v>32</v>
      </c>
      <c r="R35" s="771"/>
      <c r="S35" s="826"/>
    </row>
    <row r="36" spans="1:19" x14ac:dyDescent="0.35">
      <c r="A36" t="s">
        <v>774</v>
      </c>
      <c r="B36" t="s">
        <v>904</v>
      </c>
      <c r="C36" s="689" t="s">
        <v>779</v>
      </c>
      <c r="D36" s="689" t="s">
        <v>778</v>
      </c>
      <c r="F36" s="913"/>
      <c r="G36" s="219"/>
      <c r="H36" s="217"/>
      <c r="I36" s="215"/>
      <c r="J36" s="217"/>
      <c r="K36" s="700"/>
      <c r="L36" s="251"/>
      <c r="M36" s="952">
        <f t="shared" si="3"/>
        <v>22</v>
      </c>
      <c r="N36" s="952">
        <v>59</v>
      </c>
      <c r="O36" s="952">
        <v>26</v>
      </c>
      <c r="P36" s="955">
        <f t="shared" si="2"/>
        <v>33</v>
      </c>
      <c r="R36" s="771"/>
      <c r="S36" s="826"/>
    </row>
    <row r="37" spans="1:19" x14ac:dyDescent="0.35">
      <c r="A37" t="s">
        <v>775</v>
      </c>
      <c r="B37" s="757">
        <v>20608703000</v>
      </c>
      <c r="C37" s="224" t="s">
        <v>826</v>
      </c>
      <c r="D37" s="694"/>
      <c r="F37" s="913"/>
      <c r="G37" s="623"/>
      <c r="H37" s="217"/>
      <c r="I37" s="215"/>
      <c r="K37" s="700"/>
      <c r="L37" s="251"/>
      <c r="M37" s="952">
        <f t="shared" si="3"/>
        <v>23</v>
      </c>
      <c r="N37" s="952">
        <v>59</v>
      </c>
      <c r="O37" s="952">
        <v>30</v>
      </c>
      <c r="P37" s="955">
        <f t="shared" si="2"/>
        <v>29</v>
      </c>
      <c r="R37" s="771"/>
      <c r="S37" s="826"/>
    </row>
    <row r="38" spans="1:19" x14ac:dyDescent="0.35">
      <c r="A38" t="s">
        <v>776</v>
      </c>
      <c r="B38" s="688" t="s">
        <v>153</v>
      </c>
      <c r="C38" s="757">
        <v>21071983</v>
      </c>
      <c r="D38"/>
      <c r="E38" s="40"/>
      <c r="F38" s="913"/>
      <c r="G38" s="623"/>
      <c r="H38" s="217"/>
      <c r="I38" s="215"/>
      <c r="L38" s="251"/>
      <c r="M38" s="952">
        <f t="shared" si="3"/>
        <v>24</v>
      </c>
      <c r="N38" s="952">
        <v>59</v>
      </c>
      <c r="O38" s="952">
        <v>35</v>
      </c>
      <c r="P38" s="955">
        <f t="shared" si="2"/>
        <v>24</v>
      </c>
      <c r="R38" s="771"/>
      <c r="S38" s="826"/>
    </row>
    <row r="39" spans="1:19" x14ac:dyDescent="0.35">
      <c r="A39" t="s">
        <v>776</v>
      </c>
      <c r="B39" s="688" t="s">
        <v>153</v>
      </c>
      <c r="C39" s="757">
        <v>21062003</v>
      </c>
      <c r="E39" s="40"/>
      <c r="F39" s="913"/>
      <c r="G39" s="623"/>
      <c r="H39" s="217"/>
      <c r="I39" s="215"/>
      <c r="L39" s="251"/>
      <c r="M39" s="952">
        <f t="shared" si="3"/>
        <v>25</v>
      </c>
      <c r="N39" s="952">
        <v>59</v>
      </c>
      <c r="O39" s="952">
        <v>29</v>
      </c>
      <c r="P39" s="955">
        <f t="shared" si="2"/>
        <v>30</v>
      </c>
      <c r="R39" s="771"/>
      <c r="S39" s="826"/>
    </row>
    <row r="40" spans="1:19" x14ac:dyDescent="0.35">
      <c r="A40" t="s">
        <v>202</v>
      </c>
      <c r="B40" s="688" t="s">
        <v>904</v>
      </c>
      <c r="C40" s="688" t="s">
        <v>1006</v>
      </c>
      <c r="D40" s="694"/>
      <c r="E40" s="40"/>
      <c r="F40" s="917"/>
      <c r="L40" s="251"/>
      <c r="M40" s="952">
        <f t="shared" si="3"/>
        <v>26</v>
      </c>
      <c r="N40" s="952">
        <v>59</v>
      </c>
      <c r="O40" s="952">
        <v>37</v>
      </c>
      <c r="P40" s="955">
        <f t="shared" si="2"/>
        <v>22</v>
      </c>
      <c r="S40" s="908"/>
    </row>
    <row r="41" spans="1:19" x14ac:dyDescent="0.35">
      <c r="A41" t="s">
        <v>893</v>
      </c>
      <c r="B41" s="688" t="s">
        <v>904</v>
      </c>
      <c r="C41" s="801" t="s">
        <v>1007</v>
      </c>
      <c r="D41" s="694"/>
      <c r="E41" s="40"/>
      <c r="F41" s="917"/>
      <c r="L41" s="251"/>
      <c r="M41" s="952">
        <f t="shared" si="3"/>
        <v>27</v>
      </c>
      <c r="N41" s="952">
        <v>59</v>
      </c>
      <c r="O41" s="952">
        <v>30</v>
      </c>
      <c r="P41" s="955">
        <f t="shared" si="2"/>
        <v>29</v>
      </c>
      <c r="S41" s="908"/>
    </row>
    <row r="42" spans="1:19" x14ac:dyDescent="0.35">
      <c r="A42" t="s">
        <v>888</v>
      </c>
      <c r="B42" s="757" t="s">
        <v>971</v>
      </c>
      <c r="C42" s="757" t="s">
        <v>758</v>
      </c>
      <c r="D42" s="687"/>
      <c r="E42" s="40"/>
      <c r="F42" s="918"/>
      <c r="H42" s="131"/>
      <c r="I42" s="131"/>
      <c r="J42" s="785"/>
      <c r="K42" s="702"/>
      <c r="L42" s="251"/>
      <c r="M42" s="952">
        <f t="shared" si="3"/>
        <v>28</v>
      </c>
      <c r="N42" s="952">
        <v>59</v>
      </c>
      <c r="O42" s="952">
        <v>27</v>
      </c>
      <c r="P42" s="955">
        <f t="shared" si="2"/>
        <v>32</v>
      </c>
      <c r="R42" s="771"/>
      <c r="S42" s="908"/>
    </row>
    <row r="43" spans="1:19" x14ac:dyDescent="0.35">
      <c r="A43" t="s">
        <v>214</v>
      </c>
      <c r="B43" s="688" t="s">
        <v>906</v>
      </c>
      <c r="C43" s="688" t="s">
        <v>1130</v>
      </c>
      <c r="D43" s="693"/>
      <c r="E43" s="40"/>
      <c r="F43" s="918"/>
      <c r="H43" s="131"/>
      <c r="I43" s="131"/>
      <c r="J43" s="785"/>
      <c r="L43" s="251"/>
      <c r="M43" s="952">
        <f t="shared" si="3"/>
        <v>29</v>
      </c>
      <c r="N43" s="952">
        <v>59</v>
      </c>
      <c r="O43" s="952">
        <v>30</v>
      </c>
      <c r="P43" s="955">
        <f t="shared" si="2"/>
        <v>29</v>
      </c>
      <c r="R43" s="771"/>
    </row>
    <row r="44" spans="1:19" x14ac:dyDescent="0.35">
      <c r="A44" t="s">
        <v>899</v>
      </c>
      <c r="B44" s="688" t="s">
        <v>906</v>
      </c>
      <c r="C44" s="688" t="s">
        <v>898</v>
      </c>
      <c r="D44" s="693"/>
      <c r="E44" s="40"/>
      <c r="F44" s="918"/>
      <c r="H44" s="131"/>
      <c r="I44" s="131"/>
      <c r="J44" s="785"/>
      <c r="L44" s="251"/>
      <c r="M44" s="952">
        <f t="shared" si="3"/>
        <v>30</v>
      </c>
      <c r="N44" s="952">
        <v>59</v>
      </c>
      <c r="O44" s="952">
        <v>27</v>
      </c>
      <c r="P44" s="955">
        <f t="shared" si="2"/>
        <v>32</v>
      </c>
      <c r="R44" s="771"/>
    </row>
    <row r="45" spans="1:19" x14ac:dyDescent="0.35">
      <c r="A45" t="s">
        <v>209</v>
      </c>
      <c r="B45" s="688" t="s">
        <v>1131</v>
      </c>
      <c r="C45" s="687" t="s">
        <v>1132</v>
      </c>
      <c r="E45" s="40"/>
      <c r="F45" s="918"/>
      <c r="H45" s="131"/>
      <c r="I45" s="131"/>
      <c r="J45" s="624"/>
      <c r="K45" s="702"/>
      <c r="L45" s="251"/>
      <c r="M45" s="952">
        <f t="shared" si="3"/>
        <v>31</v>
      </c>
      <c r="N45" s="952">
        <v>59</v>
      </c>
      <c r="O45" s="952">
        <v>24</v>
      </c>
      <c r="P45" s="955">
        <f t="shared" si="2"/>
        <v>35</v>
      </c>
    </row>
    <row r="46" spans="1:19" x14ac:dyDescent="0.35">
      <c r="A46" t="s">
        <v>903</v>
      </c>
      <c r="B46" s="688" t="s">
        <v>904</v>
      </c>
      <c r="C46" s="692" t="s">
        <v>896</v>
      </c>
      <c r="E46" s="40"/>
      <c r="F46" s="918"/>
      <c r="H46" s="131"/>
      <c r="I46" s="131"/>
      <c r="J46" s="591"/>
      <c r="L46" s="251"/>
      <c r="M46" s="952">
        <f t="shared" si="3"/>
        <v>32</v>
      </c>
      <c r="N46" s="952">
        <v>59</v>
      </c>
      <c r="O46" s="952">
        <v>20</v>
      </c>
      <c r="P46" s="955">
        <f t="shared" si="2"/>
        <v>39</v>
      </c>
    </row>
    <row r="47" spans="1:19" x14ac:dyDescent="0.35">
      <c r="A47" t="s">
        <v>913</v>
      </c>
      <c r="B47" s="688" t="s">
        <v>914</v>
      </c>
      <c r="C47" s="757">
        <v>210783</v>
      </c>
      <c r="E47" s="40"/>
      <c r="F47" s="918"/>
      <c r="H47" s="131"/>
      <c r="I47" s="131"/>
      <c r="J47" s="591"/>
      <c r="K47" s="702"/>
      <c r="L47" s="251"/>
      <c r="M47" s="952">
        <f t="shared" si="3"/>
        <v>33</v>
      </c>
      <c r="N47" s="952">
        <v>59</v>
      </c>
      <c r="O47" s="952">
        <v>23</v>
      </c>
      <c r="P47" s="955">
        <f t="shared" si="2"/>
        <v>36</v>
      </c>
    </row>
    <row r="48" spans="1:19" x14ac:dyDescent="0.35">
      <c r="A48" t="s">
        <v>916</v>
      </c>
      <c r="B48" s="688" t="s">
        <v>921</v>
      </c>
      <c r="C48" s="825" t="s">
        <v>791</v>
      </c>
      <c r="D48" s="692"/>
      <c r="E48" s="40"/>
      <c r="F48" s="918"/>
      <c r="G48" s="700"/>
      <c r="H48" s="700"/>
      <c r="I48" s="700"/>
      <c r="J48" s="702"/>
      <c r="K48" s="702"/>
      <c r="M48" s="952">
        <f t="shared" si="3"/>
        <v>34</v>
      </c>
      <c r="N48" s="952">
        <v>59</v>
      </c>
      <c r="O48" s="952">
        <v>23</v>
      </c>
      <c r="P48" s="955">
        <f t="shared" si="2"/>
        <v>36</v>
      </c>
    </row>
    <row r="49" spans="1:19" x14ac:dyDescent="0.35">
      <c r="A49" t="s">
        <v>917</v>
      </c>
      <c r="B49" s="688" t="s">
        <v>904</v>
      </c>
      <c r="C49" s="688" t="s">
        <v>918</v>
      </c>
      <c r="D49" s="692"/>
      <c r="E49" s="40"/>
      <c r="F49" s="918"/>
      <c r="H49" s="131"/>
      <c r="I49" s="131"/>
      <c r="J49" s="702"/>
      <c r="K49" s="624"/>
      <c r="M49" s="952">
        <f t="shared" si="3"/>
        <v>35</v>
      </c>
      <c r="N49" s="952">
        <v>59</v>
      </c>
      <c r="O49" s="952">
        <v>22</v>
      </c>
      <c r="P49" s="955">
        <f t="shared" si="2"/>
        <v>37</v>
      </c>
    </row>
    <row r="50" spans="1:19" x14ac:dyDescent="0.35">
      <c r="A50" t="s">
        <v>919</v>
      </c>
      <c r="B50" s="688" t="s">
        <v>904</v>
      </c>
      <c r="C50" s="688" t="s">
        <v>920</v>
      </c>
      <c r="E50" s="40"/>
      <c r="F50" s="918"/>
      <c r="H50" s="131"/>
      <c r="I50" s="131"/>
      <c r="J50" s="624"/>
      <c r="K50" s="624"/>
      <c r="M50" s="952">
        <f t="shared" si="3"/>
        <v>36</v>
      </c>
      <c r="N50" s="952">
        <v>59</v>
      </c>
      <c r="O50" s="952">
        <v>25</v>
      </c>
      <c r="P50" s="955">
        <f t="shared" si="2"/>
        <v>34</v>
      </c>
    </row>
    <row r="51" spans="1:19" x14ac:dyDescent="0.35">
      <c r="A51" t="s">
        <v>941</v>
      </c>
      <c r="B51" s="688" t="s">
        <v>904</v>
      </c>
      <c r="C51" s="688" t="s">
        <v>942</v>
      </c>
      <c r="E51" s="40"/>
      <c r="F51" s="918"/>
      <c r="H51" s="131"/>
      <c r="I51" s="131"/>
      <c r="J51" s="624"/>
      <c r="K51" s="624"/>
      <c r="M51" s="952">
        <f t="shared" si="3"/>
        <v>37</v>
      </c>
      <c r="N51" s="952">
        <v>59</v>
      </c>
      <c r="O51" s="952">
        <v>26</v>
      </c>
      <c r="P51" s="955">
        <f t="shared" si="2"/>
        <v>33</v>
      </c>
    </row>
    <row r="52" spans="1:19" x14ac:dyDescent="0.35">
      <c r="A52" t="s">
        <v>960</v>
      </c>
      <c r="B52" s="688" t="s">
        <v>904</v>
      </c>
      <c r="C52" s="688" t="s">
        <v>1095</v>
      </c>
      <c r="E52" s="40"/>
      <c r="F52" s="918"/>
      <c r="H52" s="131"/>
      <c r="I52" s="131"/>
      <c r="J52" s="624"/>
      <c r="K52" s="624"/>
      <c r="L52" s="739"/>
      <c r="M52" s="952">
        <f t="shared" si="3"/>
        <v>38</v>
      </c>
      <c r="N52" s="952">
        <v>59</v>
      </c>
      <c r="O52" s="952">
        <v>26</v>
      </c>
      <c r="P52" s="955">
        <f t="shared" si="2"/>
        <v>33</v>
      </c>
    </row>
    <row r="53" spans="1:19" x14ac:dyDescent="0.35">
      <c r="F53" s="918"/>
      <c r="H53" s="131"/>
      <c r="I53" s="131"/>
      <c r="J53" s="624"/>
      <c r="K53" s="624"/>
      <c r="M53" s="952">
        <f t="shared" si="3"/>
        <v>39</v>
      </c>
      <c r="N53" s="953">
        <v>59</v>
      </c>
      <c r="O53" s="953">
        <v>19</v>
      </c>
      <c r="P53" s="955">
        <f t="shared" si="2"/>
        <v>40</v>
      </c>
    </row>
    <row r="54" spans="1:19" x14ac:dyDescent="0.35">
      <c r="F54" s="918"/>
      <c r="H54" s="131"/>
      <c r="I54" s="131"/>
      <c r="J54" s="624"/>
      <c r="K54" s="624"/>
      <c r="L54" s="739"/>
      <c r="M54" s="952">
        <f t="shared" si="3"/>
        <v>40</v>
      </c>
      <c r="N54" s="953">
        <v>59</v>
      </c>
      <c r="O54" s="953">
        <v>20</v>
      </c>
      <c r="P54" s="955">
        <f t="shared" si="2"/>
        <v>39</v>
      </c>
      <c r="S54" s="756"/>
    </row>
    <row r="55" spans="1:19" x14ac:dyDescent="0.35">
      <c r="F55" s="918"/>
      <c r="H55" s="254"/>
      <c r="I55" s="700"/>
      <c r="J55" s="624"/>
      <c r="K55" s="624"/>
      <c r="L55" s="739"/>
      <c r="M55" s="952">
        <f t="shared" si="3"/>
        <v>41</v>
      </c>
      <c r="N55" s="953">
        <v>59</v>
      </c>
      <c r="O55" s="953">
        <v>14</v>
      </c>
      <c r="P55" s="955">
        <f t="shared" si="2"/>
        <v>45</v>
      </c>
      <c r="S55" s="28"/>
    </row>
    <row r="56" spans="1:19" x14ac:dyDescent="0.35">
      <c r="F56" s="918"/>
      <c r="H56" s="254"/>
      <c r="I56" s="700"/>
      <c r="J56" s="624"/>
      <c r="K56" s="624"/>
      <c r="L56" s="739"/>
      <c r="M56" s="952">
        <f t="shared" si="3"/>
        <v>42</v>
      </c>
      <c r="N56" s="953">
        <v>59</v>
      </c>
      <c r="O56" s="953">
        <v>26</v>
      </c>
      <c r="P56" s="955">
        <f t="shared" si="2"/>
        <v>33</v>
      </c>
      <c r="S56" s="28"/>
    </row>
    <row r="57" spans="1:19" x14ac:dyDescent="0.35">
      <c r="F57" s="918"/>
      <c r="H57" s="966"/>
      <c r="I57" s="700"/>
      <c r="J57" s="624"/>
      <c r="K57" s="624"/>
      <c r="L57" s="739"/>
      <c r="M57" s="952">
        <f t="shared" si="3"/>
        <v>43</v>
      </c>
      <c r="N57" s="953">
        <v>59</v>
      </c>
      <c r="O57" s="953">
        <v>22</v>
      </c>
      <c r="P57" s="955">
        <f t="shared" si="2"/>
        <v>37</v>
      </c>
      <c r="R57" s="739"/>
      <c r="S57" s="739"/>
    </row>
    <row r="58" spans="1:19" x14ac:dyDescent="0.35">
      <c r="F58" s="962"/>
      <c r="G58" s="771"/>
      <c r="H58" s="966"/>
      <c r="I58" s="700"/>
      <c r="J58" s="624"/>
      <c r="K58" s="624"/>
      <c r="L58" s="739"/>
      <c r="M58" s="952">
        <f t="shared" si="3"/>
        <v>44</v>
      </c>
      <c r="N58" s="953">
        <v>59</v>
      </c>
      <c r="O58" s="953">
        <v>23</v>
      </c>
      <c r="P58" s="955">
        <f t="shared" si="2"/>
        <v>36</v>
      </c>
    </row>
    <row r="59" spans="1:19" x14ac:dyDescent="0.35">
      <c r="F59" s="962"/>
      <c r="G59" s="771"/>
      <c r="H59" s="966"/>
      <c r="I59" s="700"/>
      <c r="J59" s="624"/>
      <c r="K59" s="624"/>
      <c r="L59" s="624"/>
    </row>
    <row r="60" spans="1:19" x14ac:dyDescent="0.35">
      <c r="F60" s="962"/>
      <c r="G60" s="771"/>
      <c r="H60" s="966"/>
      <c r="I60" s="700"/>
      <c r="J60" s="624"/>
      <c r="K60" s="624"/>
      <c r="L60" s="624"/>
      <c r="N60" s="953">
        <f>SUM(N3:N59)</f>
        <v>3289</v>
      </c>
      <c r="O60" s="953">
        <f>SUM(O3:O59)</f>
        <v>1719</v>
      </c>
      <c r="P60" s="953">
        <f>SUM(P3:P59)</f>
        <v>1570</v>
      </c>
      <c r="R60" s="739"/>
      <c r="S60" s="739"/>
    </row>
    <row r="61" spans="1:19" x14ac:dyDescent="0.35">
      <c r="F61" s="962"/>
      <c r="G61" s="771"/>
      <c r="H61" s="966"/>
      <c r="I61" s="700"/>
      <c r="J61" s="624"/>
      <c r="K61" s="624"/>
      <c r="L61" s="624"/>
      <c r="N61" s="953">
        <f>+N60/5</f>
        <v>657.8</v>
      </c>
      <c r="P61" s="953">
        <f>+P60/5</f>
        <v>314</v>
      </c>
      <c r="R61" s="739"/>
      <c r="S61" s="739"/>
    </row>
    <row r="62" spans="1:19" x14ac:dyDescent="0.35">
      <c r="F62" s="962"/>
      <c r="G62" s="771"/>
      <c r="H62" s="966"/>
      <c r="I62" s="700"/>
      <c r="J62" s="624"/>
      <c r="K62" s="624"/>
      <c r="L62" s="624"/>
      <c r="R62" s="739"/>
      <c r="S62" s="739"/>
    </row>
    <row r="63" spans="1:19" x14ac:dyDescent="0.35">
      <c r="F63" s="962"/>
      <c r="G63" s="771"/>
      <c r="H63" s="966"/>
      <c r="I63" s="700"/>
      <c r="J63" s="624"/>
      <c r="K63" s="624"/>
      <c r="L63" s="624"/>
      <c r="R63" s="739"/>
      <c r="S63" s="739"/>
    </row>
    <row r="64" spans="1:19" x14ac:dyDescent="0.35">
      <c r="F64" s="962"/>
      <c r="G64" s="771"/>
      <c r="H64" s="966"/>
      <c r="I64" s="700"/>
      <c r="J64" s="624"/>
      <c r="K64" s="624"/>
      <c r="L64" s="624"/>
      <c r="M64" s="954"/>
      <c r="N64" s="954"/>
      <c r="O64" s="954"/>
      <c r="P64" s="954"/>
    </row>
    <row r="65" spans="6:16" x14ac:dyDescent="0.35">
      <c r="F65" s="962"/>
      <c r="G65" s="771"/>
      <c r="H65" s="254"/>
      <c r="I65" s="254"/>
      <c r="J65" s="624"/>
      <c r="K65" s="624"/>
      <c r="L65" s="624"/>
      <c r="M65" s="954"/>
      <c r="N65" s="954"/>
      <c r="O65" s="954"/>
      <c r="P65" s="954"/>
    </row>
    <row r="66" spans="6:16" x14ac:dyDescent="0.35">
      <c r="F66" s="962"/>
      <c r="G66" s="771"/>
      <c r="H66" s="254"/>
      <c r="I66" s="254"/>
      <c r="J66" s="624"/>
      <c r="K66" s="624"/>
      <c r="L66" s="624"/>
      <c r="M66" s="954"/>
      <c r="N66" s="954"/>
      <c r="O66" s="954"/>
      <c r="P66" s="954"/>
    </row>
    <row r="67" spans="6:16" x14ac:dyDescent="0.35">
      <c r="F67" s="962"/>
      <c r="G67" s="771"/>
      <c r="L67" s="624"/>
      <c r="M67" s="954"/>
      <c r="N67" s="954"/>
      <c r="O67" s="954"/>
      <c r="P67" s="954"/>
    </row>
    <row r="68" spans="6:16" x14ac:dyDescent="0.35">
      <c r="F68" s="962"/>
      <c r="G68" s="771"/>
      <c r="J68" s="630"/>
      <c r="K68" s="630"/>
      <c r="L68" s="624"/>
      <c r="M68" s="954"/>
      <c r="N68" s="954"/>
      <c r="O68" s="954"/>
      <c r="P68" s="954"/>
    </row>
    <row r="69" spans="6:16" x14ac:dyDescent="0.35">
      <c r="F69" s="962"/>
      <c r="G69" s="771"/>
      <c r="J69" s="630"/>
      <c r="K69" s="630"/>
      <c r="L69" s="624"/>
      <c r="M69" s="954"/>
      <c r="N69" s="954"/>
      <c r="O69" s="954"/>
      <c r="P69" s="954"/>
    </row>
    <row r="70" spans="6:16" x14ac:dyDescent="0.35">
      <c r="F70" s="962"/>
      <c r="G70" s="771"/>
      <c r="I70" s="801"/>
      <c r="J70" s="630"/>
      <c r="K70" s="630"/>
      <c r="L70" s="624"/>
      <c r="M70" s="954"/>
      <c r="N70" s="965"/>
      <c r="O70" s="954"/>
      <c r="P70" s="954"/>
    </row>
    <row r="71" spans="6:16" x14ac:dyDescent="0.35">
      <c r="F71" s="962"/>
      <c r="G71" s="771"/>
      <c r="I71" s="801"/>
      <c r="J71" s="630"/>
      <c r="K71" s="630"/>
      <c r="L71" s="624"/>
      <c r="M71" s="954"/>
      <c r="N71" s="954"/>
      <c r="O71" s="954"/>
      <c r="P71" s="954"/>
    </row>
    <row r="72" spans="6:16" x14ac:dyDescent="0.35">
      <c r="F72" s="963"/>
      <c r="G72" s="771"/>
      <c r="I72" s="801"/>
      <c r="J72" s="630"/>
      <c r="K72" s="630"/>
      <c r="L72" s="624"/>
      <c r="M72" s="954"/>
      <c r="N72" s="954"/>
      <c r="O72" s="970"/>
      <c r="P72" s="954"/>
    </row>
    <row r="73" spans="6:16" x14ac:dyDescent="0.35">
      <c r="F73" s="964"/>
      <c r="G73" s="764"/>
      <c r="H73" s="707"/>
      <c r="I73" s="967"/>
      <c r="J73" s="630"/>
      <c r="K73" s="630"/>
      <c r="L73" s="624"/>
      <c r="M73" s="954"/>
      <c r="N73" s="954"/>
      <c r="O73" s="954"/>
      <c r="P73" s="954"/>
    </row>
    <row r="74" spans="6:16" x14ac:dyDescent="0.35">
      <c r="F74" s="964"/>
      <c r="G74" s="792"/>
      <c r="H74" s="708"/>
      <c r="I74" s="708"/>
      <c r="J74" s="708"/>
      <c r="K74" s="630"/>
      <c r="L74" s="624"/>
      <c r="M74" s="954"/>
      <c r="N74" s="954"/>
      <c r="O74" s="954"/>
      <c r="P74" s="954"/>
    </row>
    <row r="75" spans="6:16" x14ac:dyDescent="0.35">
      <c r="F75" s="964"/>
      <c r="G75" s="792"/>
      <c r="H75" s="708"/>
      <c r="I75" s="708"/>
      <c r="J75" s="708"/>
      <c r="K75" s="630"/>
      <c r="L75" s="624"/>
      <c r="M75" s="954"/>
      <c r="N75" s="954"/>
      <c r="O75" s="954"/>
      <c r="P75" s="954"/>
    </row>
    <row r="76" spans="6:16" x14ac:dyDescent="0.35">
      <c r="F76" s="964"/>
      <c r="G76" s="792"/>
      <c r="H76" s="708"/>
      <c r="I76" s="708"/>
      <c r="J76" s="708"/>
      <c r="K76" s="630"/>
      <c r="L76" s="624"/>
      <c r="M76" s="954"/>
      <c r="N76" s="954"/>
      <c r="O76" s="954"/>
      <c r="P76" s="954"/>
    </row>
    <row r="77" spans="6:16" x14ac:dyDescent="0.35">
      <c r="F77" s="963"/>
      <c r="G77" s="792"/>
      <c r="H77" s="708"/>
      <c r="I77" s="708"/>
      <c r="J77" s="708"/>
      <c r="K77" s="630"/>
      <c r="M77" s="954"/>
      <c r="N77" s="954"/>
      <c r="O77" s="954"/>
      <c r="P77" s="954"/>
    </row>
    <row r="78" spans="6:16" x14ac:dyDescent="0.35">
      <c r="F78" s="963"/>
      <c r="G78" s="792"/>
      <c r="H78" s="708"/>
      <c r="I78" s="708"/>
      <c r="J78" s="708"/>
      <c r="K78" s="630"/>
      <c r="M78" s="954"/>
      <c r="N78" s="954"/>
      <c r="O78" s="954"/>
      <c r="P78" s="954"/>
    </row>
    <row r="79" spans="6:16" x14ac:dyDescent="0.35">
      <c r="F79" s="963"/>
      <c r="G79" s="792"/>
      <c r="H79" s="708"/>
      <c r="I79" s="708"/>
      <c r="J79" s="708"/>
      <c r="K79" s="630"/>
      <c r="M79" s="954"/>
      <c r="N79" s="954"/>
      <c r="O79" s="954"/>
      <c r="P79" s="954"/>
    </row>
    <row r="80" spans="6:16" x14ac:dyDescent="0.35">
      <c r="F80" s="963"/>
      <c r="G80" s="792"/>
      <c r="H80" s="708"/>
      <c r="I80" s="708"/>
      <c r="J80" s="708"/>
      <c r="K80" s="708"/>
      <c r="M80" s="954"/>
      <c r="N80" s="954"/>
      <c r="O80" s="954"/>
      <c r="P80" s="954"/>
    </row>
    <row r="81" spans="5:16" x14ac:dyDescent="0.35">
      <c r="F81" s="963"/>
      <c r="G81" s="764"/>
      <c r="H81" s="707"/>
      <c r="I81" s="707"/>
      <c r="J81" s="707"/>
      <c r="K81" s="707"/>
      <c r="M81" s="954"/>
      <c r="N81" s="954"/>
      <c r="O81" s="954"/>
      <c r="P81" s="954"/>
    </row>
    <row r="82" spans="5:16" x14ac:dyDescent="0.35">
      <c r="F82" s="919"/>
      <c r="G82" s="707"/>
      <c r="H82" s="707"/>
      <c r="I82" s="707"/>
      <c r="J82" s="707"/>
      <c r="K82" s="707"/>
      <c r="M82" s="969"/>
    </row>
    <row r="83" spans="5:16" x14ac:dyDescent="0.35">
      <c r="F83" s="920"/>
      <c r="G83" s="708"/>
      <c r="H83" s="707"/>
      <c r="I83" s="707"/>
      <c r="J83" s="707"/>
      <c r="K83" s="707"/>
      <c r="M83" s="969"/>
      <c r="N83" s="969"/>
    </row>
    <row r="84" spans="5:16" x14ac:dyDescent="0.35">
      <c r="F84" s="920"/>
      <c r="G84" s="708"/>
      <c r="H84" s="707"/>
      <c r="I84" s="707"/>
      <c r="J84" s="707"/>
      <c r="K84" s="707"/>
      <c r="M84" s="969"/>
      <c r="N84" s="969"/>
    </row>
    <row r="85" spans="5:16" x14ac:dyDescent="0.35">
      <c r="F85" s="920"/>
      <c r="G85" s="708"/>
      <c r="H85" s="707"/>
      <c r="I85" s="707"/>
      <c r="J85" s="707"/>
      <c r="K85" s="707"/>
      <c r="M85" s="969"/>
    </row>
    <row r="86" spans="5:16" x14ac:dyDescent="0.35">
      <c r="F86" s="920"/>
      <c r="G86" s="708"/>
      <c r="H86" s="707"/>
      <c r="I86" s="707"/>
      <c r="J86" s="707"/>
      <c r="K86" s="707"/>
      <c r="M86" s="969"/>
    </row>
    <row r="87" spans="5:16" x14ac:dyDescent="0.35">
      <c r="F87" s="920"/>
      <c r="G87" s="708"/>
      <c r="H87" s="707"/>
      <c r="I87" s="707"/>
      <c r="J87" s="707"/>
      <c r="K87" s="707"/>
      <c r="M87" s="969"/>
    </row>
    <row r="88" spans="5:16" x14ac:dyDescent="0.35">
      <c r="G88" s="708"/>
      <c r="H88" s="707"/>
      <c r="I88" s="707"/>
      <c r="J88" s="707"/>
      <c r="K88" s="707"/>
      <c r="M88" s="969"/>
    </row>
    <row r="89" spans="5:16" x14ac:dyDescent="0.35">
      <c r="M89" s="969"/>
    </row>
    <row r="90" spans="5:16" x14ac:dyDescent="0.35">
      <c r="L90" s="707"/>
      <c r="M90" s="969"/>
    </row>
    <row r="91" spans="5:16" x14ac:dyDescent="0.35">
      <c r="L91" s="707"/>
      <c r="M91" s="969"/>
    </row>
    <row r="92" spans="5:16" x14ac:dyDescent="0.35">
      <c r="L92" s="707"/>
      <c r="M92" s="969"/>
    </row>
    <row r="93" spans="5:16" x14ac:dyDescent="0.35">
      <c r="E93" s="37"/>
      <c r="F93" s="921"/>
      <c r="G93" s="576"/>
      <c r="H93" s="37"/>
      <c r="I93" s="37"/>
      <c r="L93" s="707"/>
      <c r="M93" s="969"/>
    </row>
    <row r="94" spans="5:16" x14ac:dyDescent="0.35">
      <c r="E94" s="37"/>
      <c r="F94" s="921"/>
      <c r="G94" s="758"/>
      <c r="H94" s="904"/>
      <c r="I94" s="645"/>
      <c r="J94" s="666"/>
      <c r="K94" s="212"/>
      <c r="L94" s="707"/>
      <c r="M94" s="969"/>
    </row>
    <row r="95" spans="5:16" x14ac:dyDescent="0.35">
      <c r="E95" s="37"/>
      <c r="F95" s="921"/>
      <c r="G95" s="758"/>
      <c r="H95" s="904"/>
      <c r="I95" s="645"/>
      <c r="J95" s="212"/>
      <c r="K95" s="212"/>
      <c r="L95" s="707"/>
      <c r="M95" s="952"/>
    </row>
    <row r="96" spans="5:16" x14ac:dyDescent="0.35">
      <c r="E96" s="37"/>
      <c r="F96" s="921"/>
      <c r="G96" s="758"/>
      <c r="H96" s="904"/>
      <c r="I96" s="645"/>
      <c r="J96" s="666"/>
      <c r="K96" s="212"/>
      <c r="L96" s="707"/>
      <c r="M96" s="952"/>
    </row>
    <row r="97" spans="5:14" x14ac:dyDescent="0.35">
      <c r="E97" s="37"/>
      <c r="F97" s="921"/>
      <c r="G97" s="758"/>
      <c r="H97" s="904"/>
      <c r="I97" s="645"/>
      <c r="J97" s="666"/>
      <c r="K97" s="212"/>
      <c r="L97" s="707"/>
      <c r="M97" s="952"/>
    </row>
    <row r="98" spans="5:14" x14ac:dyDescent="0.35">
      <c r="E98" s="37"/>
      <c r="F98" s="921"/>
      <c r="G98" s="758"/>
      <c r="H98" s="904"/>
      <c r="I98" s="645"/>
      <c r="J98" s="666"/>
      <c r="K98" s="212"/>
      <c r="L98" s="707"/>
      <c r="M98" s="952"/>
    </row>
    <row r="99" spans="5:14" x14ac:dyDescent="0.35">
      <c r="E99" s="37"/>
      <c r="F99" s="921"/>
      <c r="G99" s="758"/>
      <c r="H99" s="904"/>
      <c r="I99" s="645"/>
      <c r="J99" s="666"/>
      <c r="K99" s="212"/>
      <c r="M99" s="952"/>
    </row>
    <row r="100" spans="5:14" x14ac:dyDescent="0.35">
      <c r="E100" s="37"/>
      <c r="F100" s="921"/>
      <c r="G100" s="758"/>
      <c r="H100" s="904"/>
      <c r="I100" s="645"/>
      <c r="J100" s="666"/>
      <c r="K100" s="212"/>
      <c r="M100" s="952"/>
    </row>
    <row r="101" spans="5:14" x14ac:dyDescent="0.35">
      <c r="E101" s="37"/>
      <c r="F101" s="921"/>
      <c r="G101" s="758"/>
      <c r="H101" s="904"/>
      <c r="I101" s="645"/>
      <c r="J101" s="666"/>
      <c r="K101" s="212"/>
      <c r="M101" s="952"/>
    </row>
    <row r="102" spans="5:14" x14ac:dyDescent="0.35">
      <c r="E102" s="37"/>
      <c r="F102" s="921"/>
      <c r="G102" s="758"/>
      <c r="H102" s="904"/>
      <c r="I102" s="645"/>
      <c r="J102" s="212"/>
      <c r="K102" s="212"/>
      <c r="M102" s="952"/>
    </row>
    <row r="103" spans="5:14" x14ac:dyDescent="0.35">
      <c r="E103" s="37"/>
      <c r="F103" s="921"/>
      <c r="G103" s="758"/>
      <c r="H103" s="904"/>
      <c r="I103" s="645"/>
      <c r="J103" s="234"/>
      <c r="K103" s="234"/>
      <c r="M103" s="952"/>
    </row>
    <row r="104" spans="5:14" x14ac:dyDescent="0.35">
      <c r="E104" s="37"/>
      <c r="F104" s="921"/>
      <c r="G104" s="758"/>
      <c r="H104" s="904"/>
      <c r="I104" s="645"/>
      <c r="J104" s="234"/>
      <c r="K104" s="234"/>
      <c r="L104" s="212"/>
    </row>
    <row r="105" spans="5:14" x14ac:dyDescent="0.35">
      <c r="E105" s="37"/>
      <c r="F105" s="921"/>
      <c r="G105" s="758"/>
      <c r="H105" s="904"/>
      <c r="I105" s="645"/>
      <c r="J105" s="234"/>
      <c r="K105" s="234"/>
      <c r="L105" s="212"/>
    </row>
    <row r="106" spans="5:14" x14ac:dyDescent="0.35">
      <c r="E106" s="37"/>
      <c r="F106" s="921"/>
      <c r="G106" s="871"/>
      <c r="H106" s="759"/>
      <c r="I106" s="37"/>
      <c r="L106" s="212"/>
    </row>
    <row r="107" spans="5:14" x14ac:dyDescent="0.35">
      <c r="E107" s="37"/>
      <c r="F107" s="921"/>
      <c r="G107" s="871"/>
      <c r="H107" s="871"/>
      <c r="I107" s="37"/>
      <c r="L107" s="212"/>
    </row>
    <row r="108" spans="5:14" x14ac:dyDescent="0.35">
      <c r="E108" s="37"/>
      <c r="F108" s="921"/>
      <c r="G108" s="871"/>
      <c r="H108" s="871"/>
      <c r="I108" s="37"/>
      <c r="L108" s="212"/>
    </row>
    <row r="109" spans="5:14" x14ac:dyDescent="0.35">
      <c r="E109" s="37"/>
      <c r="F109" s="921"/>
      <c r="G109" s="871"/>
      <c r="H109" s="871"/>
      <c r="I109" s="37"/>
      <c r="L109" s="212"/>
      <c r="M109" s="952"/>
      <c r="N109" s="952"/>
    </row>
    <row r="110" spans="5:14" x14ac:dyDescent="0.35">
      <c r="E110" s="37"/>
      <c r="F110" s="921"/>
      <c r="G110" s="576"/>
      <c r="H110" s="37"/>
      <c r="I110" s="37"/>
      <c r="L110" s="212"/>
      <c r="M110" s="952"/>
      <c r="N110" s="952"/>
    </row>
    <row r="111" spans="5:14" x14ac:dyDescent="0.35">
      <c r="L111" s="212"/>
      <c r="M111" s="952"/>
      <c r="N111" s="952"/>
    </row>
    <row r="112" spans="5:14" x14ac:dyDescent="0.35">
      <c r="L112" s="212"/>
      <c r="M112" s="952"/>
      <c r="N112" s="952"/>
    </row>
    <row r="113" spans="12:14" x14ac:dyDescent="0.35">
      <c r="L113" s="234"/>
      <c r="M113" s="952"/>
      <c r="N113" s="952"/>
    </row>
    <row r="114" spans="12:14" x14ac:dyDescent="0.35">
      <c r="L114" s="234"/>
      <c r="M114" s="952"/>
      <c r="N114" s="952"/>
    </row>
    <row r="115" spans="12:14" x14ac:dyDescent="0.35">
      <c r="L115" s="234"/>
      <c r="M115" s="952"/>
      <c r="N115" s="952"/>
    </row>
    <row r="116" spans="12:14" x14ac:dyDescent="0.35">
      <c r="M116" s="952"/>
      <c r="N116" s="952"/>
    </row>
    <row r="117" spans="12:14" x14ac:dyDescent="0.35">
      <c r="M117" s="952"/>
      <c r="N117" s="952"/>
    </row>
    <row r="118" spans="12:14" x14ac:dyDescent="0.35">
      <c r="M118" s="952"/>
      <c r="N118" s="952"/>
    </row>
    <row r="119" spans="12:14" x14ac:dyDescent="0.35">
      <c r="M119" s="952"/>
      <c r="N119" s="952"/>
    </row>
    <row r="120" spans="12:14" x14ac:dyDescent="0.35">
      <c r="M120" s="952"/>
      <c r="N120" s="952"/>
    </row>
  </sheetData>
  <hyperlinks>
    <hyperlink ref="B10" r:id="rId1" xr:uid="{00000000-0004-0000-0000-000000000000}"/>
    <hyperlink ref="C45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3.7265625" style="739" customWidth="1"/>
    <col min="11" max="11" width="14.36328125" style="649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76"/>
      <c r="C1" s="1177"/>
      <c r="D1" s="709" t="s">
        <v>0</v>
      </c>
      <c r="E1" s="717">
        <f>COUNTA(B7:B84)</f>
        <v>66</v>
      </c>
      <c r="F1" s="721" t="s">
        <v>1</v>
      </c>
      <c r="G1" s="727" t="s">
        <v>196</v>
      </c>
      <c r="H1" s="187"/>
      <c r="I1" s="736"/>
      <c r="J1" s="751"/>
      <c r="K1" s="667"/>
    </row>
    <row r="2" spans="1:12" s="3" customFormat="1" x14ac:dyDescent="0.3">
      <c r="A2" s="189"/>
      <c r="B2" s="190"/>
      <c r="C2" s="618"/>
      <c r="D2" s="710"/>
      <c r="E2" s="718"/>
      <c r="F2" s="722" t="s">
        <v>755</v>
      </c>
      <c r="G2" s="728"/>
      <c r="H2" s="196"/>
      <c r="I2" s="737"/>
      <c r="J2" s="752"/>
      <c r="K2" s="668"/>
      <c r="L2" s="42"/>
    </row>
    <row r="3" spans="1:12" s="3" customFormat="1" x14ac:dyDescent="0.3">
      <c r="A3" s="189"/>
      <c r="B3" s="190"/>
      <c r="C3" s="618"/>
      <c r="D3" s="711"/>
      <c r="E3" s="719"/>
      <c r="F3" s="722"/>
      <c r="G3" s="728"/>
      <c r="H3" s="196"/>
      <c r="I3" s="737"/>
      <c r="J3" s="752"/>
      <c r="K3" s="668"/>
      <c r="L3" s="42"/>
    </row>
    <row r="4" spans="1:12" s="3" customFormat="1" x14ac:dyDescent="0.35">
      <c r="A4" s="183"/>
      <c r="B4" s="198"/>
      <c r="C4" s="232"/>
      <c r="D4" s="712"/>
      <c r="E4" s="718"/>
      <c r="F4" s="722" t="s">
        <v>732</v>
      </c>
      <c r="G4" s="729">
        <v>373084.28</v>
      </c>
      <c r="H4" s="200"/>
      <c r="I4" s="736"/>
      <c r="J4" s="753"/>
      <c r="K4" s="669"/>
      <c r="L4" s="42"/>
    </row>
    <row r="5" spans="1:12" s="3" customFormat="1" x14ac:dyDescent="0.35">
      <c r="A5" s="183"/>
      <c r="B5" s="202" t="s">
        <v>7</v>
      </c>
      <c r="C5" s="203" t="s">
        <v>8</v>
      </c>
      <c r="D5" s="713" t="s">
        <v>9</v>
      </c>
      <c r="E5" s="720" t="s">
        <v>63</v>
      </c>
      <c r="F5" s="723" t="s">
        <v>10</v>
      </c>
      <c r="G5" s="729">
        <f>+G2+G4+G3</f>
        <v>373084.28</v>
      </c>
      <c r="H5" s="200"/>
      <c r="I5" s="738"/>
      <c r="J5" s="747"/>
      <c r="K5" s="668"/>
      <c r="L5" s="42"/>
    </row>
    <row r="6" spans="1:12" x14ac:dyDescent="0.35">
      <c r="A6" s="683" t="s">
        <v>11</v>
      </c>
      <c r="B6" s="684">
        <v>43831</v>
      </c>
      <c r="C6" s="683" t="s">
        <v>12</v>
      </c>
      <c r="D6" s="714">
        <v>0</v>
      </c>
      <c r="E6" s="714"/>
      <c r="F6" s="724"/>
      <c r="G6" s="730"/>
    </row>
    <row r="7" spans="1:12" x14ac:dyDescent="0.35">
      <c r="A7" s="683"/>
      <c r="B7" s="684">
        <v>43809</v>
      </c>
      <c r="C7" s="683" t="s">
        <v>13</v>
      </c>
      <c r="D7" s="714">
        <v>36500</v>
      </c>
      <c r="E7" s="714"/>
      <c r="F7" s="724"/>
      <c r="G7" s="731"/>
      <c r="H7" s="11"/>
      <c r="I7" s="740"/>
    </row>
    <row r="8" spans="1:12" x14ac:dyDescent="0.35">
      <c r="A8" s="683"/>
      <c r="B8" s="684">
        <v>43840</v>
      </c>
      <c r="C8" s="683" t="s">
        <v>172</v>
      </c>
      <c r="D8" s="714"/>
      <c r="E8" s="714">
        <v>4500</v>
      </c>
      <c r="F8" s="724"/>
      <c r="G8" s="731"/>
      <c r="H8" s="11"/>
      <c r="I8" s="740"/>
      <c r="K8" s="252"/>
    </row>
    <row r="9" spans="1:12" x14ac:dyDescent="0.35">
      <c r="A9" s="683"/>
      <c r="B9" s="684">
        <v>43837</v>
      </c>
      <c r="C9" s="683" t="s">
        <v>197</v>
      </c>
      <c r="D9" s="714"/>
      <c r="E9" s="714">
        <v>7000</v>
      </c>
      <c r="F9" s="724"/>
      <c r="G9" s="731"/>
      <c r="H9" s="11"/>
      <c r="I9" s="740"/>
      <c r="K9" s="252"/>
    </row>
    <row r="10" spans="1:12" x14ac:dyDescent="0.35">
      <c r="A10" s="683"/>
      <c r="B10" s="684">
        <v>43850</v>
      </c>
      <c r="C10" s="683" t="s">
        <v>163</v>
      </c>
      <c r="D10" s="714"/>
      <c r="E10" s="714">
        <f>3400+6100</f>
        <v>9500</v>
      </c>
      <c r="F10" s="724"/>
      <c r="G10" s="731"/>
      <c r="H10" s="11"/>
      <c r="I10" s="740"/>
      <c r="K10" s="252"/>
    </row>
    <row r="11" spans="1:12" x14ac:dyDescent="0.35">
      <c r="A11" s="683"/>
      <c r="B11" s="684">
        <v>43835</v>
      </c>
      <c r="C11" s="683" t="s">
        <v>231</v>
      </c>
      <c r="D11" s="714"/>
      <c r="E11" s="714">
        <v>800</v>
      </c>
      <c r="F11" s="724"/>
      <c r="G11" s="731"/>
      <c r="H11" s="11"/>
      <c r="I11" s="740"/>
      <c r="K11" s="252"/>
    </row>
    <row r="12" spans="1:12" x14ac:dyDescent="0.35">
      <c r="A12" s="683"/>
      <c r="B12" s="684">
        <v>43840</v>
      </c>
      <c r="C12" s="683" t="s">
        <v>236</v>
      </c>
      <c r="D12" s="714"/>
      <c r="E12" s="714">
        <v>4000</v>
      </c>
      <c r="F12" s="724"/>
      <c r="G12" s="731"/>
      <c r="H12" s="11"/>
      <c r="I12" s="740"/>
      <c r="K12" s="252"/>
    </row>
    <row r="13" spans="1:12" x14ac:dyDescent="0.35">
      <c r="A13" s="683"/>
      <c r="B13" s="684"/>
      <c r="C13" s="683"/>
      <c r="D13" s="714"/>
      <c r="E13" s="714"/>
      <c r="F13" s="724">
        <f>SUM(D6:D13)-SUM(E6:E13)</f>
        <v>10700</v>
      </c>
      <c r="G13" s="732">
        <v>395781.52279999998</v>
      </c>
      <c r="H13" s="473"/>
      <c r="I13" s="740"/>
      <c r="K13" s="252"/>
    </row>
    <row r="14" spans="1:12" x14ac:dyDescent="0.35">
      <c r="A14" s="683" t="s">
        <v>16</v>
      </c>
      <c r="B14" s="684">
        <v>43845</v>
      </c>
      <c r="C14" s="683" t="s">
        <v>13</v>
      </c>
      <c r="D14" s="714">
        <v>36500</v>
      </c>
      <c r="E14" s="714"/>
      <c r="F14" s="724"/>
      <c r="G14" s="732"/>
      <c r="H14" s="11"/>
      <c r="I14" s="740"/>
      <c r="K14" s="252"/>
    </row>
    <row r="15" spans="1:12" x14ac:dyDescent="0.35">
      <c r="A15" s="683"/>
      <c r="B15" s="684">
        <v>43871</v>
      </c>
      <c r="C15" s="683" t="s">
        <v>172</v>
      </c>
      <c r="D15" s="714"/>
      <c r="E15" s="714">
        <v>4500</v>
      </c>
      <c r="F15" s="724"/>
      <c r="G15" s="732"/>
      <c r="H15" s="11"/>
      <c r="I15" s="740"/>
      <c r="K15" s="252"/>
    </row>
    <row r="16" spans="1:12" x14ac:dyDescent="0.35">
      <c r="A16" s="683"/>
      <c r="B16" s="684">
        <v>43872</v>
      </c>
      <c r="C16" s="683" t="s">
        <v>197</v>
      </c>
      <c r="D16" s="714"/>
      <c r="E16" s="714">
        <v>8400</v>
      </c>
      <c r="F16" s="724"/>
      <c r="G16" s="732"/>
      <c r="H16" s="11"/>
      <c r="I16" s="740"/>
      <c r="K16" s="252"/>
    </row>
    <row r="17" spans="1:11" x14ac:dyDescent="0.35">
      <c r="A17" s="683"/>
      <c r="B17" s="684">
        <v>43878</v>
      </c>
      <c r="C17" s="683" t="s">
        <v>163</v>
      </c>
      <c r="D17" s="714"/>
      <c r="E17" s="714">
        <f>3400</f>
        <v>3400</v>
      </c>
      <c r="F17" s="724"/>
      <c r="G17" s="732"/>
      <c r="H17" s="11"/>
      <c r="I17" s="740"/>
      <c r="K17" s="252"/>
    </row>
    <row r="18" spans="1:11" x14ac:dyDescent="0.35">
      <c r="A18" s="683"/>
      <c r="B18" s="684">
        <v>43890</v>
      </c>
      <c r="C18" s="683" t="s">
        <v>38</v>
      </c>
      <c r="D18" s="714"/>
      <c r="E18" s="714">
        <v>600</v>
      </c>
      <c r="F18" s="724"/>
      <c r="G18" s="732"/>
      <c r="H18" s="11"/>
      <c r="I18" s="740"/>
    </row>
    <row r="19" spans="1:11" x14ac:dyDescent="0.35">
      <c r="A19" s="683"/>
      <c r="B19" s="684">
        <v>43890</v>
      </c>
      <c r="C19" s="683" t="s">
        <v>177</v>
      </c>
      <c r="D19" s="714"/>
      <c r="E19" s="714">
        <v>2700</v>
      </c>
      <c r="F19" s="724"/>
      <c r="G19" s="732"/>
      <c r="H19" s="11"/>
      <c r="I19" s="740"/>
    </row>
    <row r="20" spans="1:11" x14ac:dyDescent="0.35">
      <c r="A20" s="683"/>
      <c r="B20" s="684">
        <v>43871</v>
      </c>
      <c r="C20" s="683" t="s">
        <v>236</v>
      </c>
      <c r="D20" s="714"/>
      <c r="E20" s="714">
        <v>5000</v>
      </c>
      <c r="F20" s="724"/>
      <c r="G20" s="732"/>
      <c r="H20" s="11"/>
      <c r="I20" s="740"/>
    </row>
    <row r="21" spans="1:11" x14ac:dyDescent="0.35">
      <c r="A21" s="683"/>
      <c r="B21" s="684"/>
      <c r="C21" s="683"/>
      <c r="D21" s="714"/>
      <c r="E21" s="714"/>
      <c r="F21" s="724">
        <f>SUM(D14:D21)-SUM(E14:E21)</f>
        <v>11900</v>
      </c>
      <c r="G21" s="732">
        <v>417678.73879999999</v>
      </c>
      <c r="H21" s="473"/>
      <c r="I21" s="740"/>
      <c r="K21" s="670"/>
    </row>
    <row r="22" spans="1:11" x14ac:dyDescent="0.35">
      <c r="A22" s="683" t="s">
        <v>17</v>
      </c>
      <c r="B22" s="684">
        <v>43873</v>
      </c>
      <c r="C22" s="683" t="s">
        <v>13</v>
      </c>
      <c r="D22" s="714">
        <v>43200</v>
      </c>
      <c r="E22" s="714"/>
      <c r="F22" s="724"/>
      <c r="G22" s="732"/>
      <c r="H22" s="613"/>
      <c r="I22" s="740"/>
    </row>
    <row r="23" spans="1:11" x14ac:dyDescent="0.35">
      <c r="A23" s="683"/>
      <c r="B23" s="684">
        <v>43900</v>
      </c>
      <c r="C23" s="683" t="s">
        <v>172</v>
      </c>
      <c r="D23" s="714"/>
      <c r="E23" s="714">
        <v>4500</v>
      </c>
      <c r="F23" s="724"/>
      <c r="G23" s="732"/>
      <c r="H23" s="613"/>
      <c r="I23" s="740"/>
    </row>
    <row r="24" spans="1:11" x14ac:dyDescent="0.35">
      <c r="A24" s="683"/>
      <c r="B24" s="684">
        <v>43900</v>
      </c>
      <c r="C24" s="683" t="s">
        <v>197</v>
      </c>
      <c r="D24" s="714"/>
      <c r="E24" s="714">
        <v>12050</v>
      </c>
      <c r="F24" s="724"/>
      <c r="G24" s="732"/>
      <c r="H24" s="613"/>
      <c r="I24" s="740"/>
    </row>
    <row r="25" spans="1:11" x14ac:dyDescent="0.35">
      <c r="A25" s="683"/>
      <c r="B25" s="684">
        <v>43906</v>
      </c>
      <c r="C25" s="683" t="s">
        <v>163</v>
      </c>
      <c r="D25" s="714"/>
      <c r="E25" s="714">
        <f>1900</f>
        <v>1900</v>
      </c>
      <c r="F25" s="724"/>
      <c r="G25" s="732"/>
      <c r="H25" s="613"/>
      <c r="I25" s="740"/>
    </row>
    <row r="26" spans="1:11" x14ac:dyDescent="0.35">
      <c r="A26" s="683"/>
      <c r="B26" s="684">
        <v>43921</v>
      </c>
      <c r="C26" s="683" t="s">
        <v>38</v>
      </c>
      <c r="D26" s="714"/>
      <c r="E26" s="714">
        <v>600</v>
      </c>
      <c r="F26" s="724"/>
      <c r="G26" s="732"/>
      <c r="H26" s="613"/>
      <c r="I26" s="740"/>
    </row>
    <row r="27" spans="1:11" x14ac:dyDescent="0.35">
      <c r="A27" s="683"/>
      <c r="B27" s="684">
        <v>43921</v>
      </c>
      <c r="C27" s="683" t="s">
        <v>177</v>
      </c>
      <c r="D27" s="714"/>
      <c r="E27" s="714">
        <v>3800</v>
      </c>
      <c r="F27" s="724"/>
      <c r="G27" s="732"/>
      <c r="H27" s="613"/>
      <c r="I27" s="740"/>
    </row>
    <row r="28" spans="1:11" x14ac:dyDescent="0.35">
      <c r="A28" s="683"/>
      <c r="B28" s="684">
        <v>43900</v>
      </c>
      <c r="C28" s="683" t="s">
        <v>236</v>
      </c>
      <c r="D28" s="714"/>
      <c r="E28" s="714">
        <v>6000</v>
      </c>
      <c r="F28" s="724"/>
      <c r="G28" s="732"/>
      <c r="H28" s="613"/>
      <c r="I28" s="740"/>
    </row>
    <row r="29" spans="1:11" x14ac:dyDescent="0.35">
      <c r="A29" s="683"/>
      <c r="B29" s="684"/>
      <c r="C29" s="683"/>
      <c r="D29" s="714"/>
      <c r="E29" s="714"/>
      <c r="F29" s="724">
        <f>SUM(D22:D29)-SUM(E22:E29)</f>
        <v>14350</v>
      </c>
      <c r="G29" s="732">
        <v>420244.70899999997</v>
      </c>
      <c r="H29" s="473"/>
      <c r="I29" s="740"/>
    </row>
    <row r="30" spans="1:11" x14ac:dyDescent="0.35">
      <c r="A30" s="683" t="s">
        <v>18</v>
      </c>
      <c r="B30" s="684">
        <v>43906</v>
      </c>
      <c r="C30" s="683" t="s">
        <v>13</v>
      </c>
      <c r="D30" s="714">
        <v>43800</v>
      </c>
      <c r="E30" s="714"/>
      <c r="F30" s="724"/>
      <c r="G30" s="732"/>
      <c r="H30" s="473"/>
      <c r="I30" s="740"/>
    </row>
    <row r="31" spans="1:11" x14ac:dyDescent="0.35">
      <c r="A31" s="683"/>
      <c r="B31" s="684">
        <v>43923</v>
      </c>
      <c r="C31" s="683" t="s">
        <v>172</v>
      </c>
      <c r="D31" s="714"/>
      <c r="E31" s="714">
        <v>4500</v>
      </c>
      <c r="F31" s="724"/>
      <c r="G31" s="732"/>
      <c r="H31" s="473"/>
      <c r="I31" s="740"/>
    </row>
    <row r="32" spans="1:11" x14ac:dyDescent="0.35">
      <c r="A32" s="683"/>
      <c r="B32" s="684">
        <v>43928</v>
      </c>
      <c r="C32" s="683" t="s">
        <v>197</v>
      </c>
      <c r="D32" s="714"/>
      <c r="E32" s="714">
        <v>13000</v>
      </c>
      <c r="F32" s="724"/>
      <c r="G32" s="732"/>
      <c r="H32" s="473"/>
      <c r="I32" s="740"/>
    </row>
    <row r="33" spans="1:16" x14ac:dyDescent="0.35">
      <c r="A33" s="683"/>
      <c r="B33" s="684">
        <v>43941</v>
      </c>
      <c r="C33" s="683" t="s">
        <v>163</v>
      </c>
      <c r="D33" s="714"/>
      <c r="E33" s="714">
        <f>1400</f>
        <v>1400</v>
      </c>
      <c r="F33" s="724"/>
      <c r="G33" s="732"/>
      <c r="H33" s="473"/>
      <c r="I33" s="740"/>
      <c r="L33" s="28"/>
    </row>
    <row r="34" spans="1:16" x14ac:dyDescent="0.35">
      <c r="A34" s="683"/>
      <c r="B34" s="684">
        <v>43951</v>
      </c>
      <c r="C34" s="683" t="s">
        <v>38</v>
      </c>
      <c r="D34" s="714"/>
      <c r="E34" s="714">
        <v>400</v>
      </c>
      <c r="F34" s="724"/>
      <c r="G34" s="732"/>
      <c r="H34" s="473"/>
      <c r="I34" s="740"/>
    </row>
    <row r="35" spans="1:16" x14ac:dyDescent="0.35">
      <c r="A35" s="683"/>
      <c r="B35" s="684">
        <v>43951</v>
      </c>
      <c r="C35" s="683" t="s">
        <v>177</v>
      </c>
      <c r="D35" s="714"/>
      <c r="E35" s="714">
        <v>3800</v>
      </c>
      <c r="F35" s="724"/>
      <c r="G35" s="732"/>
      <c r="H35" s="473"/>
      <c r="I35" s="740"/>
    </row>
    <row r="36" spans="1:16" x14ac:dyDescent="0.35">
      <c r="A36" s="683"/>
      <c r="B36" s="684">
        <v>43924</v>
      </c>
      <c r="C36" s="683" t="s">
        <v>734</v>
      </c>
      <c r="D36" s="714"/>
      <c r="E36" s="714">
        <v>1100</v>
      </c>
      <c r="F36" s="724"/>
      <c r="G36" s="732"/>
      <c r="H36" s="473"/>
      <c r="I36" s="740"/>
    </row>
    <row r="37" spans="1:16" x14ac:dyDescent="0.35">
      <c r="A37" s="683"/>
      <c r="B37" s="684">
        <v>43931</v>
      </c>
      <c r="C37" s="683" t="s">
        <v>236</v>
      </c>
      <c r="D37" s="714"/>
      <c r="E37" s="714">
        <v>6000</v>
      </c>
      <c r="F37" s="724"/>
      <c r="G37" s="732"/>
      <c r="H37" s="473"/>
      <c r="I37" s="740"/>
    </row>
    <row r="38" spans="1:16" x14ac:dyDescent="0.35">
      <c r="A38" s="683"/>
      <c r="B38" s="684"/>
      <c r="C38" s="683"/>
      <c r="D38" s="714"/>
      <c r="E38" s="714"/>
      <c r="F38" s="724">
        <f>SUM(D30:D38)-SUM(E30:E38)</f>
        <v>13600</v>
      </c>
      <c r="G38" s="732">
        <v>390069.81</v>
      </c>
      <c r="H38" s="11"/>
      <c r="I38" s="740"/>
      <c r="N38" s="77"/>
      <c r="O38" s="77"/>
      <c r="P38" s="77"/>
    </row>
    <row r="39" spans="1:16" x14ac:dyDescent="0.35">
      <c r="A39" s="683" t="s">
        <v>20</v>
      </c>
      <c r="B39" s="684">
        <v>43907</v>
      </c>
      <c r="C39" s="683" t="s">
        <v>13</v>
      </c>
      <c r="D39" s="714">
        <v>43800</v>
      </c>
      <c r="E39" s="714"/>
      <c r="F39" s="724"/>
      <c r="G39" s="732"/>
      <c r="H39" s="473"/>
      <c r="I39" s="740"/>
      <c r="N39" s="77"/>
      <c r="O39" s="77"/>
      <c r="P39" s="77"/>
    </row>
    <row r="40" spans="1:16" x14ac:dyDescent="0.35">
      <c r="A40" s="683"/>
      <c r="B40" s="684">
        <v>43961</v>
      </c>
      <c r="C40" s="683" t="s">
        <v>172</v>
      </c>
      <c r="D40" s="714"/>
      <c r="E40" s="714">
        <v>4500</v>
      </c>
      <c r="F40" s="724"/>
      <c r="G40" s="732"/>
      <c r="H40" s="473"/>
      <c r="I40" s="740"/>
      <c r="N40" s="77"/>
      <c r="O40" s="77"/>
      <c r="P40" s="77"/>
    </row>
    <row r="41" spans="1:16" x14ac:dyDescent="0.35">
      <c r="A41" s="683"/>
      <c r="B41" s="684">
        <v>43963</v>
      </c>
      <c r="C41" s="683" t="s">
        <v>197</v>
      </c>
      <c r="D41" s="714"/>
      <c r="E41" s="714">
        <v>10000</v>
      </c>
      <c r="F41" s="724"/>
      <c r="G41" s="732"/>
      <c r="H41" s="76"/>
      <c r="I41" s="740"/>
      <c r="N41" s="77"/>
      <c r="O41" s="77"/>
      <c r="P41" s="77"/>
    </row>
    <row r="42" spans="1:16" x14ac:dyDescent="0.35">
      <c r="A42" s="683"/>
      <c r="B42" s="684">
        <v>43969</v>
      </c>
      <c r="C42" s="683" t="s">
        <v>163</v>
      </c>
      <c r="D42" s="714"/>
      <c r="E42" s="714">
        <f>1400</f>
        <v>1400</v>
      </c>
      <c r="F42" s="724"/>
      <c r="G42" s="732"/>
      <c r="H42" s="76"/>
      <c r="I42" s="740"/>
      <c r="N42" s="77"/>
      <c r="O42" s="77"/>
      <c r="P42" s="77"/>
    </row>
    <row r="43" spans="1:16" x14ac:dyDescent="0.35">
      <c r="A43" s="683"/>
      <c r="B43" s="684">
        <v>43982</v>
      </c>
      <c r="C43" s="683" t="s">
        <v>177</v>
      </c>
      <c r="D43" s="714"/>
      <c r="E43" s="714">
        <v>1300</v>
      </c>
      <c r="F43" s="724"/>
      <c r="G43" s="732"/>
      <c r="H43" s="76"/>
      <c r="I43" s="740"/>
      <c r="N43" s="77"/>
      <c r="O43" s="77"/>
      <c r="P43" s="77"/>
    </row>
    <row r="44" spans="1:16" x14ac:dyDescent="0.35">
      <c r="A44" s="683"/>
      <c r="B44" s="684">
        <v>43961</v>
      </c>
      <c r="C44" s="683" t="s">
        <v>236</v>
      </c>
      <c r="D44" s="714"/>
      <c r="E44" s="714">
        <v>6000</v>
      </c>
      <c r="F44" s="724"/>
      <c r="G44" s="732"/>
      <c r="H44" s="76"/>
      <c r="I44" s="740"/>
      <c r="N44" s="77"/>
      <c r="O44" s="77"/>
      <c r="P44" s="77"/>
    </row>
    <row r="45" spans="1:16" x14ac:dyDescent="0.35">
      <c r="A45" s="683"/>
      <c r="B45" s="684"/>
      <c r="C45" s="683"/>
      <c r="D45" s="714"/>
      <c r="E45" s="714"/>
      <c r="F45" s="724">
        <f>SUM(D39:D45)-SUM(E39:E45)</f>
        <v>20600</v>
      </c>
      <c r="G45" s="732">
        <v>448701.10550000001</v>
      </c>
      <c r="H45" s="76"/>
      <c r="I45" s="740"/>
    </row>
    <row r="46" spans="1:16" x14ac:dyDescent="0.35">
      <c r="A46" s="683" t="s">
        <v>21</v>
      </c>
      <c r="B46" s="684">
        <v>43963</v>
      </c>
      <c r="C46" s="683" t="s">
        <v>13</v>
      </c>
      <c r="D46" s="714">
        <v>43800</v>
      </c>
      <c r="E46" s="714"/>
      <c r="F46" s="724"/>
      <c r="G46" s="732"/>
      <c r="H46" s="473"/>
      <c r="I46" s="740"/>
    </row>
    <row r="47" spans="1:16" x14ac:dyDescent="0.35">
      <c r="A47" s="683"/>
      <c r="B47" s="684">
        <v>43992</v>
      </c>
      <c r="C47" s="683" t="s">
        <v>172</v>
      </c>
      <c r="D47" s="714"/>
      <c r="E47" s="714">
        <v>4500</v>
      </c>
      <c r="F47" s="724"/>
      <c r="G47" s="732"/>
      <c r="H47" s="473"/>
      <c r="I47" s="740"/>
      <c r="J47" s="740"/>
      <c r="L47" s="628"/>
    </row>
    <row r="48" spans="1:16" x14ac:dyDescent="0.35">
      <c r="A48" s="683"/>
      <c r="B48" s="684">
        <v>43991</v>
      </c>
      <c r="C48" s="683" t="s">
        <v>197</v>
      </c>
      <c r="D48" s="714"/>
      <c r="E48" s="714">
        <v>7800</v>
      </c>
      <c r="F48" s="724"/>
      <c r="G48" s="732"/>
      <c r="H48" s="473"/>
      <c r="I48" s="740"/>
      <c r="J48" s="740"/>
      <c r="L48" s="628"/>
    </row>
    <row r="49" spans="1:13" x14ac:dyDescent="0.35">
      <c r="A49" s="683"/>
      <c r="B49" s="684">
        <v>43997</v>
      </c>
      <c r="C49" s="683" t="s">
        <v>163</v>
      </c>
      <c r="D49" s="714"/>
      <c r="E49" s="714">
        <v>1400</v>
      </c>
      <c r="F49" s="724"/>
      <c r="G49" s="732"/>
      <c r="H49" s="473"/>
      <c r="I49" s="740"/>
      <c r="J49" s="740"/>
      <c r="L49" s="628"/>
    </row>
    <row r="50" spans="1:13" x14ac:dyDescent="0.35">
      <c r="A50" s="683"/>
      <c r="B50" s="684">
        <v>44012</v>
      </c>
      <c r="C50" s="683" t="s">
        <v>177</v>
      </c>
      <c r="D50" s="714"/>
      <c r="E50" s="714">
        <v>1300</v>
      </c>
      <c r="F50" s="724"/>
      <c r="G50" s="732"/>
      <c r="H50" s="473"/>
      <c r="I50" s="740"/>
      <c r="J50" s="740"/>
    </row>
    <row r="51" spans="1:13" x14ac:dyDescent="0.35">
      <c r="A51" s="683"/>
      <c r="B51" s="684">
        <v>44012</v>
      </c>
      <c r="C51" s="683" t="s">
        <v>236</v>
      </c>
      <c r="D51" s="714"/>
      <c r="E51" s="714">
        <v>7000</v>
      </c>
      <c r="F51" s="724"/>
      <c r="G51" s="732"/>
      <c r="H51" s="473"/>
      <c r="I51" s="740"/>
      <c r="J51" s="740"/>
    </row>
    <row r="52" spans="1:13" x14ac:dyDescent="0.35">
      <c r="A52" s="683"/>
      <c r="B52" s="684"/>
      <c r="C52" s="683"/>
      <c r="D52" s="714"/>
      <c r="E52" s="714"/>
      <c r="F52" s="724">
        <f>SUM(D46:D52)-SUM(E46:E52)</f>
        <v>21800</v>
      </c>
      <c r="G52" s="732">
        <v>477297.54269999999</v>
      </c>
      <c r="H52" s="11"/>
      <c r="I52" s="741"/>
      <c r="J52" s="741"/>
      <c r="K52" s="671"/>
      <c r="L52" s="632"/>
      <c r="M52" s="632"/>
    </row>
    <row r="53" spans="1:13" x14ac:dyDescent="0.35">
      <c r="A53" s="683" t="s">
        <v>22</v>
      </c>
      <c r="B53" s="684">
        <v>43999</v>
      </c>
      <c r="C53" s="683" t="s">
        <v>13</v>
      </c>
      <c r="D53" s="714">
        <v>43800</v>
      </c>
      <c r="E53" s="714"/>
      <c r="F53" s="724"/>
      <c r="G53" s="732"/>
      <c r="H53" s="473"/>
      <c r="I53" s="741"/>
      <c r="J53" s="741"/>
      <c r="K53" s="671"/>
      <c r="L53" s="632"/>
      <c r="M53" s="632"/>
    </row>
    <row r="54" spans="1:13" x14ac:dyDescent="0.35">
      <c r="A54" s="683"/>
      <c r="B54" s="684">
        <v>44022</v>
      </c>
      <c r="C54" s="683" t="s">
        <v>172</v>
      </c>
      <c r="D54" s="714"/>
      <c r="E54" s="714">
        <v>4500</v>
      </c>
      <c r="F54" s="724"/>
      <c r="G54" s="732"/>
      <c r="H54" s="473"/>
      <c r="I54" s="741"/>
      <c r="J54" s="741"/>
      <c r="K54" s="671"/>
      <c r="L54" s="632"/>
      <c r="M54" s="632"/>
    </row>
    <row r="55" spans="1:13" x14ac:dyDescent="0.35">
      <c r="A55" s="683"/>
      <c r="B55" s="684">
        <v>44026</v>
      </c>
      <c r="C55" s="683" t="s">
        <v>197</v>
      </c>
      <c r="D55" s="714"/>
      <c r="E55" s="714">
        <v>6000</v>
      </c>
      <c r="F55" s="724"/>
      <c r="G55" s="732"/>
      <c r="H55" s="473"/>
      <c r="I55" s="742"/>
      <c r="J55" s="742"/>
      <c r="K55" s="671"/>
      <c r="L55" s="632"/>
      <c r="M55" s="632"/>
    </row>
    <row r="56" spans="1:13" x14ac:dyDescent="0.35">
      <c r="A56" s="683"/>
      <c r="B56" s="684">
        <v>44032</v>
      </c>
      <c r="C56" s="683" t="s">
        <v>163</v>
      </c>
      <c r="D56" s="714"/>
      <c r="E56" s="714">
        <v>1400</v>
      </c>
      <c r="F56" s="724"/>
      <c r="G56" s="732"/>
      <c r="H56" s="473"/>
      <c r="I56" s="743"/>
      <c r="J56" s="743"/>
      <c r="K56" s="671"/>
      <c r="L56" s="632"/>
      <c r="M56" s="632"/>
    </row>
    <row r="57" spans="1:13" x14ac:dyDescent="0.35">
      <c r="A57" s="683"/>
      <c r="B57" s="684">
        <v>44023</v>
      </c>
      <c r="C57" s="683" t="s">
        <v>177</v>
      </c>
      <c r="D57" s="714"/>
      <c r="E57" s="714">
        <v>2200</v>
      </c>
      <c r="F57" s="724"/>
      <c r="G57" s="732"/>
      <c r="H57" s="473"/>
      <c r="I57" s="742"/>
      <c r="J57" s="742"/>
      <c r="K57" s="671"/>
      <c r="L57" s="632"/>
      <c r="M57" s="632"/>
    </row>
    <row r="58" spans="1:13" x14ac:dyDescent="0.35">
      <c r="A58" s="683"/>
      <c r="B58" s="684">
        <v>44043</v>
      </c>
      <c r="C58" s="683" t="s">
        <v>236</v>
      </c>
      <c r="D58" s="714"/>
      <c r="E58" s="714">
        <v>7000</v>
      </c>
      <c r="F58" s="724"/>
      <c r="G58" s="732"/>
      <c r="H58" s="473"/>
      <c r="I58" s="743"/>
      <c r="J58" s="742"/>
      <c r="K58" s="671"/>
      <c r="L58" s="632"/>
      <c r="M58" s="632"/>
    </row>
    <row r="59" spans="1:13" x14ac:dyDescent="0.35">
      <c r="A59" s="683"/>
      <c r="B59" s="684"/>
      <c r="C59" s="683"/>
      <c r="D59" s="714"/>
      <c r="E59" s="714"/>
      <c r="F59" s="724">
        <f>SUM(D53:D59)-SUM(E53:E59)</f>
        <v>22700</v>
      </c>
      <c r="G59" s="732">
        <v>551878.5183</v>
      </c>
      <c r="H59" s="11"/>
      <c r="I59" s="741"/>
      <c r="J59" s="754"/>
      <c r="K59" s="672"/>
      <c r="L59" s="632"/>
      <c r="M59" s="632"/>
    </row>
    <row r="60" spans="1:13" x14ac:dyDescent="0.35">
      <c r="A60" s="683" t="s">
        <v>23</v>
      </c>
      <c r="B60" s="684">
        <v>44026</v>
      </c>
      <c r="C60" s="683" t="s">
        <v>13</v>
      </c>
      <c r="D60" s="714">
        <v>43800</v>
      </c>
      <c r="E60" s="714"/>
      <c r="F60" s="724"/>
      <c r="G60" s="732"/>
      <c r="J60" s="725"/>
      <c r="K60" s="673"/>
      <c r="L60" s="630"/>
      <c r="M60" s="630"/>
    </row>
    <row r="61" spans="1:13" x14ac:dyDescent="0.35">
      <c r="A61" s="683"/>
      <c r="B61" s="684">
        <v>44060</v>
      </c>
      <c r="C61" s="683" t="s">
        <v>163</v>
      </c>
      <c r="D61" s="714"/>
      <c r="E61" s="714">
        <v>1400</v>
      </c>
      <c r="F61" s="724"/>
      <c r="G61" s="732"/>
      <c r="H61" s="473"/>
      <c r="I61" s="740"/>
      <c r="J61" s="746"/>
      <c r="K61" s="674"/>
    </row>
    <row r="62" spans="1:13" x14ac:dyDescent="0.35">
      <c r="A62" s="683"/>
      <c r="B62" s="684">
        <v>44054</v>
      </c>
      <c r="C62" s="683" t="s">
        <v>177</v>
      </c>
      <c r="D62" s="714"/>
      <c r="E62" s="714">
        <v>1900</v>
      </c>
      <c r="F62" s="724"/>
      <c r="G62" s="732"/>
      <c r="H62" s="11"/>
      <c r="I62" s="740"/>
      <c r="J62" s="746"/>
      <c r="K62" s="674"/>
    </row>
    <row r="63" spans="1:13" x14ac:dyDescent="0.35">
      <c r="A63" s="683"/>
      <c r="B63" s="684">
        <v>44053</v>
      </c>
      <c r="C63" s="683" t="s">
        <v>236</v>
      </c>
      <c r="D63" s="714"/>
      <c r="E63" s="714">
        <v>7000</v>
      </c>
      <c r="F63" s="724"/>
      <c r="G63" s="732"/>
      <c r="H63" s="11"/>
      <c r="I63" s="740"/>
      <c r="J63" s="746"/>
      <c r="K63" s="674"/>
    </row>
    <row r="64" spans="1:13" x14ac:dyDescent="0.35">
      <c r="A64" s="683"/>
      <c r="B64" s="684"/>
      <c r="C64" s="683"/>
      <c r="D64" s="714"/>
      <c r="E64" s="714"/>
      <c r="F64" s="724">
        <f>SUM(D60:D64)-SUM(E60:E64)</f>
        <v>33500</v>
      </c>
      <c r="G64" s="732">
        <v>596759.15110000002</v>
      </c>
      <c r="H64" s="11"/>
      <c r="I64" s="740"/>
      <c r="J64" s="746"/>
      <c r="K64" s="674"/>
    </row>
    <row r="65" spans="1:13" x14ac:dyDescent="0.35">
      <c r="A65" s="683" t="s">
        <v>24</v>
      </c>
      <c r="B65" s="684">
        <v>44054</v>
      </c>
      <c r="C65" s="683" t="s">
        <v>13</v>
      </c>
      <c r="D65" s="714">
        <v>43800</v>
      </c>
      <c r="E65" s="714"/>
      <c r="F65" s="724"/>
      <c r="G65" s="732"/>
      <c r="H65" s="11"/>
      <c r="I65" s="740"/>
      <c r="J65" s="746"/>
      <c r="K65" s="674"/>
    </row>
    <row r="66" spans="1:13" x14ac:dyDescent="0.35">
      <c r="A66" s="683"/>
      <c r="B66" s="684">
        <v>44095</v>
      </c>
      <c r="C66" s="683" t="s">
        <v>163</v>
      </c>
      <c r="D66" s="714"/>
      <c r="E66" s="714">
        <v>1400</v>
      </c>
      <c r="F66" s="724"/>
      <c r="G66" s="732"/>
      <c r="H66" s="11"/>
      <c r="I66" s="740"/>
    </row>
    <row r="67" spans="1:13" x14ac:dyDescent="0.35">
      <c r="A67" s="683"/>
      <c r="B67" s="684">
        <v>44085</v>
      </c>
      <c r="C67" s="683" t="s">
        <v>177</v>
      </c>
      <c r="D67" s="714"/>
      <c r="E67" s="714">
        <v>1900</v>
      </c>
      <c r="F67" s="724"/>
      <c r="G67" s="732"/>
      <c r="H67" s="11"/>
      <c r="I67" s="740"/>
      <c r="L67" s="628"/>
    </row>
    <row r="68" spans="1:13" x14ac:dyDescent="0.35">
      <c r="A68" s="683"/>
      <c r="B68" s="684">
        <v>44084</v>
      </c>
      <c r="C68" s="683" t="s">
        <v>236</v>
      </c>
      <c r="D68" s="714"/>
      <c r="E68" s="714">
        <v>7000</v>
      </c>
      <c r="F68" s="724"/>
      <c r="G68" s="732"/>
      <c r="H68" s="11"/>
      <c r="I68" s="740"/>
      <c r="K68" s="674"/>
      <c r="L68" s="628"/>
    </row>
    <row r="69" spans="1:13" x14ac:dyDescent="0.35">
      <c r="A69" s="683"/>
      <c r="B69" s="684"/>
      <c r="C69" s="683"/>
      <c r="D69" s="714"/>
      <c r="E69" s="714"/>
      <c r="F69" s="724">
        <f>SUM(D65:D69)-SUM(E65:E69)</f>
        <v>33500</v>
      </c>
      <c r="G69" s="732">
        <v>617314.29429999995</v>
      </c>
      <c r="H69" s="11"/>
      <c r="I69" s="740"/>
      <c r="J69" s="746"/>
      <c r="K69" s="674"/>
    </row>
    <row r="70" spans="1:13" x14ac:dyDescent="0.35">
      <c r="A70" s="683" t="s">
        <v>25</v>
      </c>
      <c r="B70" s="684">
        <v>44089</v>
      </c>
      <c r="C70" s="683" t="s">
        <v>13</v>
      </c>
      <c r="D70" s="714">
        <v>43800</v>
      </c>
      <c r="E70" s="714"/>
      <c r="F70" s="724"/>
      <c r="G70" s="732"/>
      <c r="K70" s="674"/>
      <c r="L70" s="628"/>
    </row>
    <row r="71" spans="1:13" x14ac:dyDescent="0.35">
      <c r="A71" s="683"/>
      <c r="B71" s="684">
        <v>44123</v>
      </c>
      <c r="C71" s="683" t="s">
        <v>163</v>
      </c>
      <c r="D71" s="714"/>
      <c r="E71" s="714">
        <v>1400</v>
      </c>
      <c r="F71" s="724"/>
      <c r="G71" s="732"/>
      <c r="H71" s="11"/>
      <c r="I71" s="740"/>
      <c r="L71" s="628"/>
    </row>
    <row r="72" spans="1:13" x14ac:dyDescent="0.35">
      <c r="A72" s="683"/>
      <c r="B72" s="684">
        <v>44115</v>
      </c>
      <c r="C72" s="683" t="s">
        <v>177</v>
      </c>
      <c r="D72" s="714"/>
      <c r="E72" s="714">
        <v>1900</v>
      </c>
      <c r="F72" s="724"/>
      <c r="G72" s="732"/>
      <c r="H72" s="11"/>
      <c r="I72" s="740"/>
      <c r="L72" s="628"/>
      <c r="M72" s="628"/>
    </row>
    <row r="73" spans="1:13" x14ac:dyDescent="0.35">
      <c r="A73" s="683"/>
      <c r="B73" s="684">
        <v>44114</v>
      </c>
      <c r="C73" s="683" t="s">
        <v>236</v>
      </c>
      <c r="D73" s="714"/>
      <c r="E73" s="714">
        <v>7000</v>
      </c>
      <c r="F73" s="724"/>
      <c r="G73" s="732"/>
      <c r="H73" s="11"/>
      <c r="I73" s="740"/>
      <c r="J73" s="746"/>
      <c r="K73" s="674"/>
      <c r="L73" s="628"/>
      <c r="M73" s="628"/>
    </row>
    <row r="74" spans="1:13" x14ac:dyDescent="0.35">
      <c r="A74" s="683"/>
      <c r="B74" s="684"/>
      <c r="C74" s="683"/>
      <c r="D74" s="714"/>
      <c r="E74" s="714"/>
      <c r="F74" s="724">
        <f>SUM(D70:D74)-SUM(E70:E74)</f>
        <v>33500</v>
      </c>
      <c r="G74" s="732">
        <v>691222.61</v>
      </c>
      <c r="H74" s="473"/>
      <c r="I74" s="740"/>
      <c r="J74" s="746"/>
      <c r="K74" s="674"/>
      <c r="M74" s="628"/>
    </row>
    <row r="75" spans="1:13" x14ac:dyDescent="0.35">
      <c r="A75" s="683" t="s">
        <v>26</v>
      </c>
      <c r="B75" s="684">
        <v>44118</v>
      </c>
      <c r="C75" s="683" t="s">
        <v>13</v>
      </c>
      <c r="D75" s="714">
        <v>52600</v>
      </c>
      <c r="E75" s="714"/>
      <c r="F75" s="724"/>
      <c r="G75" s="732"/>
      <c r="H75" s="11"/>
      <c r="I75" s="740"/>
      <c r="J75" s="746"/>
      <c r="K75" s="674"/>
      <c r="L75" s="88"/>
      <c r="M75" s="628"/>
    </row>
    <row r="76" spans="1:13" x14ac:dyDescent="0.35">
      <c r="A76" s="683"/>
      <c r="B76" s="684">
        <v>44151</v>
      </c>
      <c r="C76" s="683" t="s">
        <v>163</v>
      </c>
      <c r="D76" s="714"/>
      <c r="E76" s="714">
        <v>1400</v>
      </c>
      <c r="F76" s="724"/>
      <c r="G76" s="732"/>
      <c r="H76" s="11"/>
      <c r="I76" s="740"/>
      <c r="L76" s="88"/>
      <c r="M76" s="628"/>
    </row>
    <row r="77" spans="1:13" x14ac:dyDescent="0.35">
      <c r="A77" s="683"/>
      <c r="B77" s="684">
        <v>44146</v>
      </c>
      <c r="C77" s="683" t="s">
        <v>177</v>
      </c>
      <c r="D77" s="714"/>
      <c r="E77" s="714">
        <v>2100</v>
      </c>
      <c r="F77" s="724"/>
      <c r="G77" s="732"/>
      <c r="H77" s="11"/>
      <c r="I77" s="740"/>
      <c r="M77" s="628"/>
    </row>
    <row r="78" spans="1:13" x14ac:dyDescent="0.35">
      <c r="A78" s="683"/>
      <c r="B78" s="684">
        <v>44145</v>
      </c>
      <c r="C78" s="683" t="s">
        <v>236</v>
      </c>
      <c r="D78" s="714"/>
      <c r="E78" s="714">
        <v>7000</v>
      </c>
      <c r="F78" s="724"/>
      <c r="M78" s="628"/>
    </row>
    <row r="79" spans="1:13" x14ac:dyDescent="0.35">
      <c r="A79" s="683"/>
      <c r="B79" s="684"/>
      <c r="C79" s="683"/>
      <c r="D79" s="714"/>
      <c r="E79" s="714"/>
      <c r="F79" s="724">
        <f>SUM(D75:D79)-SUM(E75:E79)</f>
        <v>42100</v>
      </c>
      <c r="G79" s="732">
        <v>828065.11899999995</v>
      </c>
      <c r="H79" s="473"/>
      <c r="I79" s="740"/>
      <c r="J79" s="746"/>
      <c r="K79" s="674"/>
    </row>
    <row r="80" spans="1:13" x14ac:dyDescent="0.35">
      <c r="A80" s="683" t="s">
        <v>27</v>
      </c>
      <c r="B80" s="684">
        <v>44146</v>
      </c>
      <c r="C80" s="683" t="s">
        <v>13</v>
      </c>
      <c r="D80" s="714">
        <v>52600</v>
      </c>
      <c r="E80" s="714"/>
      <c r="F80" s="724"/>
      <c r="G80" s="732"/>
      <c r="H80" s="11"/>
      <c r="I80" s="740"/>
      <c r="J80" s="746"/>
      <c r="K80" s="674"/>
    </row>
    <row r="81" spans="1:13" x14ac:dyDescent="0.35">
      <c r="A81" s="683"/>
      <c r="B81" s="684">
        <v>44186</v>
      </c>
      <c r="C81" s="683" t="s">
        <v>163</v>
      </c>
      <c r="D81" s="714"/>
      <c r="E81" s="714">
        <v>1400</v>
      </c>
      <c r="F81" s="724"/>
      <c r="G81" s="732"/>
      <c r="H81" s="11"/>
      <c r="I81" s="740"/>
    </row>
    <row r="82" spans="1:13" x14ac:dyDescent="0.35">
      <c r="A82" s="683"/>
      <c r="B82" s="684">
        <v>44176</v>
      </c>
      <c r="C82" s="683" t="s">
        <v>177</v>
      </c>
      <c r="D82" s="714"/>
      <c r="E82" s="714">
        <v>1600</v>
      </c>
      <c r="F82" s="724"/>
      <c r="G82" s="732"/>
      <c r="H82" s="11"/>
      <c r="I82" s="740"/>
      <c r="M82" s="628"/>
    </row>
    <row r="83" spans="1:13" x14ac:dyDescent="0.35">
      <c r="A83" s="683"/>
      <c r="B83" s="684">
        <v>44145</v>
      </c>
      <c r="C83" s="683" t="s">
        <v>236</v>
      </c>
      <c r="D83" s="714"/>
      <c r="E83" s="714">
        <v>8000</v>
      </c>
      <c r="F83" s="724"/>
      <c r="G83" s="732"/>
      <c r="H83" s="473"/>
      <c r="I83" s="744"/>
      <c r="J83" s="746"/>
      <c r="M83" s="628"/>
    </row>
    <row r="84" spans="1:13" x14ac:dyDescent="0.35">
      <c r="A84" s="683"/>
      <c r="B84" s="684"/>
      <c r="C84" s="683"/>
      <c r="D84" s="714"/>
      <c r="E84" s="714"/>
      <c r="F84" s="724">
        <f>SUM(D80:D84)-SUM(E80:E84)</f>
        <v>41600</v>
      </c>
      <c r="G84" s="732">
        <v>985667.14</v>
      </c>
      <c r="H84" s="473"/>
      <c r="I84" s="707"/>
      <c r="J84" s="707"/>
      <c r="K84" s="666"/>
      <c r="L84" s="644"/>
    </row>
    <row r="85" spans="1:13" x14ac:dyDescent="0.35">
      <c r="A85" s="19"/>
      <c r="D85" s="715"/>
      <c r="E85" s="715"/>
      <c r="H85" s="473"/>
      <c r="I85" s="740"/>
    </row>
    <row r="86" spans="1:13" x14ac:dyDescent="0.35">
      <c r="A86" s="19"/>
      <c r="D86" s="715"/>
      <c r="E86" s="715"/>
    </row>
    <row r="87" spans="1:13" x14ac:dyDescent="0.35">
      <c r="A87" s="19"/>
      <c r="D87" s="715"/>
      <c r="E87" s="715"/>
    </row>
    <row r="88" spans="1:13" x14ac:dyDescent="0.35">
      <c r="A88" s="19"/>
      <c r="D88" s="715"/>
      <c r="E88" s="715"/>
    </row>
    <row r="89" spans="1:13" x14ac:dyDescent="0.35">
      <c r="A89" s="19"/>
      <c r="D89" s="715"/>
      <c r="E89" s="715"/>
      <c r="I89" s="745"/>
      <c r="J89" s="745"/>
      <c r="K89" s="675"/>
    </row>
    <row r="90" spans="1:13" x14ac:dyDescent="0.35">
      <c r="A90" s="19"/>
      <c r="D90" s="715"/>
      <c r="E90" s="715"/>
      <c r="I90" s="745"/>
      <c r="J90" s="745">
        <v>373084.28</v>
      </c>
      <c r="K90" s="675"/>
    </row>
    <row r="91" spans="1:13" x14ac:dyDescent="0.35">
      <c r="A91" s="19"/>
      <c r="D91" s="715"/>
      <c r="E91" s="715"/>
      <c r="I91" s="745" t="s">
        <v>137</v>
      </c>
      <c r="J91" s="745" t="s">
        <v>138</v>
      </c>
      <c r="K91" s="675" t="s">
        <v>139</v>
      </c>
    </row>
    <row r="92" spans="1:13" x14ac:dyDescent="0.35">
      <c r="A92" s="19"/>
      <c r="D92" s="715"/>
      <c r="E92" s="715"/>
      <c r="I92" s="745">
        <f>_ENE20v</f>
        <v>395781.52</v>
      </c>
      <c r="J92" s="745">
        <f>+I92-J90</f>
        <v>22697.24</v>
      </c>
      <c r="K92" s="686">
        <f>(+J92*100/J90)/100</f>
        <v>6.08E-2</v>
      </c>
      <c r="L92" s="686">
        <f>(+J92*100/$J$90)/100</f>
        <v>6.08E-2</v>
      </c>
    </row>
    <row r="93" spans="1:13" x14ac:dyDescent="0.35">
      <c r="A93" s="19"/>
      <c r="D93" s="715"/>
      <c r="E93" s="715"/>
      <c r="I93" s="745">
        <f>_FEB20v</f>
        <v>417678.74</v>
      </c>
      <c r="J93" s="745">
        <f t="shared" ref="J93:J101" si="0">+I93-I92</f>
        <v>21897.22</v>
      </c>
      <c r="K93" s="686">
        <f t="shared" ref="K93:K101" si="1">(+J93*100/I92)/100</f>
        <v>5.5300000000000002E-2</v>
      </c>
      <c r="L93" s="686">
        <f t="shared" ref="L93:L104" si="2">(+J93*100/$J$90)/100</f>
        <v>5.8700000000000002E-2</v>
      </c>
    </row>
    <row r="94" spans="1:13" x14ac:dyDescent="0.35">
      <c r="A94" s="19"/>
      <c r="D94" s="715"/>
      <c r="E94" s="715"/>
      <c r="I94" s="745">
        <f>_MAR20v</f>
        <v>420244.71</v>
      </c>
      <c r="J94" s="745">
        <f t="shared" si="0"/>
        <v>2565.9699999999998</v>
      </c>
      <c r="K94" s="686">
        <f t="shared" si="1"/>
        <v>6.1000000000000004E-3</v>
      </c>
      <c r="L94" s="686">
        <f t="shared" si="2"/>
        <v>6.8999999999999999E-3</v>
      </c>
    </row>
    <row r="95" spans="1:13" x14ac:dyDescent="0.35">
      <c r="A95" s="19"/>
      <c r="D95" s="715"/>
      <c r="E95" s="715"/>
      <c r="I95" s="745">
        <f>_ABR20v</f>
        <v>390069.81</v>
      </c>
      <c r="J95" s="745">
        <f t="shared" si="0"/>
        <v>-30174.9</v>
      </c>
      <c r="K95" s="686">
        <f t="shared" si="1"/>
        <v>-7.1800000000000003E-2</v>
      </c>
      <c r="L95" s="686">
        <f t="shared" si="2"/>
        <v>-8.09E-2</v>
      </c>
    </row>
    <row r="96" spans="1:13" x14ac:dyDescent="0.35">
      <c r="A96" s="19"/>
      <c r="D96" s="715"/>
      <c r="E96" s="715"/>
      <c r="I96" s="745">
        <f>_MAY20v</f>
        <v>448701.11</v>
      </c>
      <c r="J96" s="745">
        <f t="shared" si="0"/>
        <v>58631.3</v>
      </c>
      <c r="K96" s="686">
        <f t="shared" si="1"/>
        <v>0.15029999999999999</v>
      </c>
      <c r="L96" s="686">
        <f t="shared" si="2"/>
        <v>0.15720000000000001</v>
      </c>
    </row>
    <row r="97" spans="1:15" x14ac:dyDescent="0.35">
      <c r="A97" s="19"/>
      <c r="D97" s="715"/>
      <c r="E97" s="715"/>
      <c r="I97" s="745">
        <f>_JUN20v</f>
        <v>477297.54</v>
      </c>
      <c r="J97" s="745">
        <f t="shared" si="0"/>
        <v>28596.43</v>
      </c>
      <c r="K97" s="686">
        <f t="shared" si="1"/>
        <v>6.3700000000000007E-2</v>
      </c>
      <c r="L97" s="686">
        <f t="shared" si="2"/>
        <v>7.6600000000000001E-2</v>
      </c>
    </row>
    <row r="98" spans="1:15" x14ac:dyDescent="0.35">
      <c r="A98" s="19"/>
      <c r="D98" s="715"/>
      <c r="E98" s="715"/>
      <c r="I98" s="745">
        <f>_JUL20v</f>
        <v>551878.52</v>
      </c>
      <c r="J98" s="745">
        <f t="shared" si="0"/>
        <v>74580.98</v>
      </c>
      <c r="K98" s="686">
        <f t="shared" si="1"/>
        <v>0.15629999999999999</v>
      </c>
      <c r="L98" s="686">
        <f t="shared" si="2"/>
        <v>0.19989999999999999</v>
      </c>
    </row>
    <row r="99" spans="1:15" x14ac:dyDescent="0.35">
      <c r="A99" s="19"/>
      <c r="D99" s="715"/>
      <c r="E99" s="715"/>
      <c r="I99" s="745">
        <f>_AGO20v</f>
        <v>596759.15</v>
      </c>
      <c r="J99" s="745">
        <f t="shared" si="0"/>
        <v>44880.63</v>
      </c>
      <c r="K99" s="686">
        <f t="shared" si="1"/>
        <v>8.1299999999999997E-2</v>
      </c>
      <c r="L99" s="686">
        <f t="shared" si="2"/>
        <v>0.1203</v>
      </c>
    </row>
    <row r="100" spans="1:15" x14ac:dyDescent="0.35">
      <c r="A100" s="19"/>
      <c r="D100" s="715"/>
      <c r="E100" s="715"/>
      <c r="I100" s="745">
        <f>_SEP20v</f>
        <v>617314.29</v>
      </c>
      <c r="J100" s="745">
        <f t="shared" si="0"/>
        <v>20555.14</v>
      </c>
      <c r="K100" s="686">
        <f t="shared" si="1"/>
        <v>3.44E-2</v>
      </c>
      <c r="L100" s="686">
        <f t="shared" si="2"/>
        <v>5.5100000000000003E-2</v>
      </c>
    </row>
    <row r="101" spans="1:15" x14ac:dyDescent="0.35">
      <c r="A101" s="19"/>
      <c r="D101" s="715"/>
      <c r="E101" s="715"/>
      <c r="I101" s="745">
        <f>_OCT20v</f>
        <v>691222.61</v>
      </c>
      <c r="J101" s="745">
        <f t="shared" si="0"/>
        <v>73908.320000000007</v>
      </c>
      <c r="K101" s="686">
        <f t="shared" si="1"/>
        <v>0.1197</v>
      </c>
      <c r="L101" s="686">
        <f t="shared" si="2"/>
        <v>0.1981</v>
      </c>
    </row>
    <row r="102" spans="1:15" x14ac:dyDescent="0.35">
      <c r="A102" s="19"/>
      <c r="D102" s="715"/>
      <c r="E102" s="715"/>
      <c r="I102" s="745">
        <f>_NOV20v</f>
        <v>828065.12</v>
      </c>
      <c r="J102" s="745">
        <f>+I102-I101</f>
        <v>136842.51</v>
      </c>
      <c r="K102" s="686">
        <f>(+J102*100/I101)/100</f>
        <v>0.19800000000000001</v>
      </c>
      <c r="L102" s="686">
        <f t="shared" si="2"/>
        <v>0.36680000000000001</v>
      </c>
    </row>
    <row r="103" spans="1:15" x14ac:dyDescent="0.35">
      <c r="A103" s="19"/>
      <c r="D103" s="715"/>
      <c r="E103" s="715"/>
      <c r="I103" s="745">
        <f>_DIC20v</f>
        <v>985667.14</v>
      </c>
      <c r="J103" s="745">
        <f>+I103-I102</f>
        <v>157602.01999999999</v>
      </c>
      <c r="K103" s="686">
        <f>(+J103*100/I102)/100</f>
        <v>0.1903</v>
      </c>
      <c r="L103" s="686">
        <f t="shared" si="2"/>
        <v>0.4224</v>
      </c>
    </row>
    <row r="104" spans="1:15" x14ac:dyDescent="0.35">
      <c r="A104" s="19"/>
      <c r="D104" s="715"/>
      <c r="E104" s="715"/>
      <c r="I104" s="745"/>
      <c r="J104" s="745">
        <f>SUM(J92:J103)</f>
        <v>612582.86</v>
      </c>
      <c r="K104" s="686">
        <f>SUM(K92:K103)</f>
        <v>1.0444</v>
      </c>
      <c r="L104" s="686">
        <f t="shared" si="2"/>
        <v>1.6418999999999999</v>
      </c>
    </row>
    <row r="105" spans="1:15" x14ac:dyDescent="0.35">
      <c r="A105" s="19"/>
      <c r="D105" s="715"/>
      <c r="E105" s="715"/>
      <c r="G105" s="734"/>
      <c r="I105" s="745" t="s">
        <v>871</v>
      </c>
      <c r="J105" s="745">
        <f>SUM(D6:D135)-SUM(E6:E135)</f>
        <v>299850</v>
      </c>
      <c r="K105" s="686">
        <f>(+J105*100/$J$90)/100</f>
        <v>0.80369999999999997</v>
      </c>
      <c r="M105" s="628"/>
    </row>
    <row r="106" spans="1:15" x14ac:dyDescent="0.35">
      <c r="A106" s="92"/>
      <c r="F106" s="726"/>
      <c r="G106" s="734"/>
      <c r="I106" s="745" t="s">
        <v>872</v>
      </c>
      <c r="J106" s="745">
        <f>+J104-J105</f>
        <v>312732.86</v>
      </c>
      <c r="K106" s="686">
        <f>(+J106*100/$J$90)/100</f>
        <v>0.83819999999999995</v>
      </c>
      <c r="L106" s="950"/>
      <c r="M106" s="33"/>
      <c r="N106" s="33"/>
    </row>
    <row r="107" spans="1:15" x14ac:dyDescent="0.35">
      <c r="A107" s="92"/>
      <c r="F107" s="726"/>
      <c r="G107" s="734"/>
      <c r="H107" s="30"/>
      <c r="I107" s="748"/>
      <c r="J107" s="755"/>
      <c r="K107" s="676"/>
      <c r="L107" s="33"/>
      <c r="M107" s="33"/>
      <c r="N107" s="33"/>
    </row>
    <row r="108" spans="1:15" x14ac:dyDescent="0.35">
      <c r="A108" s="92"/>
      <c r="D108" s="715"/>
      <c r="E108" s="715"/>
      <c r="F108" s="726"/>
      <c r="G108" s="735"/>
      <c r="H108" s="34"/>
      <c r="I108" s="748"/>
      <c r="J108" s="740"/>
      <c r="K108" s="676"/>
      <c r="L108" s="33"/>
      <c r="M108" s="33"/>
      <c r="N108" s="33"/>
    </row>
    <row r="109" spans="1:15" x14ac:dyDescent="0.35">
      <c r="A109" s="92"/>
      <c r="F109" s="726"/>
      <c r="G109" s="735"/>
      <c r="H109" s="34"/>
      <c r="I109" s="740"/>
      <c r="J109" s="740"/>
    </row>
    <row r="110" spans="1:15" x14ac:dyDescent="0.35">
      <c r="A110" s="92"/>
      <c r="F110" s="726"/>
      <c r="G110" s="735"/>
      <c r="H110" s="93"/>
      <c r="I110" s="749"/>
      <c r="J110" s="749"/>
      <c r="L110" s="628"/>
      <c r="M110" s="628"/>
      <c r="O110" s="628"/>
    </row>
    <row r="111" spans="1:15" x14ac:dyDescent="0.35">
      <c r="A111" s="92"/>
      <c r="F111" s="726"/>
      <c r="G111" s="735"/>
      <c r="H111" s="93"/>
      <c r="I111" s="749"/>
      <c r="J111" s="749"/>
      <c r="L111" s="628"/>
      <c r="M111" s="628"/>
      <c r="O111" s="628"/>
    </row>
    <row r="112" spans="1:15" x14ac:dyDescent="0.35">
      <c r="A112" s="92"/>
      <c r="F112" s="726"/>
      <c r="G112" s="735"/>
      <c r="H112" s="93"/>
      <c r="I112" s="749"/>
      <c r="J112" s="749"/>
      <c r="L112" s="628"/>
      <c r="M112" s="628"/>
      <c r="O112" s="628"/>
    </row>
    <row r="113" spans="1:15" x14ac:dyDescent="0.35">
      <c r="A113" s="92"/>
      <c r="F113" s="726"/>
      <c r="G113" s="735"/>
      <c r="H113" s="93"/>
      <c r="I113" s="749"/>
      <c r="J113" s="749"/>
      <c r="L113" s="628"/>
      <c r="M113" s="628"/>
      <c r="O113" s="628"/>
    </row>
    <row r="114" spans="1:15" x14ac:dyDescent="0.35">
      <c r="A114" s="92"/>
      <c r="F114" s="726"/>
      <c r="G114" s="735"/>
      <c r="H114" s="93"/>
      <c r="I114" s="749"/>
      <c r="J114" s="749"/>
    </row>
    <row r="115" spans="1:15" x14ac:dyDescent="0.35">
      <c r="A115" s="92"/>
      <c r="F115" s="726"/>
      <c r="G115" s="735"/>
      <c r="H115" s="93"/>
      <c r="I115" s="750"/>
      <c r="J115" s="750"/>
    </row>
    <row r="116" spans="1:15" x14ac:dyDescent="0.35">
      <c r="A116" s="92"/>
      <c r="F116" s="726"/>
      <c r="G116" s="735"/>
      <c r="H116" s="93"/>
      <c r="I116" s="750"/>
      <c r="J116" s="750"/>
    </row>
    <row r="117" spans="1:15" x14ac:dyDescent="0.35">
      <c r="A117" s="92"/>
      <c r="F117" s="726"/>
      <c r="G117" s="735"/>
      <c r="H117" s="93"/>
      <c r="I117" s="750"/>
      <c r="J117" s="750"/>
    </row>
    <row r="118" spans="1:15" x14ac:dyDescent="0.35">
      <c r="A118" s="92"/>
      <c r="F118" s="726"/>
      <c r="G118" s="735"/>
      <c r="H118" s="93"/>
      <c r="I118" s="750"/>
      <c r="J118" s="750"/>
    </row>
    <row r="119" spans="1:15" x14ac:dyDescent="0.35">
      <c r="A119" s="92"/>
      <c r="F119" s="726"/>
      <c r="G119" s="735"/>
      <c r="H119" s="93"/>
      <c r="I119" s="750"/>
      <c r="J119" s="750"/>
    </row>
    <row r="120" spans="1:15" x14ac:dyDescent="0.35">
      <c r="A120" s="92"/>
      <c r="F120" s="726"/>
      <c r="G120" s="735"/>
      <c r="H120" s="93"/>
      <c r="I120" s="750"/>
      <c r="J120" s="750"/>
    </row>
    <row r="121" spans="1:15" x14ac:dyDescent="0.35">
      <c r="A121" s="92"/>
      <c r="F121" s="726"/>
      <c r="G121" s="735"/>
      <c r="H121" s="93"/>
      <c r="I121" s="750"/>
      <c r="J121" s="750"/>
    </row>
    <row r="122" spans="1:15" x14ac:dyDescent="0.35">
      <c r="A122" s="92"/>
      <c r="F122" s="726"/>
      <c r="G122" s="735"/>
      <c r="H122" s="93"/>
      <c r="I122" s="750"/>
      <c r="J122" s="750"/>
    </row>
    <row r="123" spans="1:15" x14ac:dyDescent="0.35">
      <c r="A123" s="92"/>
      <c r="F123" s="726"/>
      <c r="G123" s="735"/>
      <c r="H123" s="93"/>
      <c r="I123" s="750"/>
      <c r="J123" s="750"/>
    </row>
    <row r="124" spans="1:15" x14ac:dyDescent="0.35">
      <c r="A124" s="92"/>
      <c r="F124" s="726"/>
      <c r="G124" s="735"/>
      <c r="H124" s="93"/>
      <c r="I124" s="750"/>
      <c r="J124" s="750"/>
    </row>
    <row r="125" spans="1:15" x14ac:dyDescent="0.35">
      <c r="A125" s="92"/>
      <c r="F125" s="726"/>
      <c r="G125" s="735"/>
      <c r="H125" s="93"/>
      <c r="I125" s="750"/>
      <c r="J125" s="750"/>
    </row>
    <row r="126" spans="1:15" x14ac:dyDescent="0.35">
      <c r="A126" s="92"/>
      <c r="F126" s="726"/>
      <c r="G126" s="735"/>
      <c r="H126" s="93"/>
      <c r="I126" s="750"/>
      <c r="J126" s="750"/>
    </row>
    <row r="127" spans="1:15" x14ac:dyDescent="0.35">
      <c r="A127" s="92"/>
      <c r="F127" s="726"/>
      <c r="G127" s="735"/>
      <c r="H127" s="93"/>
      <c r="I127" s="750"/>
      <c r="J127" s="750"/>
    </row>
    <row r="128" spans="1:15" x14ac:dyDescent="0.35">
      <c r="A128" s="92"/>
      <c r="B128" s="380" t="s">
        <v>32</v>
      </c>
      <c r="C128" s="380" t="s">
        <v>33</v>
      </c>
      <c r="F128" s="726"/>
      <c r="G128" s="735"/>
      <c r="H128" s="93"/>
      <c r="I128" s="750"/>
      <c r="J128" s="750"/>
    </row>
    <row r="129" spans="1:10" x14ac:dyDescent="0.35">
      <c r="A129" s="92"/>
      <c r="B129" s="380">
        <f>SUM(D6:D106)</f>
        <v>528000</v>
      </c>
      <c r="C129" s="380">
        <f>SUM(E6:E106)</f>
        <v>228150</v>
      </c>
      <c r="F129" s="726"/>
      <c r="G129" s="735"/>
      <c r="H129" s="93"/>
      <c r="I129" s="750"/>
      <c r="J129" s="750"/>
    </row>
    <row r="130" spans="1:10" x14ac:dyDescent="0.35">
      <c r="A130" s="92"/>
      <c r="B130" s="518">
        <f>+B129-C129</f>
        <v>299850</v>
      </c>
      <c r="F130" s="726"/>
      <c r="G130" s="735"/>
      <c r="H130" s="93"/>
      <c r="I130" s="750"/>
      <c r="J130" s="750"/>
    </row>
    <row r="131" spans="1:10" x14ac:dyDescent="0.35">
      <c r="A131" s="92"/>
      <c r="F131" s="726"/>
      <c r="G131" s="735"/>
      <c r="H131" s="93"/>
      <c r="I131" s="750"/>
      <c r="J131" s="750"/>
    </row>
    <row r="132" spans="1:10" x14ac:dyDescent="0.35">
      <c r="A132" s="92"/>
      <c r="F132" s="726"/>
      <c r="G132" s="735"/>
      <c r="H132" s="93"/>
      <c r="I132" s="750"/>
      <c r="J132" s="750"/>
    </row>
    <row r="133" spans="1:10" x14ac:dyDescent="0.35">
      <c r="A133" s="92"/>
      <c r="F133" s="726"/>
      <c r="G133" s="735"/>
      <c r="H133" s="93"/>
      <c r="I133" s="750"/>
      <c r="J133" s="750"/>
    </row>
    <row r="134" spans="1:10" x14ac:dyDescent="0.35">
      <c r="A134" s="92"/>
      <c r="F134" s="726"/>
      <c r="G134" s="735"/>
      <c r="H134" s="93"/>
      <c r="I134" s="750"/>
      <c r="J134" s="750"/>
    </row>
    <row r="135" spans="1:10" x14ac:dyDescent="0.35">
      <c r="A135" s="92"/>
      <c r="F135" s="726"/>
      <c r="G135" s="735"/>
      <c r="H135" s="93"/>
      <c r="I135" s="750"/>
      <c r="J135" s="750"/>
    </row>
    <row r="136" spans="1:10" x14ac:dyDescent="0.35">
      <c r="A136" s="92"/>
      <c r="F136" s="726"/>
      <c r="G136" s="735"/>
      <c r="H136" s="93"/>
      <c r="I136" s="750"/>
      <c r="J136" s="750"/>
    </row>
    <row r="137" spans="1:10" x14ac:dyDescent="0.35">
      <c r="A137" s="92"/>
      <c r="F137" s="726"/>
      <c r="G137" s="735"/>
      <c r="H137" s="93"/>
      <c r="I137" s="750"/>
      <c r="J137" s="750"/>
    </row>
    <row r="138" spans="1:10" x14ac:dyDescent="0.35">
      <c r="A138" s="92"/>
      <c r="F138" s="726"/>
      <c r="G138" s="735"/>
      <c r="H138" s="93"/>
      <c r="I138" s="750"/>
      <c r="J138" s="750"/>
    </row>
    <row r="139" spans="1:10" x14ac:dyDescent="0.35">
      <c r="A139" s="92"/>
      <c r="F139" s="726"/>
      <c r="G139" s="735"/>
      <c r="H139" s="93"/>
      <c r="I139" s="750"/>
      <c r="J139" s="750"/>
    </row>
    <row r="140" spans="1:10" x14ac:dyDescent="0.35">
      <c r="A140" s="92"/>
      <c r="F140" s="726"/>
      <c r="G140" s="735"/>
      <c r="H140" s="93"/>
      <c r="I140" s="750"/>
      <c r="J140" s="750"/>
    </row>
    <row r="141" spans="1:10" x14ac:dyDescent="0.35">
      <c r="A141" s="92"/>
      <c r="F141" s="726"/>
      <c r="G141" s="735"/>
      <c r="H141" s="93"/>
      <c r="I141" s="750"/>
      <c r="J141" s="750"/>
    </row>
    <row r="142" spans="1:10" x14ac:dyDescent="0.35">
      <c r="A142" s="92"/>
      <c r="F142" s="726"/>
      <c r="G142" s="735"/>
      <c r="H142" s="93"/>
      <c r="I142" s="750"/>
      <c r="J142" s="750"/>
    </row>
    <row r="143" spans="1:10" x14ac:dyDescent="0.35">
      <c r="A143" s="92"/>
      <c r="F143" s="726"/>
      <c r="G143" s="735"/>
      <c r="H143" s="93"/>
      <c r="I143" s="750"/>
      <c r="J143" s="750"/>
    </row>
    <row r="144" spans="1:10" x14ac:dyDescent="0.35">
      <c r="A144" s="92"/>
      <c r="F144" s="726"/>
      <c r="G144" s="735"/>
      <c r="H144" s="93"/>
      <c r="I144" s="750"/>
      <c r="J144" s="750"/>
    </row>
    <row r="145" spans="1:10" x14ac:dyDescent="0.35">
      <c r="A145" s="92"/>
      <c r="F145" s="726"/>
      <c r="G145" s="735"/>
      <c r="H145" s="93"/>
      <c r="I145" s="750"/>
      <c r="J145" s="750"/>
    </row>
    <row r="146" spans="1:10" x14ac:dyDescent="0.35">
      <c r="A146" s="92"/>
      <c r="F146" s="726"/>
      <c r="G146" s="735"/>
      <c r="H146" s="93"/>
      <c r="I146" s="750"/>
      <c r="J146" s="750"/>
    </row>
    <row r="147" spans="1:10" x14ac:dyDescent="0.35">
      <c r="A147" s="92"/>
      <c r="F147" s="726"/>
      <c r="G147" s="735"/>
      <c r="H147" s="93"/>
      <c r="I147" s="750"/>
      <c r="J147" s="750"/>
    </row>
    <row r="148" spans="1:10" x14ac:dyDescent="0.35">
      <c r="A148" s="92"/>
      <c r="F148" s="726"/>
      <c r="G148" s="735"/>
      <c r="H148" s="93"/>
      <c r="I148" s="750"/>
      <c r="J148" s="750"/>
    </row>
    <row r="149" spans="1:10" x14ac:dyDescent="0.35">
      <c r="A149" s="92"/>
      <c r="F149" s="726"/>
      <c r="G149" s="735"/>
      <c r="H149" s="93"/>
      <c r="I149" s="750"/>
      <c r="J149" s="750"/>
    </row>
    <row r="150" spans="1:10" x14ac:dyDescent="0.35">
      <c r="A150" s="92"/>
      <c r="F150" s="726"/>
      <c r="G150" s="735"/>
      <c r="H150" s="93"/>
      <c r="I150" s="750"/>
      <c r="J150" s="750"/>
    </row>
    <row r="151" spans="1:10" x14ac:dyDescent="0.35">
      <c r="A151" s="92"/>
      <c r="F151" s="726"/>
      <c r="G151" s="735"/>
      <c r="H151" s="93"/>
      <c r="I151" s="750"/>
      <c r="J151" s="750"/>
    </row>
    <row r="152" spans="1:10" x14ac:dyDescent="0.35">
      <c r="A152" s="92"/>
      <c r="F152" s="726"/>
      <c r="G152" s="735"/>
      <c r="H152" s="93"/>
      <c r="I152" s="750"/>
      <c r="J152" s="750"/>
    </row>
    <row r="153" spans="1:10" x14ac:dyDescent="0.35">
      <c r="A153" s="92"/>
      <c r="F153" s="726"/>
      <c r="G153" s="735"/>
      <c r="H153" s="93"/>
      <c r="I153" s="750"/>
      <c r="J153" s="750"/>
    </row>
    <row r="154" spans="1:10" x14ac:dyDescent="0.35">
      <c r="A154" s="92"/>
      <c r="F154" s="726"/>
      <c r="G154" s="735"/>
      <c r="H154" s="93"/>
      <c r="I154" s="750"/>
      <c r="J154" s="750"/>
    </row>
    <row r="155" spans="1:10" x14ac:dyDescent="0.35">
      <c r="A155" s="92"/>
      <c r="F155" s="726"/>
      <c r="G155" s="735"/>
      <c r="H155" s="93"/>
      <c r="I155" s="750"/>
      <c r="J155" s="750"/>
    </row>
    <row r="156" spans="1:10" x14ac:dyDescent="0.35">
      <c r="A156" s="92"/>
      <c r="F156" s="726"/>
      <c r="G156" s="735"/>
      <c r="H156" s="93"/>
      <c r="I156" s="750"/>
      <c r="J156" s="750"/>
    </row>
    <row r="157" spans="1:10" x14ac:dyDescent="0.35">
      <c r="A157" s="92"/>
      <c r="F157" s="726"/>
      <c r="G157" s="735"/>
      <c r="H157" s="93"/>
      <c r="I157" s="750"/>
      <c r="J157" s="750"/>
    </row>
    <row r="158" spans="1:10" x14ac:dyDescent="0.35">
      <c r="A158" s="92"/>
      <c r="F158" s="726"/>
      <c r="G158" s="735"/>
      <c r="H158" s="93"/>
      <c r="I158" s="750"/>
      <c r="J158" s="750"/>
    </row>
    <row r="159" spans="1:10" x14ac:dyDescent="0.35">
      <c r="A159" s="92"/>
      <c r="F159" s="726"/>
      <c r="G159" s="735"/>
      <c r="H159" s="93"/>
      <c r="I159" s="750"/>
      <c r="J159" s="750"/>
    </row>
    <row r="160" spans="1:10" x14ac:dyDescent="0.35">
      <c r="A160" s="92"/>
      <c r="F160" s="726"/>
      <c r="G160" s="735"/>
      <c r="H160" s="93"/>
      <c r="I160" s="750"/>
      <c r="J160" s="750"/>
    </row>
    <row r="161" spans="1:10" x14ac:dyDescent="0.35">
      <c r="A161" s="92"/>
      <c r="F161" s="726"/>
      <c r="G161" s="735"/>
      <c r="H161" s="93"/>
      <c r="I161" s="750"/>
      <c r="J161" s="750"/>
    </row>
    <row r="162" spans="1:10" x14ac:dyDescent="0.35">
      <c r="A162" s="92"/>
      <c r="F162" s="726"/>
      <c r="G162" s="735"/>
      <c r="H162" s="93"/>
      <c r="I162" s="750"/>
      <c r="J162" s="750"/>
    </row>
    <row r="163" spans="1:10" x14ac:dyDescent="0.35">
      <c r="A163" s="92"/>
      <c r="F163" s="726"/>
      <c r="G163" s="735"/>
      <c r="H163" s="93"/>
      <c r="I163" s="750"/>
      <c r="J163" s="750"/>
    </row>
    <row r="164" spans="1:10" x14ac:dyDescent="0.35">
      <c r="A164" s="92"/>
      <c r="F164" s="726"/>
      <c r="G164" s="735"/>
      <c r="H164" s="93"/>
      <c r="I164" s="750"/>
      <c r="J164" s="750"/>
    </row>
    <row r="165" spans="1:10" x14ac:dyDescent="0.35">
      <c r="A165" s="92"/>
      <c r="F165" s="726"/>
      <c r="G165" s="735"/>
      <c r="H165" s="93"/>
      <c r="I165" s="750"/>
      <c r="J165" s="750"/>
    </row>
    <row r="166" spans="1:10" x14ac:dyDescent="0.35">
      <c r="A166" s="92"/>
      <c r="F166" s="726"/>
      <c r="G166" s="735"/>
      <c r="H166" s="93"/>
      <c r="I166" s="750"/>
      <c r="J166" s="750"/>
    </row>
    <row r="167" spans="1:10" x14ac:dyDescent="0.35">
      <c r="A167" s="92"/>
      <c r="F167" s="726"/>
      <c r="G167" s="735"/>
      <c r="H167" s="93"/>
      <c r="I167" s="750"/>
      <c r="J167" s="750"/>
    </row>
    <row r="168" spans="1:10" x14ac:dyDescent="0.35">
      <c r="A168" s="92"/>
      <c r="F168" s="726"/>
      <c r="G168" s="735"/>
      <c r="H168" s="93"/>
      <c r="I168" s="750"/>
      <c r="J168" s="750"/>
    </row>
    <row r="169" spans="1:10" x14ac:dyDescent="0.35">
      <c r="A169" s="92"/>
      <c r="F169" s="726"/>
      <c r="G169" s="735"/>
      <c r="H169" s="93"/>
      <c r="I169" s="750"/>
      <c r="J169" s="750"/>
    </row>
    <row r="170" spans="1:10" x14ac:dyDescent="0.35">
      <c r="A170" s="92"/>
      <c r="F170" s="726"/>
      <c r="G170" s="735"/>
      <c r="H170" s="93"/>
      <c r="I170" s="750"/>
      <c r="J170" s="750"/>
    </row>
    <row r="171" spans="1:10" x14ac:dyDescent="0.35">
      <c r="A171" s="92"/>
      <c r="F171" s="726"/>
      <c r="G171" s="735"/>
      <c r="H171" s="93"/>
      <c r="I171" s="750"/>
      <c r="J171" s="750"/>
    </row>
    <row r="172" spans="1:10" x14ac:dyDescent="0.35">
      <c r="A172" s="92"/>
      <c r="F172" s="726"/>
      <c r="G172" s="735"/>
      <c r="H172" s="93"/>
      <c r="I172" s="750"/>
      <c r="J172" s="750"/>
    </row>
    <row r="173" spans="1:10" x14ac:dyDescent="0.35">
      <c r="A173" s="92"/>
      <c r="F173" s="726"/>
      <c r="G173" s="735"/>
      <c r="H173" s="93"/>
      <c r="I173" s="750"/>
      <c r="J173" s="750"/>
    </row>
    <row r="174" spans="1:10" x14ac:dyDescent="0.35">
      <c r="A174" s="92"/>
      <c r="F174" s="726"/>
      <c r="G174" s="735"/>
      <c r="H174" s="93"/>
      <c r="I174" s="750"/>
      <c r="J174" s="750"/>
    </row>
    <row r="175" spans="1:10" x14ac:dyDescent="0.35">
      <c r="A175" s="92"/>
      <c r="F175" s="726"/>
      <c r="G175" s="735"/>
      <c r="H175" s="93"/>
      <c r="I175" s="750"/>
      <c r="J175" s="750"/>
    </row>
    <row r="176" spans="1:10" x14ac:dyDescent="0.35">
      <c r="A176" s="92"/>
      <c r="F176" s="726"/>
      <c r="G176" s="735"/>
      <c r="H176" s="93"/>
      <c r="I176" s="750"/>
      <c r="J176" s="750"/>
    </row>
    <row r="177" spans="1:10" x14ac:dyDescent="0.35">
      <c r="A177" s="92"/>
      <c r="F177" s="726"/>
      <c r="G177" s="735"/>
      <c r="H177" s="93"/>
      <c r="I177" s="750"/>
      <c r="J177" s="750"/>
    </row>
    <row r="178" spans="1:10" x14ac:dyDescent="0.35">
      <c r="A178" s="92"/>
      <c r="F178" s="726"/>
      <c r="G178" s="735"/>
      <c r="H178" s="93"/>
      <c r="I178" s="750"/>
      <c r="J178" s="750"/>
    </row>
    <row r="179" spans="1:10" x14ac:dyDescent="0.35">
      <c r="A179" s="92"/>
      <c r="F179" s="726"/>
      <c r="G179" s="735"/>
      <c r="H179" s="93"/>
      <c r="I179" s="750"/>
      <c r="J179" s="750"/>
    </row>
    <row r="180" spans="1:10" x14ac:dyDescent="0.35">
      <c r="A180" s="92"/>
      <c r="F180" s="726"/>
      <c r="G180" s="735"/>
      <c r="H180" s="93"/>
      <c r="I180" s="750"/>
      <c r="J180" s="750"/>
    </row>
    <row r="181" spans="1:10" x14ac:dyDescent="0.35">
      <c r="A181" s="92"/>
      <c r="F181" s="726"/>
      <c r="G181" s="735"/>
      <c r="H181" s="93"/>
      <c r="I181" s="750"/>
      <c r="J181" s="750"/>
    </row>
    <row r="182" spans="1:10" x14ac:dyDescent="0.35">
      <c r="A182" s="92"/>
      <c r="F182" s="726"/>
      <c r="G182" s="735"/>
      <c r="H182" s="93"/>
      <c r="I182" s="750"/>
      <c r="J182" s="750"/>
    </row>
    <row r="183" spans="1:10" x14ac:dyDescent="0.35">
      <c r="A183" s="92"/>
      <c r="F183" s="726"/>
      <c r="G183" s="735"/>
      <c r="H183" s="93"/>
      <c r="I183" s="750"/>
      <c r="J183" s="750"/>
    </row>
    <row r="184" spans="1:10" x14ac:dyDescent="0.35">
      <c r="A184" s="92"/>
      <c r="F184" s="726"/>
      <c r="G184" s="735"/>
      <c r="H184" s="93"/>
      <c r="I184" s="750"/>
      <c r="J184" s="750"/>
    </row>
    <row r="185" spans="1:10" x14ac:dyDescent="0.35">
      <c r="A185" s="92"/>
      <c r="F185" s="726"/>
      <c r="G185" s="735"/>
      <c r="H185" s="93"/>
      <c r="I185" s="750"/>
      <c r="J185" s="750"/>
    </row>
    <row r="186" spans="1:10" x14ac:dyDescent="0.35">
      <c r="A186" s="92"/>
      <c r="F186" s="726"/>
      <c r="G186" s="735"/>
      <c r="H186" s="93"/>
      <c r="I186" s="750"/>
      <c r="J186" s="750"/>
    </row>
    <row r="187" spans="1:10" x14ac:dyDescent="0.35">
      <c r="A187" s="92"/>
      <c r="F187" s="726"/>
      <c r="G187" s="735"/>
      <c r="H187" s="93"/>
      <c r="I187" s="750"/>
      <c r="J187" s="750"/>
    </row>
    <row r="188" spans="1:10" x14ac:dyDescent="0.35">
      <c r="A188" s="92"/>
      <c r="F188" s="726"/>
      <c r="G188" s="735"/>
      <c r="H188" s="93"/>
      <c r="I188" s="750"/>
      <c r="J188" s="750"/>
    </row>
    <row r="189" spans="1:10" x14ac:dyDescent="0.35">
      <c r="A189" s="92"/>
      <c r="F189" s="726"/>
      <c r="G189" s="735"/>
      <c r="H189" s="93"/>
      <c r="I189" s="750"/>
      <c r="J189" s="750"/>
    </row>
    <row r="190" spans="1:10" x14ac:dyDescent="0.35">
      <c r="A190" s="92"/>
      <c r="F190" s="726"/>
      <c r="G190" s="735"/>
      <c r="H190" s="93"/>
      <c r="I190" s="750"/>
      <c r="J190" s="750"/>
    </row>
    <row r="191" spans="1:10" x14ac:dyDescent="0.35">
      <c r="A191" s="92"/>
      <c r="F191" s="726"/>
      <c r="G191" s="735"/>
      <c r="H191" s="93"/>
      <c r="I191" s="750"/>
      <c r="J191" s="750"/>
    </row>
    <row r="192" spans="1:10" x14ac:dyDescent="0.35">
      <c r="A192" s="92"/>
      <c r="F192" s="726"/>
      <c r="G192" s="735"/>
      <c r="H192" s="93"/>
      <c r="I192" s="750"/>
      <c r="J192" s="750"/>
    </row>
    <row r="193" spans="1:10" x14ac:dyDescent="0.35">
      <c r="A193" s="92"/>
      <c r="F193" s="726"/>
      <c r="G193" s="735"/>
      <c r="H193" s="93"/>
      <c r="I193" s="750"/>
      <c r="J193" s="750"/>
    </row>
    <row r="194" spans="1:10" x14ac:dyDescent="0.35">
      <c r="A194" s="92"/>
      <c r="F194" s="726"/>
      <c r="G194" s="735"/>
      <c r="H194" s="93"/>
      <c r="I194" s="750"/>
      <c r="J194" s="750"/>
    </row>
    <row r="195" spans="1:10" x14ac:dyDescent="0.35">
      <c r="A195" s="92"/>
      <c r="F195" s="726"/>
      <c r="G195" s="735"/>
      <c r="H195" s="93"/>
      <c r="I195" s="750"/>
      <c r="J195" s="750"/>
    </row>
    <row r="196" spans="1:10" x14ac:dyDescent="0.35">
      <c r="A196" s="92"/>
      <c r="F196" s="726"/>
      <c r="G196" s="735"/>
      <c r="H196" s="93"/>
      <c r="I196" s="750"/>
      <c r="J196" s="750"/>
    </row>
    <row r="197" spans="1:10" x14ac:dyDescent="0.35">
      <c r="A197" s="92"/>
      <c r="F197" s="726"/>
      <c r="G197" s="735"/>
      <c r="H197" s="93"/>
      <c r="I197" s="750"/>
      <c r="J197" s="750"/>
    </row>
    <row r="198" spans="1:10" x14ac:dyDescent="0.35">
      <c r="A198" s="92"/>
      <c r="F198" s="726"/>
      <c r="G198" s="735"/>
      <c r="H198" s="93"/>
      <c r="I198" s="750"/>
      <c r="J198" s="750"/>
    </row>
    <row r="199" spans="1:10" x14ac:dyDescent="0.35">
      <c r="A199" s="92"/>
      <c r="F199" s="726"/>
      <c r="G199" s="735"/>
      <c r="H199" s="93"/>
      <c r="I199" s="750"/>
      <c r="J199" s="750"/>
    </row>
    <row r="200" spans="1:10" x14ac:dyDescent="0.35">
      <c r="A200" s="92"/>
      <c r="F200" s="726"/>
      <c r="G200" s="735"/>
      <c r="H200" s="93"/>
      <c r="I200" s="750"/>
      <c r="J200" s="750"/>
    </row>
    <row r="201" spans="1:10" x14ac:dyDescent="0.35">
      <c r="A201" s="92"/>
      <c r="F201" s="726"/>
      <c r="G201" s="735"/>
      <c r="H201" s="93"/>
      <c r="I201" s="750"/>
      <c r="J201" s="750"/>
    </row>
    <row r="202" spans="1:10" x14ac:dyDescent="0.35">
      <c r="A202" s="92"/>
      <c r="F202" s="726"/>
      <c r="G202" s="735"/>
      <c r="H202" s="93"/>
      <c r="I202" s="750"/>
      <c r="J202" s="750"/>
    </row>
    <row r="203" spans="1:10" x14ac:dyDescent="0.35">
      <c r="A203" s="92"/>
      <c r="F203" s="726"/>
      <c r="G203" s="735"/>
      <c r="H203" s="93"/>
      <c r="I203" s="750"/>
      <c r="J203" s="750"/>
    </row>
    <row r="204" spans="1:10" x14ac:dyDescent="0.35">
      <c r="A204" s="92"/>
      <c r="F204" s="726"/>
      <c r="G204" s="735"/>
      <c r="H204" s="93"/>
      <c r="I204" s="750"/>
      <c r="J204" s="750"/>
    </row>
    <row r="205" spans="1:10" x14ac:dyDescent="0.35">
      <c r="A205" s="92"/>
      <c r="F205" s="726"/>
      <c r="G205" s="735"/>
      <c r="H205" s="93"/>
      <c r="I205" s="750"/>
      <c r="J205" s="750"/>
    </row>
    <row r="206" spans="1:10" x14ac:dyDescent="0.35">
      <c r="A206" s="92"/>
      <c r="F206" s="726"/>
      <c r="G206" s="735"/>
      <c r="H206" s="93"/>
      <c r="I206" s="750"/>
      <c r="J206" s="750"/>
    </row>
    <row r="207" spans="1:10" x14ac:dyDescent="0.35">
      <c r="A207" s="92"/>
      <c r="F207" s="726"/>
      <c r="G207" s="735"/>
      <c r="H207" s="93"/>
      <c r="I207" s="750"/>
      <c r="J207" s="750"/>
    </row>
    <row r="208" spans="1:10" x14ac:dyDescent="0.35">
      <c r="A208" s="92"/>
      <c r="F208" s="726"/>
      <c r="G208" s="735"/>
      <c r="H208" s="93"/>
      <c r="I208" s="750"/>
      <c r="J208" s="750"/>
    </row>
    <row r="209" spans="1:10" x14ac:dyDescent="0.35">
      <c r="A209" s="92"/>
      <c r="F209" s="726"/>
      <c r="G209" s="735"/>
      <c r="H209" s="93"/>
      <c r="I209" s="750"/>
      <c r="J209" s="750"/>
    </row>
    <row r="210" spans="1:10" x14ac:dyDescent="0.35">
      <c r="A210" s="92"/>
      <c r="F210" s="726"/>
      <c r="G210" s="735"/>
      <c r="H210" s="93"/>
      <c r="I210" s="750"/>
      <c r="J210" s="750"/>
    </row>
    <row r="211" spans="1:10" x14ac:dyDescent="0.35">
      <c r="A211" s="92"/>
      <c r="F211" s="726"/>
      <c r="G211" s="735"/>
      <c r="H211" s="93"/>
      <c r="I211" s="750"/>
      <c r="J211" s="750"/>
    </row>
    <row r="212" spans="1:10" x14ac:dyDescent="0.35">
      <c r="A212" s="92"/>
      <c r="F212" s="726"/>
      <c r="G212" s="735"/>
      <c r="H212" s="93"/>
      <c r="I212" s="750"/>
      <c r="J212" s="750"/>
    </row>
    <row r="213" spans="1:10" x14ac:dyDescent="0.35">
      <c r="A213" s="92"/>
      <c r="F213" s="726"/>
      <c r="G213" s="735"/>
      <c r="H213" s="93"/>
      <c r="I213" s="750"/>
      <c r="J213" s="750"/>
    </row>
    <row r="214" spans="1:10" x14ac:dyDescent="0.35">
      <c r="A214" s="92"/>
      <c r="F214" s="726"/>
      <c r="G214" s="735"/>
      <c r="H214" s="93"/>
      <c r="I214" s="750"/>
      <c r="J214" s="750"/>
    </row>
    <row r="215" spans="1:10" x14ac:dyDescent="0.35">
      <c r="A215" s="92"/>
      <c r="F215" s="726"/>
      <c r="G215" s="735"/>
      <c r="H215" s="93"/>
      <c r="I215" s="750"/>
      <c r="J215" s="750"/>
    </row>
    <row r="216" spans="1:10" x14ac:dyDescent="0.35">
      <c r="A216" s="92"/>
      <c r="F216" s="726"/>
      <c r="G216" s="735"/>
      <c r="H216" s="93"/>
      <c r="I216" s="750"/>
      <c r="J216" s="750"/>
    </row>
    <row r="217" spans="1:10" x14ac:dyDescent="0.35">
      <c r="A217" s="92"/>
      <c r="F217" s="726"/>
      <c r="G217" s="735"/>
      <c r="H217" s="93"/>
      <c r="I217" s="750"/>
      <c r="J217" s="750"/>
    </row>
    <row r="218" spans="1:10" x14ac:dyDescent="0.35">
      <c r="A218" s="92"/>
      <c r="F218" s="726"/>
      <c r="G218" s="735"/>
      <c r="H218" s="93"/>
      <c r="I218" s="750"/>
      <c r="J218" s="750"/>
    </row>
    <row r="219" spans="1:10" x14ac:dyDescent="0.35">
      <c r="A219" s="92"/>
      <c r="F219" s="726"/>
      <c r="G219" s="735"/>
      <c r="H219" s="93"/>
      <c r="I219" s="750"/>
      <c r="J219" s="750"/>
    </row>
    <row r="220" spans="1:10" x14ac:dyDescent="0.35">
      <c r="A220" s="92"/>
      <c r="F220" s="726"/>
      <c r="G220" s="735"/>
      <c r="H220" s="93"/>
      <c r="I220" s="750"/>
      <c r="J220" s="750"/>
    </row>
    <row r="221" spans="1:10" x14ac:dyDescent="0.35">
      <c r="A221" s="92"/>
      <c r="F221" s="726"/>
      <c r="G221" s="735"/>
      <c r="H221" s="93"/>
      <c r="I221" s="750"/>
      <c r="J221" s="750"/>
    </row>
    <row r="222" spans="1:10" x14ac:dyDescent="0.35">
      <c r="A222" s="92"/>
      <c r="F222" s="726"/>
      <c r="G222" s="735"/>
      <c r="H222" s="93"/>
      <c r="I222" s="750"/>
      <c r="J222" s="750"/>
    </row>
    <row r="223" spans="1:10" x14ac:dyDescent="0.35">
      <c r="A223" s="92"/>
      <c r="F223" s="726"/>
      <c r="G223" s="735"/>
      <c r="H223" s="93"/>
      <c r="I223" s="750"/>
      <c r="J223" s="750"/>
    </row>
    <row r="224" spans="1:10" x14ac:dyDescent="0.35">
      <c r="A224" s="92"/>
      <c r="F224" s="726"/>
      <c r="G224" s="735"/>
      <c r="H224" s="93"/>
      <c r="I224" s="750"/>
      <c r="J224" s="750"/>
    </row>
    <row r="225" spans="1:10" x14ac:dyDescent="0.35">
      <c r="A225" s="92"/>
      <c r="F225" s="726"/>
      <c r="G225" s="735"/>
      <c r="H225" s="93"/>
      <c r="I225" s="750"/>
      <c r="J225" s="750"/>
    </row>
    <row r="226" spans="1:10" x14ac:dyDescent="0.35">
      <c r="A226" s="92"/>
      <c r="F226" s="726"/>
      <c r="G226" s="735"/>
      <c r="H226" s="93"/>
      <c r="I226" s="750"/>
      <c r="J226" s="750"/>
    </row>
    <row r="227" spans="1:10" x14ac:dyDescent="0.35">
      <c r="A227" s="92"/>
      <c r="F227" s="726"/>
      <c r="G227" s="735"/>
      <c r="H227" s="93"/>
      <c r="I227" s="750"/>
      <c r="J227" s="750"/>
    </row>
    <row r="228" spans="1:10" x14ac:dyDescent="0.35">
      <c r="A228" s="92"/>
      <c r="F228" s="726"/>
      <c r="G228" s="735"/>
      <c r="H228" s="93"/>
      <c r="I228" s="750"/>
      <c r="J228" s="750"/>
    </row>
    <row r="229" spans="1:10" x14ac:dyDescent="0.35">
      <c r="A229" s="92"/>
      <c r="F229" s="726"/>
      <c r="G229" s="735"/>
      <c r="H229" s="93"/>
      <c r="I229" s="750"/>
      <c r="J229" s="750"/>
    </row>
    <row r="230" spans="1:10" x14ac:dyDescent="0.35">
      <c r="A230" s="92"/>
      <c r="F230" s="726"/>
      <c r="G230" s="735"/>
      <c r="H230" s="93"/>
      <c r="I230" s="750"/>
      <c r="J230" s="750"/>
    </row>
    <row r="231" spans="1:10" x14ac:dyDescent="0.35">
      <c r="A231" s="92"/>
      <c r="F231" s="726"/>
      <c r="G231" s="735"/>
      <c r="H231" s="93"/>
      <c r="I231" s="750"/>
      <c r="J231" s="750"/>
    </row>
    <row r="232" spans="1:10" x14ac:dyDescent="0.35">
      <c r="A232" s="92"/>
      <c r="F232" s="726"/>
      <c r="G232" s="735"/>
      <c r="H232" s="93"/>
      <c r="I232" s="750"/>
      <c r="J232" s="750"/>
    </row>
    <row r="233" spans="1:10" x14ac:dyDescent="0.35">
      <c r="A233" s="92"/>
      <c r="F233" s="726"/>
      <c r="G233" s="735"/>
      <c r="H233" s="93"/>
      <c r="I233" s="750"/>
      <c r="J233" s="750"/>
    </row>
    <row r="234" spans="1:10" x14ac:dyDescent="0.35">
      <c r="A234" s="92"/>
      <c r="F234" s="726"/>
      <c r="G234" s="735"/>
      <c r="H234" s="93"/>
      <c r="I234" s="750"/>
      <c r="J234" s="750"/>
    </row>
    <row r="235" spans="1:10" x14ac:dyDescent="0.35">
      <c r="A235" s="92"/>
      <c r="F235" s="726"/>
      <c r="G235" s="735"/>
      <c r="H235" s="93"/>
      <c r="I235" s="750"/>
      <c r="J235" s="750"/>
    </row>
    <row r="236" spans="1:10" x14ac:dyDescent="0.35">
      <c r="A236" s="92"/>
      <c r="F236" s="726"/>
      <c r="G236" s="735"/>
      <c r="H236" s="93"/>
      <c r="I236" s="750"/>
      <c r="J236" s="750"/>
    </row>
    <row r="237" spans="1:10" x14ac:dyDescent="0.35">
      <c r="A237" s="92"/>
      <c r="F237" s="726"/>
      <c r="G237" s="735"/>
      <c r="H237" s="93"/>
      <c r="I237" s="750"/>
      <c r="J237" s="750"/>
    </row>
    <row r="238" spans="1:10" x14ac:dyDescent="0.35">
      <c r="A238" s="92"/>
      <c r="F238" s="726"/>
      <c r="G238" s="735"/>
      <c r="H238" s="93"/>
      <c r="I238" s="750"/>
      <c r="J238" s="750"/>
    </row>
    <row r="239" spans="1:10" x14ac:dyDescent="0.35">
      <c r="A239" s="92"/>
      <c r="F239" s="726"/>
      <c r="G239" s="735"/>
      <c r="H239" s="93"/>
      <c r="I239" s="750"/>
      <c r="J239" s="750"/>
    </row>
    <row r="240" spans="1:10" x14ac:dyDescent="0.35">
      <c r="A240" s="92"/>
      <c r="F240" s="726"/>
      <c r="G240" s="735"/>
      <c r="H240" s="93"/>
      <c r="I240" s="750"/>
      <c r="J240" s="750"/>
    </row>
    <row r="241" spans="1:10" x14ac:dyDescent="0.35">
      <c r="A241" s="92"/>
      <c r="F241" s="726"/>
      <c r="G241" s="735"/>
      <c r="H241" s="93"/>
      <c r="I241" s="750"/>
      <c r="J241" s="750"/>
    </row>
    <row r="242" spans="1:10" x14ac:dyDescent="0.35">
      <c r="A242" s="92"/>
      <c r="F242" s="726"/>
      <c r="G242" s="735"/>
      <c r="H242" s="93"/>
      <c r="I242" s="750"/>
      <c r="J242" s="750"/>
    </row>
    <row r="243" spans="1:10" x14ac:dyDescent="0.35">
      <c r="A243" s="92"/>
      <c r="F243" s="726"/>
      <c r="G243" s="735"/>
      <c r="H243" s="93"/>
      <c r="I243" s="750"/>
      <c r="J243" s="750"/>
    </row>
    <row r="244" spans="1:10" x14ac:dyDescent="0.35">
      <c r="A244" s="92"/>
      <c r="F244" s="726"/>
      <c r="G244" s="735"/>
      <c r="H244" s="93"/>
      <c r="I244" s="750"/>
      <c r="J244" s="750"/>
    </row>
    <row r="245" spans="1:10" x14ac:dyDescent="0.35">
      <c r="A245" s="92"/>
      <c r="F245" s="726"/>
      <c r="G245" s="735"/>
      <c r="H245" s="93"/>
      <c r="I245" s="750"/>
      <c r="J245" s="750"/>
    </row>
    <row r="246" spans="1:10" x14ac:dyDescent="0.35">
      <c r="A246" s="92"/>
      <c r="F246" s="726"/>
      <c r="G246" s="735"/>
      <c r="H246" s="93"/>
      <c r="I246" s="750"/>
      <c r="J246" s="750"/>
    </row>
    <row r="247" spans="1:10" x14ac:dyDescent="0.35">
      <c r="A247" s="92"/>
      <c r="F247" s="726"/>
      <c r="G247" s="735"/>
      <c r="H247" s="93"/>
      <c r="I247" s="750"/>
      <c r="J247" s="750"/>
    </row>
    <row r="248" spans="1:10" x14ac:dyDescent="0.35">
      <c r="A248" s="92"/>
      <c r="F248" s="726"/>
      <c r="G248" s="735"/>
      <c r="H248" s="93"/>
      <c r="I248" s="750"/>
      <c r="J248" s="750"/>
    </row>
    <row r="249" spans="1:10" x14ac:dyDescent="0.35">
      <c r="A249" s="92"/>
      <c r="F249" s="726"/>
      <c r="G249" s="735"/>
      <c r="H249" s="93"/>
      <c r="I249" s="750"/>
      <c r="J249" s="750"/>
    </row>
    <row r="250" spans="1:10" x14ac:dyDescent="0.35">
      <c r="A250" s="92"/>
      <c r="F250" s="726"/>
      <c r="G250" s="735"/>
      <c r="H250" s="93"/>
      <c r="I250" s="750"/>
      <c r="J250" s="750"/>
    </row>
    <row r="251" spans="1:10" x14ac:dyDescent="0.35">
      <c r="A251" s="92"/>
      <c r="F251" s="726"/>
      <c r="G251" s="735"/>
      <c r="H251" s="93"/>
      <c r="I251" s="750"/>
      <c r="J251" s="750"/>
    </row>
    <row r="252" spans="1:10" x14ac:dyDescent="0.35">
      <c r="A252" s="92"/>
      <c r="F252" s="726"/>
      <c r="G252" s="735"/>
      <c r="H252" s="93"/>
      <c r="I252" s="750"/>
      <c r="J252" s="750"/>
    </row>
    <row r="253" spans="1:10" x14ac:dyDescent="0.35">
      <c r="A253" s="92"/>
      <c r="F253" s="726"/>
      <c r="G253" s="735"/>
      <c r="H253" s="93"/>
      <c r="I253" s="750"/>
      <c r="J253" s="750"/>
    </row>
    <row r="254" spans="1:10" x14ac:dyDescent="0.35">
      <c r="A254" s="92"/>
      <c r="F254" s="726"/>
      <c r="G254" s="735"/>
      <c r="H254" s="93"/>
      <c r="I254" s="750"/>
      <c r="J254" s="750"/>
    </row>
    <row r="255" spans="1:10" x14ac:dyDescent="0.35">
      <c r="A255" s="92"/>
      <c r="F255" s="726"/>
      <c r="G255" s="735"/>
      <c r="H255" s="93"/>
      <c r="I255" s="750"/>
      <c r="J255" s="750"/>
    </row>
    <row r="256" spans="1:10" x14ac:dyDescent="0.35">
      <c r="A256" s="92"/>
      <c r="F256" s="726"/>
      <c r="G256" s="735"/>
      <c r="H256" s="93"/>
      <c r="I256" s="750"/>
      <c r="J256" s="750"/>
    </row>
    <row r="257" spans="1:10" x14ac:dyDescent="0.35">
      <c r="A257" s="92"/>
      <c r="F257" s="726"/>
      <c r="G257" s="735"/>
      <c r="H257" s="93"/>
      <c r="I257" s="750"/>
      <c r="J257" s="750"/>
    </row>
    <row r="258" spans="1:10" x14ac:dyDescent="0.35">
      <c r="A258" s="92"/>
      <c r="F258" s="726"/>
      <c r="G258" s="735"/>
      <c r="H258" s="93"/>
      <c r="I258" s="750"/>
      <c r="J258" s="750"/>
    </row>
    <row r="259" spans="1:10" x14ac:dyDescent="0.35">
      <c r="A259" s="92"/>
      <c r="F259" s="726"/>
      <c r="G259" s="735"/>
      <c r="H259" s="93"/>
      <c r="I259" s="750"/>
      <c r="J259" s="750"/>
    </row>
    <row r="260" spans="1:10" x14ac:dyDescent="0.35">
      <c r="A260" s="92"/>
      <c r="F260" s="726"/>
      <c r="G260" s="735"/>
      <c r="H260" s="93"/>
      <c r="I260" s="750"/>
      <c r="J260" s="750"/>
    </row>
    <row r="261" spans="1:10" x14ac:dyDescent="0.35">
      <c r="A261" s="92"/>
      <c r="F261" s="726"/>
      <c r="G261" s="735"/>
      <c r="H261" s="93"/>
      <c r="I261" s="750"/>
      <c r="J261" s="750"/>
    </row>
    <row r="262" spans="1:10" x14ac:dyDescent="0.35">
      <c r="A262" s="92"/>
      <c r="F262" s="726"/>
      <c r="G262" s="735"/>
      <c r="H262" s="93"/>
      <c r="I262" s="750"/>
      <c r="J262" s="750"/>
    </row>
    <row r="263" spans="1:10" x14ac:dyDescent="0.35">
      <c r="A263" s="92"/>
      <c r="F263" s="726"/>
      <c r="G263" s="735"/>
      <c r="H263" s="93"/>
      <c r="I263" s="750"/>
      <c r="J263" s="750"/>
    </row>
    <row r="264" spans="1:10" x14ac:dyDescent="0.35">
      <c r="A264" s="92"/>
      <c r="F264" s="726"/>
      <c r="G264" s="735"/>
      <c r="H264" s="93"/>
      <c r="I264" s="750"/>
      <c r="J264" s="750"/>
    </row>
    <row r="265" spans="1:10" x14ac:dyDescent="0.35">
      <c r="A265" s="92"/>
      <c r="F265" s="726"/>
      <c r="G265" s="735"/>
      <c r="H265" s="93"/>
      <c r="I265" s="750"/>
      <c r="J265" s="750"/>
    </row>
    <row r="266" spans="1:10" x14ac:dyDescent="0.35">
      <c r="A266" s="92"/>
      <c r="F266" s="726"/>
      <c r="G266" s="735"/>
      <c r="H266" s="93"/>
      <c r="I266" s="750"/>
      <c r="J266" s="750"/>
    </row>
    <row r="267" spans="1:10" x14ac:dyDescent="0.35">
      <c r="A267" s="92"/>
      <c r="F267" s="726"/>
      <c r="G267" s="735"/>
      <c r="H267" s="93"/>
      <c r="I267" s="750"/>
      <c r="J267" s="750"/>
    </row>
    <row r="268" spans="1:10" x14ac:dyDescent="0.35">
      <c r="A268" s="92"/>
      <c r="F268" s="726"/>
      <c r="G268" s="735"/>
      <c r="H268" s="93"/>
      <c r="I268" s="750"/>
      <c r="J268" s="750"/>
    </row>
    <row r="269" spans="1:10" x14ac:dyDescent="0.35">
      <c r="A269" s="92"/>
      <c r="F269" s="726"/>
      <c r="G269" s="735"/>
      <c r="H269" s="93"/>
      <c r="I269" s="750"/>
      <c r="J269" s="750"/>
    </row>
    <row r="270" spans="1:10" x14ac:dyDescent="0.35">
      <c r="A270" s="92"/>
      <c r="F270" s="726"/>
      <c r="G270" s="735"/>
      <c r="H270" s="93"/>
      <c r="I270" s="750"/>
      <c r="J270" s="750"/>
    </row>
    <row r="271" spans="1:10" x14ac:dyDescent="0.35">
      <c r="A271" s="92"/>
      <c r="F271" s="726"/>
      <c r="G271" s="735"/>
      <c r="H271" s="93"/>
      <c r="I271" s="750"/>
      <c r="J271" s="750"/>
    </row>
    <row r="272" spans="1:10" x14ac:dyDescent="0.35">
      <c r="A272" s="92"/>
      <c r="F272" s="726"/>
      <c r="G272" s="735"/>
      <c r="H272" s="93"/>
      <c r="I272" s="750"/>
      <c r="J272" s="750"/>
    </row>
    <row r="273" spans="1:10" x14ac:dyDescent="0.35">
      <c r="A273" s="92"/>
      <c r="F273" s="726"/>
      <c r="G273" s="735"/>
      <c r="H273" s="93"/>
      <c r="I273" s="750"/>
      <c r="J273" s="750"/>
    </row>
    <row r="274" spans="1:10" x14ac:dyDescent="0.35">
      <c r="A274" s="92"/>
      <c r="F274" s="726"/>
      <c r="G274" s="735"/>
      <c r="H274" s="93"/>
      <c r="I274" s="750"/>
      <c r="J274" s="750"/>
    </row>
    <row r="275" spans="1:10" x14ac:dyDescent="0.35">
      <c r="A275" s="92"/>
      <c r="F275" s="726"/>
      <c r="G275" s="735"/>
      <c r="H275" s="93"/>
      <c r="I275" s="750"/>
      <c r="J275" s="750"/>
    </row>
    <row r="276" spans="1:10" x14ac:dyDescent="0.35">
      <c r="A276" s="92"/>
      <c r="F276" s="726"/>
      <c r="G276" s="735"/>
      <c r="H276" s="93"/>
      <c r="I276" s="750"/>
      <c r="J276" s="750"/>
    </row>
    <row r="277" spans="1:10" x14ac:dyDescent="0.35">
      <c r="A277" s="92"/>
      <c r="F277" s="726"/>
      <c r="G277" s="735"/>
      <c r="H277" s="93"/>
      <c r="I277" s="750"/>
      <c r="J277" s="750"/>
    </row>
    <row r="278" spans="1:10" x14ac:dyDescent="0.35">
      <c r="A278" s="92"/>
      <c r="F278" s="726"/>
      <c r="G278" s="735"/>
      <c r="H278" s="93"/>
      <c r="I278" s="750"/>
      <c r="J278" s="750"/>
    </row>
    <row r="279" spans="1:10" x14ac:dyDescent="0.35">
      <c r="A279" s="92"/>
      <c r="F279" s="726"/>
      <c r="G279" s="735"/>
      <c r="H279" s="93"/>
      <c r="I279" s="750"/>
      <c r="J279" s="750"/>
    </row>
    <row r="280" spans="1:10" x14ac:dyDescent="0.35">
      <c r="A280" s="92"/>
      <c r="F280" s="726"/>
      <c r="G280" s="735"/>
      <c r="H280" s="93"/>
      <c r="I280" s="750"/>
      <c r="J280" s="750"/>
    </row>
    <row r="281" spans="1:10" x14ac:dyDescent="0.35">
      <c r="A281" s="92"/>
      <c r="F281" s="726"/>
      <c r="G281" s="735"/>
      <c r="H281" s="93"/>
      <c r="I281" s="750"/>
      <c r="J281" s="750"/>
    </row>
    <row r="282" spans="1:10" x14ac:dyDescent="0.35">
      <c r="A282" s="92"/>
      <c r="F282" s="726"/>
      <c r="G282" s="735"/>
      <c r="H282" s="93"/>
      <c r="I282" s="750"/>
      <c r="J282" s="750"/>
    </row>
    <row r="283" spans="1:10" x14ac:dyDescent="0.35">
      <c r="A283" s="92"/>
      <c r="F283" s="726"/>
      <c r="G283" s="735"/>
      <c r="H283" s="93"/>
      <c r="I283" s="750"/>
      <c r="J283" s="750"/>
    </row>
    <row r="284" spans="1:10" x14ac:dyDescent="0.35">
      <c r="A284" s="92"/>
      <c r="F284" s="726"/>
      <c r="G284" s="735"/>
      <c r="H284" s="93"/>
      <c r="I284" s="750"/>
      <c r="J284" s="750"/>
    </row>
    <row r="285" spans="1:10" x14ac:dyDescent="0.35">
      <c r="A285" s="92"/>
      <c r="F285" s="726"/>
      <c r="G285" s="735"/>
      <c r="H285" s="93"/>
      <c r="I285" s="750"/>
      <c r="J285" s="750"/>
    </row>
    <row r="286" spans="1:10" x14ac:dyDescent="0.35">
      <c r="A286" s="92"/>
      <c r="F286" s="726"/>
      <c r="G286" s="735"/>
      <c r="H286" s="93"/>
      <c r="I286" s="750"/>
      <c r="J286" s="750"/>
    </row>
    <row r="287" spans="1:10" x14ac:dyDescent="0.35">
      <c r="A287" s="92"/>
      <c r="F287" s="726"/>
      <c r="G287" s="735"/>
      <c r="H287" s="93"/>
      <c r="I287" s="750"/>
      <c r="J287" s="750"/>
    </row>
    <row r="288" spans="1:10" x14ac:dyDescent="0.35">
      <c r="A288" s="92"/>
      <c r="F288" s="726"/>
      <c r="G288" s="735"/>
      <c r="H288" s="93"/>
      <c r="I288" s="750"/>
      <c r="J288" s="750"/>
    </row>
    <row r="289" spans="1:10" x14ac:dyDescent="0.35">
      <c r="A289" s="92"/>
      <c r="F289" s="726"/>
      <c r="G289" s="735"/>
      <c r="H289" s="93"/>
      <c r="I289" s="750"/>
      <c r="J289" s="750"/>
    </row>
    <row r="290" spans="1:10" x14ac:dyDescent="0.35">
      <c r="A290" s="92"/>
      <c r="F290" s="726"/>
      <c r="G290" s="735"/>
      <c r="H290" s="93"/>
      <c r="I290" s="750"/>
      <c r="J290" s="750"/>
    </row>
    <row r="291" spans="1:10" x14ac:dyDescent="0.35">
      <c r="A291" s="92"/>
      <c r="F291" s="726"/>
      <c r="G291" s="735"/>
      <c r="H291" s="93"/>
      <c r="I291" s="750"/>
      <c r="J291" s="750"/>
    </row>
    <row r="292" spans="1:10" x14ac:dyDescent="0.35">
      <c r="A292" s="92"/>
      <c r="F292" s="726"/>
      <c r="G292" s="735"/>
      <c r="H292" s="93"/>
      <c r="I292" s="750"/>
      <c r="J292" s="750"/>
    </row>
    <row r="293" spans="1:10" x14ac:dyDescent="0.35">
      <c r="A293" s="92"/>
      <c r="F293" s="726"/>
      <c r="G293" s="735"/>
      <c r="H293" s="93"/>
      <c r="I293" s="750"/>
      <c r="J293" s="750"/>
    </row>
    <row r="294" spans="1:10" x14ac:dyDescent="0.35">
      <c r="A294" s="92"/>
      <c r="F294" s="726"/>
      <c r="G294" s="735"/>
      <c r="H294" s="93"/>
      <c r="I294" s="750"/>
      <c r="J294" s="750"/>
    </row>
    <row r="295" spans="1:10" x14ac:dyDescent="0.35">
      <c r="A295" s="92"/>
      <c r="F295" s="726"/>
      <c r="G295" s="735"/>
      <c r="H295" s="93"/>
      <c r="I295" s="750"/>
      <c r="J295" s="750"/>
    </row>
    <row r="296" spans="1:10" x14ac:dyDescent="0.35">
      <c r="A296" s="92"/>
      <c r="F296" s="726"/>
      <c r="G296" s="735"/>
      <c r="H296" s="93"/>
      <c r="I296" s="750"/>
      <c r="J296" s="750"/>
    </row>
    <row r="297" spans="1:10" x14ac:dyDescent="0.35">
      <c r="A297" s="92"/>
      <c r="F297" s="726"/>
      <c r="G297" s="735"/>
      <c r="H297" s="93"/>
      <c r="I297" s="750"/>
      <c r="J297" s="750"/>
    </row>
    <row r="298" spans="1:10" x14ac:dyDescent="0.35">
      <c r="A298" s="92"/>
      <c r="F298" s="726"/>
      <c r="G298" s="735"/>
      <c r="H298" s="93"/>
      <c r="I298" s="750"/>
      <c r="J298" s="750"/>
    </row>
    <row r="299" spans="1:10" x14ac:dyDescent="0.35">
      <c r="A299" s="92"/>
      <c r="F299" s="726"/>
      <c r="G299" s="735"/>
      <c r="H299" s="93"/>
      <c r="I299" s="750"/>
      <c r="J299" s="750"/>
    </row>
    <row r="300" spans="1:10" x14ac:dyDescent="0.35">
      <c r="A300" s="92"/>
      <c r="F300" s="726"/>
      <c r="G300" s="735"/>
      <c r="H300" s="93"/>
      <c r="I300" s="750"/>
      <c r="J300" s="750"/>
    </row>
    <row r="301" spans="1:10" x14ac:dyDescent="0.35">
      <c r="A301" s="92"/>
      <c r="F301" s="726"/>
      <c r="G301" s="735"/>
      <c r="H301" s="93"/>
      <c r="I301" s="750"/>
      <c r="J301" s="750"/>
    </row>
    <row r="302" spans="1:10" x14ac:dyDescent="0.35">
      <c r="A302" s="92"/>
      <c r="F302" s="726"/>
      <c r="G302" s="735"/>
      <c r="H302" s="93"/>
      <c r="I302" s="750"/>
      <c r="J302" s="750"/>
    </row>
    <row r="303" spans="1:10" x14ac:dyDescent="0.35">
      <c r="A303" s="92"/>
      <c r="F303" s="726"/>
      <c r="G303" s="735"/>
      <c r="H303" s="93"/>
      <c r="I303" s="750"/>
      <c r="J303" s="750"/>
    </row>
    <row r="304" spans="1:10" x14ac:dyDescent="0.35">
      <c r="A304" s="92"/>
      <c r="F304" s="726"/>
      <c r="G304" s="735"/>
      <c r="H304" s="93"/>
      <c r="I304" s="750"/>
      <c r="J304" s="750"/>
    </row>
    <row r="305" spans="1:10" x14ac:dyDescent="0.35">
      <c r="A305" s="92"/>
      <c r="F305" s="726"/>
      <c r="G305" s="735"/>
      <c r="H305" s="93"/>
      <c r="I305" s="750"/>
      <c r="J305" s="750"/>
    </row>
    <row r="306" spans="1:10" x14ac:dyDescent="0.35">
      <c r="A306" s="92"/>
      <c r="F306" s="726"/>
      <c r="G306" s="735"/>
      <c r="H306" s="93"/>
      <c r="I306" s="750"/>
      <c r="J306" s="750"/>
    </row>
    <row r="307" spans="1:10" x14ac:dyDescent="0.35">
      <c r="A307" s="92"/>
      <c r="F307" s="726"/>
      <c r="G307" s="735"/>
      <c r="H307" s="93"/>
      <c r="I307" s="750"/>
      <c r="J307" s="750"/>
    </row>
    <row r="308" spans="1:10" x14ac:dyDescent="0.35">
      <c r="A308" s="92"/>
      <c r="F308" s="726"/>
      <c r="G308" s="735"/>
      <c r="H308" s="93"/>
      <c r="I308" s="750"/>
      <c r="J308" s="750"/>
    </row>
    <row r="309" spans="1:10" x14ac:dyDescent="0.35">
      <c r="A309" s="92"/>
      <c r="F309" s="726"/>
      <c r="G309" s="735"/>
      <c r="H309" s="93"/>
      <c r="I309" s="750"/>
      <c r="J309" s="750"/>
    </row>
    <row r="310" spans="1:10" x14ac:dyDescent="0.35">
      <c r="A310" s="92"/>
      <c r="F310" s="726"/>
      <c r="G310" s="735"/>
      <c r="H310" s="93"/>
      <c r="I310" s="750"/>
      <c r="J310" s="750"/>
    </row>
    <row r="311" spans="1:10" x14ac:dyDescent="0.35">
      <c r="A311" s="92"/>
      <c r="F311" s="726"/>
      <c r="G311" s="735"/>
      <c r="H311" s="93"/>
      <c r="I311" s="750"/>
      <c r="J311" s="750"/>
    </row>
    <row r="312" spans="1:10" x14ac:dyDescent="0.35">
      <c r="A312" s="92"/>
      <c r="F312" s="726"/>
      <c r="G312" s="735"/>
      <c r="H312" s="93"/>
      <c r="I312" s="750"/>
      <c r="J312" s="750"/>
    </row>
    <row r="313" spans="1:10" x14ac:dyDescent="0.35">
      <c r="A313" s="92"/>
      <c r="F313" s="726"/>
      <c r="G313" s="735"/>
      <c r="H313" s="93"/>
      <c r="I313" s="750"/>
      <c r="J313" s="750"/>
    </row>
    <row r="314" spans="1:10" x14ac:dyDescent="0.35">
      <c r="A314" s="92"/>
      <c r="F314" s="726"/>
      <c r="G314" s="735"/>
      <c r="H314" s="93"/>
      <c r="I314" s="750"/>
      <c r="J314" s="750"/>
    </row>
    <row r="315" spans="1:10" x14ac:dyDescent="0.35">
      <c r="A315" s="92"/>
      <c r="F315" s="726"/>
      <c r="G315" s="735"/>
      <c r="H315" s="93"/>
      <c r="I315" s="750"/>
      <c r="J315" s="750"/>
    </row>
    <row r="316" spans="1:10" x14ac:dyDescent="0.35">
      <c r="A316" s="92"/>
      <c r="F316" s="726"/>
      <c r="G316" s="735"/>
      <c r="H316" s="93"/>
      <c r="I316" s="750"/>
      <c r="J316" s="750"/>
    </row>
    <row r="317" spans="1:10" x14ac:dyDescent="0.35">
      <c r="A317" s="92"/>
      <c r="F317" s="726"/>
      <c r="G317" s="735"/>
      <c r="H317" s="93"/>
      <c r="I317" s="750"/>
      <c r="J317" s="750"/>
    </row>
    <row r="318" spans="1:10" x14ac:dyDescent="0.35">
      <c r="A318" s="92"/>
      <c r="F318" s="726"/>
      <c r="G318" s="735"/>
      <c r="H318" s="93"/>
      <c r="I318" s="750"/>
      <c r="J318" s="750"/>
    </row>
    <row r="319" spans="1:10" x14ac:dyDescent="0.35">
      <c r="A319" s="92"/>
      <c r="F319" s="726"/>
      <c r="G319" s="735"/>
      <c r="H319" s="93"/>
      <c r="I319" s="750"/>
      <c r="J319" s="750"/>
    </row>
    <row r="320" spans="1:10" x14ac:dyDescent="0.35">
      <c r="A320" s="92"/>
      <c r="F320" s="726"/>
      <c r="G320" s="735"/>
      <c r="H320" s="93"/>
      <c r="I320" s="750"/>
      <c r="J320" s="750"/>
    </row>
    <row r="321" spans="1:10" x14ac:dyDescent="0.35">
      <c r="A321" s="92"/>
      <c r="F321" s="726"/>
      <c r="G321" s="735"/>
      <c r="H321" s="93"/>
      <c r="I321" s="750"/>
      <c r="J321" s="750"/>
    </row>
    <row r="322" spans="1:10" x14ac:dyDescent="0.35">
      <c r="A322" s="92"/>
      <c r="F322" s="726"/>
      <c r="G322" s="735"/>
      <c r="H322" s="93"/>
      <c r="I322" s="750"/>
      <c r="J322" s="750"/>
    </row>
    <row r="323" spans="1:10" x14ac:dyDescent="0.35">
      <c r="A323" s="92"/>
      <c r="F323" s="726"/>
      <c r="G323" s="735"/>
      <c r="H323" s="93"/>
      <c r="I323" s="750"/>
      <c r="J323" s="750"/>
    </row>
    <row r="324" spans="1:10" x14ac:dyDescent="0.35">
      <c r="A324" s="92"/>
      <c r="F324" s="726"/>
      <c r="G324" s="735"/>
      <c r="H324" s="93"/>
      <c r="I324" s="750"/>
      <c r="J324" s="750"/>
    </row>
    <row r="325" spans="1:10" x14ac:dyDescent="0.35">
      <c r="A325" s="92"/>
      <c r="F325" s="726"/>
      <c r="G325" s="735"/>
      <c r="H325" s="93"/>
      <c r="I325" s="750"/>
      <c r="J325" s="750"/>
    </row>
    <row r="326" spans="1:10" x14ac:dyDescent="0.35">
      <c r="A326" s="92"/>
      <c r="F326" s="726"/>
      <c r="G326" s="735"/>
      <c r="H326" s="93"/>
      <c r="I326" s="750"/>
      <c r="J326" s="750"/>
    </row>
    <row r="327" spans="1:10" x14ac:dyDescent="0.35">
      <c r="A327" s="92"/>
      <c r="F327" s="726"/>
      <c r="G327" s="735"/>
      <c r="H327" s="93"/>
      <c r="I327" s="750"/>
      <c r="J327" s="750"/>
    </row>
    <row r="328" spans="1:10" x14ac:dyDescent="0.35">
      <c r="A328" s="92"/>
      <c r="F328" s="726"/>
      <c r="G328" s="735"/>
      <c r="H328" s="93"/>
      <c r="I328" s="750"/>
      <c r="J328" s="750"/>
    </row>
    <row r="329" spans="1:10" x14ac:dyDescent="0.35">
      <c r="A329" s="92"/>
      <c r="F329" s="726"/>
      <c r="G329" s="735"/>
      <c r="H329" s="93"/>
      <c r="I329" s="750"/>
      <c r="J329" s="750"/>
    </row>
    <row r="330" spans="1:10" x14ac:dyDescent="0.35">
      <c r="A330" s="92"/>
      <c r="F330" s="726"/>
      <c r="G330" s="735"/>
      <c r="H330" s="93"/>
      <c r="I330" s="750"/>
      <c r="J330" s="750"/>
    </row>
    <row r="331" spans="1:10" x14ac:dyDescent="0.35">
      <c r="A331" s="92"/>
      <c r="F331" s="726"/>
      <c r="G331" s="735"/>
      <c r="H331" s="93"/>
      <c r="I331" s="750"/>
      <c r="J331" s="750"/>
    </row>
    <row r="332" spans="1:10" x14ac:dyDescent="0.35">
      <c r="A332" s="92"/>
      <c r="F332" s="726"/>
      <c r="G332" s="735"/>
      <c r="H332" s="93"/>
      <c r="I332" s="750"/>
      <c r="J332" s="750"/>
    </row>
    <row r="333" spans="1:10" x14ac:dyDescent="0.35">
      <c r="A333" s="92"/>
      <c r="F333" s="726"/>
      <c r="G333" s="735"/>
      <c r="H333" s="93"/>
      <c r="I333" s="750"/>
      <c r="J333" s="750"/>
    </row>
    <row r="334" spans="1:10" x14ac:dyDescent="0.35">
      <c r="A334" s="92"/>
      <c r="F334" s="726"/>
      <c r="G334" s="735"/>
      <c r="H334" s="93"/>
      <c r="I334" s="750"/>
      <c r="J334" s="750"/>
    </row>
    <row r="335" spans="1:10" x14ac:dyDescent="0.35">
      <c r="A335" s="92"/>
      <c r="F335" s="726"/>
      <c r="G335" s="735"/>
      <c r="H335" s="93"/>
      <c r="I335" s="750"/>
      <c r="J335" s="750"/>
    </row>
    <row r="336" spans="1:10" x14ac:dyDescent="0.35">
      <c r="A336" s="92"/>
      <c r="F336" s="726"/>
      <c r="G336" s="735"/>
      <c r="H336" s="93"/>
      <c r="I336" s="750"/>
      <c r="J336" s="750"/>
    </row>
    <row r="337" spans="1:10" x14ac:dyDescent="0.35">
      <c r="A337" s="92"/>
      <c r="F337" s="726"/>
      <c r="G337" s="735"/>
      <c r="H337" s="93"/>
      <c r="I337" s="750"/>
      <c r="J337" s="750"/>
    </row>
    <row r="338" spans="1:10" x14ac:dyDescent="0.35">
      <c r="A338" s="92"/>
      <c r="F338" s="726"/>
      <c r="G338" s="735"/>
      <c r="H338" s="93"/>
      <c r="I338" s="750"/>
      <c r="J338" s="750"/>
    </row>
    <row r="339" spans="1:10" x14ac:dyDescent="0.35">
      <c r="A339" s="92"/>
      <c r="F339" s="726"/>
      <c r="G339" s="735"/>
      <c r="H339" s="93"/>
      <c r="I339" s="750"/>
      <c r="J339" s="750"/>
    </row>
    <row r="340" spans="1:10" x14ac:dyDescent="0.35">
      <c r="A340" s="92"/>
      <c r="F340" s="726"/>
      <c r="G340" s="735"/>
      <c r="H340" s="93"/>
      <c r="I340" s="750"/>
      <c r="J340" s="750"/>
    </row>
    <row r="341" spans="1:10" x14ac:dyDescent="0.35">
      <c r="A341" s="92"/>
      <c r="F341" s="726"/>
      <c r="G341" s="735"/>
      <c r="H341" s="93"/>
      <c r="I341" s="750"/>
      <c r="J341" s="750"/>
    </row>
    <row r="342" spans="1:10" x14ac:dyDescent="0.35">
      <c r="A342" s="92"/>
      <c r="F342" s="726"/>
      <c r="G342" s="735"/>
      <c r="H342" s="93"/>
      <c r="I342" s="750"/>
      <c r="J342" s="750"/>
    </row>
    <row r="343" spans="1:10" x14ac:dyDescent="0.35">
      <c r="A343" s="92"/>
      <c r="F343" s="726"/>
      <c r="G343" s="735"/>
      <c r="H343" s="93"/>
      <c r="I343" s="750"/>
      <c r="J343" s="750"/>
    </row>
    <row r="344" spans="1:10" x14ac:dyDescent="0.35">
      <c r="A344" s="92"/>
      <c r="F344" s="726"/>
      <c r="G344" s="735"/>
      <c r="H344" s="93"/>
      <c r="I344" s="750"/>
      <c r="J344" s="750"/>
    </row>
    <row r="345" spans="1:10" x14ac:dyDescent="0.35">
      <c r="A345" s="92"/>
      <c r="F345" s="726"/>
      <c r="G345" s="735"/>
      <c r="H345" s="93"/>
      <c r="I345" s="750"/>
      <c r="J345" s="750"/>
    </row>
    <row r="346" spans="1:10" x14ac:dyDescent="0.35">
      <c r="A346" s="92"/>
      <c r="F346" s="726"/>
      <c r="G346" s="735"/>
      <c r="H346" s="93"/>
      <c r="I346" s="750"/>
      <c r="J346" s="750"/>
    </row>
    <row r="347" spans="1:10" x14ac:dyDescent="0.35">
      <c r="A347" s="92"/>
      <c r="F347" s="726"/>
      <c r="G347" s="735"/>
      <c r="H347" s="93"/>
      <c r="I347" s="750"/>
      <c r="J347" s="750"/>
    </row>
    <row r="348" spans="1:10" x14ac:dyDescent="0.35">
      <c r="A348" s="92"/>
      <c r="F348" s="726"/>
      <c r="G348" s="735"/>
      <c r="H348" s="93"/>
      <c r="I348" s="750"/>
      <c r="J348" s="750"/>
    </row>
    <row r="349" spans="1:10" x14ac:dyDescent="0.35">
      <c r="A349" s="92"/>
      <c r="F349" s="726"/>
      <c r="G349" s="735"/>
      <c r="H349" s="93"/>
      <c r="I349" s="750"/>
      <c r="J349" s="750"/>
    </row>
    <row r="350" spans="1:10" x14ac:dyDescent="0.35">
      <c r="A350" s="92"/>
      <c r="F350" s="726"/>
      <c r="G350" s="735"/>
      <c r="H350" s="93"/>
      <c r="I350" s="750"/>
      <c r="J350" s="750"/>
    </row>
    <row r="351" spans="1:10" x14ac:dyDescent="0.35">
      <c r="A351" s="92"/>
      <c r="F351" s="726"/>
      <c r="G351" s="735"/>
      <c r="H351" s="93"/>
      <c r="I351" s="750"/>
      <c r="J351" s="750"/>
    </row>
    <row r="352" spans="1:10" x14ac:dyDescent="0.35">
      <c r="A352" s="92"/>
      <c r="F352" s="726"/>
      <c r="G352" s="735"/>
      <c r="H352" s="93"/>
      <c r="I352" s="750"/>
      <c r="J352" s="750"/>
    </row>
    <row r="353" spans="1:10" x14ac:dyDescent="0.35">
      <c r="A353" s="92"/>
      <c r="F353" s="726"/>
      <c r="G353" s="735"/>
      <c r="H353" s="93"/>
      <c r="I353" s="750"/>
      <c r="J353" s="750"/>
    </row>
    <row r="354" spans="1:10" x14ac:dyDescent="0.35">
      <c r="A354" s="92"/>
      <c r="F354" s="726"/>
      <c r="G354" s="735"/>
      <c r="H354" s="93"/>
      <c r="I354" s="750"/>
      <c r="J354" s="750"/>
    </row>
    <row r="355" spans="1:10" x14ac:dyDescent="0.35">
      <c r="A355" s="92"/>
      <c r="F355" s="726"/>
      <c r="G355" s="735"/>
      <c r="H355" s="93"/>
      <c r="I355" s="750"/>
      <c r="J355" s="750"/>
    </row>
    <row r="356" spans="1:10" x14ac:dyDescent="0.35">
      <c r="A356" s="92"/>
      <c r="F356" s="726"/>
      <c r="G356" s="735"/>
      <c r="H356" s="93"/>
      <c r="I356" s="750"/>
      <c r="J356" s="750"/>
    </row>
    <row r="357" spans="1:10" x14ac:dyDescent="0.35">
      <c r="A357" s="92"/>
      <c r="F357" s="726"/>
      <c r="G357" s="735"/>
      <c r="H357" s="93"/>
      <c r="I357" s="750"/>
      <c r="J357" s="750"/>
    </row>
    <row r="358" spans="1:10" x14ac:dyDescent="0.35">
      <c r="A358" s="92"/>
      <c r="F358" s="726"/>
      <c r="G358" s="735"/>
      <c r="H358" s="93"/>
      <c r="I358" s="750"/>
      <c r="J358" s="750"/>
    </row>
    <row r="359" spans="1:10" x14ac:dyDescent="0.35">
      <c r="A359" s="92"/>
      <c r="F359" s="726"/>
      <c r="G359" s="735"/>
      <c r="H359" s="93"/>
      <c r="I359" s="750"/>
      <c r="J359" s="750"/>
    </row>
    <row r="360" spans="1:10" x14ac:dyDescent="0.35">
      <c r="A360" s="92"/>
      <c r="F360" s="726"/>
      <c r="G360" s="735"/>
      <c r="H360" s="93"/>
      <c r="I360" s="750"/>
      <c r="J360" s="750"/>
    </row>
    <row r="361" spans="1:10" x14ac:dyDescent="0.35">
      <c r="A361" s="92"/>
      <c r="F361" s="726"/>
      <c r="G361" s="735"/>
      <c r="H361" s="93"/>
      <c r="I361" s="750"/>
      <c r="J361" s="750"/>
    </row>
    <row r="362" spans="1:10" x14ac:dyDescent="0.35">
      <c r="A362" s="92"/>
      <c r="F362" s="726"/>
      <c r="G362" s="735"/>
      <c r="H362" s="93"/>
      <c r="I362" s="750"/>
      <c r="J362" s="750"/>
    </row>
    <row r="363" spans="1:10" x14ac:dyDescent="0.35">
      <c r="A363" s="92"/>
      <c r="F363" s="726"/>
      <c r="G363" s="735"/>
      <c r="H363" s="93"/>
      <c r="I363" s="750"/>
      <c r="J363" s="750"/>
    </row>
    <row r="364" spans="1:10" x14ac:dyDescent="0.35">
      <c r="A364" s="92"/>
      <c r="F364" s="726"/>
      <c r="G364" s="735"/>
      <c r="H364" s="93"/>
      <c r="I364" s="750"/>
      <c r="J364" s="750"/>
    </row>
    <row r="365" spans="1:10" x14ac:dyDescent="0.35">
      <c r="A365" s="92"/>
      <c r="F365" s="726"/>
      <c r="G365" s="735"/>
      <c r="H365" s="93"/>
      <c r="I365" s="750"/>
      <c r="J365" s="750"/>
    </row>
    <row r="366" spans="1:10" x14ac:dyDescent="0.35">
      <c r="A366" s="92"/>
      <c r="F366" s="726"/>
      <c r="G366" s="735"/>
      <c r="H366" s="93"/>
      <c r="I366" s="750"/>
      <c r="J366" s="750"/>
    </row>
    <row r="367" spans="1:10" x14ac:dyDescent="0.35">
      <c r="A367" s="92"/>
      <c r="F367" s="726"/>
      <c r="G367" s="735"/>
      <c r="H367" s="93"/>
      <c r="I367" s="750"/>
      <c r="J367" s="750"/>
    </row>
    <row r="368" spans="1:10" x14ac:dyDescent="0.35">
      <c r="A368" s="92"/>
      <c r="F368" s="726"/>
      <c r="G368" s="735"/>
      <c r="H368" s="93"/>
      <c r="I368" s="750"/>
      <c r="J368" s="750"/>
    </row>
    <row r="369" spans="1:10" x14ac:dyDescent="0.35">
      <c r="A369" s="92"/>
      <c r="F369" s="726"/>
      <c r="G369" s="735"/>
      <c r="H369" s="93"/>
      <c r="I369" s="750"/>
      <c r="J369" s="750"/>
    </row>
    <row r="370" spans="1:10" x14ac:dyDescent="0.35">
      <c r="A370" s="92"/>
      <c r="F370" s="726"/>
      <c r="G370" s="735"/>
      <c r="H370" s="93"/>
      <c r="I370" s="750"/>
      <c r="J370" s="750"/>
    </row>
    <row r="371" spans="1:10" x14ac:dyDescent="0.35">
      <c r="A371" s="92"/>
      <c r="F371" s="726"/>
      <c r="G371" s="735"/>
      <c r="H371" s="93"/>
      <c r="I371" s="750"/>
      <c r="J371" s="750"/>
    </row>
    <row r="372" spans="1:10" x14ac:dyDescent="0.35">
      <c r="A372" s="92"/>
      <c r="F372" s="726"/>
      <c r="G372" s="735"/>
      <c r="H372" s="93"/>
      <c r="I372" s="750"/>
      <c r="J372" s="750"/>
    </row>
    <row r="373" spans="1:10" x14ac:dyDescent="0.35">
      <c r="A373" s="92"/>
      <c r="F373" s="726"/>
      <c r="G373" s="735"/>
      <c r="H373" s="93"/>
      <c r="I373" s="750"/>
      <c r="J373" s="750"/>
    </row>
    <row r="374" spans="1:10" x14ac:dyDescent="0.35">
      <c r="A374" s="92"/>
      <c r="F374" s="726"/>
      <c r="G374" s="735"/>
      <c r="H374" s="93"/>
      <c r="I374" s="750"/>
      <c r="J374" s="750"/>
    </row>
    <row r="375" spans="1:10" x14ac:dyDescent="0.35">
      <c r="A375" s="92"/>
      <c r="F375" s="726"/>
      <c r="G375" s="735"/>
      <c r="H375" s="93"/>
      <c r="I375" s="750"/>
      <c r="J375" s="750"/>
    </row>
    <row r="376" spans="1:10" x14ac:dyDescent="0.35">
      <c r="A376" s="92"/>
      <c r="F376" s="726"/>
      <c r="G376" s="735"/>
      <c r="H376" s="93"/>
      <c r="I376" s="750"/>
      <c r="J376" s="750"/>
    </row>
    <row r="377" spans="1:10" x14ac:dyDescent="0.35">
      <c r="A377" s="92"/>
      <c r="F377" s="726"/>
      <c r="G377" s="735"/>
      <c r="H377" s="93"/>
      <c r="I377" s="750"/>
      <c r="J377" s="750"/>
    </row>
    <row r="378" spans="1:10" x14ac:dyDescent="0.35">
      <c r="A378" s="92"/>
      <c r="F378" s="726"/>
      <c r="G378" s="735"/>
      <c r="H378" s="93"/>
      <c r="I378" s="750"/>
      <c r="J378" s="750"/>
    </row>
    <row r="379" spans="1:10" x14ac:dyDescent="0.35">
      <c r="A379" s="92"/>
      <c r="F379" s="726"/>
      <c r="G379" s="735"/>
      <c r="H379" s="93"/>
      <c r="I379" s="750"/>
      <c r="J379" s="750"/>
    </row>
    <row r="380" spans="1:10" x14ac:dyDescent="0.35">
      <c r="A380" s="92"/>
      <c r="F380" s="726"/>
      <c r="G380" s="735"/>
      <c r="H380" s="93"/>
      <c r="I380" s="750"/>
      <c r="J380" s="750"/>
    </row>
    <row r="381" spans="1:10" x14ac:dyDescent="0.35">
      <c r="A381" s="92"/>
      <c r="F381" s="726"/>
      <c r="G381" s="735"/>
      <c r="H381" s="93"/>
      <c r="I381" s="750"/>
      <c r="J381" s="750"/>
    </row>
    <row r="382" spans="1:10" x14ac:dyDescent="0.35">
      <c r="A382" s="92"/>
      <c r="F382" s="726"/>
      <c r="G382" s="735"/>
      <c r="H382" s="93"/>
      <c r="I382" s="750"/>
      <c r="J382" s="750"/>
    </row>
    <row r="383" spans="1:10" x14ac:dyDescent="0.35">
      <c r="A383" s="92"/>
      <c r="F383" s="726"/>
      <c r="G383" s="735"/>
      <c r="H383" s="93"/>
      <c r="I383" s="750"/>
      <c r="J383" s="750"/>
    </row>
    <row r="384" spans="1:10" x14ac:dyDescent="0.35">
      <c r="A384" s="92"/>
      <c r="F384" s="726"/>
      <c r="G384" s="735"/>
      <c r="H384" s="93"/>
      <c r="I384" s="750"/>
      <c r="J384" s="750"/>
    </row>
    <row r="385" spans="1:10" x14ac:dyDescent="0.35">
      <c r="A385" s="92"/>
      <c r="F385" s="726"/>
      <c r="G385" s="735"/>
      <c r="H385" s="93"/>
      <c r="I385" s="750"/>
      <c r="J385" s="750"/>
    </row>
    <row r="386" spans="1:10" x14ac:dyDescent="0.35">
      <c r="A386" s="92"/>
      <c r="F386" s="726"/>
      <c r="G386" s="735"/>
      <c r="H386" s="93"/>
      <c r="I386" s="750"/>
      <c r="J386" s="750"/>
    </row>
    <row r="387" spans="1:10" x14ac:dyDescent="0.35">
      <c r="A387" s="92"/>
      <c r="F387" s="726"/>
      <c r="G387" s="735"/>
      <c r="H387" s="93"/>
      <c r="I387" s="750"/>
      <c r="J387" s="750"/>
    </row>
    <row r="388" spans="1:10" x14ac:dyDescent="0.35">
      <c r="A388" s="92"/>
      <c r="F388" s="726"/>
      <c r="G388" s="735"/>
      <c r="H388" s="93"/>
      <c r="I388" s="750"/>
      <c r="J388" s="750"/>
    </row>
    <row r="389" spans="1:10" x14ac:dyDescent="0.35">
      <c r="A389" s="92"/>
      <c r="F389" s="726"/>
      <c r="G389" s="735"/>
      <c r="H389" s="93"/>
      <c r="I389" s="750"/>
      <c r="J389" s="750"/>
    </row>
    <row r="390" spans="1:10" x14ac:dyDescent="0.35">
      <c r="A390" s="92"/>
      <c r="F390" s="726"/>
      <c r="G390" s="735"/>
      <c r="H390" s="93"/>
      <c r="I390" s="750"/>
      <c r="J390" s="750"/>
    </row>
    <row r="391" spans="1:10" x14ac:dyDescent="0.35">
      <c r="A391" s="92"/>
      <c r="F391" s="726"/>
      <c r="G391" s="735"/>
      <c r="H391" s="93"/>
      <c r="I391" s="750"/>
      <c r="J391" s="750"/>
    </row>
    <row r="392" spans="1:10" x14ac:dyDescent="0.35">
      <c r="A392" s="92"/>
      <c r="F392" s="726"/>
      <c r="G392" s="735"/>
      <c r="H392" s="93"/>
      <c r="I392" s="750"/>
      <c r="J392" s="750"/>
    </row>
    <row r="393" spans="1:10" x14ac:dyDescent="0.35">
      <c r="A393" s="92"/>
      <c r="F393" s="726"/>
      <c r="G393" s="735"/>
      <c r="H393" s="93"/>
      <c r="I393" s="750"/>
      <c r="J393" s="750"/>
    </row>
    <row r="394" spans="1:10" x14ac:dyDescent="0.35">
      <c r="A394" s="92"/>
      <c r="F394" s="726"/>
      <c r="G394" s="735"/>
      <c r="H394" s="93"/>
      <c r="I394" s="750"/>
      <c r="J394" s="750"/>
    </row>
    <row r="395" spans="1:10" x14ac:dyDescent="0.35">
      <c r="A395" s="92"/>
      <c r="F395" s="726"/>
      <c r="G395" s="735"/>
      <c r="H395" s="93"/>
      <c r="I395" s="750"/>
      <c r="J395" s="750"/>
    </row>
    <row r="396" spans="1:10" x14ac:dyDescent="0.35">
      <c r="A396" s="92"/>
      <c r="F396" s="726"/>
      <c r="G396" s="735"/>
      <c r="H396" s="93"/>
      <c r="I396" s="750"/>
      <c r="J396" s="750"/>
    </row>
    <row r="397" spans="1:10" x14ac:dyDescent="0.35">
      <c r="A397" s="92"/>
      <c r="F397" s="726"/>
      <c r="G397" s="735"/>
      <c r="H397" s="93"/>
      <c r="I397" s="750"/>
      <c r="J397" s="750"/>
    </row>
    <row r="398" spans="1:10" x14ac:dyDescent="0.35">
      <c r="A398" s="92"/>
      <c r="F398" s="726"/>
      <c r="G398" s="735"/>
      <c r="H398" s="93"/>
      <c r="I398" s="750"/>
      <c r="J398" s="750"/>
    </row>
    <row r="399" spans="1:10" x14ac:dyDescent="0.35">
      <c r="A399" s="92"/>
      <c r="F399" s="726"/>
      <c r="G399" s="735"/>
      <c r="H399" s="93"/>
      <c r="I399" s="750"/>
      <c r="J399" s="750"/>
    </row>
    <row r="400" spans="1:10" x14ac:dyDescent="0.35">
      <c r="A400" s="92"/>
      <c r="F400" s="726"/>
      <c r="G400" s="735"/>
      <c r="H400" s="93"/>
      <c r="I400" s="750"/>
      <c r="J400" s="750"/>
    </row>
    <row r="401" spans="1:10" x14ac:dyDescent="0.35">
      <c r="A401" s="92"/>
      <c r="F401" s="726"/>
      <c r="G401" s="735"/>
      <c r="H401" s="93"/>
      <c r="I401" s="750"/>
      <c r="J401" s="750"/>
    </row>
    <row r="402" spans="1:10" x14ac:dyDescent="0.35">
      <c r="A402" s="92"/>
      <c r="F402" s="726"/>
      <c r="G402" s="735"/>
      <c r="H402" s="93"/>
      <c r="I402" s="750"/>
      <c r="J402" s="750"/>
    </row>
    <row r="403" spans="1:10" x14ac:dyDescent="0.35">
      <c r="A403" s="92"/>
      <c r="F403" s="726"/>
      <c r="G403" s="735"/>
      <c r="H403" s="93"/>
      <c r="I403" s="750"/>
      <c r="J403" s="750"/>
    </row>
    <row r="404" spans="1:10" x14ac:dyDescent="0.35">
      <c r="A404" s="92"/>
      <c r="F404" s="726"/>
      <c r="G404" s="735"/>
      <c r="H404" s="93"/>
      <c r="I404" s="750"/>
      <c r="J404" s="750"/>
    </row>
    <row r="405" spans="1:10" x14ac:dyDescent="0.35">
      <c r="A405" s="92"/>
      <c r="F405" s="726"/>
      <c r="G405" s="735"/>
      <c r="H405" s="93"/>
      <c r="I405" s="750"/>
      <c r="J405" s="750"/>
    </row>
    <row r="406" spans="1:10" x14ac:dyDescent="0.35">
      <c r="A406" s="92"/>
      <c r="F406" s="726"/>
      <c r="G406" s="735"/>
      <c r="H406" s="93"/>
      <c r="I406" s="750"/>
      <c r="J406" s="750"/>
    </row>
    <row r="407" spans="1:10" x14ac:dyDescent="0.35">
      <c r="A407" s="92"/>
      <c r="F407" s="726"/>
      <c r="G407" s="735"/>
      <c r="H407" s="93"/>
      <c r="I407" s="750"/>
      <c r="J407" s="750"/>
    </row>
    <row r="408" spans="1:10" x14ac:dyDescent="0.35">
      <c r="A408" s="92"/>
      <c r="F408" s="726"/>
      <c r="G408" s="735"/>
      <c r="H408" s="93"/>
      <c r="I408" s="750"/>
      <c r="J408" s="750"/>
    </row>
    <row r="409" spans="1:10" x14ac:dyDescent="0.35">
      <c r="A409" s="92"/>
      <c r="F409" s="726"/>
      <c r="G409" s="735"/>
      <c r="H409" s="93"/>
      <c r="I409" s="750"/>
      <c r="J409" s="750"/>
    </row>
    <row r="410" spans="1:10" x14ac:dyDescent="0.35">
      <c r="A410" s="92"/>
      <c r="F410" s="726"/>
      <c r="G410" s="735"/>
      <c r="H410" s="93"/>
      <c r="I410" s="750"/>
      <c r="J410" s="750"/>
    </row>
    <row r="411" spans="1:10" x14ac:dyDescent="0.35">
      <c r="A411" s="92"/>
      <c r="F411" s="726"/>
      <c r="G411" s="735"/>
      <c r="H411" s="93"/>
      <c r="I411" s="750"/>
      <c r="J411" s="750"/>
    </row>
    <row r="412" spans="1:10" x14ac:dyDescent="0.35">
      <c r="A412" s="92"/>
      <c r="F412" s="726"/>
      <c r="G412" s="735"/>
      <c r="H412" s="93"/>
      <c r="I412" s="750"/>
      <c r="J412" s="750"/>
    </row>
    <row r="413" spans="1:10" x14ac:dyDescent="0.35">
      <c r="A413" s="92"/>
      <c r="F413" s="726"/>
      <c r="G413" s="735"/>
      <c r="H413" s="93"/>
      <c r="I413" s="750"/>
      <c r="J413" s="750"/>
    </row>
    <row r="414" spans="1:10" x14ac:dyDescent="0.35">
      <c r="A414" s="92"/>
      <c r="F414" s="726"/>
      <c r="G414" s="735"/>
      <c r="H414" s="93"/>
      <c r="I414" s="750"/>
      <c r="J414" s="750"/>
    </row>
    <row r="415" spans="1:10" x14ac:dyDescent="0.35">
      <c r="A415" s="92"/>
      <c r="F415" s="726"/>
      <c r="G415" s="735"/>
      <c r="H415" s="93"/>
      <c r="I415" s="750"/>
      <c r="J415" s="750"/>
    </row>
    <row r="416" spans="1:10" x14ac:dyDescent="0.35">
      <c r="A416" s="92"/>
      <c r="F416" s="726"/>
      <c r="G416" s="735"/>
      <c r="H416" s="93"/>
      <c r="I416" s="750"/>
      <c r="J416" s="750"/>
    </row>
    <row r="417" spans="1:10" x14ac:dyDescent="0.35">
      <c r="A417" s="92"/>
      <c r="F417" s="726"/>
      <c r="G417" s="735"/>
      <c r="H417" s="93"/>
      <c r="I417" s="750"/>
      <c r="J417" s="750"/>
    </row>
    <row r="418" spans="1:10" x14ac:dyDescent="0.35">
      <c r="A418" s="92"/>
      <c r="F418" s="726"/>
      <c r="G418" s="735"/>
      <c r="H418" s="93"/>
      <c r="I418" s="750"/>
      <c r="J418" s="750"/>
    </row>
    <row r="419" spans="1:10" x14ac:dyDescent="0.35">
      <c r="A419" s="92"/>
      <c r="F419" s="726"/>
      <c r="G419" s="735"/>
      <c r="H419" s="93"/>
      <c r="I419" s="750"/>
      <c r="J419" s="750"/>
    </row>
    <row r="420" spans="1:10" x14ac:dyDescent="0.35">
      <c r="A420" s="92"/>
      <c r="F420" s="726"/>
      <c r="G420" s="735"/>
      <c r="H420" s="93"/>
      <c r="I420" s="750"/>
      <c r="J420" s="750"/>
    </row>
    <row r="421" spans="1:10" x14ac:dyDescent="0.35">
      <c r="A421" s="92"/>
      <c r="F421" s="726"/>
      <c r="G421" s="735"/>
      <c r="H421" s="93"/>
      <c r="I421" s="750"/>
      <c r="J421" s="750"/>
    </row>
    <row r="422" spans="1:10" x14ac:dyDescent="0.35">
      <c r="A422" s="92"/>
      <c r="F422" s="726"/>
      <c r="G422" s="735"/>
      <c r="H422" s="93"/>
      <c r="I422" s="750"/>
      <c r="J422" s="750"/>
    </row>
    <row r="423" spans="1:10" x14ac:dyDescent="0.35">
      <c r="A423" s="92"/>
      <c r="F423" s="726"/>
      <c r="G423" s="735"/>
      <c r="H423" s="93"/>
      <c r="I423" s="750"/>
      <c r="J423" s="750"/>
    </row>
    <row r="424" spans="1:10" x14ac:dyDescent="0.35">
      <c r="A424" s="92"/>
      <c r="F424" s="726"/>
      <c r="G424" s="735"/>
      <c r="H424" s="93"/>
      <c r="I424" s="750"/>
      <c r="J424" s="750"/>
    </row>
    <row r="425" spans="1:10" x14ac:dyDescent="0.35">
      <c r="A425" s="92"/>
      <c r="F425" s="726"/>
      <c r="G425" s="735"/>
      <c r="H425" s="93"/>
      <c r="I425" s="750"/>
      <c r="J425" s="750"/>
    </row>
    <row r="426" spans="1:10" x14ac:dyDescent="0.35">
      <c r="A426" s="92"/>
      <c r="F426" s="726"/>
      <c r="G426" s="735"/>
      <c r="H426" s="93"/>
      <c r="I426" s="750"/>
      <c r="J426" s="750"/>
    </row>
    <row r="427" spans="1:10" x14ac:dyDescent="0.35">
      <c r="A427" s="92"/>
      <c r="F427" s="726"/>
      <c r="G427" s="735"/>
      <c r="H427" s="93"/>
      <c r="I427" s="750"/>
      <c r="J427" s="750"/>
    </row>
    <row r="428" spans="1:10" x14ac:dyDescent="0.35">
      <c r="A428" s="92"/>
      <c r="F428" s="726"/>
      <c r="G428" s="735"/>
      <c r="H428" s="93"/>
      <c r="I428" s="750"/>
      <c r="J428" s="750"/>
    </row>
    <row r="429" spans="1:10" x14ac:dyDescent="0.35">
      <c r="A429" s="92"/>
      <c r="F429" s="726"/>
      <c r="G429" s="735"/>
      <c r="H429" s="93"/>
      <c r="I429" s="750"/>
      <c r="J429" s="750"/>
    </row>
    <row r="430" spans="1:10" x14ac:dyDescent="0.35">
      <c r="A430" s="92"/>
      <c r="F430" s="726"/>
      <c r="G430" s="735"/>
      <c r="H430" s="93"/>
      <c r="I430" s="750"/>
      <c r="J430" s="750"/>
    </row>
    <row r="431" spans="1:10" x14ac:dyDescent="0.35">
      <c r="A431" s="92"/>
      <c r="F431" s="726"/>
      <c r="G431" s="735"/>
      <c r="H431" s="93"/>
      <c r="I431" s="750"/>
      <c r="J431" s="750"/>
    </row>
    <row r="432" spans="1:10" x14ac:dyDescent="0.35">
      <c r="A432" s="92"/>
      <c r="F432" s="726"/>
      <c r="G432" s="735"/>
      <c r="H432" s="93"/>
      <c r="I432" s="750"/>
      <c r="J432" s="750"/>
    </row>
    <row r="433" spans="1:10" x14ac:dyDescent="0.35">
      <c r="A433" s="92"/>
      <c r="F433" s="726"/>
      <c r="G433" s="735"/>
      <c r="H433" s="93"/>
      <c r="I433" s="750"/>
      <c r="J433" s="750"/>
    </row>
    <row r="434" spans="1:10" x14ac:dyDescent="0.35">
      <c r="A434" s="92"/>
      <c r="F434" s="726"/>
      <c r="G434" s="735"/>
      <c r="H434" s="93"/>
      <c r="I434" s="750"/>
      <c r="J434" s="750"/>
    </row>
    <row r="435" spans="1:10" x14ac:dyDescent="0.35">
      <c r="A435" s="92"/>
      <c r="F435" s="726"/>
      <c r="G435" s="735"/>
      <c r="H435" s="93"/>
      <c r="I435" s="750"/>
      <c r="J435" s="750"/>
    </row>
    <row r="436" spans="1:10" x14ac:dyDescent="0.35">
      <c r="A436" s="92"/>
      <c r="F436" s="726"/>
      <c r="G436" s="735"/>
      <c r="H436" s="93"/>
      <c r="I436" s="750"/>
      <c r="J436" s="750"/>
    </row>
    <row r="437" spans="1:10" x14ac:dyDescent="0.35">
      <c r="A437" s="92"/>
      <c r="F437" s="726"/>
      <c r="G437" s="735"/>
      <c r="H437" s="93"/>
      <c r="I437" s="750"/>
      <c r="J437" s="750"/>
    </row>
    <row r="438" spans="1:10" x14ac:dyDescent="0.35">
      <c r="A438" s="92"/>
      <c r="F438" s="726"/>
      <c r="G438" s="735"/>
      <c r="H438" s="93"/>
      <c r="I438" s="750"/>
      <c r="J438" s="750"/>
    </row>
    <row r="439" spans="1:10" x14ac:dyDescent="0.35">
      <c r="A439" s="92"/>
      <c r="F439" s="726"/>
      <c r="G439" s="735"/>
      <c r="H439" s="93"/>
      <c r="I439" s="750"/>
      <c r="J439" s="750"/>
    </row>
    <row r="440" spans="1:10" x14ac:dyDescent="0.35">
      <c r="A440" s="92"/>
      <c r="F440" s="726"/>
      <c r="G440" s="735"/>
      <c r="H440" s="93"/>
      <c r="I440" s="750"/>
      <c r="J440" s="750"/>
    </row>
    <row r="441" spans="1:10" x14ac:dyDescent="0.35">
      <c r="A441" s="92"/>
      <c r="F441" s="726"/>
      <c r="G441" s="735"/>
      <c r="H441" s="93"/>
      <c r="I441" s="750"/>
      <c r="J441" s="750"/>
    </row>
    <row r="442" spans="1:10" x14ac:dyDescent="0.35">
      <c r="A442" s="92"/>
      <c r="F442" s="726"/>
      <c r="G442" s="735"/>
      <c r="H442" s="93"/>
      <c r="I442" s="750"/>
      <c r="J442" s="750"/>
    </row>
    <row r="443" spans="1:10" x14ac:dyDescent="0.35">
      <c r="A443" s="92"/>
      <c r="F443" s="726"/>
      <c r="G443" s="735"/>
      <c r="H443" s="93"/>
      <c r="I443" s="750"/>
      <c r="J443" s="750"/>
    </row>
    <row r="444" spans="1:10" x14ac:dyDescent="0.35">
      <c r="A444" s="92"/>
      <c r="F444" s="726"/>
      <c r="G444" s="735"/>
      <c r="H444" s="93"/>
      <c r="I444" s="750"/>
      <c r="J444" s="750"/>
    </row>
    <row r="445" spans="1:10" x14ac:dyDescent="0.35">
      <c r="A445" s="92"/>
      <c r="F445" s="726"/>
      <c r="G445" s="735"/>
      <c r="H445" s="93"/>
      <c r="I445" s="750"/>
      <c r="J445" s="750"/>
    </row>
    <row r="446" spans="1:10" x14ac:dyDescent="0.35">
      <c r="A446" s="92"/>
      <c r="F446" s="726"/>
      <c r="G446" s="735"/>
      <c r="H446" s="93"/>
      <c r="I446" s="750"/>
      <c r="J446" s="750"/>
    </row>
    <row r="447" spans="1:10" x14ac:dyDescent="0.35">
      <c r="A447" s="92"/>
      <c r="F447" s="726"/>
      <c r="G447" s="735"/>
      <c r="H447" s="93"/>
      <c r="I447" s="750"/>
      <c r="J447" s="750"/>
    </row>
    <row r="448" spans="1:10" x14ac:dyDescent="0.35">
      <c r="A448" s="92"/>
      <c r="F448" s="726"/>
      <c r="G448" s="735"/>
      <c r="H448" s="93"/>
      <c r="I448" s="750"/>
      <c r="J448" s="750"/>
    </row>
    <row r="449" spans="1:10" x14ac:dyDescent="0.35">
      <c r="A449" s="92"/>
      <c r="F449" s="726"/>
      <c r="G449" s="735"/>
      <c r="H449" s="93"/>
      <c r="I449" s="750"/>
      <c r="J449" s="750"/>
    </row>
    <row r="450" spans="1:10" x14ac:dyDescent="0.35">
      <c r="A450" s="92"/>
      <c r="F450" s="726"/>
      <c r="G450" s="735"/>
      <c r="H450" s="93"/>
      <c r="I450" s="750"/>
      <c r="J450" s="750"/>
    </row>
    <row r="451" spans="1:10" x14ac:dyDescent="0.35">
      <c r="A451" s="92"/>
      <c r="F451" s="726"/>
      <c r="G451" s="735"/>
      <c r="H451" s="93"/>
      <c r="I451" s="750"/>
      <c r="J451" s="750"/>
    </row>
    <row r="452" spans="1:10" x14ac:dyDescent="0.35">
      <c r="A452" s="92"/>
      <c r="F452" s="726"/>
      <c r="G452" s="735"/>
      <c r="H452" s="93"/>
      <c r="I452" s="750"/>
      <c r="J452" s="750"/>
    </row>
    <row r="453" spans="1:10" x14ac:dyDescent="0.35">
      <c r="A453" s="92"/>
      <c r="F453" s="726"/>
      <c r="G453" s="735"/>
      <c r="H453" s="93"/>
      <c r="I453" s="750"/>
      <c r="J453" s="750"/>
    </row>
    <row r="454" spans="1:10" x14ac:dyDescent="0.35">
      <c r="A454" s="92"/>
      <c r="F454" s="726"/>
      <c r="G454" s="735"/>
      <c r="H454" s="93"/>
      <c r="I454" s="750"/>
      <c r="J454" s="750"/>
    </row>
    <row r="455" spans="1:10" x14ac:dyDescent="0.35">
      <c r="A455" s="92"/>
      <c r="F455" s="726"/>
      <c r="G455" s="735"/>
      <c r="H455" s="93"/>
      <c r="I455" s="750"/>
      <c r="J455" s="750"/>
    </row>
    <row r="456" spans="1:10" x14ac:dyDescent="0.35">
      <c r="A456" s="92"/>
      <c r="F456" s="726"/>
      <c r="G456" s="735"/>
      <c r="H456" s="93"/>
      <c r="I456" s="750"/>
      <c r="J456" s="750"/>
    </row>
    <row r="457" spans="1:10" x14ac:dyDescent="0.35">
      <c r="A457" s="92"/>
      <c r="F457" s="726"/>
      <c r="G457" s="735"/>
      <c r="H457" s="93"/>
      <c r="I457" s="750"/>
      <c r="J457" s="750"/>
    </row>
    <row r="458" spans="1:10" x14ac:dyDescent="0.35">
      <c r="A458" s="92"/>
      <c r="F458" s="726"/>
      <c r="G458" s="735"/>
      <c r="H458" s="93"/>
      <c r="I458" s="750"/>
      <c r="J458" s="750"/>
    </row>
    <row r="459" spans="1:10" x14ac:dyDescent="0.35">
      <c r="A459" s="92"/>
      <c r="F459" s="726"/>
      <c r="G459" s="735"/>
      <c r="H459" s="93"/>
      <c r="I459" s="750"/>
      <c r="J459" s="750"/>
    </row>
    <row r="460" spans="1:10" x14ac:dyDescent="0.35">
      <c r="A460" s="92"/>
      <c r="F460" s="726"/>
      <c r="G460" s="735"/>
      <c r="H460" s="93"/>
      <c r="I460" s="750"/>
      <c r="J460" s="750"/>
    </row>
    <row r="461" spans="1:10" x14ac:dyDescent="0.35">
      <c r="A461" s="92"/>
      <c r="F461" s="726"/>
      <c r="G461" s="735"/>
      <c r="H461" s="93"/>
      <c r="I461" s="750"/>
      <c r="J461" s="750"/>
    </row>
    <row r="462" spans="1:10" x14ac:dyDescent="0.35">
      <c r="A462" s="92"/>
      <c r="F462" s="726"/>
      <c r="G462" s="735"/>
      <c r="H462" s="93"/>
      <c r="I462" s="750"/>
      <c r="J462" s="750"/>
    </row>
    <row r="463" spans="1:10" x14ac:dyDescent="0.35">
      <c r="A463" s="92"/>
      <c r="F463" s="726"/>
      <c r="G463" s="735"/>
      <c r="H463" s="93"/>
      <c r="I463" s="750"/>
      <c r="J463" s="750"/>
    </row>
    <row r="464" spans="1:10" x14ac:dyDescent="0.35">
      <c r="A464" s="92"/>
      <c r="F464" s="726"/>
      <c r="G464" s="735"/>
      <c r="H464" s="93"/>
      <c r="I464" s="750"/>
      <c r="J464" s="750"/>
    </row>
    <row r="465" spans="1:10" x14ac:dyDescent="0.35">
      <c r="A465" s="92"/>
      <c r="F465" s="726"/>
      <c r="G465" s="735"/>
      <c r="H465" s="93"/>
      <c r="I465" s="750"/>
      <c r="J465" s="750"/>
    </row>
    <row r="466" spans="1:10" x14ac:dyDescent="0.35">
      <c r="A466" s="92"/>
      <c r="F466" s="726"/>
      <c r="G466" s="735"/>
      <c r="H466" s="93"/>
      <c r="I466" s="750"/>
      <c r="J466" s="750"/>
    </row>
    <row r="467" spans="1:10" x14ac:dyDescent="0.35">
      <c r="A467" s="92"/>
      <c r="F467" s="726"/>
      <c r="G467" s="735"/>
      <c r="H467" s="93"/>
      <c r="I467" s="750"/>
      <c r="J467" s="750"/>
    </row>
    <row r="468" spans="1:10" x14ac:dyDescent="0.35">
      <c r="A468" s="92"/>
      <c r="F468" s="726"/>
      <c r="G468" s="735"/>
      <c r="H468" s="93"/>
      <c r="I468" s="750"/>
      <c r="J468" s="750"/>
    </row>
    <row r="469" spans="1:10" x14ac:dyDescent="0.35">
      <c r="A469" s="92"/>
      <c r="F469" s="726"/>
      <c r="G469" s="735"/>
      <c r="H469" s="93"/>
      <c r="I469" s="750"/>
      <c r="J469" s="750"/>
    </row>
    <row r="470" spans="1:10" x14ac:dyDescent="0.35">
      <c r="A470" s="92"/>
      <c r="F470" s="726"/>
      <c r="G470" s="735"/>
      <c r="H470" s="93"/>
      <c r="I470" s="750"/>
      <c r="J470" s="750"/>
    </row>
    <row r="471" spans="1:10" x14ac:dyDescent="0.35">
      <c r="A471" s="92"/>
      <c r="F471" s="726"/>
      <c r="G471" s="735"/>
      <c r="H471" s="93"/>
      <c r="I471" s="750"/>
      <c r="J471" s="750"/>
    </row>
    <row r="472" spans="1:10" x14ac:dyDescent="0.35">
      <c r="A472" s="92"/>
      <c r="F472" s="726"/>
      <c r="G472" s="735"/>
      <c r="H472" s="93"/>
      <c r="I472" s="750"/>
      <c r="J472" s="750"/>
    </row>
    <row r="473" spans="1:10" x14ac:dyDescent="0.35">
      <c r="A473" s="92"/>
      <c r="F473" s="726"/>
      <c r="G473" s="735"/>
      <c r="H473" s="93"/>
      <c r="I473" s="750"/>
      <c r="J473" s="750"/>
    </row>
    <row r="474" spans="1:10" x14ac:dyDescent="0.35">
      <c r="A474" s="92"/>
      <c r="F474" s="726"/>
      <c r="G474" s="735"/>
      <c r="H474" s="93"/>
      <c r="I474" s="750"/>
      <c r="J474" s="750"/>
    </row>
    <row r="475" spans="1:10" x14ac:dyDescent="0.35">
      <c r="A475" s="92"/>
      <c r="F475" s="726"/>
      <c r="G475" s="735"/>
      <c r="H475" s="93"/>
      <c r="I475" s="750"/>
      <c r="J475" s="750"/>
    </row>
    <row r="476" spans="1:10" x14ac:dyDescent="0.35">
      <c r="A476" s="92"/>
      <c r="F476" s="726"/>
      <c r="G476" s="735"/>
      <c r="H476" s="93"/>
      <c r="I476" s="750"/>
      <c r="J476" s="750"/>
    </row>
    <row r="477" spans="1:10" x14ac:dyDescent="0.35">
      <c r="A477" s="92"/>
      <c r="F477" s="726"/>
      <c r="G477" s="735"/>
      <c r="H477" s="93"/>
      <c r="I477" s="750"/>
      <c r="J477" s="750"/>
    </row>
    <row r="478" spans="1:10" x14ac:dyDescent="0.35">
      <c r="A478" s="92"/>
      <c r="F478" s="726"/>
      <c r="G478" s="735"/>
      <c r="H478" s="93"/>
      <c r="I478" s="750"/>
      <c r="J478" s="750"/>
    </row>
    <row r="479" spans="1:10" x14ac:dyDescent="0.35">
      <c r="A479" s="92"/>
      <c r="F479" s="726"/>
      <c r="G479" s="735"/>
      <c r="H479" s="93"/>
      <c r="I479" s="750"/>
      <c r="J479" s="750"/>
    </row>
    <row r="480" spans="1:10" x14ac:dyDescent="0.35">
      <c r="A480" s="92"/>
      <c r="F480" s="726"/>
      <c r="G480" s="735"/>
      <c r="H480" s="93"/>
      <c r="I480" s="750"/>
      <c r="J480" s="750"/>
    </row>
    <row r="481" spans="1:10" x14ac:dyDescent="0.35">
      <c r="A481" s="92"/>
      <c r="F481" s="726"/>
      <c r="G481" s="735"/>
      <c r="H481" s="93"/>
      <c r="I481" s="750"/>
      <c r="J481" s="750"/>
    </row>
    <row r="482" spans="1:10" x14ac:dyDescent="0.35">
      <c r="A482" s="92"/>
      <c r="F482" s="726"/>
      <c r="G482" s="735"/>
      <c r="H482" s="93"/>
      <c r="I482" s="750"/>
      <c r="J482" s="750"/>
    </row>
    <row r="483" spans="1:10" x14ac:dyDescent="0.35">
      <c r="A483" s="92"/>
      <c r="F483" s="726"/>
      <c r="G483" s="735"/>
      <c r="H483" s="93"/>
      <c r="I483" s="750"/>
      <c r="J483" s="750"/>
    </row>
    <row r="484" spans="1:10" x14ac:dyDescent="0.35">
      <c r="A484" s="92"/>
      <c r="F484" s="726"/>
      <c r="G484" s="735"/>
      <c r="H484" s="93"/>
      <c r="I484" s="750"/>
      <c r="J484" s="750"/>
    </row>
    <row r="485" spans="1:10" x14ac:dyDescent="0.35">
      <c r="A485" s="92"/>
      <c r="F485" s="726"/>
      <c r="G485" s="735"/>
      <c r="H485" s="93"/>
      <c r="I485" s="750"/>
      <c r="J485" s="750"/>
    </row>
    <row r="486" spans="1:10" x14ac:dyDescent="0.35">
      <c r="A486" s="92"/>
      <c r="F486" s="726"/>
      <c r="G486" s="735"/>
      <c r="H486" s="93"/>
      <c r="I486" s="750"/>
      <c r="J486" s="750"/>
    </row>
    <row r="487" spans="1:10" x14ac:dyDescent="0.35">
      <c r="A487" s="92"/>
      <c r="F487" s="726"/>
      <c r="G487" s="735"/>
      <c r="H487" s="93"/>
      <c r="I487" s="750"/>
      <c r="J487" s="750"/>
    </row>
    <row r="488" spans="1:10" x14ac:dyDescent="0.35">
      <c r="A488" s="92"/>
      <c r="F488" s="726"/>
      <c r="G488" s="735"/>
      <c r="H488" s="93"/>
      <c r="I488" s="750"/>
      <c r="J488" s="750"/>
    </row>
    <row r="489" spans="1:10" x14ac:dyDescent="0.35">
      <c r="A489" s="92"/>
      <c r="F489" s="726"/>
      <c r="G489" s="735"/>
      <c r="H489" s="93"/>
      <c r="I489" s="750"/>
      <c r="J489" s="750"/>
    </row>
    <row r="490" spans="1:10" x14ac:dyDescent="0.35">
      <c r="A490" s="92"/>
      <c r="F490" s="726"/>
      <c r="G490" s="735"/>
      <c r="H490" s="93"/>
      <c r="I490" s="750"/>
      <c r="J490" s="750"/>
    </row>
    <row r="491" spans="1:10" x14ac:dyDescent="0.35">
      <c r="A491" s="92"/>
      <c r="F491" s="726"/>
      <c r="G491" s="735"/>
      <c r="H491" s="93"/>
      <c r="I491" s="750"/>
      <c r="J491" s="750"/>
    </row>
    <row r="492" spans="1:10" x14ac:dyDescent="0.35">
      <c r="A492" s="92"/>
      <c r="F492" s="726"/>
      <c r="G492" s="735"/>
      <c r="H492" s="93"/>
      <c r="I492" s="750"/>
      <c r="J492" s="750"/>
    </row>
    <row r="493" spans="1:10" x14ac:dyDescent="0.35">
      <c r="A493" s="92"/>
      <c r="F493" s="726"/>
      <c r="G493" s="735"/>
      <c r="H493" s="93"/>
      <c r="I493" s="750"/>
      <c r="J493" s="750"/>
    </row>
    <row r="494" spans="1:10" x14ac:dyDescent="0.35">
      <c r="A494" s="92"/>
      <c r="F494" s="726"/>
      <c r="G494" s="735"/>
      <c r="H494" s="93"/>
      <c r="I494" s="750"/>
      <c r="J494" s="750"/>
    </row>
    <row r="495" spans="1:10" x14ac:dyDescent="0.35">
      <c r="A495" s="92"/>
      <c r="F495" s="726"/>
      <c r="G495" s="735"/>
      <c r="H495" s="93"/>
      <c r="I495" s="750"/>
      <c r="J495" s="750"/>
    </row>
    <row r="496" spans="1:10" x14ac:dyDescent="0.35">
      <c r="A496" s="92"/>
      <c r="F496" s="726"/>
      <c r="G496" s="735"/>
      <c r="H496" s="93"/>
      <c r="I496" s="750"/>
      <c r="J496" s="750"/>
    </row>
    <row r="497" spans="1:10" x14ac:dyDescent="0.35">
      <c r="A497" s="92"/>
      <c r="F497" s="726"/>
      <c r="G497" s="735"/>
      <c r="H497" s="93"/>
      <c r="I497" s="750"/>
      <c r="J497" s="750"/>
    </row>
    <row r="498" spans="1:10" x14ac:dyDescent="0.35">
      <c r="A498" s="92"/>
      <c r="F498" s="726"/>
      <c r="G498" s="735"/>
      <c r="H498" s="93"/>
      <c r="I498" s="750"/>
      <c r="J498" s="750"/>
    </row>
    <row r="499" spans="1:10" x14ac:dyDescent="0.35">
      <c r="A499" s="92"/>
      <c r="F499" s="726"/>
      <c r="G499" s="735"/>
      <c r="H499" s="93"/>
      <c r="I499" s="750"/>
      <c r="J499" s="750"/>
    </row>
    <row r="500" spans="1:10" x14ac:dyDescent="0.35">
      <c r="A500" s="92"/>
      <c r="F500" s="726"/>
      <c r="G500" s="735"/>
      <c r="H500" s="93"/>
      <c r="I500" s="750"/>
      <c r="J500" s="750"/>
    </row>
    <row r="501" spans="1:10" x14ac:dyDescent="0.35">
      <c r="A501" s="92"/>
      <c r="F501" s="726"/>
      <c r="G501" s="735"/>
      <c r="H501" s="93"/>
      <c r="I501" s="750"/>
      <c r="J501" s="750"/>
    </row>
    <row r="502" spans="1:10" x14ac:dyDescent="0.35">
      <c r="A502" s="92"/>
      <c r="F502" s="726"/>
      <c r="G502" s="735"/>
      <c r="H502" s="93"/>
      <c r="I502" s="750"/>
      <c r="J502" s="750"/>
    </row>
    <row r="503" spans="1:10" x14ac:dyDescent="0.35">
      <c r="A503" s="92"/>
      <c r="F503" s="726"/>
      <c r="G503" s="735"/>
      <c r="H503" s="93"/>
      <c r="I503" s="750"/>
      <c r="J503" s="750"/>
    </row>
    <row r="504" spans="1:10" x14ac:dyDescent="0.35">
      <c r="A504" s="92"/>
      <c r="F504" s="726"/>
      <c r="G504" s="735"/>
      <c r="H504" s="93"/>
      <c r="I504" s="750"/>
      <c r="J504" s="750"/>
    </row>
    <row r="505" spans="1:10" x14ac:dyDescent="0.35">
      <c r="A505" s="92"/>
      <c r="F505" s="726"/>
      <c r="G505" s="735"/>
      <c r="H505" s="93"/>
      <c r="I505" s="750"/>
      <c r="J505" s="750"/>
    </row>
    <row r="506" spans="1:10" x14ac:dyDescent="0.35">
      <c r="A506" s="92"/>
      <c r="F506" s="726"/>
      <c r="G506" s="735"/>
      <c r="H506" s="93"/>
      <c r="I506" s="750"/>
      <c r="J506" s="750"/>
    </row>
    <row r="507" spans="1:10" x14ac:dyDescent="0.35">
      <c r="A507" s="92"/>
      <c r="F507" s="726"/>
      <c r="G507" s="735"/>
      <c r="H507" s="93"/>
      <c r="I507" s="750"/>
      <c r="J507" s="750"/>
    </row>
    <row r="508" spans="1:10" x14ac:dyDescent="0.35">
      <c r="A508" s="92"/>
      <c r="F508" s="726"/>
      <c r="G508" s="735"/>
      <c r="H508" s="93"/>
      <c r="I508" s="750"/>
      <c r="J508" s="750"/>
    </row>
    <row r="509" spans="1:10" x14ac:dyDescent="0.35">
      <c r="A509" s="92"/>
      <c r="F509" s="726"/>
      <c r="G509" s="735"/>
      <c r="H509" s="93"/>
      <c r="I509" s="750"/>
      <c r="J509" s="750"/>
    </row>
    <row r="510" spans="1:10" x14ac:dyDescent="0.35">
      <c r="A510" s="92"/>
      <c r="F510" s="726"/>
      <c r="G510" s="735"/>
      <c r="H510" s="93"/>
      <c r="I510" s="750"/>
      <c r="J510" s="750"/>
    </row>
    <row r="511" spans="1:10" x14ac:dyDescent="0.35">
      <c r="A511" s="92"/>
      <c r="F511" s="726"/>
      <c r="G511" s="735"/>
      <c r="H511" s="93"/>
      <c r="I511" s="750"/>
      <c r="J511" s="750"/>
    </row>
    <row r="512" spans="1:10" x14ac:dyDescent="0.35">
      <c r="A512" s="92"/>
      <c r="F512" s="726"/>
      <c r="G512" s="735"/>
      <c r="H512" s="93"/>
      <c r="I512" s="750"/>
      <c r="J512" s="750"/>
    </row>
    <row r="513" spans="1:10" x14ac:dyDescent="0.35">
      <c r="A513" s="92"/>
      <c r="F513" s="726"/>
      <c r="G513" s="735"/>
      <c r="H513" s="93"/>
      <c r="I513" s="750"/>
      <c r="J513" s="750"/>
    </row>
    <row r="514" spans="1:10" x14ac:dyDescent="0.35">
      <c r="A514" s="92"/>
      <c r="F514" s="726"/>
      <c r="G514" s="735"/>
      <c r="H514" s="93"/>
      <c r="I514" s="750"/>
      <c r="J514" s="750"/>
    </row>
    <row r="515" spans="1:10" x14ac:dyDescent="0.35">
      <c r="A515" s="92"/>
      <c r="F515" s="726"/>
      <c r="G515" s="735"/>
      <c r="H515" s="93"/>
      <c r="I515" s="750"/>
      <c r="J515" s="750"/>
    </row>
    <row r="516" spans="1:10" x14ac:dyDescent="0.35">
      <c r="A516" s="92"/>
      <c r="F516" s="726"/>
      <c r="G516" s="735"/>
      <c r="H516" s="93"/>
      <c r="I516" s="750"/>
      <c r="J516" s="750"/>
    </row>
    <row r="517" spans="1:10" x14ac:dyDescent="0.35">
      <c r="A517" s="92"/>
      <c r="F517" s="726"/>
      <c r="G517" s="735"/>
      <c r="H517" s="93"/>
      <c r="I517" s="750"/>
      <c r="J517" s="750"/>
    </row>
    <row r="518" spans="1:10" x14ac:dyDescent="0.35">
      <c r="A518" s="92"/>
      <c r="F518" s="726"/>
      <c r="G518" s="735"/>
      <c r="H518" s="93"/>
      <c r="I518" s="750"/>
      <c r="J518" s="750"/>
    </row>
    <row r="519" spans="1:10" x14ac:dyDescent="0.35">
      <c r="A519" s="92"/>
      <c r="F519" s="726"/>
      <c r="G519" s="735"/>
      <c r="H519" s="93"/>
      <c r="I519" s="750"/>
      <c r="J519" s="750"/>
    </row>
    <row r="520" spans="1:10" x14ac:dyDescent="0.35">
      <c r="A520" s="92"/>
      <c r="F520" s="726"/>
      <c r="G520" s="735"/>
      <c r="H520" s="93"/>
      <c r="I520" s="750"/>
      <c r="J520" s="750"/>
    </row>
    <row r="521" spans="1:10" x14ac:dyDescent="0.35">
      <c r="A521" s="92"/>
      <c r="F521" s="726"/>
      <c r="G521" s="735"/>
      <c r="H521" s="93"/>
      <c r="I521" s="750"/>
      <c r="J521" s="750"/>
    </row>
    <row r="522" spans="1:10" x14ac:dyDescent="0.35">
      <c r="A522" s="92"/>
      <c r="F522" s="726"/>
      <c r="G522" s="735"/>
      <c r="H522" s="93"/>
      <c r="I522" s="750"/>
      <c r="J522" s="750"/>
    </row>
    <row r="523" spans="1:10" x14ac:dyDescent="0.35">
      <c r="A523" s="92"/>
      <c r="F523" s="726"/>
      <c r="G523" s="735"/>
      <c r="H523" s="93"/>
      <c r="I523" s="750"/>
      <c r="J523" s="750"/>
    </row>
    <row r="524" spans="1:10" x14ac:dyDescent="0.35">
      <c r="A524" s="92"/>
      <c r="F524" s="726"/>
      <c r="G524" s="735"/>
      <c r="H524" s="93"/>
      <c r="I524" s="750"/>
      <c r="J524" s="750"/>
    </row>
    <row r="525" spans="1:10" x14ac:dyDescent="0.35">
      <c r="A525" s="92"/>
      <c r="F525" s="726"/>
      <c r="G525" s="735"/>
      <c r="H525" s="93"/>
      <c r="I525" s="750"/>
      <c r="J525" s="750"/>
    </row>
    <row r="526" spans="1:10" x14ac:dyDescent="0.35">
      <c r="A526" s="92"/>
      <c r="F526" s="726"/>
      <c r="G526" s="735"/>
      <c r="H526" s="93"/>
      <c r="I526" s="750"/>
      <c r="J526" s="750"/>
    </row>
    <row r="527" spans="1:10" x14ac:dyDescent="0.35">
      <c r="A527" s="92"/>
      <c r="F527" s="726"/>
      <c r="G527" s="735"/>
      <c r="H527" s="93"/>
      <c r="I527" s="750"/>
      <c r="J527" s="750"/>
    </row>
    <row r="528" spans="1:10" x14ac:dyDescent="0.35">
      <c r="A528" s="92"/>
      <c r="F528" s="726"/>
      <c r="G528" s="735"/>
      <c r="H528" s="93"/>
      <c r="I528" s="750"/>
      <c r="J528" s="750"/>
    </row>
    <row r="529" spans="1:10" x14ac:dyDescent="0.35">
      <c r="A529" s="92"/>
      <c r="F529" s="726"/>
      <c r="G529" s="735"/>
      <c r="H529" s="93"/>
      <c r="I529" s="750"/>
      <c r="J529" s="750"/>
    </row>
    <row r="530" spans="1:10" x14ac:dyDescent="0.35">
      <c r="A530" s="92"/>
      <c r="F530" s="726"/>
      <c r="G530" s="735"/>
      <c r="H530" s="93"/>
      <c r="I530" s="750"/>
      <c r="J530" s="750"/>
    </row>
    <row r="531" spans="1:10" x14ac:dyDescent="0.35">
      <c r="A531" s="92"/>
      <c r="F531" s="726"/>
      <c r="G531" s="735"/>
      <c r="H531" s="93"/>
      <c r="I531" s="750"/>
      <c r="J531" s="750"/>
    </row>
    <row r="532" spans="1:10" x14ac:dyDescent="0.35">
      <c r="A532" s="92"/>
      <c r="F532" s="726"/>
      <c r="G532" s="735"/>
      <c r="H532" s="93"/>
      <c r="I532" s="750"/>
      <c r="J532" s="750"/>
    </row>
    <row r="533" spans="1:10" x14ac:dyDescent="0.35">
      <c r="A533" s="92"/>
      <c r="F533" s="726"/>
      <c r="G533" s="735"/>
      <c r="H533" s="93"/>
      <c r="I533" s="750"/>
      <c r="J533" s="750"/>
    </row>
    <row r="534" spans="1:10" x14ac:dyDescent="0.35">
      <c r="A534" s="92"/>
      <c r="F534" s="726"/>
      <c r="G534" s="735"/>
      <c r="H534" s="93"/>
      <c r="I534" s="750"/>
      <c r="J534" s="750"/>
    </row>
    <row r="535" spans="1:10" x14ac:dyDescent="0.35">
      <c r="A535" s="92"/>
      <c r="F535" s="726"/>
      <c r="G535" s="735"/>
      <c r="H535" s="93"/>
      <c r="I535" s="750"/>
      <c r="J535" s="750"/>
    </row>
    <row r="536" spans="1:10" x14ac:dyDescent="0.35">
      <c r="A536" s="92"/>
      <c r="F536" s="726"/>
      <c r="G536" s="735"/>
      <c r="H536" s="93"/>
      <c r="I536" s="750"/>
      <c r="J536" s="750"/>
    </row>
    <row r="537" spans="1:10" x14ac:dyDescent="0.35">
      <c r="A537" s="92"/>
      <c r="F537" s="726"/>
      <c r="G537" s="735"/>
      <c r="H537" s="93"/>
      <c r="I537" s="750"/>
      <c r="J537" s="750"/>
    </row>
    <row r="538" spans="1:10" x14ac:dyDescent="0.35">
      <c r="A538" s="92"/>
      <c r="F538" s="726"/>
      <c r="G538" s="735"/>
      <c r="H538" s="93"/>
      <c r="I538" s="750"/>
      <c r="J538" s="750"/>
    </row>
    <row r="539" spans="1:10" x14ac:dyDescent="0.35">
      <c r="A539" s="92"/>
      <c r="F539" s="726"/>
      <c r="G539" s="735"/>
      <c r="H539" s="93"/>
      <c r="I539" s="750"/>
      <c r="J539" s="750"/>
    </row>
    <row r="540" spans="1:10" x14ac:dyDescent="0.35">
      <c r="A540" s="92"/>
      <c r="F540" s="726"/>
      <c r="G540" s="735"/>
      <c r="H540" s="93"/>
      <c r="I540" s="750"/>
      <c r="J540" s="750"/>
    </row>
    <row r="541" spans="1:10" x14ac:dyDescent="0.35">
      <c r="A541" s="92"/>
      <c r="F541" s="726"/>
      <c r="G541" s="735"/>
      <c r="H541" s="93"/>
      <c r="I541" s="750"/>
      <c r="J541" s="750"/>
    </row>
    <row r="542" spans="1:10" x14ac:dyDescent="0.35">
      <c r="A542" s="92"/>
      <c r="F542" s="726"/>
      <c r="G542" s="735"/>
      <c r="H542" s="93"/>
      <c r="I542" s="750"/>
      <c r="J542" s="750"/>
    </row>
    <row r="543" spans="1:10" x14ac:dyDescent="0.35">
      <c r="A543" s="92"/>
      <c r="F543" s="726"/>
      <c r="G543" s="735"/>
      <c r="H543" s="93"/>
      <c r="I543" s="750"/>
      <c r="J543" s="750"/>
    </row>
    <row r="544" spans="1:10" x14ac:dyDescent="0.35">
      <c r="A544" s="92"/>
      <c r="F544" s="726"/>
      <c r="G544" s="735"/>
      <c r="H544" s="93"/>
      <c r="I544" s="750"/>
      <c r="J544" s="750"/>
    </row>
    <row r="545" spans="1:10" x14ac:dyDescent="0.35">
      <c r="A545" s="92"/>
      <c r="F545" s="726"/>
      <c r="G545" s="735"/>
      <c r="H545" s="93"/>
      <c r="I545" s="750"/>
      <c r="J545" s="750"/>
    </row>
    <row r="546" spans="1:10" x14ac:dyDescent="0.35">
      <c r="A546" s="92"/>
      <c r="F546" s="726"/>
      <c r="G546" s="735"/>
      <c r="H546" s="93"/>
      <c r="I546" s="750"/>
      <c r="J546" s="750"/>
    </row>
    <row r="547" spans="1:10" x14ac:dyDescent="0.35">
      <c r="A547" s="92"/>
      <c r="F547" s="726"/>
      <c r="G547" s="735"/>
      <c r="H547" s="93"/>
      <c r="I547" s="750"/>
      <c r="J547" s="750"/>
    </row>
    <row r="548" spans="1:10" x14ac:dyDescent="0.35">
      <c r="A548" s="92"/>
      <c r="F548" s="726"/>
      <c r="G548" s="735"/>
      <c r="H548" s="93"/>
      <c r="I548" s="750"/>
      <c r="J548" s="750"/>
    </row>
    <row r="549" spans="1:10" x14ac:dyDescent="0.35">
      <c r="A549" s="92"/>
      <c r="F549" s="726"/>
      <c r="G549" s="735"/>
      <c r="H549" s="93"/>
      <c r="I549" s="750"/>
      <c r="J549" s="750"/>
    </row>
    <row r="550" spans="1:10" x14ac:dyDescent="0.35">
      <c r="A550" s="92"/>
      <c r="F550" s="726"/>
      <c r="G550" s="735"/>
      <c r="H550" s="93"/>
      <c r="I550" s="750"/>
      <c r="J550" s="750"/>
    </row>
    <row r="551" spans="1:10" x14ac:dyDescent="0.35">
      <c r="A551" s="92"/>
      <c r="F551" s="726"/>
      <c r="G551" s="735"/>
      <c r="H551" s="93"/>
      <c r="I551" s="750"/>
      <c r="J551" s="750"/>
    </row>
    <row r="552" spans="1:10" x14ac:dyDescent="0.35">
      <c r="A552" s="92"/>
      <c r="F552" s="726"/>
      <c r="G552" s="735"/>
      <c r="H552" s="93"/>
      <c r="I552" s="750"/>
      <c r="J552" s="750"/>
    </row>
    <row r="553" spans="1:10" x14ac:dyDescent="0.35">
      <c r="A553" s="92"/>
      <c r="F553" s="726"/>
      <c r="G553" s="735"/>
      <c r="H553" s="93"/>
      <c r="I553" s="750"/>
      <c r="J553" s="750"/>
    </row>
    <row r="554" spans="1:10" x14ac:dyDescent="0.35">
      <c r="A554" s="92"/>
      <c r="F554" s="726"/>
      <c r="G554" s="735"/>
      <c r="H554" s="93"/>
      <c r="I554" s="750"/>
      <c r="J554" s="750"/>
    </row>
    <row r="555" spans="1:10" x14ac:dyDescent="0.35">
      <c r="A555" s="92"/>
      <c r="F555" s="726"/>
      <c r="G555" s="735"/>
      <c r="H555" s="93"/>
      <c r="I555" s="750"/>
      <c r="J555" s="750"/>
    </row>
    <row r="556" spans="1:10" x14ac:dyDescent="0.35">
      <c r="A556" s="92"/>
      <c r="F556" s="726"/>
      <c r="G556" s="735"/>
      <c r="H556" s="93"/>
      <c r="I556" s="750"/>
      <c r="J556" s="750"/>
    </row>
    <row r="557" spans="1:10" x14ac:dyDescent="0.35">
      <c r="A557" s="92"/>
      <c r="F557" s="726"/>
      <c r="G557" s="735"/>
      <c r="H557" s="93"/>
      <c r="I557" s="750"/>
      <c r="J557" s="750"/>
    </row>
    <row r="558" spans="1:10" x14ac:dyDescent="0.35">
      <c r="A558" s="92"/>
      <c r="F558" s="726"/>
      <c r="G558" s="735"/>
      <c r="H558" s="93"/>
      <c r="I558" s="750"/>
      <c r="J558" s="750"/>
    </row>
    <row r="559" spans="1:10" x14ac:dyDescent="0.35">
      <c r="A559" s="92"/>
      <c r="F559" s="726"/>
      <c r="G559" s="735"/>
      <c r="H559" s="93"/>
      <c r="I559" s="750"/>
      <c r="J559" s="750"/>
    </row>
    <row r="560" spans="1:10" x14ac:dyDescent="0.35">
      <c r="A560" s="92"/>
      <c r="F560" s="726"/>
      <c r="G560" s="735"/>
      <c r="H560" s="93"/>
      <c r="I560" s="750"/>
      <c r="J560" s="750"/>
    </row>
    <row r="561" spans="1:10" x14ac:dyDescent="0.35">
      <c r="A561" s="92"/>
      <c r="F561" s="726"/>
      <c r="G561" s="735"/>
      <c r="H561" s="93"/>
      <c r="I561" s="750"/>
      <c r="J561" s="750"/>
    </row>
    <row r="562" spans="1:10" x14ac:dyDescent="0.35">
      <c r="A562" s="92"/>
      <c r="F562" s="726"/>
      <c r="G562" s="735"/>
      <c r="H562" s="93"/>
      <c r="I562" s="750"/>
      <c r="J562" s="750"/>
    </row>
    <row r="563" spans="1:10" x14ac:dyDescent="0.35">
      <c r="A563" s="92"/>
      <c r="F563" s="726"/>
      <c r="G563" s="735"/>
      <c r="H563" s="93"/>
      <c r="I563" s="750"/>
      <c r="J563" s="750"/>
    </row>
    <row r="564" spans="1:10" x14ac:dyDescent="0.35">
      <c r="A564" s="92"/>
      <c r="F564" s="726"/>
      <c r="G564" s="735"/>
      <c r="H564" s="93"/>
      <c r="I564" s="750"/>
      <c r="J564" s="750"/>
    </row>
    <row r="565" spans="1:10" x14ac:dyDescent="0.35">
      <c r="A565" s="92"/>
      <c r="F565" s="726"/>
      <c r="G565" s="735"/>
      <c r="H565" s="93"/>
      <c r="I565" s="750"/>
      <c r="J565" s="750"/>
    </row>
    <row r="566" spans="1:10" x14ac:dyDescent="0.35">
      <c r="A566" s="92"/>
      <c r="F566" s="726"/>
      <c r="G566" s="735"/>
      <c r="H566" s="93"/>
      <c r="I566" s="750"/>
      <c r="J566" s="750"/>
    </row>
    <row r="567" spans="1:10" x14ac:dyDescent="0.35">
      <c r="A567" s="92"/>
      <c r="F567" s="726"/>
      <c r="G567" s="735"/>
      <c r="H567" s="93"/>
      <c r="I567" s="750"/>
      <c r="J567" s="750"/>
    </row>
    <row r="568" spans="1:10" x14ac:dyDescent="0.35">
      <c r="A568" s="92"/>
      <c r="F568" s="726"/>
      <c r="G568" s="735"/>
      <c r="H568" s="93"/>
      <c r="I568" s="750"/>
      <c r="J568" s="750"/>
    </row>
    <row r="569" spans="1:10" x14ac:dyDescent="0.35">
      <c r="A569" s="92"/>
      <c r="F569" s="726"/>
      <c r="G569" s="735"/>
      <c r="H569" s="93"/>
      <c r="I569" s="750"/>
      <c r="J569" s="750"/>
    </row>
    <row r="570" spans="1:10" x14ac:dyDescent="0.35">
      <c r="A570" s="92"/>
      <c r="F570" s="726"/>
      <c r="G570" s="735"/>
      <c r="H570" s="93"/>
      <c r="I570" s="750"/>
      <c r="J570" s="750"/>
    </row>
    <row r="571" spans="1:10" x14ac:dyDescent="0.35">
      <c r="A571" s="92"/>
      <c r="F571" s="726"/>
      <c r="G571" s="735"/>
      <c r="H571" s="93"/>
      <c r="I571" s="750"/>
      <c r="J571" s="750"/>
    </row>
    <row r="572" spans="1:10" x14ac:dyDescent="0.35">
      <c r="A572" s="92"/>
      <c r="F572" s="726"/>
      <c r="G572" s="735"/>
      <c r="H572" s="93"/>
      <c r="I572" s="750"/>
      <c r="J572" s="750"/>
    </row>
    <row r="573" spans="1:10" x14ac:dyDescent="0.35">
      <c r="A573" s="92"/>
      <c r="F573" s="726"/>
      <c r="G573" s="735"/>
      <c r="H573" s="93"/>
      <c r="I573" s="750"/>
      <c r="J573" s="750"/>
    </row>
    <row r="574" spans="1:10" x14ac:dyDescent="0.35">
      <c r="A574" s="92"/>
      <c r="F574" s="726"/>
      <c r="G574" s="735"/>
      <c r="H574" s="93"/>
      <c r="I574" s="750"/>
      <c r="J574" s="750"/>
    </row>
    <row r="575" spans="1:10" x14ac:dyDescent="0.35">
      <c r="A575" s="92"/>
      <c r="F575" s="726"/>
      <c r="G575" s="735"/>
      <c r="H575" s="93"/>
      <c r="I575" s="750"/>
      <c r="J575" s="750"/>
    </row>
    <row r="576" spans="1:10" x14ac:dyDescent="0.35">
      <c r="A576" s="92"/>
      <c r="F576" s="726"/>
      <c r="G576" s="735"/>
      <c r="H576" s="93"/>
      <c r="I576" s="750"/>
      <c r="J576" s="750"/>
    </row>
    <row r="577" spans="1:10" x14ac:dyDescent="0.35">
      <c r="A577" s="92"/>
      <c r="F577" s="726"/>
      <c r="G577" s="735"/>
      <c r="H577" s="93"/>
      <c r="I577" s="750"/>
      <c r="J577" s="750"/>
    </row>
    <row r="578" spans="1:10" x14ac:dyDescent="0.35">
      <c r="A578" s="92"/>
      <c r="F578" s="726"/>
      <c r="G578" s="735"/>
      <c r="H578" s="93"/>
      <c r="I578" s="750"/>
      <c r="J578" s="750"/>
    </row>
    <row r="579" spans="1:10" x14ac:dyDescent="0.35">
      <c r="A579" s="92"/>
      <c r="F579" s="726"/>
      <c r="G579" s="735"/>
      <c r="H579" s="93"/>
      <c r="I579" s="750"/>
      <c r="J579" s="750"/>
    </row>
    <row r="580" spans="1:10" x14ac:dyDescent="0.35">
      <c r="A580" s="92"/>
      <c r="F580" s="726"/>
      <c r="G580" s="735"/>
      <c r="H580" s="93"/>
      <c r="I580" s="750"/>
      <c r="J580" s="750"/>
    </row>
    <row r="581" spans="1:10" x14ac:dyDescent="0.35">
      <c r="A581" s="92"/>
      <c r="F581" s="726"/>
      <c r="G581" s="735"/>
      <c r="H581" s="93"/>
      <c r="I581" s="750"/>
      <c r="J581" s="750"/>
    </row>
    <row r="582" spans="1:10" x14ac:dyDescent="0.35">
      <c r="A582" s="92"/>
      <c r="F582" s="726"/>
      <c r="G582" s="735"/>
      <c r="H582" s="93"/>
      <c r="I582" s="750"/>
      <c r="J582" s="750"/>
    </row>
    <row r="583" spans="1:10" x14ac:dyDescent="0.35">
      <c r="A583" s="92"/>
      <c r="F583" s="726"/>
      <c r="G583" s="735"/>
      <c r="H583" s="93"/>
      <c r="I583" s="750"/>
      <c r="J583" s="750"/>
    </row>
    <row r="584" spans="1:10" x14ac:dyDescent="0.35">
      <c r="A584" s="92"/>
      <c r="F584" s="726"/>
      <c r="G584" s="735"/>
      <c r="H584" s="93"/>
      <c r="I584" s="750"/>
      <c r="J584" s="750"/>
    </row>
    <row r="585" spans="1:10" x14ac:dyDescent="0.35">
      <c r="A585" s="92"/>
      <c r="F585" s="726"/>
      <c r="G585" s="735"/>
      <c r="H585" s="93"/>
      <c r="I585" s="750"/>
      <c r="J585" s="750"/>
    </row>
    <row r="586" spans="1:10" x14ac:dyDescent="0.35">
      <c r="A586" s="92"/>
      <c r="F586" s="726"/>
      <c r="G586" s="735"/>
      <c r="H586" s="93"/>
      <c r="I586" s="750"/>
      <c r="J586" s="750"/>
    </row>
    <row r="587" spans="1:10" x14ac:dyDescent="0.35">
      <c r="A587" s="92"/>
      <c r="F587" s="726"/>
      <c r="G587" s="735"/>
      <c r="H587" s="93"/>
      <c r="I587" s="750"/>
      <c r="J587" s="750"/>
    </row>
    <row r="588" spans="1:10" x14ac:dyDescent="0.35">
      <c r="A588" s="92"/>
      <c r="F588" s="726"/>
      <c r="G588" s="735"/>
      <c r="H588" s="93"/>
      <c r="I588" s="750"/>
      <c r="J588" s="750"/>
    </row>
    <row r="589" spans="1:10" x14ac:dyDescent="0.35">
      <c r="A589" s="92"/>
      <c r="F589" s="726"/>
      <c r="G589" s="735"/>
      <c r="H589" s="93"/>
      <c r="I589" s="750"/>
      <c r="J589" s="750"/>
    </row>
    <row r="590" spans="1:10" x14ac:dyDescent="0.35">
      <c r="A590" s="92"/>
      <c r="F590" s="726"/>
      <c r="G590" s="735"/>
      <c r="H590" s="93"/>
      <c r="I590" s="750"/>
      <c r="J590" s="750"/>
    </row>
    <row r="591" spans="1:10" x14ac:dyDescent="0.35">
      <c r="A591" s="92"/>
      <c r="F591" s="726"/>
      <c r="G591" s="735"/>
      <c r="H591" s="93"/>
      <c r="I591" s="750"/>
      <c r="J591" s="750"/>
    </row>
    <row r="592" spans="1:10" x14ac:dyDescent="0.35">
      <c r="A592" s="92"/>
      <c r="F592" s="726"/>
      <c r="G592" s="735"/>
      <c r="H592" s="93"/>
      <c r="I592" s="750"/>
      <c r="J592" s="750"/>
    </row>
    <row r="593" spans="1:10" x14ac:dyDescent="0.35">
      <c r="A593" s="92"/>
      <c r="F593" s="726"/>
      <c r="G593" s="735"/>
      <c r="H593" s="93"/>
      <c r="I593" s="750"/>
      <c r="J593" s="750"/>
    </row>
    <row r="594" spans="1:10" x14ac:dyDescent="0.35">
      <c r="A594" s="92"/>
      <c r="F594" s="726"/>
      <c r="G594" s="735"/>
      <c r="H594" s="93"/>
      <c r="I594" s="750"/>
      <c r="J594" s="750"/>
    </row>
    <row r="595" spans="1:10" x14ac:dyDescent="0.35">
      <c r="A595" s="92"/>
      <c r="F595" s="726"/>
      <c r="G595" s="735"/>
      <c r="H595" s="93"/>
      <c r="I595" s="750"/>
      <c r="J595" s="750"/>
    </row>
    <row r="596" spans="1:10" x14ac:dyDescent="0.35">
      <c r="A596" s="92"/>
      <c r="F596" s="726"/>
      <c r="G596" s="735"/>
      <c r="H596" s="93"/>
      <c r="I596" s="750"/>
      <c r="J596" s="750"/>
    </row>
    <row r="597" spans="1:10" x14ac:dyDescent="0.35">
      <c r="A597" s="92"/>
      <c r="F597" s="726"/>
      <c r="G597" s="735"/>
      <c r="H597" s="93"/>
      <c r="I597" s="750"/>
      <c r="J597" s="750"/>
    </row>
    <row r="598" spans="1:10" x14ac:dyDescent="0.35">
      <c r="A598" s="92"/>
      <c r="F598" s="726"/>
      <c r="G598" s="735"/>
      <c r="H598" s="93"/>
      <c r="I598" s="750"/>
      <c r="J598" s="750"/>
    </row>
    <row r="599" spans="1:10" x14ac:dyDescent="0.35">
      <c r="A599" s="92"/>
      <c r="F599" s="726"/>
      <c r="G599" s="735"/>
      <c r="H599" s="93"/>
      <c r="I599" s="750"/>
      <c r="J599" s="750"/>
    </row>
    <row r="600" spans="1:10" x14ac:dyDescent="0.35">
      <c r="A600" s="92"/>
      <c r="F600" s="726"/>
      <c r="G600" s="735"/>
      <c r="H600" s="93"/>
      <c r="I600" s="750"/>
      <c r="J600" s="750"/>
    </row>
    <row r="601" spans="1:10" x14ac:dyDescent="0.35">
      <c r="A601" s="92"/>
      <c r="F601" s="726"/>
      <c r="G601" s="735"/>
      <c r="H601" s="93"/>
      <c r="I601" s="750"/>
      <c r="J601" s="750"/>
    </row>
    <row r="602" spans="1:10" x14ac:dyDescent="0.35">
      <c r="A602" s="92"/>
      <c r="F602" s="726"/>
      <c r="G602" s="735"/>
      <c r="H602" s="93"/>
      <c r="I602" s="750"/>
      <c r="J602" s="750"/>
    </row>
    <row r="603" spans="1:10" x14ac:dyDescent="0.35">
      <c r="A603" s="92"/>
      <c r="F603" s="726"/>
      <c r="G603" s="735"/>
      <c r="H603" s="93"/>
      <c r="I603" s="750"/>
      <c r="J603" s="750"/>
    </row>
    <row r="604" spans="1:10" x14ac:dyDescent="0.35">
      <c r="A604" s="92"/>
      <c r="F604" s="726"/>
      <c r="G604" s="735"/>
      <c r="H604" s="93"/>
      <c r="I604" s="750"/>
      <c r="J604" s="750"/>
    </row>
    <row r="605" spans="1:10" x14ac:dyDescent="0.35">
      <c r="A605" s="92"/>
      <c r="F605" s="726"/>
      <c r="G605" s="735"/>
      <c r="H605" s="93"/>
      <c r="I605" s="750"/>
      <c r="J605" s="750"/>
    </row>
    <row r="606" spans="1:10" x14ac:dyDescent="0.35">
      <c r="A606" s="92"/>
      <c r="F606" s="726"/>
      <c r="G606" s="735"/>
      <c r="H606" s="93"/>
      <c r="I606" s="750"/>
      <c r="J606" s="750"/>
    </row>
    <row r="607" spans="1:10" x14ac:dyDescent="0.35">
      <c r="A607" s="92"/>
      <c r="F607" s="726"/>
      <c r="G607" s="735"/>
      <c r="H607" s="93"/>
      <c r="I607" s="750"/>
      <c r="J607" s="750"/>
    </row>
    <row r="608" spans="1:10" x14ac:dyDescent="0.35">
      <c r="A608" s="92"/>
      <c r="F608" s="726"/>
      <c r="G608" s="735"/>
      <c r="H608" s="93"/>
      <c r="I608" s="750"/>
      <c r="J608" s="750"/>
    </row>
    <row r="609" spans="1:10" x14ac:dyDescent="0.35">
      <c r="A609" s="92"/>
      <c r="F609" s="726"/>
      <c r="G609" s="735"/>
      <c r="H609" s="93"/>
      <c r="I609" s="750"/>
      <c r="J609" s="750"/>
    </row>
    <row r="610" spans="1:10" x14ac:dyDescent="0.35">
      <c r="A610" s="92"/>
      <c r="F610" s="726"/>
      <c r="G610" s="735"/>
      <c r="H610" s="93"/>
      <c r="I610" s="750"/>
      <c r="J610" s="750"/>
    </row>
    <row r="611" spans="1:10" x14ac:dyDescent="0.35">
      <c r="A611" s="92"/>
      <c r="F611" s="726"/>
      <c r="G611" s="735"/>
      <c r="H611" s="93"/>
      <c r="I611" s="750"/>
      <c r="J611" s="750"/>
    </row>
    <row r="612" spans="1:10" x14ac:dyDescent="0.35">
      <c r="A612" s="92"/>
      <c r="F612" s="726"/>
      <c r="G612" s="735"/>
      <c r="H612" s="93"/>
      <c r="I612" s="750"/>
      <c r="J612" s="750"/>
    </row>
    <row r="613" spans="1:10" x14ac:dyDescent="0.35">
      <c r="A613" s="92"/>
      <c r="F613" s="726"/>
      <c r="G613" s="735"/>
      <c r="H613" s="93"/>
      <c r="I613" s="750"/>
      <c r="J613" s="750"/>
    </row>
    <row r="614" spans="1:10" x14ac:dyDescent="0.35">
      <c r="A614" s="92"/>
      <c r="F614" s="726"/>
      <c r="G614" s="735"/>
      <c r="H614" s="93"/>
      <c r="I614" s="750"/>
      <c r="J614" s="750"/>
    </row>
    <row r="615" spans="1:10" x14ac:dyDescent="0.35">
      <c r="A615" s="92"/>
      <c r="F615" s="726"/>
      <c r="G615" s="735"/>
      <c r="H615" s="93"/>
      <c r="I615" s="750"/>
      <c r="J615" s="750"/>
    </row>
    <row r="616" spans="1:10" x14ac:dyDescent="0.35">
      <c r="A616" s="92"/>
      <c r="F616" s="726"/>
      <c r="G616" s="735"/>
      <c r="H616" s="93"/>
      <c r="I616" s="750"/>
      <c r="J616" s="750"/>
    </row>
    <row r="617" spans="1:10" x14ac:dyDescent="0.35">
      <c r="A617" s="92"/>
      <c r="F617" s="726"/>
      <c r="G617" s="735"/>
      <c r="H617" s="93"/>
      <c r="I617" s="750"/>
      <c r="J617" s="750"/>
    </row>
    <row r="618" spans="1:10" x14ac:dyDescent="0.35">
      <c r="A618" s="92"/>
      <c r="F618" s="726"/>
      <c r="G618" s="735"/>
      <c r="H618" s="93"/>
      <c r="I618" s="750"/>
      <c r="J618" s="750"/>
    </row>
    <row r="619" spans="1:10" x14ac:dyDescent="0.35">
      <c r="A619" s="92"/>
      <c r="F619" s="726"/>
      <c r="G619" s="735"/>
      <c r="H619" s="93"/>
      <c r="I619" s="750"/>
      <c r="J619" s="750"/>
    </row>
    <row r="620" spans="1:10" x14ac:dyDescent="0.35">
      <c r="A620" s="92"/>
      <c r="F620" s="726"/>
      <c r="G620" s="735"/>
      <c r="H620" s="93"/>
      <c r="I620" s="750"/>
      <c r="J620" s="750"/>
    </row>
    <row r="621" spans="1:10" x14ac:dyDescent="0.35">
      <c r="A621" s="92"/>
      <c r="F621" s="726"/>
      <c r="G621" s="735"/>
      <c r="H621" s="93"/>
      <c r="I621" s="750"/>
      <c r="J621" s="750"/>
    </row>
    <row r="622" spans="1:10" x14ac:dyDescent="0.35">
      <c r="A622" s="92"/>
      <c r="F622" s="726"/>
      <c r="G622" s="735"/>
      <c r="H622" s="93"/>
      <c r="I622" s="750"/>
      <c r="J622" s="750"/>
    </row>
    <row r="623" spans="1:10" x14ac:dyDescent="0.35">
      <c r="A623" s="92"/>
      <c r="F623" s="726"/>
      <c r="G623" s="735"/>
      <c r="H623" s="93"/>
      <c r="I623" s="750"/>
      <c r="J623" s="750"/>
    </row>
    <row r="624" spans="1:10" x14ac:dyDescent="0.35">
      <c r="A624" s="92"/>
      <c r="F624" s="726"/>
      <c r="G624" s="735"/>
      <c r="H624" s="93"/>
      <c r="I624" s="750"/>
      <c r="J624" s="750"/>
    </row>
    <row r="625" spans="1:10" x14ac:dyDescent="0.35">
      <c r="A625" s="92"/>
      <c r="F625" s="726"/>
      <c r="G625" s="735"/>
      <c r="H625" s="93"/>
      <c r="I625" s="750"/>
      <c r="J625" s="750"/>
    </row>
    <row r="626" spans="1:10" x14ac:dyDescent="0.35">
      <c r="A626" s="92"/>
      <c r="F626" s="726"/>
      <c r="G626" s="735"/>
      <c r="H626" s="93"/>
      <c r="I626" s="750"/>
      <c r="J626" s="750"/>
    </row>
    <row r="627" spans="1:10" x14ac:dyDescent="0.35">
      <c r="A627" s="92"/>
      <c r="F627" s="726"/>
      <c r="G627" s="735"/>
      <c r="H627" s="93"/>
      <c r="I627" s="750"/>
      <c r="J627" s="750"/>
    </row>
    <row r="628" spans="1:10" x14ac:dyDescent="0.35">
      <c r="A628" s="92"/>
      <c r="F628" s="726"/>
      <c r="G628" s="735"/>
      <c r="H628" s="93"/>
      <c r="I628" s="750"/>
      <c r="J628" s="750"/>
    </row>
    <row r="629" spans="1:10" x14ac:dyDescent="0.35">
      <c r="A629" s="92"/>
      <c r="F629" s="726"/>
      <c r="G629" s="735"/>
      <c r="H629" s="93"/>
      <c r="I629" s="750"/>
      <c r="J629" s="750"/>
    </row>
    <row r="630" spans="1:10" x14ac:dyDescent="0.35">
      <c r="A630" s="92"/>
      <c r="F630" s="726"/>
      <c r="G630" s="735"/>
      <c r="H630" s="93"/>
      <c r="I630" s="750"/>
      <c r="J630" s="750"/>
    </row>
    <row r="631" spans="1:10" x14ac:dyDescent="0.35">
      <c r="A631" s="92"/>
      <c r="F631" s="726"/>
      <c r="G631" s="735"/>
      <c r="H631" s="93"/>
      <c r="I631" s="750"/>
      <c r="J631" s="750"/>
    </row>
    <row r="632" spans="1:10" x14ac:dyDescent="0.35">
      <c r="A632" s="92"/>
      <c r="F632" s="726"/>
      <c r="G632" s="735"/>
      <c r="H632" s="93"/>
      <c r="I632" s="750"/>
      <c r="J632" s="750"/>
    </row>
    <row r="633" spans="1:10" x14ac:dyDescent="0.35">
      <c r="A633" s="92"/>
      <c r="F633" s="726"/>
      <c r="G633" s="735"/>
      <c r="H633" s="93"/>
      <c r="I633" s="750"/>
      <c r="J633" s="750"/>
    </row>
    <row r="634" spans="1:10" x14ac:dyDescent="0.35">
      <c r="A634" s="92"/>
      <c r="F634" s="726"/>
      <c r="G634" s="735"/>
      <c r="H634" s="93"/>
      <c r="I634" s="750"/>
      <c r="J634" s="750"/>
    </row>
    <row r="635" spans="1:10" x14ac:dyDescent="0.35">
      <c r="A635" s="92"/>
      <c r="F635" s="726"/>
      <c r="G635" s="735"/>
      <c r="H635" s="93"/>
      <c r="I635" s="750"/>
      <c r="J635" s="750"/>
    </row>
    <row r="636" spans="1:10" x14ac:dyDescent="0.35">
      <c r="A636" s="92"/>
      <c r="F636" s="726"/>
      <c r="G636" s="735"/>
      <c r="H636" s="93"/>
      <c r="I636" s="750"/>
      <c r="J636" s="750"/>
    </row>
    <row r="637" spans="1:10" x14ac:dyDescent="0.35">
      <c r="A637" s="92"/>
      <c r="F637" s="726"/>
      <c r="G637" s="735"/>
      <c r="H637" s="93"/>
      <c r="I637" s="750"/>
      <c r="J637" s="750"/>
    </row>
    <row r="638" spans="1:10" x14ac:dyDescent="0.35">
      <c r="A638" s="92"/>
      <c r="F638" s="726"/>
      <c r="G638" s="735"/>
      <c r="H638" s="93"/>
      <c r="I638" s="750"/>
      <c r="J638" s="750"/>
    </row>
    <row r="639" spans="1:10" x14ac:dyDescent="0.35">
      <c r="A639" s="92"/>
      <c r="F639" s="726"/>
      <c r="G639" s="735"/>
      <c r="H639" s="93"/>
      <c r="I639" s="750"/>
      <c r="J639" s="750"/>
    </row>
    <row r="640" spans="1:10" x14ac:dyDescent="0.35">
      <c r="A640" s="92"/>
      <c r="F640" s="726"/>
      <c r="G640" s="735"/>
      <c r="H640" s="93"/>
      <c r="I640" s="750"/>
      <c r="J640" s="750"/>
    </row>
    <row r="641" spans="1:10" x14ac:dyDescent="0.35">
      <c r="A641" s="92"/>
      <c r="F641" s="726"/>
      <c r="G641" s="735"/>
      <c r="H641" s="93"/>
      <c r="I641" s="750"/>
      <c r="J641" s="750"/>
    </row>
    <row r="642" spans="1:10" x14ac:dyDescent="0.35">
      <c r="A642" s="92"/>
      <c r="F642" s="726"/>
      <c r="G642" s="735"/>
      <c r="H642" s="93"/>
      <c r="I642" s="750"/>
      <c r="J642" s="750"/>
    </row>
    <row r="643" spans="1:10" x14ac:dyDescent="0.35">
      <c r="A643" s="92"/>
      <c r="F643" s="726"/>
      <c r="G643" s="735"/>
      <c r="H643" s="93"/>
      <c r="I643" s="750"/>
      <c r="J643" s="750"/>
    </row>
    <row r="644" spans="1:10" x14ac:dyDescent="0.35">
      <c r="A644" s="92"/>
      <c r="F644" s="726"/>
      <c r="G644" s="735"/>
      <c r="H644" s="93"/>
      <c r="I644" s="750"/>
      <c r="J644" s="750"/>
    </row>
    <row r="645" spans="1:10" x14ac:dyDescent="0.35">
      <c r="A645" s="92"/>
      <c r="F645" s="726"/>
      <c r="G645" s="735"/>
      <c r="H645" s="93"/>
      <c r="I645" s="750"/>
      <c r="J645" s="750"/>
    </row>
    <row r="646" spans="1:10" x14ac:dyDescent="0.35">
      <c r="A646" s="92"/>
      <c r="F646" s="726"/>
      <c r="G646" s="735"/>
      <c r="H646" s="93"/>
      <c r="I646" s="750"/>
      <c r="J646" s="750"/>
    </row>
    <row r="647" spans="1:10" x14ac:dyDescent="0.35">
      <c r="A647" s="92"/>
      <c r="F647" s="726"/>
      <c r="G647" s="735"/>
      <c r="H647" s="93"/>
      <c r="I647" s="750"/>
      <c r="J647" s="750"/>
    </row>
    <row r="648" spans="1:10" x14ac:dyDescent="0.35">
      <c r="A648" s="92"/>
      <c r="F648" s="726"/>
      <c r="G648" s="735"/>
      <c r="H648" s="93"/>
      <c r="I648" s="750"/>
      <c r="J648" s="750"/>
    </row>
    <row r="649" spans="1:10" x14ac:dyDescent="0.35">
      <c r="A649" s="92"/>
      <c r="F649" s="726"/>
      <c r="G649" s="735"/>
      <c r="H649" s="93"/>
      <c r="I649" s="750"/>
      <c r="J649" s="750"/>
    </row>
    <row r="650" spans="1:10" x14ac:dyDescent="0.35">
      <c r="A650" s="92"/>
      <c r="F650" s="726"/>
      <c r="G650" s="735"/>
      <c r="H650" s="93"/>
      <c r="I650" s="750"/>
      <c r="J650" s="750"/>
    </row>
    <row r="651" spans="1:10" x14ac:dyDescent="0.35">
      <c r="A651" s="92"/>
      <c r="F651" s="726"/>
      <c r="G651" s="735"/>
      <c r="H651" s="93"/>
      <c r="I651" s="750"/>
      <c r="J651" s="750"/>
    </row>
    <row r="652" spans="1:10" x14ac:dyDescent="0.35">
      <c r="A652" s="92"/>
      <c r="F652" s="726"/>
      <c r="G652" s="735"/>
      <c r="H652" s="93"/>
      <c r="I652" s="750"/>
      <c r="J652" s="750"/>
    </row>
    <row r="653" spans="1:10" x14ac:dyDescent="0.35">
      <c r="A653" s="92"/>
      <c r="F653" s="726"/>
      <c r="G653" s="735"/>
      <c r="H653" s="93"/>
      <c r="I653" s="750"/>
      <c r="J653" s="750"/>
    </row>
    <row r="654" spans="1:10" x14ac:dyDescent="0.35">
      <c r="A654" s="92"/>
      <c r="F654" s="726"/>
      <c r="G654" s="735"/>
      <c r="H654" s="93"/>
      <c r="I654" s="750"/>
      <c r="J654" s="750"/>
    </row>
    <row r="655" spans="1:10" x14ac:dyDescent="0.35">
      <c r="A655" s="92"/>
      <c r="F655" s="726"/>
      <c r="G655" s="735"/>
      <c r="H655" s="93"/>
      <c r="I655" s="750"/>
      <c r="J655" s="750"/>
    </row>
    <row r="656" spans="1:10" x14ac:dyDescent="0.35">
      <c r="A656" s="92"/>
      <c r="F656" s="726"/>
      <c r="G656" s="735"/>
      <c r="H656" s="93"/>
      <c r="I656" s="750"/>
      <c r="J656" s="750"/>
    </row>
    <row r="657" spans="1:10" x14ac:dyDescent="0.35">
      <c r="A657" s="92"/>
      <c r="F657" s="726"/>
      <c r="G657" s="735"/>
      <c r="H657" s="93"/>
      <c r="I657" s="750"/>
      <c r="J657" s="750"/>
    </row>
    <row r="658" spans="1:10" x14ac:dyDescent="0.35">
      <c r="A658" s="92"/>
      <c r="F658" s="726"/>
      <c r="G658" s="735"/>
      <c r="H658" s="93"/>
      <c r="I658" s="750"/>
      <c r="J658" s="750"/>
    </row>
    <row r="659" spans="1:10" x14ac:dyDescent="0.35">
      <c r="A659" s="92"/>
      <c r="F659" s="726"/>
      <c r="G659" s="735"/>
      <c r="H659" s="93"/>
      <c r="I659" s="750"/>
      <c r="J659" s="750"/>
    </row>
    <row r="660" spans="1:10" x14ac:dyDescent="0.35">
      <c r="A660" s="92"/>
      <c r="F660" s="726"/>
      <c r="G660" s="735"/>
      <c r="H660" s="93"/>
      <c r="I660" s="750"/>
      <c r="J660" s="750"/>
    </row>
    <row r="661" spans="1:10" x14ac:dyDescent="0.35">
      <c r="A661" s="92"/>
      <c r="F661" s="726"/>
      <c r="G661" s="735"/>
      <c r="H661" s="93"/>
      <c r="I661" s="750"/>
      <c r="J661" s="750"/>
    </row>
    <row r="662" spans="1:10" x14ac:dyDescent="0.35">
      <c r="A662" s="92"/>
      <c r="F662" s="726"/>
      <c r="G662" s="735"/>
      <c r="H662" s="93"/>
      <c r="I662" s="750"/>
      <c r="J662" s="750"/>
    </row>
    <row r="663" spans="1:10" x14ac:dyDescent="0.35">
      <c r="A663" s="92"/>
      <c r="F663" s="726"/>
      <c r="G663" s="735"/>
      <c r="H663" s="93"/>
      <c r="I663" s="750"/>
      <c r="J663" s="750"/>
    </row>
    <row r="664" spans="1:10" x14ac:dyDescent="0.35">
      <c r="A664" s="92"/>
      <c r="F664" s="726"/>
      <c r="G664" s="735"/>
      <c r="H664" s="93"/>
      <c r="I664" s="750"/>
      <c r="J664" s="750"/>
    </row>
    <row r="665" spans="1:10" x14ac:dyDescent="0.35">
      <c r="A665" s="92"/>
      <c r="F665" s="726"/>
      <c r="G665" s="735"/>
      <c r="H665" s="93"/>
      <c r="I665" s="750"/>
      <c r="J665" s="750"/>
    </row>
    <row r="666" spans="1:10" x14ac:dyDescent="0.35">
      <c r="A666" s="92"/>
      <c r="F666" s="726"/>
      <c r="G666" s="735"/>
      <c r="H666" s="93"/>
      <c r="I666" s="750"/>
      <c r="J666" s="750"/>
    </row>
    <row r="667" spans="1:10" x14ac:dyDescent="0.35">
      <c r="A667" s="92"/>
      <c r="F667" s="726"/>
      <c r="G667" s="735"/>
      <c r="H667" s="93"/>
      <c r="I667" s="750"/>
      <c r="J667" s="750"/>
    </row>
    <row r="668" spans="1:10" x14ac:dyDescent="0.35">
      <c r="A668" s="92"/>
      <c r="F668" s="726"/>
      <c r="G668" s="735"/>
      <c r="H668" s="93"/>
      <c r="I668" s="750"/>
      <c r="J668" s="750"/>
    </row>
    <row r="669" spans="1:10" x14ac:dyDescent="0.35">
      <c r="A669" s="92"/>
      <c r="F669" s="726"/>
      <c r="G669" s="735"/>
      <c r="H669" s="93"/>
      <c r="I669" s="750"/>
      <c r="J669" s="750"/>
    </row>
    <row r="670" spans="1:10" x14ac:dyDescent="0.35">
      <c r="A670" s="92"/>
      <c r="F670" s="726"/>
      <c r="G670" s="735"/>
      <c r="H670" s="93"/>
      <c r="I670" s="750"/>
      <c r="J670" s="750"/>
    </row>
    <row r="671" spans="1:10" x14ac:dyDescent="0.35">
      <c r="A671" s="92"/>
      <c r="F671" s="726"/>
      <c r="G671" s="735"/>
      <c r="H671" s="93"/>
      <c r="I671" s="750"/>
      <c r="J671" s="750"/>
    </row>
    <row r="672" spans="1:10" x14ac:dyDescent="0.35">
      <c r="A672" s="92"/>
      <c r="F672" s="726"/>
      <c r="G672" s="735"/>
      <c r="H672" s="93"/>
      <c r="I672" s="750"/>
      <c r="J672" s="750"/>
    </row>
    <row r="673" spans="1:10" x14ac:dyDescent="0.35">
      <c r="A673" s="92"/>
      <c r="F673" s="726"/>
      <c r="G673" s="735"/>
      <c r="H673" s="93"/>
      <c r="I673" s="750"/>
      <c r="J673" s="750"/>
    </row>
    <row r="674" spans="1:10" x14ac:dyDescent="0.35">
      <c r="A674" s="92"/>
      <c r="F674" s="726"/>
      <c r="G674" s="735"/>
      <c r="H674" s="93"/>
      <c r="I674" s="750"/>
      <c r="J674" s="750"/>
    </row>
    <row r="675" spans="1:10" x14ac:dyDescent="0.35">
      <c r="A675" s="92"/>
      <c r="F675" s="726"/>
      <c r="G675" s="735"/>
      <c r="H675" s="93"/>
      <c r="I675" s="750"/>
      <c r="J675" s="750"/>
    </row>
    <row r="676" spans="1:10" x14ac:dyDescent="0.35">
      <c r="A676" s="92"/>
      <c r="F676" s="726"/>
      <c r="G676" s="735"/>
      <c r="H676" s="93"/>
      <c r="I676" s="750"/>
      <c r="J676" s="750"/>
    </row>
    <row r="677" spans="1:10" x14ac:dyDescent="0.35">
      <c r="A677" s="92"/>
      <c r="F677" s="726"/>
      <c r="G677" s="735"/>
      <c r="H677" s="93"/>
      <c r="I677" s="750"/>
      <c r="J677" s="750"/>
    </row>
    <row r="678" spans="1:10" x14ac:dyDescent="0.35">
      <c r="A678" s="92"/>
      <c r="F678" s="726"/>
      <c r="G678" s="735"/>
      <c r="H678" s="93"/>
      <c r="I678" s="750"/>
      <c r="J678" s="750"/>
    </row>
    <row r="679" spans="1:10" x14ac:dyDescent="0.35">
      <c r="A679" s="92"/>
      <c r="F679" s="726"/>
      <c r="G679" s="735"/>
      <c r="H679" s="93"/>
      <c r="I679" s="750"/>
      <c r="J679" s="750"/>
    </row>
    <row r="680" spans="1:10" x14ac:dyDescent="0.35">
      <c r="A680" s="92"/>
      <c r="F680" s="726"/>
      <c r="G680" s="735"/>
      <c r="H680" s="93"/>
      <c r="I680" s="750"/>
      <c r="J680" s="750"/>
    </row>
    <row r="681" spans="1:10" x14ac:dyDescent="0.35">
      <c r="A681" s="92"/>
      <c r="F681" s="726"/>
      <c r="G681" s="735"/>
      <c r="H681" s="93"/>
      <c r="I681" s="750"/>
      <c r="J681" s="750"/>
    </row>
    <row r="682" spans="1:10" x14ac:dyDescent="0.35">
      <c r="A682" s="92"/>
      <c r="F682" s="726"/>
      <c r="G682" s="735"/>
      <c r="H682" s="93"/>
      <c r="I682" s="750"/>
      <c r="J682" s="750"/>
    </row>
    <row r="683" spans="1:10" x14ac:dyDescent="0.35">
      <c r="A683" s="92"/>
      <c r="F683" s="726"/>
      <c r="G683" s="735"/>
      <c r="H683" s="93"/>
      <c r="I683" s="750"/>
      <c r="J683" s="750"/>
    </row>
    <row r="684" spans="1:10" x14ac:dyDescent="0.35">
      <c r="A684" s="92"/>
      <c r="F684" s="726"/>
      <c r="G684" s="735"/>
      <c r="H684" s="93"/>
      <c r="I684" s="750"/>
      <c r="J684" s="750"/>
    </row>
    <row r="685" spans="1:10" x14ac:dyDescent="0.35">
      <c r="A685" s="92"/>
      <c r="F685" s="726"/>
      <c r="G685" s="735"/>
      <c r="H685" s="93"/>
      <c r="I685" s="750"/>
      <c r="J685" s="750"/>
    </row>
    <row r="686" spans="1:10" x14ac:dyDescent="0.35">
      <c r="A686" s="92"/>
      <c r="F686" s="726"/>
      <c r="G686" s="735"/>
      <c r="H686" s="93"/>
      <c r="I686" s="750"/>
      <c r="J686" s="750"/>
    </row>
    <row r="687" spans="1:10" x14ac:dyDescent="0.35">
      <c r="A687" s="92"/>
      <c r="F687" s="726"/>
      <c r="G687" s="735"/>
      <c r="H687" s="93"/>
      <c r="I687" s="750"/>
      <c r="J687" s="750"/>
    </row>
    <row r="688" spans="1:10" x14ac:dyDescent="0.35">
      <c r="A688" s="92"/>
      <c r="F688" s="726"/>
      <c r="G688" s="735"/>
      <c r="H688" s="93"/>
      <c r="I688" s="750"/>
      <c r="J688" s="750"/>
    </row>
    <row r="689" spans="1:10" x14ac:dyDescent="0.35">
      <c r="A689" s="92"/>
      <c r="F689" s="726"/>
      <c r="G689" s="735"/>
      <c r="H689" s="93"/>
      <c r="I689" s="750"/>
      <c r="J689" s="750"/>
    </row>
    <row r="690" spans="1:10" x14ac:dyDescent="0.35">
      <c r="A690" s="92"/>
      <c r="F690" s="726"/>
      <c r="G690" s="735"/>
      <c r="H690" s="93"/>
      <c r="I690" s="750"/>
      <c r="J690" s="750"/>
    </row>
    <row r="691" spans="1:10" x14ac:dyDescent="0.35">
      <c r="A691" s="92"/>
      <c r="F691" s="726"/>
      <c r="G691" s="735"/>
      <c r="H691" s="93"/>
      <c r="I691" s="750"/>
      <c r="J691" s="750"/>
    </row>
    <row r="692" spans="1:10" x14ac:dyDescent="0.35">
      <c r="A692" s="92"/>
      <c r="F692" s="726"/>
      <c r="G692" s="735"/>
      <c r="H692" s="93"/>
      <c r="I692" s="750"/>
      <c r="J692" s="750"/>
    </row>
    <row r="693" spans="1:10" x14ac:dyDescent="0.35">
      <c r="A693" s="92"/>
      <c r="F693" s="726"/>
      <c r="G693" s="735"/>
      <c r="H693" s="93"/>
      <c r="I693" s="750"/>
      <c r="J693" s="750"/>
    </row>
    <row r="694" spans="1:10" x14ac:dyDescent="0.35">
      <c r="A694" s="92"/>
      <c r="F694" s="726"/>
      <c r="G694" s="735"/>
      <c r="H694" s="93"/>
      <c r="I694" s="750"/>
      <c r="J694" s="750"/>
    </row>
    <row r="695" spans="1:10" x14ac:dyDescent="0.35">
      <c r="A695" s="92"/>
      <c r="F695" s="726"/>
      <c r="G695" s="735"/>
      <c r="H695" s="93"/>
      <c r="I695" s="750"/>
      <c r="J695" s="750"/>
    </row>
    <row r="696" spans="1:10" x14ac:dyDescent="0.35">
      <c r="A696" s="92"/>
      <c r="F696" s="726"/>
      <c r="G696" s="735"/>
      <c r="H696" s="93"/>
      <c r="I696" s="750"/>
      <c r="J696" s="750"/>
    </row>
    <row r="697" spans="1:10" x14ac:dyDescent="0.35">
      <c r="A697" s="92"/>
      <c r="F697" s="726"/>
      <c r="G697" s="735"/>
      <c r="H697" s="93"/>
      <c r="I697" s="750"/>
      <c r="J697" s="750"/>
    </row>
    <row r="698" spans="1:10" x14ac:dyDescent="0.35">
      <c r="A698" s="92"/>
      <c r="F698" s="726"/>
      <c r="G698" s="735"/>
      <c r="H698" s="93"/>
      <c r="I698" s="750"/>
      <c r="J698" s="750"/>
    </row>
    <row r="699" spans="1:10" x14ac:dyDescent="0.35">
      <c r="A699" s="92"/>
      <c r="F699" s="726"/>
      <c r="G699" s="735"/>
      <c r="H699" s="93"/>
      <c r="I699" s="750"/>
      <c r="J699" s="750"/>
    </row>
    <row r="700" spans="1:10" x14ac:dyDescent="0.35">
      <c r="A700" s="92"/>
      <c r="F700" s="726"/>
      <c r="G700" s="735"/>
      <c r="H700" s="93"/>
      <c r="I700" s="750"/>
      <c r="J700" s="750"/>
    </row>
    <row r="701" spans="1:10" x14ac:dyDescent="0.35">
      <c r="A701" s="92"/>
      <c r="F701" s="726"/>
      <c r="G701" s="735"/>
      <c r="H701" s="93"/>
      <c r="I701" s="750"/>
      <c r="J701" s="750"/>
    </row>
    <row r="702" spans="1:10" x14ac:dyDescent="0.35">
      <c r="A702" s="92"/>
      <c r="F702" s="726"/>
      <c r="G702" s="735"/>
      <c r="H702" s="93"/>
      <c r="I702" s="750"/>
      <c r="J702" s="750"/>
    </row>
    <row r="703" spans="1:10" x14ac:dyDescent="0.35">
      <c r="A703" s="92"/>
      <c r="F703" s="726"/>
      <c r="G703" s="735"/>
      <c r="H703" s="93"/>
      <c r="I703" s="750"/>
      <c r="J703" s="750"/>
    </row>
    <row r="704" spans="1:10" x14ac:dyDescent="0.35">
      <c r="A704" s="92"/>
      <c r="F704" s="726"/>
      <c r="G704" s="735"/>
      <c r="H704" s="93"/>
      <c r="I704" s="750"/>
      <c r="J704" s="750"/>
    </row>
    <row r="705" spans="1:10" x14ac:dyDescent="0.35">
      <c r="A705" s="92"/>
      <c r="F705" s="726"/>
      <c r="G705" s="735"/>
      <c r="H705" s="93"/>
      <c r="I705" s="750"/>
      <c r="J705" s="750"/>
    </row>
    <row r="706" spans="1:10" x14ac:dyDescent="0.35">
      <c r="A706" s="92"/>
      <c r="F706" s="726"/>
      <c r="G706" s="735"/>
      <c r="H706" s="93"/>
      <c r="I706" s="750"/>
      <c r="J706" s="750"/>
    </row>
    <row r="707" spans="1:10" x14ac:dyDescent="0.35">
      <c r="A707" s="92"/>
      <c r="F707" s="726"/>
      <c r="G707" s="735"/>
      <c r="H707" s="93"/>
      <c r="I707" s="750"/>
      <c r="J707" s="750"/>
    </row>
    <row r="708" spans="1:10" x14ac:dyDescent="0.35">
      <c r="A708" s="92"/>
      <c r="F708" s="726"/>
      <c r="G708" s="735"/>
      <c r="H708" s="93"/>
      <c r="I708" s="750"/>
      <c r="J708" s="750"/>
    </row>
    <row r="709" spans="1:10" x14ac:dyDescent="0.35">
      <c r="A709" s="92"/>
      <c r="F709" s="726"/>
      <c r="G709" s="735"/>
      <c r="H709" s="93"/>
      <c r="I709" s="750"/>
      <c r="J709" s="750"/>
    </row>
    <row r="710" spans="1:10" x14ac:dyDescent="0.35">
      <c r="A710" s="92"/>
      <c r="F710" s="726"/>
      <c r="G710" s="735"/>
      <c r="H710" s="93"/>
      <c r="I710" s="750"/>
      <c r="J710" s="750"/>
    </row>
    <row r="711" spans="1:10" x14ac:dyDescent="0.35">
      <c r="A711" s="92"/>
      <c r="F711" s="726"/>
      <c r="G711" s="735"/>
      <c r="H711" s="93"/>
      <c r="I711" s="750"/>
      <c r="J711" s="750"/>
    </row>
    <row r="712" spans="1:10" x14ac:dyDescent="0.35">
      <c r="A712" s="92"/>
      <c r="F712" s="726"/>
      <c r="G712" s="735"/>
      <c r="H712" s="93"/>
      <c r="I712" s="750"/>
      <c r="J712" s="750"/>
    </row>
    <row r="713" spans="1:10" x14ac:dyDescent="0.35">
      <c r="A713" s="92"/>
      <c r="F713" s="726"/>
      <c r="G713" s="735"/>
      <c r="H713" s="93"/>
      <c r="I713" s="750"/>
      <c r="J713" s="750"/>
    </row>
    <row r="714" spans="1:10" x14ac:dyDescent="0.35">
      <c r="A714" s="92"/>
      <c r="F714" s="726"/>
      <c r="G714" s="735"/>
      <c r="H714" s="93"/>
      <c r="I714" s="750"/>
      <c r="J714" s="750"/>
    </row>
    <row r="715" spans="1:10" x14ac:dyDescent="0.35">
      <c r="A715" s="92"/>
      <c r="F715" s="726"/>
      <c r="G715" s="735"/>
      <c r="H715" s="93"/>
      <c r="I715" s="750"/>
      <c r="J715" s="750"/>
    </row>
    <row r="716" spans="1:10" x14ac:dyDescent="0.35">
      <c r="A716" s="92"/>
      <c r="F716" s="726"/>
      <c r="G716" s="735"/>
      <c r="H716" s="93"/>
      <c r="I716" s="750"/>
      <c r="J716" s="750"/>
    </row>
    <row r="717" spans="1:10" x14ac:dyDescent="0.35">
      <c r="A717" s="92"/>
      <c r="F717" s="726"/>
      <c r="G717" s="735"/>
      <c r="H717" s="93"/>
      <c r="I717" s="750"/>
      <c r="J717" s="750"/>
    </row>
    <row r="718" spans="1:10" x14ac:dyDescent="0.35">
      <c r="A718" s="92"/>
      <c r="F718" s="726"/>
      <c r="G718" s="735"/>
      <c r="H718" s="93"/>
      <c r="I718" s="750"/>
      <c r="J718" s="750"/>
    </row>
    <row r="719" spans="1:10" x14ac:dyDescent="0.35">
      <c r="A719" s="92"/>
      <c r="F719" s="726"/>
      <c r="G719" s="735"/>
      <c r="H719" s="93"/>
      <c r="I719" s="750"/>
      <c r="J719" s="750"/>
    </row>
    <row r="720" spans="1:10" x14ac:dyDescent="0.35">
      <c r="A720" s="92"/>
      <c r="F720" s="726"/>
      <c r="G720" s="735"/>
      <c r="H720" s="93"/>
      <c r="I720" s="750"/>
      <c r="J720" s="750"/>
    </row>
    <row r="721" spans="1:10" x14ac:dyDescent="0.35">
      <c r="A721" s="92"/>
      <c r="F721" s="726"/>
      <c r="G721" s="735"/>
      <c r="H721" s="93"/>
      <c r="I721" s="750"/>
      <c r="J721" s="750"/>
    </row>
    <row r="722" spans="1:10" x14ac:dyDescent="0.35">
      <c r="A722" s="92"/>
      <c r="F722" s="726"/>
      <c r="G722" s="735"/>
      <c r="H722" s="93"/>
      <c r="I722" s="750"/>
      <c r="J722" s="750"/>
    </row>
    <row r="723" spans="1:10" x14ac:dyDescent="0.35">
      <c r="A723" s="92"/>
      <c r="F723" s="726"/>
      <c r="G723" s="735"/>
      <c r="H723" s="93"/>
      <c r="I723" s="750"/>
      <c r="J723" s="750"/>
    </row>
    <row r="724" spans="1:10" x14ac:dyDescent="0.35">
      <c r="A724" s="92"/>
      <c r="F724" s="726"/>
      <c r="G724" s="735"/>
      <c r="H724" s="93"/>
      <c r="I724" s="750"/>
      <c r="J724" s="750"/>
    </row>
    <row r="725" spans="1:10" x14ac:dyDescent="0.35">
      <c r="A725" s="92"/>
      <c r="F725" s="726"/>
      <c r="G725" s="735"/>
      <c r="H725" s="93"/>
      <c r="I725" s="750"/>
      <c r="J725" s="750"/>
    </row>
    <row r="726" spans="1:10" x14ac:dyDescent="0.35">
      <c r="A726" s="92"/>
      <c r="F726" s="726"/>
      <c r="G726" s="735"/>
      <c r="H726" s="93"/>
      <c r="I726" s="750"/>
      <c r="J726" s="750"/>
    </row>
    <row r="727" spans="1:10" x14ac:dyDescent="0.35">
      <c r="A727" s="92"/>
      <c r="F727" s="726"/>
      <c r="G727" s="735"/>
      <c r="H727" s="93"/>
      <c r="I727" s="750"/>
      <c r="J727" s="750"/>
    </row>
    <row r="728" spans="1:10" x14ac:dyDescent="0.35">
      <c r="A728" s="92"/>
      <c r="F728" s="726"/>
      <c r="G728" s="735"/>
      <c r="H728" s="93"/>
      <c r="I728" s="750"/>
      <c r="J728" s="750"/>
    </row>
    <row r="729" spans="1:10" x14ac:dyDescent="0.35">
      <c r="A729" s="92"/>
      <c r="F729" s="726"/>
      <c r="G729" s="735"/>
      <c r="H729" s="93"/>
      <c r="I729" s="750"/>
      <c r="J729" s="750"/>
    </row>
    <row r="730" spans="1:10" x14ac:dyDescent="0.35">
      <c r="A730" s="92"/>
      <c r="F730" s="726"/>
      <c r="G730" s="735"/>
      <c r="H730" s="93"/>
      <c r="I730" s="750"/>
      <c r="J730" s="750"/>
    </row>
    <row r="731" spans="1:10" x14ac:dyDescent="0.35">
      <c r="A731" s="92"/>
      <c r="F731" s="726"/>
      <c r="G731" s="735"/>
      <c r="H731" s="93"/>
      <c r="I731" s="750"/>
      <c r="J731" s="750"/>
    </row>
    <row r="732" spans="1:10" x14ac:dyDescent="0.35">
      <c r="A732" s="92"/>
      <c r="F732" s="726"/>
      <c r="G732" s="735"/>
      <c r="H732" s="93"/>
      <c r="I732" s="750"/>
      <c r="J732" s="750"/>
    </row>
    <row r="733" spans="1:10" x14ac:dyDescent="0.35">
      <c r="A733" s="92"/>
      <c r="F733" s="726"/>
      <c r="G733" s="735"/>
      <c r="H733" s="93"/>
      <c r="I733" s="750"/>
      <c r="J733" s="750"/>
    </row>
    <row r="734" spans="1:10" x14ac:dyDescent="0.35">
      <c r="A734" s="92"/>
      <c r="F734" s="726"/>
      <c r="G734" s="735"/>
      <c r="H734" s="93"/>
      <c r="I734" s="750"/>
      <c r="J734" s="750"/>
    </row>
    <row r="735" spans="1:10" x14ac:dyDescent="0.35">
      <c r="A735" s="92"/>
      <c r="F735" s="726"/>
      <c r="G735" s="735"/>
      <c r="H735" s="93"/>
      <c r="I735" s="750"/>
      <c r="J735" s="750"/>
    </row>
    <row r="736" spans="1:10" x14ac:dyDescent="0.35">
      <c r="A736" s="92"/>
      <c r="F736" s="726"/>
      <c r="G736" s="735"/>
      <c r="H736" s="93"/>
      <c r="I736" s="750"/>
      <c r="J736" s="750"/>
    </row>
    <row r="737" spans="1:10" x14ac:dyDescent="0.35">
      <c r="A737" s="92"/>
      <c r="F737" s="726"/>
      <c r="G737" s="735"/>
      <c r="H737" s="93"/>
      <c r="I737" s="750"/>
      <c r="J737" s="750"/>
    </row>
    <row r="738" spans="1:10" x14ac:dyDescent="0.35">
      <c r="A738" s="92"/>
      <c r="F738" s="726"/>
      <c r="G738" s="735"/>
      <c r="H738" s="93"/>
      <c r="I738" s="750"/>
      <c r="J738" s="750"/>
    </row>
    <row r="739" spans="1:10" x14ac:dyDescent="0.35">
      <c r="A739" s="92"/>
      <c r="F739" s="726"/>
      <c r="G739" s="735"/>
      <c r="H739" s="93"/>
      <c r="I739" s="750"/>
      <c r="J739" s="750"/>
    </row>
    <row r="740" spans="1:10" x14ac:dyDescent="0.35">
      <c r="A740" s="92"/>
      <c r="F740" s="726"/>
      <c r="G740" s="735"/>
      <c r="H740" s="93"/>
      <c r="I740" s="750"/>
      <c r="J740" s="750"/>
    </row>
    <row r="741" spans="1:10" x14ac:dyDescent="0.35">
      <c r="A741" s="92"/>
      <c r="F741" s="726"/>
      <c r="G741" s="735"/>
      <c r="H741" s="93"/>
      <c r="I741" s="750"/>
      <c r="J741" s="750"/>
    </row>
    <row r="742" spans="1:10" x14ac:dyDescent="0.35">
      <c r="A742" s="92"/>
      <c r="F742" s="726"/>
      <c r="G742" s="735"/>
      <c r="H742" s="93"/>
      <c r="I742" s="750"/>
      <c r="J742" s="750"/>
    </row>
    <row r="743" spans="1:10" x14ac:dyDescent="0.35">
      <c r="A743" s="92"/>
      <c r="F743" s="726"/>
      <c r="G743" s="735"/>
      <c r="H743" s="93"/>
      <c r="I743" s="750"/>
      <c r="J743" s="750"/>
    </row>
    <row r="744" spans="1:10" x14ac:dyDescent="0.35">
      <c r="A744" s="92"/>
      <c r="F744" s="726"/>
      <c r="G744" s="735"/>
      <c r="H744" s="93"/>
      <c r="I744" s="750"/>
      <c r="J744" s="750"/>
    </row>
    <row r="745" spans="1:10" x14ac:dyDescent="0.35">
      <c r="A745" s="92"/>
      <c r="F745" s="726"/>
      <c r="G745" s="735"/>
      <c r="H745" s="93"/>
      <c r="I745" s="750"/>
      <c r="J745" s="750"/>
    </row>
    <row r="746" spans="1:10" x14ac:dyDescent="0.35">
      <c r="A746" s="92"/>
      <c r="F746" s="726"/>
      <c r="G746" s="735"/>
      <c r="H746" s="93"/>
      <c r="I746" s="750"/>
      <c r="J746" s="750"/>
    </row>
    <row r="747" spans="1:10" x14ac:dyDescent="0.35">
      <c r="A747" s="92"/>
      <c r="F747" s="726"/>
      <c r="G747" s="735"/>
      <c r="H747" s="93"/>
      <c r="I747" s="750"/>
      <c r="J747" s="750"/>
    </row>
    <row r="748" spans="1:10" x14ac:dyDescent="0.35">
      <c r="A748" s="92"/>
      <c r="F748" s="726"/>
      <c r="G748" s="735"/>
      <c r="H748" s="93"/>
      <c r="I748" s="750"/>
      <c r="J748" s="750"/>
    </row>
    <row r="749" spans="1:10" x14ac:dyDescent="0.35">
      <c r="A749" s="92"/>
      <c r="F749" s="726"/>
      <c r="G749" s="735"/>
      <c r="H749" s="93"/>
      <c r="I749" s="750"/>
      <c r="J749" s="750"/>
    </row>
    <row r="750" spans="1:10" x14ac:dyDescent="0.35">
      <c r="A750" s="92"/>
      <c r="F750" s="726"/>
      <c r="G750" s="735"/>
      <c r="H750" s="93"/>
      <c r="I750" s="750"/>
      <c r="J750" s="750"/>
    </row>
    <row r="751" spans="1:10" x14ac:dyDescent="0.35">
      <c r="A751" s="92"/>
      <c r="F751" s="726"/>
      <c r="G751" s="735"/>
      <c r="H751" s="93"/>
      <c r="I751" s="750"/>
      <c r="J751" s="750"/>
    </row>
    <row r="752" spans="1:10" x14ac:dyDescent="0.35">
      <c r="A752" s="92"/>
      <c r="F752" s="726"/>
      <c r="G752" s="735"/>
      <c r="H752" s="93"/>
      <c r="I752" s="750"/>
      <c r="J752" s="750"/>
    </row>
    <row r="753" spans="1:10" x14ac:dyDescent="0.35">
      <c r="A753" s="92"/>
      <c r="F753" s="726"/>
      <c r="G753" s="735"/>
      <c r="H753" s="93"/>
      <c r="I753" s="750"/>
      <c r="J753" s="750"/>
    </row>
    <row r="754" spans="1:10" x14ac:dyDescent="0.35">
      <c r="A754" s="92"/>
      <c r="F754" s="726"/>
      <c r="G754" s="735"/>
      <c r="H754" s="93"/>
      <c r="I754" s="750"/>
      <c r="J754" s="750"/>
    </row>
    <row r="755" spans="1:10" x14ac:dyDescent="0.35">
      <c r="A755" s="92"/>
      <c r="F755" s="726"/>
      <c r="G755" s="735"/>
      <c r="H755" s="93"/>
      <c r="I755" s="750"/>
      <c r="J755" s="750"/>
    </row>
    <row r="756" spans="1:10" x14ac:dyDescent="0.35">
      <c r="A756" s="92"/>
      <c r="F756" s="726"/>
      <c r="G756" s="735"/>
      <c r="H756" s="93"/>
      <c r="I756" s="750"/>
      <c r="J756" s="750"/>
    </row>
    <row r="757" spans="1:10" x14ac:dyDescent="0.35">
      <c r="A757" s="92"/>
      <c r="F757" s="726"/>
      <c r="G757" s="735"/>
      <c r="H757" s="93"/>
      <c r="I757" s="750"/>
      <c r="J757" s="750"/>
    </row>
    <row r="758" spans="1:10" x14ac:dyDescent="0.35">
      <c r="A758" s="92"/>
      <c r="F758" s="726"/>
      <c r="G758" s="735"/>
      <c r="H758" s="93"/>
      <c r="I758" s="750"/>
      <c r="J758" s="750"/>
    </row>
    <row r="759" spans="1:10" x14ac:dyDescent="0.35">
      <c r="A759" s="92"/>
      <c r="F759" s="726"/>
      <c r="G759" s="735"/>
      <c r="H759" s="93"/>
      <c r="I759" s="750"/>
      <c r="J759" s="750"/>
    </row>
    <row r="760" spans="1:10" x14ac:dyDescent="0.35">
      <c r="A760" s="92"/>
      <c r="F760" s="726"/>
      <c r="G760" s="735"/>
      <c r="H760" s="93"/>
      <c r="I760" s="750"/>
      <c r="J760" s="750"/>
    </row>
    <row r="761" spans="1:10" x14ac:dyDescent="0.35">
      <c r="A761" s="92"/>
      <c r="F761" s="726"/>
      <c r="G761" s="735"/>
      <c r="H761" s="93"/>
      <c r="I761" s="750"/>
      <c r="J761" s="750"/>
    </row>
    <row r="762" spans="1:10" x14ac:dyDescent="0.35">
      <c r="A762" s="92"/>
      <c r="F762" s="726"/>
      <c r="G762" s="735"/>
      <c r="H762" s="93"/>
      <c r="I762" s="750"/>
      <c r="J762" s="750"/>
    </row>
    <row r="763" spans="1:10" x14ac:dyDescent="0.35">
      <c r="A763" s="92"/>
      <c r="F763" s="726"/>
      <c r="G763" s="735"/>
      <c r="H763" s="93"/>
      <c r="I763" s="750"/>
      <c r="J763" s="750"/>
    </row>
    <row r="764" spans="1:10" x14ac:dyDescent="0.35">
      <c r="A764" s="92"/>
      <c r="F764" s="726"/>
      <c r="G764" s="735"/>
      <c r="H764" s="93"/>
      <c r="I764" s="750"/>
      <c r="J764" s="750"/>
    </row>
    <row r="765" spans="1:10" x14ac:dyDescent="0.35">
      <c r="A765" s="92"/>
      <c r="F765" s="726"/>
      <c r="G765" s="735"/>
      <c r="H765" s="93"/>
      <c r="I765" s="750"/>
      <c r="J765" s="750"/>
    </row>
    <row r="766" spans="1:10" x14ac:dyDescent="0.35">
      <c r="A766" s="92"/>
      <c r="F766" s="726"/>
      <c r="G766" s="735"/>
      <c r="H766" s="93"/>
      <c r="I766" s="750"/>
      <c r="J766" s="750"/>
    </row>
    <row r="767" spans="1:10" x14ac:dyDescent="0.35">
      <c r="A767" s="92"/>
      <c r="F767" s="726"/>
      <c r="G767" s="735"/>
      <c r="H767" s="93"/>
      <c r="I767" s="750"/>
      <c r="J767" s="750"/>
    </row>
    <row r="768" spans="1:10" x14ac:dyDescent="0.35">
      <c r="A768" s="92"/>
      <c r="F768" s="726"/>
      <c r="G768" s="735"/>
      <c r="H768" s="93"/>
      <c r="I768" s="750"/>
      <c r="J768" s="750"/>
    </row>
    <row r="769" spans="1:10" x14ac:dyDescent="0.35">
      <c r="A769" s="92"/>
      <c r="F769" s="726"/>
      <c r="G769" s="735"/>
      <c r="H769" s="93"/>
      <c r="I769" s="750"/>
      <c r="J769" s="750"/>
    </row>
    <row r="770" spans="1:10" x14ac:dyDescent="0.35">
      <c r="A770" s="92"/>
      <c r="F770" s="726"/>
      <c r="G770" s="735"/>
      <c r="H770" s="93"/>
      <c r="I770" s="750"/>
      <c r="J770" s="750"/>
    </row>
    <row r="771" spans="1:10" x14ac:dyDescent="0.35">
      <c r="A771" s="92"/>
      <c r="F771" s="726"/>
      <c r="G771" s="735"/>
      <c r="H771" s="93"/>
      <c r="I771" s="750"/>
      <c r="J771" s="750"/>
    </row>
    <row r="772" spans="1:10" x14ac:dyDescent="0.35">
      <c r="A772" s="92"/>
      <c r="F772" s="726"/>
      <c r="G772" s="735"/>
      <c r="H772" s="93"/>
      <c r="I772" s="750"/>
      <c r="J772" s="750"/>
    </row>
    <row r="773" spans="1:10" x14ac:dyDescent="0.35">
      <c r="A773" s="92"/>
      <c r="F773" s="726"/>
      <c r="G773" s="735"/>
      <c r="H773" s="93"/>
      <c r="I773" s="750"/>
      <c r="J773" s="750"/>
    </row>
    <row r="774" spans="1:10" x14ac:dyDescent="0.35">
      <c r="A774" s="92"/>
      <c r="F774" s="726"/>
      <c r="G774" s="735"/>
      <c r="H774" s="93"/>
      <c r="I774" s="750"/>
      <c r="J774" s="750"/>
    </row>
    <row r="775" spans="1:10" x14ac:dyDescent="0.35">
      <c r="A775" s="92"/>
      <c r="F775" s="726"/>
      <c r="G775" s="735"/>
      <c r="H775" s="93"/>
      <c r="I775" s="750"/>
      <c r="J775" s="750"/>
    </row>
    <row r="776" spans="1:10" x14ac:dyDescent="0.35">
      <c r="A776" s="92"/>
      <c r="F776" s="726"/>
      <c r="G776" s="735"/>
      <c r="H776" s="93"/>
      <c r="I776" s="750"/>
      <c r="J776" s="750"/>
    </row>
    <row r="777" spans="1:10" x14ac:dyDescent="0.35">
      <c r="A777" s="92"/>
      <c r="F777" s="726"/>
      <c r="G777" s="735"/>
      <c r="H777" s="93"/>
      <c r="I777" s="750"/>
      <c r="J777" s="750"/>
    </row>
    <row r="778" spans="1:10" x14ac:dyDescent="0.35">
      <c r="A778" s="92"/>
      <c r="F778" s="726"/>
      <c r="G778" s="735"/>
      <c r="H778" s="93"/>
      <c r="I778" s="750"/>
      <c r="J778" s="750"/>
    </row>
    <row r="779" spans="1:10" x14ac:dyDescent="0.35">
      <c r="A779" s="92"/>
      <c r="F779" s="726"/>
      <c r="G779" s="735"/>
      <c r="H779" s="93"/>
      <c r="I779" s="750"/>
      <c r="J779" s="750"/>
    </row>
    <row r="780" spans="1:10" x14ac:dyDescent="0.35">
      <c r="A780" s="92"/>
      <c r="F780" s="726"/>
      <c r="G780" s="735"/>
      <c r="H780" s="93"/>
      <c r="I780" s="750"/>
      <c r="J780" s="750"/>
    </row>
    <row r="781" spans="1:10" x14ac:dyDescent="0.35">
      <c r="A781" s="92"/>
      <c r="F781" s="726"/>
      <c r="G781" s="735"/>
      <c r="H781" s="93"/>
      <c r="I781" s="750"/>
      <c r="J781" s="750"/>
    </row>
    <row r="782" spans="1:10" x14ac:dyDescent="0.35">
      <c r="A782" s="92"/>
      <c r="F782" s="726"/>
      <c r="G782" s="735"/>
      <c r="H782" s="93"/>
      <c r="I782" s="750"/>
      <c r="J782" s="750"/>
    </row>
    <row r="783" spans="1:10" x14ac:dyDescent="0.35">
      <c r="A783" s="92"/>
      <c r="F783" s="726"/>
      <c r="G783" s="735"/>
      <c r="H783" s="93"/>
      <c r="I783" s="750"/>
      <c r="J783" s="750"/>
    </row>
    <row r="784" spans="1:10" x14ac:dyDescent="0.35">
      <c r="A784" s="92"/>
      <c r="F784" s="726"/>
      <c r="G784" s="735"/>
      <c r="H784" s="93"/>
      <c r="I784" s="750"/>
      <c r="J784" s="750"/>
    </row>
    <row r="785" spans="1:10" x14ac:dyDescent="0.35">
      <c r="A785" s="92"/>
      <c r="F785" s="726"/>
      <c r="G785" s="735"/>
      <c r="H785" s="93"/>
      <c r="I785" s="750"/>
      <c r="J785" s="750"/>
    </row>
    <row r="786" spans="1:10" x14ac:dyDescent="0.35">
      <c r="A786" s="92"/>
      <c r="F786" s="726"/>
      <c r="G786" s="735"/>
      <c r="H786" s="93"/>
      <c r="I786" s="750"/>
      <c r="J786" s="750"/>
    </row>
    <row r="787" spans="1:10" x14ac:dyDescent="0.35">
      <c r="A787" s="92"/>
      <c r="F787" s="726"/>
      <c r="G787" s="735"/>
      <c r="H787" s="93"/>
      <c r="I787" s="750"/>
      <c r="J787" s="750"/>
    </row>
    <row r="788" spans="1:10" x14ac:dyDescent="0.35">
      <c r="A788" s="92"/>
      <c r="F788" s="726"/>
      <c r="G788" s="735"/>
      <c r="H788" s="93"/>
      <c r="I788" s="750"/>
      <c r="J788" s="750"/>
    </row>
    <row r="789" spans="1:10" x14ac:dyDescent="0.35">
      <c r="A789" s="92"/>
      <c r="F789" s="726"/>
      <c r="G789" s="735"/>
      <c r="H789" s="93"/>
      <c r="I789" s="750"/>
      <c r="J789" s="750"/>
    </row>
    <row r="790" spans="1:10" x14ac:dyDescent="0.35">
      <c r="A790" s="92"/>
      <c r="F790" s="726"/>
      <c r="G790" s="735"/>
      <c r="H790" s="93"/>
      <c r="I790" s="750"/>
      <c r="J790" s="750"/>
    </row>
    <row r="791" spans="1:10" x14ac:dyDescent="0.35">
      <c r="A791" s="92"/>
      <c r="F791" s="726"/>
      <c r="G791" s="735"/>
      <c r="H791" s="93"/>
      <c r="I791" s="750"/>
      <c r="J791" s="750"/>
    </row>
    <row r="792" spans="1:10" x14ac:dyDescent="0.35">
      <c r="A792" s="92"/>
      <c r="F792" s="726"/>
      <c r="G792" s="735"/>
      <c r="H792" s="93"/>
      <c r="I792" s="750"/>
      <c r="J792" s="750"/>
    </row>
    <row r="793" spans="1:10" x14ac:dyDescent="0.35">
      <c r="A793" s="92"/>
      <c r="F793" s="726"/>
      <c r="G793" s="735"/>
      <c r="H793" s="93"/>
      <c r="I793" s="750"/>
      <c r="J793" s="750"/>
    </row>
    <row r="794" spans="1:10" x14ac:dyDescent="0.35">
      <c r="A794" s="92"/>
      <c r="F794" s="726"/>
      <c r="G794" s="735"/>
      <c r="H794" s="93"/>
      <c r="I794" s="750"/>
      <c r="J794" s="750"/>
    </row>
    <row r="795" spans="1:10" x14ac:dyDescent="0.35">
      <c r="A795" s="92"/>
      <c r="F795" s="726"/>
      <c r="G795" s="735"/>
      <c r="H795" s="93"/>
      <c r="I795" s="750"/>
      <c r="J795" s="750"/>
    </row>
    <row r="796" spans="1:10" x14ac:dyDescent="0.35">
      <c r="A796" s="92"/>
      <c r="F796" s="726"/>
      <c r="G796" s="735"/>
      <c r="H796" s="93"/>
      <c r="I796" s="750"/>
      <c r="J796" s="750"/>
    </row>
    <row r="797" spans="1:10" x14ac:dyDescent="0.35">
      <c r="A797" s="92"/>
      <c r="F797" s="726"/>
      <c r="G797" s="735"/>
      <c r="H797" s="93"/>
      <c r="I797" s="750"/>
      <c r="J797" s="750"/>
    </row>
    <row r="798" spans="1:10" x14ac:dyDescent="0.35">
      <c r="A798" s="92"/>
      <c r="F798" s="726"/>
      <c r="G798" s="735"/>
      <c r="H798" s="93"/>
      <c r="I798" s="750"/>
      <c r="J798" s="750"/>
    </row>
    <row r="799" spans="1:10" x14ac:dyDescent="0.35">
      <c r="A799" s="92"/>
      <c r="F799" s="726"/>
      <c r="G799" s="735"/>
      <c r="H799" s="93"/>
      <c r="I799" s="750"/>
      <c r="J799" s="750"/>
    </row>
    <row r="800" spans="1:10" x14ac:dyDescent="0.35">
      <c r="A800" s="92"/>
      <c r="F800" s="726"/>
      <c r="G800" s="735"/>
      <c r="H800" s="93"/>
      <c r="I800" s="750"/>
      <c r="J800" s="750"/>
    </row>
    <row r="801" spans="1:10" x14ac:dyDescent="0.35">
      <c r="A801" s="92"/>
      <c r="F801" s="726"/>
      <c r="G801" s="735"/>
      <c r="H801" s="93"/>
      <c r="I801" s="750"/>
      <c r="J801" s="750"/>
    </row>
    <row r="802" spans="1:10" x14ac:dyDescent="0.35">
      <c r="A802" s="92"/>
      <c r="F802" s="726"/>
      <c r="G802" s="735"/>
      <c r="H802" s="93"/>
      <c r="I802" s="750"/>
      <c r="J802" s="750"/>
    </row>
    <row r="803" spans="1:10" x14ac:dyDescent="0.35">
      <c r="A803" s="92"/>
      <c r="F803" s="726"/>
      <c r="G803" s="735"/>
      <c r="H803" s="93"/>
      <c r="I803" s="750"/>
      <c r="J803" s="750"/>
    </row>
    <row r="804" spans="1:10" x14ac:dyDescent="0.35">
      <c r="A804" s="92"/>
      <c r="F804" s="726"/>
      <c r="G804" s="735"/>
      <c r="H804" s="93"/>
      <c r="I804" s="750"/>
      <c r="J804" s="750"/>
    </row>
    <row r="805" spans="1:10" x14ac:dyDescent="0.35">
      <c r="A805" s="92"/>
      <c r="F805" s="726"/>
      <c r="G805" s="735"/>
      <c r="H805" s="93"/>
      <c r="I805" s="750"/>
      <c r="J805" s="750"/>
    </row>
    <row r="806" spans="1:10" x14ac:dyDescent="0.35">
      <c r="A806" s="92"/>
      <c r="F806" s="726"/>
      <c r="G806" s="735"/>
      <c r="H806" s="93"/>
      <c r="I806" s="750"/>
      <c r="J806" s="750"/>
    </row>
    <row r="807" spans="1:10" x14ac:dyDescent="0.35">
      <c r="A807" s="92"/>
      <c r="F807" s="726"/>
      <c r="G807" s="735"/>
      <c r="H807" s="93"/>
      <c r="I807" s="750"/>
      <c r="J807" s="750"/>
    </row>
    <row r="808" spans="1:10" x14ac:dyDescent="0.35">
      <c r="A808" s="92"/>
      <c r="F808" s="726"/>
      <c r="G808" s="735"/>
      <c r="H808" s="93"/>
      <c r="I808" s="750"/>
      <c r="J808" s="750"/>
    </row>
    <row r="809" spans="1:10" x14ac:dyDescent="0.35">
      <c r="A809" s="92"/>
      <c r="F809" s="726"/>
      <c r="G809" s="735"/>
      <c r="H809" s="93"/>
      <c r="I809" s="750"/>
      <c r="J809" s="750"/>
    </row>
    <row r="810" spans="1:10" x14ac:dyDescent="0.35">
      <c r="A810" s="92"/>
      <c r="F810" s="726"/>
      <c r="G810" s="735"/>
      <c r="H810" s="93"/>
      <c r="I810" s="750"/>
      <c r="J810" s="750"/>
    </row>
    <row r="811" spans="1:10" x14ac:dyDescent="0.35">
      <c r="A811" s="92"/>
      <c r="F811" s="726"/>
      <c r="G811" s="735"/>
      <c r="H811" s="93"/>
      <c r="I811" s="750"/>
      <c r="J811" s="750"/>
    </row>
    <row r="812" spans="1:10" x14ac:dyDescent="0.35">
      <c r="A812" s="92"/>
      <c r="F812" s="726"/>
      <c r="G812" s="735"/>
      <c r="H812" s="93"/>
      <c r="I812" s="750"/>
      <c r="J812" s="750"/>
    </row>
    <row r="813" spans="1:10" x14ac:dyDescent="0.35">
      <c r="A813" s="92"/>
      <c r="F813" s="726"/>
      <c r="G813" s="735"/>
      <c r="H813" s="93"/>
      <c r="I813" s="750"/>
      <c r="J813" s="750"/>
    </row>
    <row r="814" spans="1:10" x14ac:dyDescent="0.35">
      <c r="A814" s="92"/>
      <c r="F814" s="726"/>
      <c r="G814" s="735"/>
      <c r="H814" s="93"/>
      <c r="I814" s="750"/>
      <c r="J814" s="750"/>
    </row>
    <row r="815" spans="1:10" x14ac:dyDescent="0.35">
      <c r="A815" s="92"/>
      <c r="F815" s="726"/>
      <c r="G815" s="735"/>
      <c r="H815" s="93"/>
      <c r="I815" s="750"/>
      <c r="J815" s="750"/>
    </row>
    <row r="816" spans="1:10" x14ac:dyDescent="0.35">
      <c r="A816" s="92"/>
      <c r="F816" s="726"/>
      <c r="G816" s="735"/>
      <c r="H816" s="93"/>
      <c r="I816" s="750"/>
      <c r="J816" s="750"/>
    </row>
    <row r="817" spans="1:10" x14ac:dyDescent="0.35">
      <c r="A817" s="92"/>
      <c r="F817" s="726"/>
      <c r="G817" s="735"/>
      <c r="H817" s="93"/>
      <c r="I817" s="750"/>
      <c r="J817" s="750"/>
    </row>
    <row r="818" spans="1:10" x14ac:dyDescent="0.35">
      <c r="A818" s="92"/>
      <c r="F818" s="726"/>
      <c r="G818" s="735"/>
      <c r="H818" s="93"/>
      <c r="I818" s="750"/>
      <c r="J818" s="750"/>
    </row>
    <row r="819" spans="1:10" x14ac:dyDescent="0.35">
      <c r="A819" s="92"/>
      <c r="F819" s="726"/>
      <c r="G819" s="735"/>
      <c r="H819" s="93"/>
      <c r="I819" s="750"/>
      <c r="J819" s="750"/>
    </row>
    <row r="820" spans="1:10" x14ac:dyDescent="0.35">
      <c r="A820" s="92"/>
      <c r="F820" s="726"/>
      <c r="G820" s="735"/>
      <c r="H820" s="93"/>
      <c r="I820" s="750"/>
      <c r="J820" s="750"/>
    </row>
    <row r="821" spans="1:10" x14ac:dyDescent="0.35">
      <c r="A821" s="92"/>
      <c r="F821" s="726"/>
      <c r="G821" s="735"/>
      <c r="H821" s="93"/>
      <c r="I821" s="750"/>
      <c r="J821" s="750"/>
    </row>
    <row r="822" spans="1:10" x14ac:dyDescent="0.35">
      <c r="A822" s="92"/>
      <c r="F822" s="726"/>
      <c r="G822" s="735"/>
      <c r="H822" s="93"/>
      <c r="I822" s="750"/>
      <c r="J822" s="750"/>
    </row>
    <row r="823" spans="1:10" x14ac:dyDescent="0.35">
      <c r="A823" s="92"/>
      <c r="F823" s="726"/>
      <c r="G823" s="735"/>
      <c r="H823" s="93"/>
      <c r="I823" s="750"/>
      <c r="J823" s="750"/>
    </row>
    <row r="824" spans="1:10" x14ac:dyDescent="0.35">
      <c r="A824" s="92"/>
      <c r="F824" s="726"/>
      <c r="G824" s="735"/>
      <c r="H824" s="93"/>
      <c r="I824" s="750"/>
      <c r="J824" s="750"/>
    </row>
    <row r="825" spans="1:10" x14ac:dyDescent="0.35">
      <c r="A825" s="92"/>
      <c r="F825" s="726"/>
      <c r="G825" s="735"/>
      <c r="H825" s="93"/>
      <c r="I825" s="750"/>
      <c r="J825" s="750"/>
    </row>
    <row r="826" spans="1:10" x14ac:dyDescent="0.35">
      <c r="A826" s="92"/>
      <c r="F826" s="726"/>
      <c r="G826" s="735"/>
      <c r="H826" s="93"/>
      <c r="I826" s="750"/>
      <c r="J826" s="750"/>
    </row>
    <row r="827" spans="1:10" x14ac:dyDescent="0.35">
      <c r="A827" s="92"/>
      <c r="F827" s="726"/>
      <c r="G827" s="735"/>
      <c r="H827" s="93"/>
      <c r="I827" s="750"/>
      <c r="J827" s="750"/>
    </row>
    <row r="828" spans="1:10" x14ac:dyDescent="0.35">
      <c r="A828" s="92"/>
      <c r="F828" s="726"/>
      <c r="G828" s="735"/>
      <c r="H828" s="93"/>
      <c r="I828" s="750"/>
      <c r="J828" s="750"/>
    </row>
    <row r="829" spans="1:10" x14ac:dyDescent="0.35">
      <c r="A829" s="92"/>
      <c r="F829" s="726"/>
      <c r="G829" s="735"/>
      <c r="H829" s="93"/>
      <c r="I829" s="750"/>
      <c r="J829" s="750"/>
    </row>
    <row r="830" spans="1:10" x14ac:dyDescent="0.35">
      <c r="A830" s="92"/>
      <c r="F830" s="726"/>
      <c r="G830" s="735"/>
      <c r="H830" s="93"/>
      <c r="I830" s="750"/>
      <c r="J830" s="750"/>
    </row>
    <row r="831" spans="1:10" x14ac:dyDescent="0.35">
      <c r="A831" s="92"/>
      <c r="F831" s="726"/>
      <c r="G831" s="735"/>
      <c r="H831" s="93"/>
      <c r="I831" s="750"/>
      <c r="J831" s="750"/>
    </row>
    <row r="832" spans="1:10" x14ac:dyDescent="0.35">
      <c r="A832" s="92"/>
      <c r="F832" s="726"/>
      <c r="G832" s="735"/>
      <c r="H832" s="93"/>
      <c r="I832" s="750"/>
      <c r="J832" s="750"/>
    </row>
    <row r="833" spans="1:10" x14ac:dyDescent="0.35">
      <c r="A833" s="92"/>
      <c r="F833" s="726"/>
      <c r="G833" s="735"/>
      <c r="H833" s="93"/>
      <c r="I833" s="750"/>
      <c r="J833" s="750"/>
    </row>
    <row r="834" spans="1:10" x14ac:dyDescent="0.35">
      <c r="A834" s="92"/>
      <c r="F834" s="726"/>
      <c r="G834" s="735"/>
      <c r="H834" s="93"/>
      <c r="I834" s="750"/>
      <c r="J834" s="750"/>
    </row>
    <row r="835" spans="1:10" x14ac:dyDescent="0.35">
      <c r="A835" s="92"/>
      <c r="F835" s="726"/>
      <c r="G835" s="735"/>
      <c r="H835" s="93"/>
      <c r="I835" s="750"/>
      <c r="J835" s="750"/>
    </row>
    <row r="836" spans="1:10" x14ac:dyDescent="0.35">
      <c r="A836" s="92"/>
      <c r="F836" s="726"/>
      <c r="G836" s="735"/>
      <c r="H836" s="93"/>
      <c r="I836" s="750"/>
      <c r="J836" s="750"/>
    </row>
    <row r="837" spans="1:10" x14ac:dyDescent="0.35">
      <c r="A837" s="92"/>
      <c r="F837" s="726"/>
      <c r="G837" s="735"/>
      <c r="H837" s="93"/>
      <c r="I837" s="750"/>
      <c r="J837" s="750"/>
    </row>
    <row r="838" spans="1:10" x14ac:dyDescent="0.35">
      <c r="A838" s="92"/>
      <c r="F838" s="726"/>
      <c r="G838" s="735"/>
      <c r="H838" s="93"/>
      <c r="I838" s="750"/>
      <c r="J838" s="750"/>
    </row>
    <row r="839" spans="1:10" x14ac:dyDescent="0.35">
      <c r="A839" s="92"/>
      <c r="F839" s="726"/>
      <c r="G839" s="735"/>
      <c r="H839" s="93"/>
      <c r="I839" s="750"/>
      <c r="J839" s="750"/>
    </row>
    <row r="840" spans="1:10" x14ac:dyDescent="0.35">
      <c r="A840" s="92"/>
      <c r="F840" s="726"/>
      <c r="G840" s="735"/>
      <c r="H840" s="93"/>
      <c r="I840" s="750"/>
      <c r="J840" s="750"/>
    </row>
    <row r="841" spans="1:10" x14ac:dyDescent="0.35">
      <c r="A841" s="92"/>
      <c r="F841" s="726"/>
      <c r="G841" s="735"/>
      <c r="H841" s="93"/>
      <c r="I841" s="750"/>
      <c r="J841" s="750"/>
    </row>
    <row r="842" spans="1:10" x14ac:dyDescent="0.35">
      <c r="A842" s="92"/>
      <c r="F842" s="726"/>
      <c r="G842" s="735"/>
      <c r="H842" s="93"/>
      <c r="I842" s="750"/>
      <c r="J842" s="750"/>
    </row>
    <row r="843" spans="1:10" x14ac:dyDescent="0.35">
      <c r="A843" s="92"/>
      <c r="F843" s="726"/>
      <c r="G843" s="735"/>
      <c r="H843" s="93"/>
      <c r="I843" s="750"/>
      <c r="J843" s="750"/>
    </row>
    <row r="844" spans="1:10" x14ac:dyDescent="0.35">
      <c r="A844" s="92"/>
      <c r="F844" s="726"/>
      <c r="G844" s="735"/>
      <c r="H844" s="93"/>
      <c r="I844" s="750"/>
      <c r="J844" s="750"/>
    </row>
    <row r="845" spans="1:10" x14ac:dyDescent="0.35">
      <c r="A845" s="92"/>
      <c r="F845" s="726"/>
      <c r="G845" s="735"/>
      <c r="H845" s="93"/>
      <c r="I845" s="750"/>
      <c r="J845" s="750"/>
    </row>
    <row r="846" spans="1:10" x14ac:dyDescent="0.35">
      <c r="A846" s="92"/>
      <c r="F846" s="726"/>
      <c r="G846" s="735"/>
      <c r="H846" s="93"/>
      <c r="I846" s="750"/>
      <c r="J846" s="750"/>
    </row>
    <row r="847" spans="1:10" x14ac:dyDescent="0.35">
      <c r="A847" s="92"/>
      <c r="F847" s="726"/>
      <c r="G847" s="735"/>
      <c r="H847" s="93"/>
      <c r="I847" s="750"/>
      <c r="J847" s="750"/>
    </row>
    <row r="848" spans="1:10" x14ac:dyDescent="0.35">
      <c r="A848" s="92"/>
      <c r="F848" s="726"/>
      <c r="G848" s="735"/>
      <c r="H848" s="93"/>
      <c r="I848" s="750"/>
      <c r="J848" s="750"/>
    </row>
    <row r="849" spans="1:10" x14ac:dyDescent="0.35">
      <c r="A849" s="92"/>
      <c r="F849" s="726"/>
      <c r="G849" s="735"/>
      <c r="H849" s="93"/>
      <c r="I849" s="750"/>
      <c r="J849" s="750"/>
    </row>
    <row r="850" spans="1:10" x14ac:dyDescent="0.35">
      <c r="A850" s="92"/>
      <c r="F850" s="726"/>
      <c r="G850" s="735"/>
      <c r="H850" s="93"/>
      <c r="I850" s="750"/>
      <c r="J850" s="750"/>
    </row>
    <row r="851" spans="1:10" x14ac:dyDescent="0.35">
      <c r="A851" s="92"/>
      <c r="F851" s="726"/>
      <c r="G851" s="735"/>
      <c r="H851" s="93"/>
      <c r="I851" s="750"/>
      <c r="J851" s="750"/>
    </row>
    <row r="852" spans="1:10" x14ac:dyDescent="0.35">
      <c r="A852" s="92"/>
      <c r="F852" s="726"/>
      <c r="G852" s="735"/>
      <c r="H852" s="93"/>
      <c r="I852" s="750"/>
      <c r="J852" s="750"/>
    </row>
    <row r="853" spans="1:10" x14ac:dyDescent="0.35">
      <c r="A853" s="92"/>
      <c r="F853" s="726"/>
      <c r="G853" s="735"/>
      <c r="H853" s="93"/>
      <c r="I853" s="750"/>
      <c r="J853" s="750"/>
    </row>
    <row r="854" spans="1:10" x14ac:dyDescent="0.35">
      <c r="A854" s="92"/>
      <c r="F854" s="726"/>
      <c r="G854" s="735"/>
      <c r="H854" s="93"/>
      <c r="I854" s="750"/>
      <c r="J854" s="750"/>
    </row>
    <row r="855" spans="1:10" x14ac:dyDescent="0.35">
      <c r="A855" s="92"/>
      <c r="F855" s="726"/>
      <c r="G855" s="735"/>
      <c r="H855" s="93"/>
      <c r="I855" s="750"/>
      <c r="J855" s="750"/>
    </row>
    <row r="856" spans="1:10" x14ac:dyDescent="0.35">
      <c r="A856" s="92"/>
      <c r="F856" s="726"/>
      <c r="G856" s="735"/>
      <c r="H856" s="93"/>
      <c r="I856" s="750"/>
      <c r="J856" s="750"/>
    </row>
    <row r="857" spans="1:10" x14ac:dyDescent="0.35">
      <c r="A857" s="92"/>
      <c r="F857" s="726"/>
      <c r="G857" s="735"/>
      <c r="H857" s="93"/>
      <c r="I857" s="750"/>
      <c r="J857" s="750"/>
    </row>
    <row r="858" spans="1:10" x14ac:dyDescent="0.35">
      <c r="A858" s="92"/>
      <c r="F858" s="726"/>
      <c r="G858" s="735"/>
      <c r="H858" s="93"/>
      <c r="I858" s="750"/>
      <c r="J858" s="750"/>
    </row>
    <row r="859" spans="1:10" x14ac:dyDescent="0.35">
      <c r="A859" s="92"/>
      <c r="F859" s="726"/>
      <c r="G859" s="735"/>
      <c r="H859" s="93"/>
      <c r="I859" s="750"/>
      <c r="J859" s="750"/>
    </row>
    <row r="860" spans="1:10" x14ac:dyDescent="0.35">
      <c r="A860" s="92"/>
      <c r="F860" s="726"/>
      <c r="G860" s="735"/>
      <c r="H860" s="93"/>
      <c r="I860" s="750"/>
      <c r="J860" s="750"/>
    </row>
    <row r="861" spans="1:10" x14ac:dyDescent="0.35">
      <c r="A861" s="92"/>
      <c r="F861" s="726"/>
      <c r="G861" s="735"/>
      <c r="H861" s="93"/>
      <c r="I861" s="750"/>
      <c r="J861" s="750"/>
    </row>
    <row r="862" spans="1:10" x14ac:dyDescent="0.35">
      <c r="A862" s="92"/>
      <c r="F862" s="726"/>
      <c r="G862" s="735"/>
      <c r="H862" s="93"/>
      <c r="I862" s="750"/>
      <c r="J862" s="750"/>
    </row>
    <row r="863" spans="1:10" x14ac:dyDescent="0.35">
      <c r="A863" s="92"/>
      <c r="F863" s="726"/>
      <c r="G863" s="735"/>
      <c r="H863" s="93"/>
      <c r="I863" s="750"/>
      <c r="J863" s="750"/>
    </row>
    <row r="864" spans="1:10" x14ac:dyDescent="0.35">
      <c r="A864" s="92"/>
      <c r="F864" s="726"/>
      <c r="G864" s="735"/>
      <c r="H864" s="93"/>
      <c r="I864" s="750"/>
      <c r="J864" s="750"/>
    </row>
    <row r="865" spans="1:10" x14ac:dyDescent="0.35">
      <c r="A865" s="92"/>
      <c r="F865" s="726"/>
      <c r="G865" s="735"/>
      <c r="H865" s="93"/>
      <c r="I865" s="750"/>
      <c r="J865" s="750"/>
    </row>
    <row r="866" spans="1:10" x14ac:dyDescent="0.35">
      <c r="A866" s="92"/>
      <c r="F866" s="726"/>
      <c r="G866" s="735"/>
      <c r="H866" s="93"/>
      <c r="I866" s="750"/>
      <c r="J866" s="750"/>
    </row>
    <row r="867" spans="1:10" x14ac:dyDescent="0.35">
      <c r="A867" s="92"/>
      <c r="F867" s="726"/>
      <c r="G867" s="735"/>
      <c r="H867" s="93"/>
      <c r="I867" s="750"/>
      <c r="J867" s="750"/>
    </row>
    <row r="868" spans="1:10" x14ac:dyDescent="0.35">
      <c r="A868" s="92"/>
      <c r="F868" s="726"/>
      <c r="G868" s="735"/>
      <c r="H868" s="93"/>
      <c r="I868" s="750"/>
      <c r="J868" s="750"/>
    </row>
    <row r="869" spans="1:10" x14ac:dyDescent="0.35">
      <c r="A869" s="92"/>
      <c r="F869" s="726"/>
      <c r="G869" s="735"/>
      <c r="H869" s="93"/>
      <c r="I869" s="750"/>
      <c r="J869" s="750"/>
    </row>
    <row r="870" spans="1:10" x14ac:dyDescent="0.35">
      <c r="A870" s="92"/>
      <c r="F870" s="726"/>
      <c r="G870" s="735"/>
      <c r="H870" s="93"/>
      <c r="I870" s="750"/>
      <c r="J870" s="750"/>
    </row>
    <row r="871" spans="1:10" x14ac:dyDescent="0.35">
      <c r="A871" s="92"/>
      <c r="F871" s="726"/>
      <c r="G871" s="735"/>
      <c r="H871" s="93"/>
      <c r="I871" s="750"/>
      <c r="J871" s="750"/>
    </row>
    <row r="872" spans="1:10" x14ac:dyDescent="0.35">
      <c r="A872" s="92"/>
      <c r="F872" s="726"/>
      <c r="G872" s="735"/>
      <c r="H872" s="93"/>
      <c r="I872" s="750"/>
      <c r="J872" s="750"/>
    </row>
    <row r="873" spans="1:10" x14ac:dyDescent="0.35">
      <c r="A873" s="92"/>
      <c r="F873" s="726"/>
      <c r="G873" s="735"/>
      <c r="H873" s="93"/>
      <c r="I873" s="750"/>
      <c r="J873" s="750"/>
    </row>
    <row r="874" spans="1:10" x14ac:dyDescent="0.35">
      <c r="A874" s="92"/>
      <c r="F874" s="726"/>
      <c r="G874" s="735"/>
      <c r="H874" s="93"/>
      <c r="I874" s="750"/>
      <c r="J874" s="750"/>
    </row>
    <row r="875" spans="1:10" x14ac:dyDescent="0.35">
      <c r="A875" s="92"/>
      <c r="F875" s="726"/>
      <c r="G875" s="735"/>
      <c r="H875" s="93"/>
      <c r="I875" s="750"/>
      <c r="J875" s="750"/>
    </row>
    <row r="876" spans="1:10" x14ac:dyDescent="0.35">
      <c r="A876" s="92"/>
      <c r="F876" s="726"/>
      <c r="G876" s="735"/>
      <c r="H876" s="93"/>
      <c r="I876" s="750"/>
      <c r="J876" s="750"/>
    </row>
    <row r="877" spans="1:10" x14ac:dyDescent="0.35">
      <c r="A877" s="92"/>
      <c r="F877" s="726"/>
      <c r="G877" s="735"/>
      <c r="H877" s="93"/>
      <c r="I877" s="750"/>
      <c r="J877" s="750"/>
    </row>
    <row r="878" spans="1:10" x14ac:dyDescent="0.35">
      <c r="A878" s="92"/>
      <c r="F878" s="726"/>
      <c r="G878" s="735"/>
      <c r="H878" s="93"/>
      <c r="I878" s="750"/>
      <c r="J878" s="750"/>
    </row>
    <row r="879" spans="1:10" x14ac:dyDescent="0.35">
      <c r="A879" s="92"/>
      <c r="F879" s="726"/>
      <c r="G879" s="735"/>
      <c r="H879" s="93"/>
      <c r="I879" s="750"/>
      <c r="J879" s="750"/>
    </row>
    <row r="880" spans="1:10" x14ac:dyDescent="0.35">
      <c r="A880" s="92"/>
      <c r="F880" s="726"/>
      <c r="G880" s="735"/>
      <c r="H880" s="93"/>
      <c r="I880" s="750"/>
      <c r="J880" s="750"/>
    </row>
    <row r="881" spans="1:10" x14ac:dyDescent="0.35">
      <c r="A881" s="92"/>
      <c r="F881" s="726"/>
      <c r="G881" s="735"/>
      <c r="H881" s="93"/>
      <c r="I881" s="750"/>
      <c r="J881" s="750"/>
    </row>
    <row r="882" spans="1:10" x14ac:dyDescent="0.35">
      <c r="A882" s="92"/>
      <c r="F882" s="726"/>
      <c r="G882" s="735"/>
      <c r="H882" s="93"/>
      <c r="I882" s="750"/>
      <c r="J882" s="750"/>
    </row>
    <row r="883" spans="1:10" x14ac:dyDescent="0.35">
      <c r="A883" s="92"/>
      <c r="F883" s="726"/>
      <c r="G883" s="735"/>
      <c r="H883" s="93"/>
      <c r="I883" s="750"/>
      <c r="J883" s="750"/>
    </row>
    <row r="884" spans="1:10" x14ac:dyDescent="0.35">
      <c r="A884" s="92"/>
      <c r="F884" s="726"/>
      <c r="G884" s="735"/>
      <c r="H884" s="93"/>
      <c r="I884" s="750"/>
      <c r="J884" s="750"/>
    </row>
    <row r="885" spans="1:10" x14ac:dyDescent="0.35">
      <c r="A885" s="92"/>
      <c r="F885" s="726"/>
      <c r="G885" s="735"/>
      <c r="H885" s="93"/>
      <c r="I885" s="750"/>
      <c r="J885" s="750"/>
    </row>
    <row r="886" spans="1:10" x14ac:dyDescent="0.35">
      <c r="A886" s="92"/>
      <c r="F886" s="726"/>
      <c r="G886" s="735"/>
      <c r="H886" s="93"/>
      <c r="I886" s="750"/>
      <c r="J886" s="750"/>
    </row>
    <row r="887" spans="1:10" x14ac:dyDescent="0.35">
      <c r="A887" s="92"/>
      <c r="F887" s="726"/>
      <c r="G887" s="735"/>
      <c r="H887" s="93"/>
      <c r="I887" s="750"/>
      <c r="J887" s="750"/>
    </row>
    <row r="888" spans="1:10" x14ac:dyDescent="0.35">
      <c r="A888" s="92"/>
      <c r="F888" s="726"/>
      <c r="G888" s="735"/>
      <c r="H888" s="93"/>
      <c r="I888" s="750"/>
      <c r="J888" s="750"/>
    </row>
    <row r="889" spans="1:10" x14ac:dyDescent="0.35">
      <c r="A889" s="92"/>
      <c r="F889" s="726"/>
      <c r="G889" s="735"/>
      <c r="H889" s="93"/>
      <c r="I889" s="750"/>
      <c r="J889" s="750"/>
    </row>
    <row r="890" spans="1:10" x14ac:dyDescent="0.35">
      <c r="A890" s="92"/>
      <c r="F890" s="726"/>
      <c r="G890" s="735"/>
      <c r="H890" s="93"/>
      <c r="I890" s="750"/>
      <c r="J890" s="750"/>
    </row>
    <row r="891" spans="1:10" x14ac:dyDescent="0.35">
      <c r="A891" s="92"/>
      <c r="F891" s="726"/>
      <c r="G891" s="735"/>
      <c r="H891" s="93"/>
      <c r="I891" s="750"/>
      <c r="J891" s="750"/>
    </row>
    <row r="892" spans="1:10" x14ac:dyDescent="0.35">
      <c r="A892" s="92"/>
      <c r="F892" s="726"/>
      <c r="G892" s="735"/>
      <c r="H892" s="93"/>
      <c r="I892" s="750"/>
      <c r="J892" s="750"/>
    </row>
    <row r="893" spans="1:10" x14ac:dyDescent="0.35">
      <c r="A893" s="92"/>
      <c r="F893" s="726"/>
      <c r="G893" s="735"/>
      <c r="H893" s="93"/>
      <c r="I893" s="750"/>
      <c r="J893" s="750"/>
    </row>
    <row r="894" spans="1:10" x14ac:dyDescent="0.35">
      <c r="A894" s="92"/>
      <c r="F894" s="726"/>
      <c r="G894" s="735"/>
      <c r="H894" s="93"/>
      <c r="I894" s="750"/>
      <c r="J894" s="750"/>
    </row>
    <row r="895" spans="1:10" x14ac:dyDescent="0.35">
      <c r="A895" s="92"/>
      <c r="F895" s="726"/>
      <c r="G895" s="735"/>
      <c r="H895" s="93"/>
      <c r="I895" s="750"/>
      <c r="J895" s="750"/>
    </row>
    <row r="896" spans="1:10" x14ac:dyDescent="0.35">
      <c r="A896" s="92"/>
      <c r="F896" s="726"/>
      <c r="G896" s="735"/>
      <c r="H896" s="93"/>
      <c r="I896" s="750"/>
      <c r="J896" s="750"/>
    </row>
    <row r="897" spans="1:10" x14ac:dyDescent="0.35">
      <c r="A897" s="92"/>
      <c r="F897" s="726"/>
      <c r="G897" s="735"/>
      <c r="H897" s="93"/>
      <c r="I897" s="750"/>
      <c r="J897" s="750"/>
    </row>
    <row r="898" spans="1:10" x14ac:dyDescent="0.35">
      <c r="A898" s="92"/>
      <c r="F898" s="726"/>
      <c r="G898" s="735"/>
      <c r="H898" s="93"/>
      <c r="I898" s="750"/>
      <c r="J898" s="750"/>
    </row>
    <row r="899" spans="1:10" x14ac:dyDescent="0.35">
      <c r="A899" s="92"/>
      <c r="F899" s="726"/>
      <c r="G899" s="735"/>
      <c r="H899" s="93"/>
      <c r="I899" s="750"/>
      <c r="J899" s="750"/>
    </row>
    <row r="900" spans="1:10" x14ac:dyDescent="0.35">
      <c r="A900" s="92"/>
      <c r="F900" s="726"/>
      <c r="G900" s="735"/>
      <c r="H900" s="93"/>
      <c r="I900" s="750"/>
      <c r="J900" s="750"/>
    </row>
    <row r="901" spans="1:10" x14ac:dyDescent="0.35">
      <c r="A901" s="92"/>
      <c r="F901" s="726"/>
      <c r="G901" s="735"/>
      <c r="H901" s="93"/>
      <c r="I901" s="750"/>
      <c r="J901" s="750"/>
    </row>
    <row r="902" spans="1:10" x14ac:dyDescent="0.35">
      <c r="A902" s="92"/>
      <c r="F902" s="726"/>
      <c r="G902" s="735"/>
      <c r="H902" s="93"/>
      <c r="I902" s="750"/>
      <c r="J902" s="750"/>
    </row>
    <row r="903" spans="1:10" x14ac:dyDescent="0.35">
      <c r="A903" s="92"/>
      <c r="F903" s="726"/>
      <c r="G903" s="735"/>
      <c r="H903" s="93"/>
      <c r="I903" s="750"/>
      <c r="J903" s="750"/>
    </row>
    <row r="904" spans="1:10" x14ac:dyDescent="0.35">
      <c r="A904" s="92"/>
      <c r="F904" s="726"/>
      <c r="G904" s="735"/>
      <c r="H904" s="93"/>
      <c r="I904" s="750"/>
      <c r="J904" s="750"/>
    </row>
    <row r="905" spans="1:10" x14ac:dyDescent="0.35">
      <c r="A905" s="92"/>
      <c r="F905" s="726"/>
      <c r="G905" s="735"/>
      <c r="H905" s="93"/>
      <c r="I905" s="750"/>
      <c r="J905" s="750"/>
    </row>
    <row r="906" spans="1:10" x14ac:dyDescent="0.35">
      <c r="A906" s="92"/>
      <c r="F906" s="726"/>
      <c r="G906" s="735"/>
      <c r="H906" s="93"/>
      <c r="I906" s="750"/>
      <c r="J906" s="750"/>
    </row>
    <row r="907" spans="1:10" x14ac:dyDescent="0.35">
      <c r="A907" s="92"/>
      <c r="F907" s="726"/>
      <c r="G907" s="735"/>
      <c r="H907" s="93"/>
      <c r="I907" s="750"/>
      <c r="J907" s="750"/>
    </row>
    <row r="908" spans="1:10" x14ac:dyDescent="0.35">
      <c r="A908" s="92"/>
      <c r="F908" s="726"/>
      <c r="G908" s="735"/>
      <c r="H908" s="93"/>
      <c r="I908" s="750"/>
      <c r="J908" s="750"/>
    </row>
    <row r="909" spans="1:10" x14ac:dyDescent="0.35">
      <c r="A909" s="92"/>
      <c r="F909" s="726"/>
      <c r="G909" s="735"/>
      <c r="H909" s="93"/>
      <c r="I909" s="750"/>
      <c r="J909" s="750"/>
    </row>
    <row r="910" spans="1:10" x14ac:dyDescent="0.35">
      <c r="A910" s="92"/>
      <c r="F910" s="726"/>
      <c r="G910" s="735"/>
      <c r="H910" s="93"/>
      <c r="I910" s="750"/>
      <c r="J910" s="750"/>
    </row>
    <row r="911" spans="1:10" x14ac:dyDescent="0.35">
      <c r="A911" s="92"/>
      <c r="F911" s="726"/>
      <c r="G911" s="735"/>
      <c r="H911" s="93"/>
      <c r="I911" s="750"/>
      <c r="J911" s="750"/>
    </row>
    <row r="912" spans="1:10" x14ac:dyDescent="0.35">
      <c r="A912" s="92"/>
      <c r="F912" s="726"/>
      <c r="G912" s="735"/>
      <c r="H912" s="93"/>
      <c r="I912" s="750"/>
      <c r="J912" s="750"/>
    </row>
    <row r="913" spans="1:10" x14ac:dyDescent="0.35">
      <c r="A913" s="92"/>
      <c r="F913" s="726"/>
      <c r="G913" s="735"/>
      <c r="H913" s="93"/>
      <c r="I913" s="750"/>
      <c r="J913" s="750"/>
    </row>
    <row r="914" spans="1:10" x14ac:dyDescent="0.35">
      <c r="A914" s="92"/>
      <c r="F914" s="726"/>
      <c r="G914" s="735"/>
      <c r="H914" s="93"/>
      <c r="I914" s="750"/>
      <c r="J914" s="750"/>
    </row>
    <row r="915" spans="1:10" x14ac:dyDescent="0.35">
      <c r="A915" s="92"/>
      <c r="F915" s="726"/>
      <c r="G915" s="735"/>
      <c r="H915" s="93"/>
      <c r="I915" s="750"/>
      <c r="J915" s="750"/>
    </row>
    <row r="916" spans="1:10" x14ac:dyDescent="0.35">
      <c r="A916" s="92"/>
      <c r="F916" s="726"/>
      <c r="G916" s="735"/>
      <c r="H916" s="93"/>
      <c r="I916" s="750"/>
      <c r="J916" s="750"/>
    </row>
    <row r="917" spans="1:10" x14ac:dyDescent="0.35">
      <c r="A917" s="92"/>
      <c r="F917" s="726"/>
      <c r="G917" s="735"/>
      <c r="H917" s="93"/>
      <c r="I917" s="750"/>
      <c r="J917" s="750"/>
    </row>
    <row r="918" spans="1:10" x14ac:dyDescent="0.35">
      <c r="A918" s="92"/>
      <c r="F918" s="726"/>
      <c r="G918" s="735"/>
      <c r="H918" s="93"/>
      <c r="I918" s="750"/>
      <c r="J918" s="750"/>
    </row>
    <row r="919" spans="1:10" x14ac:dyDescent="0.35">
      <c r="A919" s="92"/>
      <c r="F919" s="726"/>
      <c r="G919" s="735"/>
      <c r="H919" s="93"/>
      <c r="I919" s="750"/>
      <c r="J919" s="750"/>
    </row>
    <row r="920" spans="1:10" x14ac:dyDescent="0.35">
      <c r="A920" s="92"/>
      <c r="F920" s="726"/>
      <c r="G920" s="735"/>
      <c r="H920" s="93"/>
      <c r="I920" s="750"/>
      <c r="J920" s="750"/>
    </row>
    <row r="921" spans="1:10" x14ac:dyDescent="0.35">
      <c r="A921" s="92"/>
      <c r="F921" s="726"/>
      <c r="G921" s="735"/>
      <c r="H921" s="93"/>
      <c r="I921" s="750"/>
      <c r="J921" s="750"/>
    </row>
    <row r="922" spans="1:10" x14ac:dyDescent="0.35">
      <c r="A922" s="92"/>
      <c r="F922" s="726"/>
      <c r="G922" s="735"/>
      <c r="H922" s="93"/>
      <c r="I922" s="750"/>
      <c r="J922" s="750"/>
    </row>
    <row r="923" spans="1:10" x14ac:dyDescent="0.35">
      <c r="A923" s="92"/>
      <c r="F923" s="726"/>
      <c r="G923" s="735"/>
      <c r="H923" s="93"/>
      <c r="I923" s="750"/>
      <c r="J923" s="750"/>
    </row>
    <row r="924" spans="1:10" x14ac:dyDescent="0.35">
      <c r="A924" s="92"/>
      <c r="F924" s="726"/>
      <c r="G924" s="735"/>
      <c r="H924" s="93"/>
      <c r="I924" s="750"/>
      <c r="J924" s="750"/>
    </row>
    <row r="925" spans="1:10" x14ac:dyDescent="0.35">
      <c r="A925" s="92"/>
      <c r="F925" s="726"/>
      <c r="G925" s="735"/>
      <c r="H925" s="93"/>
      <c r="I925" s="750"/>
      <c r="J925" s="750"/>
    </row>
    <row r="926" spans="1:10" x14ac:dyDescent="0.35">
      <c r="A926" s="92"/>
      <c r="F926" s="726"/>
      <c r="G926" s="735"/>
      <c r="H926" s="93"/>
      <c r="I926" s="750"/>
      <c r="J926" s="750"/>
    </row>
    <row r="927" spans="1:10" x14ac:dyDescent="0.35">
      <c r="A927" s="92"/>
      <c r="F927" s="726"/>
      <c r="G927" s="735"/>
      <c r="H927" s="93"/>
      <c r="I927" s="750"/>
      <c r="J927" s="750"/>
    </row>
    <row r="928" spans="1:10" x14ac:dyDescent="0.35">
      <c r="A928" s="92"/>
      <c r="F928" s="726"/>
      <c r="G928" s="735"/>
      <c r="H928" s="93"/>
      <c r="I928" s="750"/>
      <c r="J928" s="750"/>
    </row>
    <row r="929" spans="1:10" x14ac:dyDescent="0.35">
      <c r="A929" s="92"/>
      <c r="F929" s="726"/>
      <c r="G929" s="735"/>
      <c r="H929" s="93"/>
      <c r="I929" s="750"/>
      <c r="J929" s="750"/>
    </row>
    <row r="930" spans="1:10" x14ac:dyDescent="0.35">
      <c r="A930" s="92"/>
      <c r="F930" s="726"/>
      <c r="G930" s="735"/>
      <c r="H930" s="93"/>
      <c r="I930" s="750"/>
      <c r="J930" s="750"/>
    </row>
    <row r="931" spans="1:10" x14ac:dyDescent="0.35">
      <c r="A931" s="92"/>
      <c r="F931" s="726"/>
      <c r="G931" s="735"/>
      <c r="H931" s="93"/>
      <c r="I931" s="750"/>
      <c r="J931" s="750"/>
    </row>
    <row r="932" spans="1:10" x14ac:dyDescent="0.35">
      <c r="A932" s="92"/>
      <c r="F932" s="726"/>
      <c r="G932" s="735"/>
      <c r="H932" s="93"/>
      <c r="I932" s="750"/>
      <c r="J932" s="750"/>
    </row>
    <row r="933" spans="1:10" x14ac:dyDescent="0.35">
      <c r="A933" s="92"/>
      <c r="F933" s="726"/>
      <c r="G933" s="735"/>
      <c r="H933" s="93"/>
      <c r="I933" s="750"/>
      <c r="J933" s="750"/>
    </row>
    <row r="934" spans="1:10" x14ac:dyDescent="0.35">
      <c r="A934" s="92"/>
      <c r="F934" s="726"/>
      <c r="G934" s="735"/>
      <c r="H934" s="93"/>
      <c r="I934" s="750"/>
      <c r="J934" s="750"/>
    </row>
    <row r="935" spans="1:10" x14ac:dyDescent="0.35">
      <c r="A935" s="92"/>
      <c r="F935" s="726"/>
      <c r="G935" s="735"/>
      <c r="H935" s="93"/>
      <c r="I935" s="750"/>
      <c r="J935" s="750"/>
    </row>
    <row r="936" spans="1:10" x14ac:dyDescent="0.35">
      <c r="A936" s="92"/>
      <c r="F936" s="726"/>
      <c r="G936" s="735"/>
      <c r="H936" s="93"/>
      <c r="I936" s="750"/>
      <c r="J936" s="750"/>
    </row>
    <row r="937" spans="1:10" x14ac:dyDescent="0.35">
      <c r="A937" s="92"/>
      <c r="F937" s="726"/>
      <c r="G937" s="735"/>
      <c r="H937" s="93"/>
      <c r="I937" s="750"/>
      <c r="J937" s="750"/>
    </row>
    <row r="938" spans="1:10" x14ac:dyDescent="0.35">
      <c r="A938" s="92"/>
      <c r="F938" s="726"/>
      <c r="G938" s="735"/>
      <c r="H938" s="93"/>
      <c r="I938" s="750"/>
      <c r="J938" s="750"/>
    </row>
    <row r="939" spans="1:10" x14ac:dyDescent="0.35">
      <c r="A939" s="92"/>
      <c r="F939" s="726"/>
      <c r="G939" s="735"/>
      <c r="H939" s="93"/>
      <c r="I939" s="750"/>
      <c r="J939" s="750"/>
    </row>
    <row r="940" spans="1:10" x14ac:dyDescent="0.35">
      <c r="A940" s="92"/>
      <c r="F940" s="726"/>
      <c r="G940" s="735"/>
      <c r="H940" s="93"/>
      <c r="I940" s="750"/>
      <c r="J940" s="750"/>
    </row>
    <row r="941" spans="1:10" x14ac:dyDescent="0.35">
      <c r="A941" s="92"/>
      <c r="F941" s="726"/>
      <c r="G941" s="735"/>
      <c r="H941" s="93"/>
      <c r="I941" s="750"/>
      <c r="J941" s="750"/>
    </row>
    <row r="942" spans="1:10" x14ac:dyDescent="0.35">
      <c r="A942" s="92"/>
      <c r="F942" s="726"/>
      <c r="G942" s="735"/>
      <c r="H942" s="93"/>
      <c r="I942" s="750"/>
      <c r="J942" s="750"/>
    </row>
    <row r="943" spans="1:10" x14ac:dyDescent="0.35">
      <c r="A943" s="92"/>
      <c r="F943" s="726"/>
      <c r="G943" s="735"/>
      <c r="H943" s="93"/>
      <c r="I943" s="750"/>
      <c r="J943" s="750"/>
    </row>
    <row r="944" spans="1:10" x14ac:dyDescent="0.35">
      <c r="A944" s="92"/>
      <c r="F944" s="726"/>
      <c r="G944" s="735"/>
      <c r="H944" s="93"/>
      <c r="I944" s="750"/>
      <c r="J944" s="750"/>
    </row>
    <row r="945" spans="1:10" x14ac:dyDescent="0.35">
      <c r="A945" s="92"/>
      <c r="F945" s="726"/>
      <c r="G945" s="735"/>
      <c r="H945" s="93"/>
      <c r="I945" s="750"/>
      <c r="J945" s="750"/>
    </row>
    <row r="946" spans="1:10" x14ac:dyDescent="0.35">
      <c r="A946" s="92"/>
      <c r="F946" s="726"/>
      <c r="G946" s="735"/>
      <c r="H946" s="93"/>
      <c r="I946" s="750"/>
      <c r="J946" s="750"/>
    </row>
    <row r="947" spans="1:10" x14ac:dyDescent="0.35">
      <c r="A947" s="92"/>
      <c r="F947" s="726"/>
      <c r="G947" s="735"/>
      <c r="H947" s="93"/>
      <c r="I947" s="750"/>
      <c r="J947" s="750"/>
    </row>
    <row r="948" spans="1:10" x14ac:dyDescent="0.35">
      <c r="A948" s="92"/>
      <c r="F948" s="726"/>
      <c r="G948" s="735"/>
      <c r="H948" s="93"/>
      <c r="I948" s="750"/>
      <c r="J948" s="750"/>
    </row>
    <row r="949" spans="1:10" x14ac:dyDescent="0.35">
      <c r="A949" s="92"/>
      <c r="F949" s="726"/>
      <c r="G949" s="735"/>
      <c r="H949" s="93"/>
      <c r="I949" s="750"/>
      <c r="J949" s="750"/>
    </row>
    <row r="950" spans="1:10" x14ac:dyDescent="0.35">
      <c r="A950" s="92"/>
      <c r="F950" s="726"/>
      <c r="G950" s="735"/>
      <c r="H950" s="93"/>
      <c r="I950" s="750"/>
      <c r="J950" s="750"/>
    </row>
    <row r="951" spans="1:10" x14ac:dyDescent="0.35">
      <c r="A951" s="92"/>
      <c r="F951" s="726"/>
      <c r="G951" s="735"/>
      <c r="H951" s="93"/>
      <c r="I951" s="750"/>
      <c r="J951" s="750"/>
    </row>
    <row r="952" spans="1:10" x14ac:dyDescent="0.35">
      <c r="A952" s="92"/>
      <c r="F952" s="726"/>
      <c r="G952" s="735"/>
      <c r="H952" s="93"/>
      <c r="I952" s="750"/>
      <c r="J952" s="750"/>
    </row>
    <row r="953" spans="1:10" x14ac:dyDescent="0.35">
      <c r="A953" s="92"/>
      <c r="F953" s="726"/>
      <c r="G953" s="735"/>
      <c r="H953" s="93"/>
      <c r="I953" s="750"/>
      <c r="J953" s="750"/>
    </row>
    <row r="954" spans="1:10" x14ac:dyDescent="0.35">
      <c r="A954" s="92"/>
      <c r="F954" s="726"/>
      <c r="G954" s="735"/>
      <c r="H954" s="93"/>
      <c r="I954" s="750"/>
      <c r="J954" s="750"/>
    </row>
    <row r="955" spans="1:10" x14ac:dyDescent="0.35">
      <c r="A955" s="92"/>
      <c r="F955" s="726"/>
      <c r="G955" s="735"/>
      <c r="H955" s="93"/>
      <c r="I955" s="750"/>
      <c r="J955" s="750"/>
    </row>
    <row r="956" spans="1:10" x14ac:dyDescent="0.35">
      <c r="A956" s="92"/>
      <c r="F956" s="726"/>
      <c r="G956" s="735"/>
      <c r="H956" s="93"/>
      <c r="I956" s="750"/>
      <c r="J956" s="750"/>
    </row>
    <row r="957" spans="1:10" x14ac:dyDescent="0.35">
      <c r="A957" s="92"/>
      <c r="F957" s="726"/>
      <c r="G957" s="735"/>
      <c r="H957" s="93"/>
      <c r="I957" s="750"/>
      <c r="J957" s="750"/>
    </row>
    <row r="958" spans="1:10" x14ac:dyDescent="0.35">
      <c r="A958" s="92"/>
      <c r="F958" s="726"/>
      <c r="G958" s="735"/>
      <c r="H958" s="93"/>
      <c r="I958" s="750"/>
      <c r="J958" s="750"/>
    </row>
    <row r="959" spans="1:10" x14ac:dyDescent="0.35">
      <c r="A959" s="92"/>
      <c r="F959" s="726"/>
      <c r="G959" s="735"/>
      <c r="H959" s="93"/>
      <c r="I959" s="750"/>
      <c r="J959" s="750"/>
    </row>
    <row r="960" spans="1:10" x14ac:dyDescent="0.35">
      <c r="A960" s="92"/>
      <c r="F960" s="726"/>
      <c r="G960" s="735"/>
      <c r="H960" s="93"/>
      <c r="I960" s="750"/>
      <c r="J960" s="750"/>
    </row>
    <row r="961" spans="1:10" x14ac:dyDescent="0.35">
      <c r="A961" s="92"/>
      <c r="F961" s="726"/>
      <c r="G961" s="735"/>
      <c r="H961" s="93"/>
      <c r="I961" s="750"/>
      <c r="J961" s="750"/>
    </row>
    <row r="962" spans="1:10" x14ac:dyDescent="0.35">
      <c r="A962" s="92"/>
      <c r="F962" s="726"/>
      <c r="G962" s="735"/>
      <c r="H962" s="93"/>
      <c r="I962" s="750"/>
      <c r="J962" s="750"/>
    </row>
    <row r="963" spans="1:10" x14ac:dyDescent="0.35">
      <c r="A963" s="92"/>
      <c r="F963" s="726"/>
      <c r="G963" s="735"/>
      <c r="H963" s="93"/>
      <c r="I963" s="750"/>
      <c r="J963" s="750"/>
    </row>
    <row r="964" spans="1:10" x14ac:dyDescent="0.35">
      <c r="A964" s="92"/>
      <c r="F964" s="726"/>
      <c r="G964" s="735"/>
      <c r="H964" s="93"/>
      <c r="I964" s="750"/>
      <c r="J964" s="750"/>
    </row>
    <row r="965" spans="1:10" x14ac:dyDescent="0.35">
      <c r="A965" s="92"/>
      <c r="F965" s="726"/>
      <c r="G965" s="735"/>
      <c r="H965" s="93"/>
      <c r="I965" s="750"/>
      <c r="J965" s="750"/>
    </row>
    <row r="966" spans="1:10" x14ac:dyDescent="0.35">
      <c r="A966" s="92"/>
      <c r="F966" s="726"/>
      <c r="G966" s="735"/>
      <c r="H966" s="93"/>
      <c r="I966" s="750"/>
      <c r="J966" s="750"/>
    </row>
    <row r="967" spans="1:10" x14ac:dyDescent="0.35">
      <c r="A967" s="92"/>
      <c r="F967" s="726"/>
      <c r="G967" s="735"/>
      <c r="H967" s="93"/>
      <c r="I967" s="750"/>
      <c r="J967" s="750"/>
    </row>
    <row r="968" spans="1:10" x14ac:dyDescent="0.35">
      <c r="A968" s="92"/>
      <c r="F968" s="726"/>
      <c r="G968" s="735"/>
      <c r="H968" s="93"/>
      <c r="I968" s="750"/>
      <c r="J968" s="750"/>
    </row>
    <row r="969" spans="1:10" x14ac:dyDescent="0.35">
      <c r="A969" s="92"/>
      <c r="F969" s="726"/>
      <c r="G969" s="735"/>
      <c r="H969" s="93"/>
      <c r="I969" s="750"/>
      <c r="J969" s="750"/>
    </row>
    <row r="970" spans="1:10" x14ac:dyDescent="0.35">
      <c r="A970" s="92"/>
      <c r="F970" s="726"/>
      <c r="G970" s="735"/>
      <c r="H970" s="93"/>
      <c r="I970" s="750"/>
      <c r="J970" s="750"/>
    </row>
    <row r="971" spans="1:10" x14ac:dyDescent="0.35">
      <c r="A971" s="92"/>
      <c r="F971" s="726"/>
      <c r="G971" s="735"/>
      <c r="H971" s="93"/>
      <c r="I971" s="750"/>
      <c r="J971" s="750"/>
    </row>
    <row r="972" spans="1:10" x14ac:dyDescent="0.35">
      <c r="A972" s="92"/>
      <c r="F972" s="726"/>
      <c r="G972" s="735"/>
      <c r="H972" s="93"/>
      <c r="I972" s="750"/>
      <c r="J972" s="750"/>
    </row>
    <row r="973" spans="1:10" x14ac:dyDescent="0.35">
      <c r="A973" s="92"/>
      <c r="F973" s="726"/>
      <c r="G973" s="735"/>
      <c r="H973" s="93"/>
      <c r="I973" s="750"/>
      <c r="J973" s="750"/>
    </row>
    <row r="974" spans="1:10" x14ac:dyDescent="0.35">
      <c r="A974" s="92"/>
      <c r="F974" s="726"/>
      <c r="G974" s="735"/>
      <c r="H974" s="93"/>
      <c r="I974" s="750"/>
      <c r="J974" s="750"/>
    </row>
    <row r="975" spans="1:10" x14ac:dyDescent="0.35">
      <c r="A975" s="92"/>
      <c r="F975" s="726"/>
      <c r="G975" s="735"/>
      <c r="H975" s="93"/>
      <c r="I975" s="750"/>
      <c r="J975" s="750"/>
    </row>
    <row r="976" spans="1:10" x14ac:dyDescent="0.35">
      <c r="A976" s="92"/>
      <c r="F976" s="726"/>
      <c r="G976" s="735"/>
      <c r="H976" s="93"/>
      <c r="I976" s="750"/>
      <c r="J976" s="750"/>
    </row>
    <row r="977" spans="1:10" x14ac:dyDescent="0.35">
      <c r="A977" s="92"/>
      <c r="F977" s="726"/>
      <c r="G977" s="735"/>
      <c r="H977" s="93"/>
      <c r="I977" s="750"/>
      <c r="J977" s="750"/>
    </row>
    <row r="978" spans="1:10" x14ac:dyDescent="0.35">
      <c r="A978" s="92"/>
      <c r="F978" s="726"/>
      <c r="G978" s="735"/>
      <c r="H978" s="93"/>
      <c r="I978" s="750"/>
      <c r="J978" s="750"/>
    </row>
    <row r="979" spans="1:10" x14ac:dyDescent="0.35">
      <c r="A979" s="92"/>
      <c r="F979" s="726"/>
      <c r="G979" s="735"/>
      <c r="H979" s="93"/>
      <c r="I979" s="750"/>
      <c r="J979" s="750"/>
    </row>
    <row r="980" spans="1:10" x14ac:dyDescent="0.35">
      <c r="A980" s="92"/>
      <c r="F980" s="726"/>
      <c r="G980" s="735"/>
      <c r="H980" s="93"/>
      <c r="I980" s="750"/>
      <c r="J980" s="750"/>
    </row>
    <row r="981" spans="1:10" x14ac:dyDescent="0.35">
      <c r="A981" s="92"/>
      <c r="F981" s="726"/>
      <c r="G981" s="735"/>
      <c r="H981" s="93"/>
      <c r="I981" s="750"/>
      <c r="J981" s="750"/>
    </row>
    <row r="982" spans="1:10" x14ac:dyDescent="0.35">
      <c r="A982" s="92"/>
      <c r="F982" s="726"/>
      <c r="G982" s="735"/>
      <c r="H982" s="93"/>
      <c r="I982" s="750"/>
      <c r="J982" s="750"/>
    </row>
    <row r="983" spans="1:10" x14ac:dyDescent="0.35">
      <c r="A983" s="92"/>
      <c r="F983" s="726"/>
      <c r="G983" s="735"/>
      <c r="H983" s="93"/>
      <c r="I983" s="750"/>
      <c r="J983" s="750"/>
    </row>
    <row r="984" spans="1:10" x14ac:dyDescent="0.35">
      <c r="A984" s="92"/>
      <c r="F984" s="726"/>
      <c r="G984" s="735"/>
      <c r="H984" s="93"/>
      <c r="I984" s="750"/>
      <c r="J984" s="750"/>
    </row>
    <row r="985" spans="1:10" x14ac:dyDescent="0.35">
      <c r="A985" s="92"/>
      <c r="F985" s="726"/>
      <c r="G985" s="735"/>
      <c r="H985" s="93"/>
      <c r="I985" s="750"/>
      <c r="J985" s="750"/>
    </row>
    <row r="986" spans="1:10" x14ac:dyDescent="0.35">
      <c r="A986" s="92"/>
      <c r="F986" s="726"/>
      <c r="G986" s="735"/>
      <c r="H986" s="93"/>
      <c r="I986" s="750"/>
      <c r="J986" s="750"/>
    </row>
    <row r="987" spans="1:10" x14ac:dyDescent="0.35">
      <c r="A987" s="92"/>
      <c r="F987" s="726"/>
      <c r="G987" s="735"/>
      <c r="H987" s="93"/>
      <c r="I987" s="750"/>
      <c r="J987" s="750"/>
    </row>
    <row r="988" spans="1:10" x14ac:dyDescent="0.35">
      <c r="A988" s="92"/>
      <c r="F988" s="726"/>
      <c r="G988" s="735"/>
      <c r="H988" s="93"/>
      <c r="I988" s="750"/>
      <c r="J988" s="750"/>
    </row>
    <row r="989" spans="1:10" x14ac:dyDescent="0.35">
      <c r="A989" s="92"/>
      <c r="F989" s="726"/>
      <c r="G989" s="735"/>
      <c r="H989" s="93"/>
      <c r="I989" s="750"/>
      <c r="J989" s="750"/>
    </row>
    <row r="990" spans="1:10" x14ac:dyDescent="0.35">
      <c r="A990" s="92"/>
      <c r="F990" s="726"/>
      <c r="G990" s="735"/>
      <c r="H990" s="93"/>
      <c r="I990" s="750"/>
      <c r="J990" s="750"/>
    </row>
    <row r="991" spans="1:10" x14ac:dyDescent="0.35">
      <c r="A991" s="92"/>
      <c r="F991" s="726"/>
      <c r="G991" s="735"/>
      <c r="H991" s="93"/>
      <c r="I991" s="750"/>
      <c r="J991" s="750"/>
    </row>
    <row r="992" spans="1:10" x14ac:dyDescent="0.35">
      <c r="A992" s="92"/>
      <c r="F992" s="726"/>
      <c r="G992" s="735"/>
      <c r="H992" s="93"/>
      <c r="I992" s="750"/>
      <c r="J992" s="750"/>
    </row>
    <row r="993" spans="1:10" x14ac:dyDescent="0.35">
      <c r="A993" s="92"/>
      <c r="F993" s="726"/>
      <c r="G993" s="735"/>
      <c r="H993" s="93"/>
      <c r="I993" s="750"/>
      <c r="J993" s="750"/>
    </row>
    <row r="994" spans="1:10" x14ac:dyDescent="0.35">
      <c r="A994" s="92"/>
      <c r="F994" s="726"/>
      <c r="G994" s="735"/>
      <c r="H994" s="93"/>
      <c r="I994" s="750"/>
      <c r="J994" s="750"/>
    </row>
    <row r="995" spans="1:10" x14ac:dyDescent="0.35">
      <c r="A995" s="92"/>
      <c r="F995" s="726"/>
      <c r="G995" s="735"/>
      <c r="H995" s="93"/>
      <c r="I995" s="750"/>
      <c r="J995" s="750"/>
    </row>
    <row r="996" spans="1:10" x14ac:dyDescent="0.35">
      <c r="A996" s="92"/>
      <c r="F996" s="726"/>
      <c r="G996" s="735"/>
      <c r="H996" s="93"/>
      <c r="I996" s="750"/>
      <c r="J996" s="750"/>
    </row>
    <row r="997" spans="1:10" x14ac:dyDescent="0.35">
      <c r="A997" s="92"/>
      <c r="F997" s="726"/>
      <c r="G997" s="735"/>
      <c r="H997" s="93"/>
      <c r="I997" s="750"/>
      <c r="J997" s="750"/>
    </row>
    <row r="998" spans="1:10" x14ac:dyDescent="0.35">
      <c r="A998" s="92"/>
      <c r="F998" s="726"/>
      <c r="G998" s="735"/>
      <c r="H998" s="93"/>
      <c r="I998" s="750"/>
      <c r="J998" s="750"/>
    </row>
    <row r="999" spans="1:10" x14ac:dyDescent="0.35">
      <c r="A999" s="92"/>
      <c r="F999" s="726"/>
      <c r="G999" s="735"/>
      <c r="H999" s="93"/>
      <c r="I999" s="750"/>
      <c r="J999" s="750"/>
    </row>
    <row r="1000" spans="1:10" x14ac:dyDescent="0.35">
      <c r="A1000" s="92"/>
      <c r="F1000" s="726"/>
      <c r="G1000" s="735"/>
      <c r="H1000" s="93"/>
      <c r="I1000" s="750"/>
      <c r="J1000" s="750"/>
    </row>
    <row r="1001" spans="1:10" x14ac:dyDescent="0.35">
      <c r="A1001" s="92"/>
      <c r="F1001" s="726"/>
      <c r="G1001" s="735"/>
      <c r="H1001" s="93"/>
      <c r="I1001" s="750"/>
      <c r="J1001" s="750"/>
    </row>
    <row r="1002" spans="1:10" x14ac:dyDescent="0.35">
      <c r="A1002" s="92"/>
      <c r="F1002" s="726"/>
      <c r="G1002" s="735"/>
      <c r="H1002" s="93"/>
      <c r="I1002" s="750"/>
      <c r="J1002" s="750"/>
    </row>
    <row r="1003" spans="1:10" x14ac:dyDescent="0.35">
      <c r="A1003" s="92"/>
      <c r="F1003" s="726"/>
      <c r="G1003" s="735"/>
      <c r="H1003" s="93"/>
      <c r="I1003" s="750"/>
      <c r="J1003" s="750"/>
    </row>
    <row r="1004" spans="1:10" x14ac:dyDescent="0.35">
      <c r="A1004" s="92"/>
      <c r="F1004" s="726"/>
      <c r="G1004" s="735"/>
      <c r="H1004" s="93"/>
      <c r="I1004" s="750"/>
      <c r="J1004" s="750"/>
    </row>
    <row r="1005" spans="1:10" x14ac:dyDescent="0.35">
      <c r="A1005" s="92"/>
      <c r="F1005" s="726"/>
      <c r="G1005" s="735"/>
      <c r="H1005" s="93"/>
      <c r="I1005" s="750"/>
      <c r="J1005" s="750"/>
    </row>
    <row r="1006" spans="1:10" x14ac:dyDescent="0.35">
      <c r="A1006" s="92"/>
      <c r="F1006" s="726"/>
      <c r="G1006" s="735"/>
      <c r="H1006" s="93"/>
      <c r="I1006" s="750"/>
      <c r="J1006" s="750"/>
    </row>
    <row r="1007" spans="1:10" x14ac:dyDescent="0.35">
      <c r="A1007" s="92"/>
      <c r="F1007" s="726"/>
      <c r="G1007" s="735"/>
      <c r="H1007" s="93"/>
      <c r="I1007" s="750"/>
      <c r="J1007" s="750"/>
    </row>
    <row r="1008" spans="1:10" x14ac:dyDescent="0.35">
      <c r="A1008" s="92"/>
      <c r="F1008" s="726"/>
      <c r="G1008" s="735"/>
      <c r="H1008" s="93"/>
      <c r="I1008" s="750"/>
      <c r="J1008" s="750"/>
    </row>
    <row r="1009" spans="1:10" x14ac:dyDescent="0.35">
      <c r="A1009" s="92"/>
      <c r="F1009" s="726"/>
      <c r="G1009" s="735"/>
      <c r="H1009" s="93"/>
      <c r="I1009" s="750"/>
      <c r="J1009" s="750"/>
    </row>
    <row r="1010" spans="1:10" x14ac:dyDescent="0.35">
      <c r="A1010" s="92"/>
      <c r="F1010" s="726"/>
      <c r="G1010" s="735"/>
      <c r="H1010" s="93"/>
      <c r="I1010" s="750"/>
      <c r="J1010" s="750"/>
    </row>
    <row r="1011" spans="1:10" x14ac:dyDescent="0.35">
      <c r="A1011" s="92"/>
      <c r="F1011" s="726"/>
      <c r="G1011" s="735"/>
      <c r="H1011" s="93"/>
      <c r="I1011" s="750"/>
      <c r="J1011" s="750"/>
    </row>
    <row r="1012" spans="1:10" x14ac:dyDescent="0.35">
      <c r="A1012" s="92"/>
      <c r="F1012" s="726"/>
      <c r="G1012" s="735"/>
      <c r="H1012" s="93"/>
      <c r="I1012" s="750"/>
      <c r="J1012" s="750"/>
    </row>
    <row r="1013" spans="1:10" x14ac:dyDescent="0.35">
      <c r="A1013" s="92"/>
      <c r="F1013" s="726"/>
      <c r="G1013" s="735"/>
      <c r="H1013" s="93"/>
      <c r="I1013" s="750"/>
      <c r="J1013" s="750"/>
    </row>
    <row r="1014" spans="1:10" x14ac:dyDescent="0.35">
      <c r="A1014" s="92"/>
      <c r="F1014" s="726"/>
      <c r="G1014" s="735"/>
      <c r="H1014" s="93"/>
      <c r="I1014" s="750"/>
      <c r="J1014" s="750"/>
    </row>
    <row r="1015" spans="1:10" x14ac:dyDescent="0.35">
      <c r="A1015" s="92"/>
      <c r="F1015" s="726"/>
      <c r="G1015" s="735"/>
      <c r="H1015" s="93"/>
      <c r="I1015" s="750"/>
      <c r="J1015" s="750"/>
    </row>
    <row r="1016" spans="1:10" x14ac:dyDescent="0.35">
      <c r="A1016" s="92"/>
      <c r="F1016" s="726"/>
      <c r="G1016" s="735"/>
      <c r="H1016" s="93"/>
      <c r="I1016" s="750"/>
      <c r="J1016" s="750"/>
    </row>
    <row r="1017" spans="1:10" x14ac:dyDescent="0.35">
      <c r="A1017" s="92"/>
      <c r="F1017" s="726"/>
      <c r="G1017" s="735"/>
      <c r="H1017" s="93"/>
      <c r="I1017" s="750"/>
      <c r="J1017" s="750"/>
    </row>
    <row r="1018" spans="1:10" x14ac:dyDescent="0.35">
      <c r="A1018" s="92"/>
      <c r="F1018" s="726"/>
      <c r="G1018" s="735"/>
      <c r="H1018" s="93"/>
      <c r="I1018" s="750"/>
      <c r="J1018" s="750"/>
    </row>
    <row r="1019" spans="1:10" x14ac:dyDescent="0.35">
      <c r="A1019" s="92"/>
      <c r="F1019" s="726"/>
      <c r="G1019" s="735"/>
      <c r="H1019" s="93"/>
      <c r="I1019" s="750"/>
      <c r="J1019" s="750"/>
    </row>
    <row r="1020" spans="1:10" x14ac:dyDescent="0.35">
      <c r="A1020" s="92"/>
      <c r="F1020" s="726"/>
      <c r="G1020" s="735"/>
      <c r="H1020" s="93"/>
      <c r="I1020" s="750"/>
      <c r="J1020" s="750"/>
    </row>
    <row r="1021" spans="1:10" x14ac:dyDescent="0.35">
      <c r="A1021" s="92"/>
      <c r="F1021" s="726"/>
      <c r="G1021" s="735"/>
      <c r="H1021" s="93"/>
      <c r="I1021" s="750"/>
      <c r="J1021" s="750"/>
    </row>
    <row r="1022" spans="1:10" x14ac:dyDescent="0.35">
      <c r="A1022" s="92"/>
      <c r="F1022" s="726"/>
      <c r="G1022" s="735"/>
      <c r="H1022" s="93"/>
      <c r="I1022" s="750"/>
      <c r="J1022" s="750"/>
    </row>
    <row r="1023" spans="1:10" x14ac:dyDescent="0.35">
      <c r="A1023" s="92"/>
      <c r="F1023" s="726"/>
      <c r="G1023" s="735"/>
      <c r="H1023" s="93"/>
      <c r="I1023" s="750"/>
      <c r="J1023" s="750"/>
    </row>
    <row r="1024" spans="1:10" x14ac:dyDescent="0.35">
      <c r="A1024" s="92"/>
      <c r="F1024" s="726"/>
      <c r="G1024" s="735"/>
      <c r="H1024" s="93"/>
      <c r="I1024" s="750"/>
      <c r="J1024" s="750"/>
    </row>
    <row r="1025" spans="1:10" x14ac:dyDescent="0.35">
      <c r="A1025" s="92"/>
      <c r="F1025" s="726"/>
      <c r="G1025" s="735"/>
      <c r="H1025" s="93"/>
      <c r="I1025" s="750"/>
      <c r="J1025" s="750"/>
    </row>
    <row r="1026" spans="1:10" x14ac:dyDescent="0.35">
      <c r="A1026" s="92"/>
      <c r="F1026" s="726"/>
      <c r="G1026" s="735"/>
      <c r="H1026" s="93"/>
      <c r="I1026" s="750"/>
      <c r="J1026" s="750"/>
    </row>
    <row r="1027" spans="1:10" x14ac:dyDescent="0.35">
      <c r="A1027" s="92"/>
      <c r="F1027" s="726"/>
      <c r="G1027" s="735"/>
      <c r="H1027" s="93"/>
      <c r="I1027" s="750"/>
      <c r="J1027" s="750"/>
    </row>
    <row r="1028" spans="1:10" x14ac:dyDescent="0.35">
      <c r="A1028" s="92"/>
      <c r="F1028" s="726"/>
      <c r="G1028" s="735"/>
      <c r="H1028" s="93"/>
      <c r="I1028" s="750"/>
      <c r="J1028" s="750"/>
    </row>
    <row r="1029" spans="1:10" x14ac:dyDescent="0.35">
      <c r="A1029" s="92"/>
      <c r="F1029" s="726"/>
      <c r="G1029" s="735"/>
      <c r="H1029" s="93"/>
      <c r="I1029" s="750"/>
      <c r="J1029" s="750"/>
    </row>
    <row r="1030" spans="1:10" x14ac:dyDescent="0.35">
      <c r="A1030" s="92"/>
      <c r="F1030" s="726"/>
      <c r="G1030" s="735"/>
      <c r="H1030" s="93"/>
      <c r="I1030" s="750"/>
      <c r="J1030" s="750"/>
    </row>
    <row r="1031" spans="1:10" x14ac:dyDescent="0.35">
      <c r="A1031" s="92"/>
      <c r="F1031" s="726"/>
      <c r="G1031" s="735"/>
      <c r="H1031" s="93"/>
      <c r="I1031" s="750"/>
      <c r="J1031" s="750"/>
    </row>
    <row r="1032" spans="1:10" x14ac:dyDescent="0.35">
      <c r="A1032" s="92"/>
      <c r="F1032" s="726"/>
      <c r="G1032" s="735"/>
      <c r="H1032" s="93"/>
      <c r="I1032" s="750"/>
      <c r="J1032" s="750"/>
    </row>
    <row r="1033" spans="1:10" x14ac:dyDescent="0.35">
      <c r="A1033" s="92"/>
      <c r="F1033" s="726"/>
      <c r="G1033" s="735"/>
      <c r="H1033" s="93"/>
      <c r="I1033" s="750"/>
      <c r="J1033" s="750"/>
    </row>
    <row r="1034" spans="1:10" x14ac:dyDescent="0.35">
      <c r="A1034" s="92"/>
      <c r="F1034" s="726"/>
      <c r="G1034" s="735"/>
      <c r="H1034" s="93"/>
      <c r="I1034" s="750"/>
      <c r="J1034" s="750"/>
    </row>
    <row r="1035" spans="1:10" x14ac:dyDescent="0.35">
      <c r="A1035" s="92"/>
      <c r="F1035" s="726"/>
      <c r="G1035" s="735"/>
      <c r="H1035" s="93"/>
      <c r="I1035" s="750"/>
      <c r="J1035" s="750"/>
    </row>
    <row r="1036" spans="1:10" x14ac:dyDescent="0.35">
      <c r="A1036" s="92"/>
      <c r="F1036" s="726"/>
      <c r="G1036" s="735"/>
      <c r="H1036" s="93"/>
      <c r="I1036" s="750"/>
      <c r="J1036" s="750"/>
    </row>
    <row r="1037" spans="1:10" x14ac:dyDescent="0.35">
      <c r="A1037" s="92"/>
      <c r="F1037" s="726"/>
      <c r="G1037" s="735"/>
      <c r="H1037" s="93"/>
      <c r="I1037" s="750"/>
      <c r="J1037" s="750"/>
    </row>
    <row r="1038" spans="1:10" x14ac:dyDescent="0.35">
      <c r="A1038" s="92"/>
      <c r="F1038" s="726"/>
      <c r="G1038" s="735"/>
      <c r="H1038" s="93"/>
      <c r="I1038" s="750"/>
      <c r="J1038" s="750"/>
    </row>
    <row r="1039" spans="1:10" x14ac:dyDescent="0.35">
      <c r="A1039" s="92"/>
      <c r="F1039" s="726"/>
      <c r="G1039" s="735"/>
      <c r="H1039" s="93"/>
      <c r="I1039" s="750"/>
      <c r="J1039" s="750"/>
    </row>
    <row r="1040" spans="1:10" x14ac:dyDescent="0.35">
      <c r="A1040" s="92"/>
      <c r="F1040" s="726"/>
      <c r="G1040" s="735"/>
      <c r="H1040" s="93"/>
      <c r="I1040" s="750"/>
      <c r="J1040" s="750"/>
    </row>
    <row r="1041" spans="1:10" x14ac:dyDescent="0.35">
      <c r="A1041" s="92"/>
      <c r="F1041" s="726"/>
      <c r="G1041" s="735"/>
      <c r="H1041" s="93"/>
      <c r="I1041" s="750"/>
      <c r="J1041" s="750"/>
    </row>
    <row r="1042" spans="1:10" x14ac:dyDescent="0.35">
      <c r="A1042" s="92"/>
      <c r="F1042" s="726"/>
      <c r="G1042" s="735"/>
      <c r="H1042" s="93"/>
      <c r="I1042" s="750"/>
      <c r="J1042" s="750"/>
    </row>
    <row r="1043" spans="1:10" x14ac:dyDescent="0.35">
      <c r="A1043" s="92"/>
      <c r="F1043" s="726"/>
      <c r="G1043" s="735"/>
      <c r="H1043" s="93"/>
      <c r="I1043" s="750"/>
      <c r="J1043" s="750"/>
    </row>
    <row r="1044" spans="1:10" x14ac:dyDescent="0.35">
      <c r="A1044" s="92"/>
      <c r="F1044" s="726"/>
      <c r="G1044" s="735"/>
      <c r="H1044" s="93"/>
      <c r="I1044" s="750"/>
      <c r="J1044" s="750"/>
    </row>
    <row r="1045" spans="1:10" x14ac:dyDescent="0.35">
      <c r="A1045" s="92"/>
      <c r="F1045" s="726"/>
      <c r="G1045" s="735"/>
      <c r="H1045" s="93"/>
      <c r="I1045" s="750"/>
      <c r="J1045" s="750"/>
    </row>
    <row r="1046" spans="1:10" x14ac:dyDescent="0.35">
      <c r="A1046" s="92"/>
      <c r="F1046" s="726"/>
      <c r="G1046" s="735"/>
      <c r="H1046" s="93"/>
      <c r="I1046" s="750"/>
      <c r="J1046" s="750"/>
    </row>
    <row r="1047" spans="1:10" x14ac:dyDescent="0.35">
      <c r="A1047" s="92"/>
      <c r="F1047" s="726"/>
      <c r="G1047" s="735"/>
      <c r="H1047" s="93"/>
      <c r="I1047" s="750"/>
      <c r="J1047" s="750"/>
    </row>
    <row r="1048" spans="1:10" x14ac:dyDescent="0.35">
      <c r="A1048" s="92"/>
      <c r="F1048" s="726"/>
      <c r="G1048" s="735"/>
      <c r="H1048" s="93"/>
      <c r="I1048" s="750"/>
      <c r="J1048" s="750"/>
    </row>
    <row r="1049" spans="1:10" x14ac:dyDescent="0.35">
      <c r="A1049" s="92"/>
      <c r="F1049" s="726"/>
      <c r="G1049" s="735"/>
      <c r="H1049" s="93"/>
      <c r="I1049" s="750"/>
      <c r="J1049" s="750"/>
    </row>
    <row r="1050" spans="1:10" x14ac:dyDescent="0.35">
      <c r="A1050" s="92"/>
      <c r="F1050" s="726"/>
      <c r="G1050" s="735"/>
      <c r="H1050" s="93"/>
      <c r="I1050" s="750"/>
      <c r="J1050" s="750"/>
    </row>
    <row r="1051" spans="1:10" x14ac:dyDescent="0.35">
      <c r="A1051" s="92"/>
      <c r="F1051" s="726"/>
      <c r="G1051" s="735"/>
      <c r="H1051" s="93"/>
      <c r="I1051" s="750"/>
      <c r="J1051" s="750"/>
    </row>
    <row r="1052" spans="1:10" x14ac:dyDescent="0.35">
      <c r="A1052" s="92"/>
      <c r="F1052" s="726"/>
      <c r="G1052" s="735"/>
      <c r="H1052" s="93"/>
      <c r="I1052" s="750"/>
      <c r="J1052" s="750"/>
    </row>
    <row r="1053" spans="1:10" x14ac:dyDescent="0.35">
      <c r="A1053" s="92"/>
      <c r="F1053" s="726"/>
      <c r="G1053" s="735"/>
      <c r="H1053" s="93"/>
      <c r="I1053" s="750"/>
      <c r="J1053" s="750"/>
    </row>
    <row r="1054" spans="1:10" x14ac:dyDescent="0.35">
      <c r="A1054" s="92"/>
      <c r="F1054" s="726"/>
      <c r="G1054" s="735"/>
      <c r="H1054" s="93"/>
      <c r="I1054" s="750"/>
      <c r="J1054" s="750"/>
    </row>
    <row r="1055" spans="1:10" x14ac:dyDescent="0.35">
      <c r="A1055" s="92"/>
      <c r="F1055" s="726"/>
      <c r="G1055" s="735"/>
      <c r="H1055" s="93"/>
      <c r="I1055" s="750"/>
      <c r="J1055" s="750"/>
    </row>
    <row r="1056" spans="1:10" x14ac:dyDescent="0.35">
      <c r="A1056" s="92"/>
      <c r="F1056" s="726"/>
      <c r="G1056" s="735"/>
      <c r="H1056" s="93"/>
      <c r="I1056" s="750"/>
      <c r="J1056" s="750"/>
    </row>
    <row r="1057" spans="1:10" x14ac:dyDescent="0.35">
      <c r="A1057" s="92"/>
      <c r="F1057" s="726"/>
      <c r="G1057" s="735"/>
      <c r="H1057" s="93"/>
      <c r="I1057" s="750"/>
      <c r="J1057" s="750"/>
    </row>
    <row r="1058" spans="1:10" x14ac:dyDescent="0.35">
      <c r="A1058" s="92"/>
      <c r="F1058" s="726"/>
      <c r="G1058" s="735"/>
      <c r="H1058" s="93"/>
      <c r="I1058" s="750"/>
      <c r="J1058" s="750"/>
    </row>
    <row r="1059" spans="1:10" x14ac:dyDescent="0.35">
      <c r="A1059" s="92"/>
      <c r="F1059" s="726"/>
      <c r="G1059" s="735"/>
      <c r="H1059" s="93"/>
      <c r="I1059" s="750"/>
      <c r="J1059" s="750"/>
    </row>
    <row r="1060" spans="1:10" x14ac:dyDescent="0.35">
      <c r="A1060" s="92"/>
      <c r="F1060" s="726"/>
      <c r="G1060" s="735"/>
      <c r="H1060" s="93"/>
      <c r="I1060" s="750"/>
      <c r="J1060" s="750"/>
    </row>
    <row r="1061" spans="1:10" x14ac:dyDescent="0.35">
      <c r="A1061" s="92"/>
      <c r="F1061" s="726"/>
      <c r="G1061" s="735"/>
      <c r="H1061" s="93"/>
      <c r="I1061" s="750"/>
      <c r="J1061" s="750"/>
    </row>
    <row r="1062" spans="1:10" x14ac:dyDescent="0.35">
      <c r="A1062" s="92"/>
      <c r="F1062" s="726"/>
      <c r="G1062" s="735"/>
      <c r="H1062" s="93"/>
      <c r="I1062" s="750"/>
      <c r="J1062" s="750"/>
    </row>
    <row r="1063" spans="1:10" x14ac:dyDescent="0.35">
      <c r="A1063" s="92"/>
      <c r="F1063" s="726"/>
      <c r="G1063" s="735"/>
      <c r="H1063" s="93"/>
      <c r="I1063" s="750"/>
      <c r="J1063" s="750"/>
    </row>
    <row r="1064" spans="1:10" x14ac:dyDescent="0.35">
      <c r="A1064" s="92"/>
      <c r="F1064" s="726"/>
      <c r="G1064" s="735"/>
      <c r="H1064" s="93"/>
      <c r="I1064" s="750"/>
      <c r="J1064" s="750"/>
    </row>
    <row r="1065" spans="1:10" x14ac:dyDescent="0.35">
      <c r="A1065" s="92"/>
      <c r="F1065" s="726"/>
      <c r="G1065" s="735"/>
      <c r="H1065" s="93"/>
      <c r="I1065" s="750"/>
      <c r="J1065" s="750"/>
    </row>
    <row r="1066" spans="1:10" x14ac:dyDescent="0.35">
      <c r="A1066" s="92"/>
      <c r="F1066" s="726"/>
      <c r="G1066" s="735"/>
      <c r="H1066" s="93"/>
      <c r="I1066" s="750"/>
      <c r="J1066" s="750"/>
    </row>
    <row r="1067" spans="1:10" x14ac:dyDescent="0.35">
      <c r="A1067" s="92"/>
      <c r="F1067" s="726"/>
      <c r="G1067" s="735"/>
      <c r="H1067" s="93"/>
      <c r="I1067" s="750"/>
      <c r="J1067" s="750"/>
    </row>
    <row r="1068" spans="1:10" x14ac:dyDescent="0.35">
      <c r="A1068" s="92"/>
      <c r="F1068" s="726"/>
      <c r="G1068" s="735"/>
      <c r="H1068" s="93"/>
      <c r="I1068" s="750"/>
      <c r="J1068" s="750"/>
    </row>
    <row r="1069" spans="1:10" x14ac:dyDescent="0.35">
      <c r="A1069" s="92"/>
      <c r="F1069" s="726"/>
      <c r="G1069" s="735"/>
      <c r="H1069" s="93"/>
      <c r="I1069" s="750"/>
      <c r="J1069" s="750"/>
    </row>
    <row r="1070" spans="1:10" x14ac:dyDescent="0.35">
      <c r="A1070" s="92"/>
      <c r="F1070" s="726"/>
      <c r="G1070" s="735"/>
      <c r="H1070" s="93"/>
      <c r="I1070" s="750"/>
      <c r="J1070" s="750"/>
    </row>
    <row r="1071" spans="1:10" x14ac:dyDescent="0.35">
      <c r="A1071" s="92"/>
      <c r="F1071" s="726"/>
      <c r="G1071" s="735"/>
      <c r="H1071" s="93"/>
      <c r="I1071" s="750"/>
      <c r="J1071" s="750"/>
    </row>
    <row r="1072" spans="1:10" x14ac:dyDescent="0.35">
      <c r="A1072" s="92"/>
      <c r="F1072" s="726"/>
      <c r="G1072" s="735"/>
      <c r="H1072" s="93"/>
      <c r="I1072" s="750"/>
      <c r="J1072" s="750"/>
    </row>
    <row r="1073" spans="1:10" x14ac:dyDescent="0.35">
      <c r="A1073" s="92"/>
      <c r="F1073" s="726"/>
      <c r="G1073" s="735"/>
      <c r="H1073" s="93"/>
      <c r="I1073" s="750"/>
      <c r="J1073" s="750"/>
    </row>
    <row r="1074" spans="1:10" x14ac:dyDescent="0.35">
      <c r="A1074" s="92"/>
      <c r="F1074" s="726"/>
      <c r="G1074" s="735"/>
      <c r="H1074" s="93"/>
      <c r="I1074" s="750"/>
      <c r="J1074" s="750"/>
    </row>
    <row r="1075" spans="1:10" x14ac:dyDescent="0.35">
      <c r="A1075" s="92"/>
      <c r="F1075" s="726"/>
      <c r="G1075" s="735"/>
      <c r="H1075" s="93"/>
      <c r="I1075" s="750"/>
      <c r="J1075" s="750"/>
    </row>
    <row r="1076" spans="1:10" x14ac:dyDescent="0.35">
      <c r="A1076" s="92"/>
      <c r="F1076" s="726"/>
      <c r="G1076" s="735"/>
      <c r="H1076" s="93"/>
      <c r="I1076" s="750"/>
      <c r="J1076" s="750"/>
    </row>
    <row r="1077" spans="1:10" x14ac:dyDescent="0.35">
      <c r="A1077" s="92"/>
      <c r="F1077" s="726"/>
      <c r="G1077" s="735"/>
      <c r="H1077" s="93"/>
      <c r="I1077" s="750"/>
      <c r="J1077" s="750"/>
    </row>
    <row r="1078" spans="1:10" x14ac:dyDescent="0.35">
      <c r="A1078" s="92"/>
      <c r="F1078" s="726"/>
      <c r="G1078" s="735"/>
      <c r="H1078" s="93"/>
      <c r="I1078" s="750"/>
      <c r="J1078" s="750"/>
    </row>
    <row r="1079" spans="1:10" x14ac:dyDescent="0.35">
      <c r="A1079" s="92"/>
      <c r="F1079" s="726"/>
      <c r="G1079" s="735"/>
      <c r="H1079" s="93"/>
      <c r="I1079" s="750"/>
      <c r="J1079" s="750"/>
    </row>
    <row r="1080" spans="1:10" x14ac:dyDescent="0.35">
      <c r="A1080" s="92"/>
      <c r="F1080" s="726"/>
      <c r="G1080" s="735"/>
      <c r="H1080" s="93"/>
      <c r="I1080" s="750"/>
      <c r="J1080" s="750"/>
    </row>
    <row r="1081" spans="1:10" x14ac:dyDescent="0.35">
      <c r="A1081" s="92"/>
      <c r="F1081" s="726"/>
      <c r="G1081" s="735"/>
      <c r="H1081" s="93"/>
      <c r="I1081" s="750"/>
      <c r="J1081" s="750"/>
    </row>
    <row r="1082" spans="1:10" x14ac:dyDescent="0.35">
      <c r="A1082" s="92"/>
      <c r="F1082" s="726"/>
      <c r="G1082" s="735"/>
      <c r="H1082" s="93"/>
      <c r="I1082" s="750"/>
      <c r="J1082" s="750"/>
    </row>
    <row r="1083" spans="1:10" x14ac:dyDescent="0.35">
      <c r="A1083" s="92"/>
      <c r="F1083" s="726"/>
      <c r="G1083" s="735"/>
      <c r="H1083" s="93"/>
      <c r="I1083" s="750"/>
      <c r="J1083" s="750"/>
    </row>
    <row r="1084" spans="1:10" x14ac:dyDescent="0.35">
      <c r="A1084" s="92"/>
      <c r="F1084" s="726"/>
      <c r="G1084" s="735"/>
      <c r="H1084" s="93"/>
      <c r="I1084" s="750"/>
      <c r="J1084" s="750"/>
    </row>
    <row r="1085" spans="1:10" x14ac:dyDescent="0.35">
      <c r="A1085" s="92"/>
      <c r="F1085" s="726"/>
      <c r="G1085" s="735"/>
      <c r="H1085" s="93"/>
      <c r="I1085" s="750"/>
      <c r="J1085" s="750"/>
    </row>
    <row r="1086" spans="1:10" x14ac:dyDescent="0.35">
      <c r="A1086" s="92"/>
      <c r="F1086" s="726"/>
      <c r="G1086" s="735"/>
      <c r="H1086" s="93"/>
      <c r="I1086" s="750"/>
      <c r="J1086" s="750"/>
    </row>
    <row r="1087" spans="1:10" x14ac:dyDescent="0.35">
      <c r="A1087" s="92"/>
      <c r="F1087" s="726"/>
      <c r="G1087" s="735"/>
      <c r="H1087" s="93"/>
      <c r="I1087" s="750"/>
      <c r="J1087" s="750"/>
    </row>
    <row r="1088" spans="1:10" x14ac:dyDescent="0.35">
      <c r="A1088" s="92"/>
      <c r="F1088" s="726"/>
      <c r="G1088" s="735"/>
      <c r="H1088" s="93"/>
      <c r="I1088" s="750"/>
      <c r="J1088" s="750"/>
    </row>
    <row r="1089" spans="1:10" x14ac:dyDescent="0.35">
      <c r="A1089" s="92"/>
      <c r="F1089" s="726"/>
      <c r="G1089" s="735"/>
      <c r="H1089" s="93"/>
      <c r="I1089" s="750"/>
      <c r="J1089" s="750"/>
    </row>
    <row r="1090" spans="1:10" x14ac:dyDescent="0.35">
      <c r="A1090" s="92"/>
      <c r="F1090" s="726"/>
      <c r="G1090" s="735"/>
      <c r="H1090" s="93"/>
      <c r="I1090" s="750"/>
      <c r="J1090" s="750"/>
    </row>
    <row r="1091" spans="1:10" x14ac:dyDescent="0.35">
      <c r="A1091" s="92"/>
      <c r="F1091" s="726"/>
      <c r="G1091" s="735"/>
      <c r="H1091" s="93"/>
      <c r="I1091" s="750"/>
      <c r="J1091" s="750"/>
    </row>
    <row r="1092" spans="1:10" x14ac:dyDescent="0.35">
      <c r="A1092" s="92"/>
      <c r="F1092" s="726"/>
      <c r="G1092" s="735"/>
      <c r="H1092" s="93"/>
      <c r="I1092" s="750"/>
      <c r="J1092" s="750"/>
    </row>
    <row r="1093" spans="1:10" x14ac:dyDescent="0.35">
      <c r="A1093" s="92"/>
      <c r="F1093" s="726"/>
      <c r="G1093" s="735"/>
      <c r="H1093" s="93"/>
      <c r="I1093" s="750"/>
      <c r="J1093" s="750"/>
    </row>
    <row r="1094" spans="1:10" x14ac:dyDescent="0.35">
      <c r="A1094" s="92"/>
      <c r="F1094" s="726"/>
      <c r="G1094" s="735"/>
      <c r="H1094" s="93"/>
      <c r="I1094" s="750"/>
      <c r="J1094" s="750"/>
    </row>
    <row r="1095" spans="1:10" x14ac:dyDescent="0.35">
      <c r="A1095" s="92"/>
      <c r="F1095" s="726"/>
      <c r="G1095" s="735"/>
      <c r="H1095" s="93"/>
      <c r="I1095" s="750"/>
      <c r="J1095" s="750"/>
    </row>
    <row r="1096" spans="1:10" x14ac:dyDescent="0.35">
      <c r="A1096" s="92"/>
      <c r="F1096" s="726"/>
      <c r="G1096" s="735"/>
      <c r="H1096" s="93"/>
      <c r="I1096" s="750"/>
      <c r="J1096" s="750"/>
    </row>
    <row r="1097" spans="1:10" x14ac:dyDescent="0.35">
      <c r="A1097" s="92"/>
      <c r="F1097" s="726"/>
      <c r="G1097" s="735"/>
      <c r="H1097" s="93"/>
      <c r="I1097" s="750"/>
      <c r="J1097" s="750"/>
    </row>
    <row r="1098" spans="1:10" x14ac:dyDescent="0.35">
      <c r="A1098" s="92"/>
      <c r="F1098" s="726"/>
      <c r="G1098" s="735"/>
      <c r="H1098" s="93"/>
      <c r="I1098" s="750"/>
      <c r="J1098" s="750"/>
    </row>
    <row r="1099" spans="1:10" x14ac:dyDescent="0.35">
      <c r="A1099" s="92"/>
      <c r="F1099" s="726"/>
      <c r="G1099" s="735"/>
      <c r="H1099" s="93"/>
      <c r="I1099" s="750"/>
      <c r="J1099" s="750"/>
    </row>
    <row r="1100" spans="1:10" x14ac:dyDescent="0.35">
      <c r="A1100" s="92"/>
      <c r="F1100" s="726"/>
      <c r="G1100" s="735"/>
      <c r="H1100" s="93"/>
      <c r="I1100" s="750"/>
      <c r="J1100" s="750"/>
    </row>
    <row r="1101" spans="1:10" x14ac:dyDescent="0.35">
      <c r="A1101" s="92"/>
      <c r="F1101" s="726"/>
      <c r="G1101" s="735"/>
      <c r="H1101" s="93"/>
      <c r="I1101" s="750"/>
      <c r="J1101" s="750"/>
    </row>
    <row r="1102" spans="1:10" x14ac:dyDescent="0.35">
      <c r="A1102" s="92"/>
      <c r="F1102" s="726"/>
      <c r="G1102" s="735"/>
      <c r="H1102" s="93"/>
      <c r="I1102" s="750"/>
      <c r="J1102" s="750"/>
    </row>
    <row r="1103" spans="1:10" x14ac:dyDescent="0.35">
      <c r="A1103" s="92"/>
      <c r="F1103" s="726"/>
      <c r="G1103" s="735"/>
      <c r="H1103" s="93"/>
      <c r="I1103" s="750"/>
      <c r="J1103" s="750"/>
    </row>
    <row r="1104" spans="1:10" x14ac:dyDescent="0.35">
      <c r="A1104" s="92"/>
      <c r="F1104" s="726"/>
      <c r="G1104" s="735"/>
      <c r="H1104" s="93"/>
      <c r="I1104" s="750"/>
      <c r="J1104" s="750"/>
    </row>
    <row r="1105" spans="1:10" x14ac:dyDescent="0.35">
      <c r="A1105" s="92"/>
      <c r="F1105" s="726"/>
      <c r="G1105" s="735"/>
      <c r="H1105" s="93"/>
      <c r="I1105" s="750"/>
      <c r="J1105" s="750"/>
    </row>
    <row r="1106" spans="1:10" x14ac:dyDescent="0.35">
      <c r="A1106" s="92"/>
      <c r="F1106" s="726"/>
      <c r="G1106" s="735"/>
      <c r="H1106" s="93"/>
      <c r="I1106" s="750"/>
      <c r="J1106" s="750"/>
    </row>
    <row r="1107" spans="1:10" x14ac:dyDescent="0.35">
      <c r="A1107" s="92"/>
      <c r="F1107" s="726"/>
      <c r="G1107" s="735"/>
      <c r="H1107" s="93"/>
      <c r="I1107" s="750"/>
      <c r="J1107" s="750"/>
    </row>
    <row r="1108" spans="1:10" x14ac:dyDescent="0.35">
      <c r="A1108" s="92"/>
      <c r="F1108" s="726"/>
      <c r="G1108" s="735"/>
      <c r="H1108" s="93"/>
      <c r="I1108" s="750"/>
      <c r="J1108" s="750"/>
    </row>
    <row r="1109" spans="1:10" x14ac:dyDescent="0.35">
      <c r="A1109" s="92"/>
      <c r="F1109" s="726"/>
      <c r="G1109" s="735"/>
      <c r="H1109" s="93"/>
      <c r="I1109" s="750"/>
      <c r="J1109" s="750"/>
    </row>
    <row r="1110" spans="1:10" x14ac:dyDescent="0.35">
      <c r="A1110" s="92"/>
      <c r="F1110" s="726"/>
      <c r="G1110" s="735"/>
      <c r="H1110" s="93"/>
      <c r="I1110" s="750"/>
      <c r="J1110" s="750"/>
    </row>
    <row r="1111" spans="1:10" x14ac:dyDescent="0.35">
      <c r="A1111" s="92"/>
      <c r="F1111" s="726"/>
      <c r="G1111" s="735"/>
      <c r="H1111" s="93"/>
      <c r="I1111" s="750"/>
      <c r="J1111" s="750"/>
    </row>
    <row r="1112" spans="1:10" x14ac:dyDescent="0.35">
      <c r="A1112" s="92"/>
      <c r="F1112" s="726"/>
      <c r="G1112" s="735"/>
      <c r="H1112" s="93"/>
      <c r="I1112" s="750"/>
      <c r="J1112" s="750"/>
    </row>
    <row r="1113" spans="1:10" x14ac:dyDescent="0.35">
      <c r="A1113" s="92"/>
      <c r="F1113" s="726"/>
      <c r="G1113" s="735"/>
      <c r="H1113" s="93"/>
      <c r="I1113" s="750"/>
      <c r="J1113" s="750"/>
    </row>
    <row r="1114" spans="1:10" x14ac:dyDescent="0.35">
      <c r="A1114" s="92"/>
      <c r="F1114" s="726"/>
      <c r="G1114" s="735"/>
      <c r="H1114" s="93"/>
      <c r="I1114" s="750"/>
      <c r="J1114" s="750"/>
    </row>
    <row r="1115" spans="1:10" x14ac:dyDescent="0.35">
      <c r="A1115" s="92"/>
      <c r="F1115" s="726"/>
      <c r="G1115" s="735"/>
      <c r="H1115" s="93"/>
      <c r="I1115" s="750"/>
      <c r="J1115" s="750"/>
    </row>
    <row r="1116" spans="1:10" x14ac:dyDescent="0.35">
      <c r="A1116" s="92"/>
      <c r="F1116" s="726"/>
      <c r="G1116" s="735"/>
      <c r="H1116" s="93"/>
      <c r="I1116" s="750"/>
      <c r="J1116" s="750"/>
    </row>
    <row r="1117" spans="1:10" x14ac:dyDescent="0.35">
      <c r="A1117" s="92"/>
      <c r="F1117" s="726"/>
      <c r="G1117" s="735"/>
      <c r="H1117" s="93"/>
      <c r="I1117" s="750"/>
      <c r="J1117" s="750"/>
    </row>
    <row r="1118" spans="1:10" x14ac:dyDescent="0.35">
      <c r="A1118" s="92"/>
      <c r="F1118" s="726"/>
      <c r="G1118" s="735"/>
      <c r="H1118" s="93"/>
      <c r="I1118" s="750"/>
      <c r="J1118" s="750"/>
    </row>
    <row r="1119" spans="1:10" x14ac:dyDescent="0.35">
      <c r="A1119" s="92"/>
      <c r="F1119" s="726"/>
      <c r="G1119" s="735"/>
      <c r="H1119" s="93"/>
      <c r="I1119" s="750"/>
      <c r="J1119" s="750"/>
    </row>
    <row r="1120" spans="1:10" x14ac:dyDescent="0.35">
      <c r="A1120" s="92"/>
      <c r="F1120" s="726"/>
      <c r="G1120" s="735"/>
      <c r="H1120" s="93"/>
      <c r="I1120" s="750"/>
      <c r="J1120" s="750"/>
    </row>
    <row r="1121" spans="1:10" x14ac:dyDescent="0.35">
      <c r="A1121" s="92"/>
      <c r="F1121" s="726"/>
      <c r="G1121" s="735"/>
      <c r="H1121" s="93"/>
      <c r="I1121" s="750"/>
      <c r="J1121" s="750"/>
    </row>
    <row r="1122" spans="1:10" x14ac:dyDescent="0.35">
      <c r="A1122" s="92"/>
      <c r="F1122" s="726"/>
      <c r="G1122" s="735"/>
      <c r="H1122" s="93"/>
      <c r="I1122" s="750"/>
      <c r="J1122" s="750"/>
    </row>
    <row r="1123" spans="1:10" x14ac:dyDescent="0.35">
      <c r="A1123" s="92"/>
      <c r="F1123" s="726"/>
      <c r="G1123" s="735"/>
      <c r="H1123" s="93"/>
      <c r="I1123" s="750"/>
      <c r="J1123" s="750"/>
    </row>
    <row r="1124" spans="1:10" x14ac:dyDescent="0.35">
      <c r="A1124" s="92"/>
      <c r="F1124" s="726"/>
      <c r="G1124" s="735"/>
      <c r="H1124" s="93"/>
      <c r="I1124" s="750"/>
      <c r="J1124" s="750"/>
    </row>
    <row r="1125" spans="1:10" x14ac:dyDescent="0.35">
      <c r="A1125" s="92"/>
      <c r="F1125" s="726"/>
      <c r="G1125" s="735"/>
      <c r="H1125" s="93"/>
      <c r="I1125" s="750"/>
      <c r="J1125" s="750"/>
    </row>
    <row r="1126" spans="1:10" x14ac:dyDescent="0.35">
      <c r="A1126" s="92"/>
      <c r="F1126" s="726"/>
      <c r="G1126" s="735"/>
      <c r="H1126" s="93"/>
      <c r="I1126" s="750"/>
      <c r="J1126" s="750"/>
    </row>
    <row r="1127" spans="1:10" x14ac:dyDescent="0.35">
      <c r="A1127" s="92"/>
      <c r="F1127" s="726"/>
      <c r="G1127" s="735"/>
      <c r="H1127" s="93"/>
      <c r="I1127" s="750"/>
      <c r="J1127" s="750"/>
    </row>
    <row r="1128" spans="1:10" x14ac:dyDescent="0.35">
      <c r="A1128" s="92"/>
      <c r="F1128" s="726"/>
      <c r="G1128" s="735"/>
      <c r="H1128" s="93"/>
      <c r="I1128" s="750"/>
      <c r="J1128" s="750"/>
    </row>
    <row r="1129" spans="1:10" x14ac:dyDescent="0.35">
      <c r="A1129" s="92"/>
      <c r="F1129" s="726"/>
      <c r="G1129" s="735"/>
      <c r="H1129" s="93"/>
      <c r="I1129" s="750"/>
      <c r="J1129" s="750"/>
    </row>
    <row r="1130" spans="1:10" x14ac:dyDescent="0.35">
      <c r="A1130" s="92"/>
      <c r="F1130" s="726"/>
      <c r="G1130" s="735"/>
      <c r="H1130" s="93"/>
      <c r="I1130" s="750"/>
      <c r="J1130" s="750"/>
    </row>
    <row r="1131" spans="1:10" x14ac:dyDescent="0.35">
      <c r="A1131" s="92"/>
      <c r="F1131" s="726"/>
      <c r="G1131" s="735"/>
      <c r="H1131" s="93"/>
      <c r="I1131" s="750"/>
      <c r="J1131" s="750"/>
    </row>
    <row r="1132" spans="1:10" x14ac:dyDescent="0.35">
      <c r="A1132" s="92"/>
      <c r="F1132" s="726"/>
      <c r="G1132" s="735"/>
      <c r="H1132" s="93"/>
      <c r="I1132" s="750"/>
      <c r="J1132" s="750"/>
    </row>
    <row r="1133" spans="1:10" x14ac:dyDescent="0.35">
      <c r="A1133" s="92"/>
      <c r="F1133" s="726"/>
      <c r="G1133" s="735"/>
      <c r="H1133" s="93"/>
      <c r="I1133" s="750"/>
      <c r="J1133" s="750"/>
    </row>
    <row r="1134" spans="1:10" x14ac:dyDescent="0.35">
      <c r="A1134" s="92"/>
      <c r="F1134" s="726"/>
      <c r="G1134" s="735"/>
      <c r="H1134" s="93"/>
      <c r="I1134" s="750"/>
      <c r="J1134" s="750"/>
    </row>
    <row r="1135" spans="1:10" x14ac:dyDescent="0.35">
      <c r="A1135" s="92"/>
      <c r="F1135" s="726"/>
      <c r="G1135" s="735"/>
      <c r="H1135" s="93"/>
      <c r="I1135" s="750"/>
      <c r="J1135" s="750"/>
    </row>
    <row r="1136" spans="1:10" x14ac:dyDescent="0.35">
      <c r="A1136" s="92"/>
      <c r="F1136" s="726"/>
      <c r="G1136" s="735"/>
      <c r="H1136" s="93"/>
      <c r="I1136" s="750"/>
      <c r="J1136" s="750"/>
    </row>
    <row r="1137" spans="1:10" x14ac:dyDescent="0.35">
      <c r="A1137" s="92"/>
      <c r="F1137" s="726"/>
      <c r="G1137" s="735"/>
      <c r="H1137" s="93"/>
      <c r="I1137" s="750"/>
      <c r="J1137" s="750"/>
    </row>
    <row r="1138" spans="1:10" x14ac:dyDescent="0.35">
      <c r="A1138" s="92"/>
      <c r="F1138" s="726"/>
      <c r="G1138" s="735"/>
      <c r="H1138" s="93"/>
      <c r="I1138" s="750"/>
      <c r="J1138" s="750"/>
    </row>
    <row r="1139" spans="1:10" x14ac:dyDescent="0.35">
      <c r="A1139" s="92"/>
      <c r="F1139" s="726"/>
      <c r="G1139" s="735"/>
      <c r="H1139" s="93"/>
      <c r="I1139" s="750"/>
      <c r="J1139" s="750"/>
    </row>
    <row r="1140" spans="1:10" x14ac:dyDescent="0.35">
      <c r="A1140" s="92"/>
      <c r="F1140" s="726"/>
      <c r="G1140" s="735"/>
      <c r="H1140" s="93"/>
      <c r="I1140" s="750"/>
      <c r="J1140" s="750"/>
    </row>
    <row r="1141" spans="1:10" x14ac:dyDescent="0.35">
      <c r="A1141" s="92"/>
      <c r="F1141" s="726"/>
      <c r="G1141" s="735"/>
      <c r="H1141" s="93"/>
      <c r="I1141" s="750"/>
      <c r="J1141" s="750"/>
    </row>
    <row r="1142" spans="1:10" x14ac:dyDescent="0.35">
      <c r="A1142" s="92"/>
      <c r="F1142" s="726"/>
      <c r="G1142" s="735"/>
      <c r="H1142" s="93"/>
      <c r="I1142" s="750"/>
      <c r="J1142" s="750"/>
    </row>
    <row r="1143" spans="1:10" x14ac:dyDescent="0.35">
      <c r="A1143" s="92"/>
      <c r="F1143" s="726"/>
      <c r="G1143" s="735"/>
      <c r="H1143" s="93"/>
      <c r="I1143" s="750"/>
      <c r="J1143" s="750"/>
    </row>
    <row r="1144" spans="1:10" x14ac:dyDescent="0.35">
      <c r="A1144" s="92"/>
      <c r="F1144" s="726"/>
      <c r="G1144" s="735"/>
      <c r="H1144" s="93"/>
      <c r="I1144" s="750"/>
      <c r="J1144" s="750"/>
    </row>
    <row r="1145" spans="1:10" x14ac:dyDescent="0.35">
      <c r="A1145" s="92"/>
      <c r="F1145" s="726"/>
      <c r="G1145" s="735"/>
      <c r="H1145" s="93"/>
      <c r="I1145" s="750"/>
      <c r="J1145" s="750"/>
    </row>
    <row r="1146" spans="1:10" x14ac:dyDescent="0.35">
      <c r="A1146" s="92"/>
      <c r="F1146" s="726"/>
      <c r="G1146" s="735"/>
      <c r="H1146" s="93"/>
      <c r="I1146" s="750"/>
      <c r="J1146" s="750"/>
    </row>
    <row r="1147" spans="1:10" x14ac:dyDescent="0.35">
      <c r="A1147" s="92"/>
      <c r="F1147" s="726"/>
      <c r="G1147" s="735"/>
      <c r="H1147" s="93"/>
      <c r="I1147" s="750"/>
      <c r="J1147" s="750"/>
    </row>
    <row r="1148" spans="1:10" x14ac:dyDescent="0.35">
      <c r="A1148" s="92"/>
      <c r="F1148" s="726"/>
      <c r="G1148" s="735"/>
      <c r="H1148" s="93"/>
      <c r="I1148" s="750"/>
      <c r="J1148" s="750"/>
    </row>
    <row r="1149" spans="1:10" x14ac:dyDescent="0.35">
      <c r="A1149" s="92"/>
      <c r="F1149" s="726"/>
      <c r="G1149" s="735"/>
      <c r="H1149" s="93"/>
      <c r="I1149" s="750"/>
      <c r="J1149" s="750"/>
    </row>
    <row r="1150" spans="1:10" x14ac:dyDescent="0.35">
      <c r="A1150" s="92"/>
      <c r="F1150" s="726"/>
      <c r="G1150" s="735"/>
      <c r="H1150" s="93"/>
      <c r="I1150" s="750"/>
      <c r="J1150" s="750"/>
    </row>
    <row r="1151" spans="1:10" x14ac:dyDescent="0.35">
      <c r="A1151" s="92"/>
      <c r="F1151" s="726"/>
      <c r="G1151" s="735"/>
      <c r="H1151" s="93"/>
      <c r="I1151" s="750"/>
      <c r="J1151" s="750"/>
    </row>
    <row r="1152" spans="1:10" x14ac:dyDescent="0.35">
      <c r="A1152" s="92"/>
      <c r="F1152" s="726"/>
      <c r="G1152" s="735"/>
      <c r="H1152" s="93"/>
      <c r="I1152" s="750"/>
      <c r="J1152" s="750"/>
    </row>
    <row r="1153" spans="1:10" x14ac:dyDescent="0.35">
      <c r="A1153" s="92"/>
      <c r="F1153" s="726"/>
      <c r="G1153" s="735"/>
      <c r="H1153" s="93"/>
      <c r="I1153" s="750"/>
      <c r="J1153" s="750"/>
    </row>
    <row r="1154" spans="1:10" x14ac:dyDescent="0.35">
      <c r="A1154" s="92"/>
      <c r="F1154" s="726"/>
      <c r="G1154" s="735"/>
      <c r="H1154" s="93"/>
      <c r="I1154" s="750"/>
      <c r="J1154" s="750"/>
    </row>
    <row r="1155" spans="1:10" x14ac:dyDescent="0.35">
      <c r="A1155" s="92"/>
      <c r="F1155" s="726"/>
      <c r="G1155" s="735"/>
      <c r="H1155" s="93"/>
      <c r="I1155" s="750"/>
      <c r="J1155" s="750"/>
    </row>
    <row r="1156" spans="1:10" x14ac:dyDescent="0.35">
      <c r="A1156" s="92"/>
      <c r="F1156" s="726"/>
      <c r="G1156" s="735"/>
      <c r="H1156" s="93"/>
      <c r="I1156" s="750"/>
      <c r="J1156" s="750"/>
    </row>
    <row r="1157" spans="1:10" x14ac:dyDescent="0.35">
      <c r="A1157" s="92"/>
      <c r="F1157" s="726"/>
      <c r="G1157" s="735"/>
      <c r="H1157" s="93"/>
      <c r="I1157" s="750"/>
      <c r="J1157" s="750"/>
    </row>
    <row r="1158" spans="1:10" x14ac:dyDescent="0.35">
      <c r="A1158" s="92"/>
      <c r="F1158" s="726"/>
      <c r="G1158" s="735"/>
      <c r="H1158" s="93"/>
      <c r="I1158" s="750"/>
      <c r="J1158" s="750"/>
    </row>
    <row r="1159" spans="1:10" x14ac:dyDescent="0.35">
      <c r="A1159" s="92"/>
      <c r="F1159" s="726"/>
      <c r="G1159" s="735"/>
      <c r="H1159" s="93"/>
      <c r="I1159" s="750"/>
      <c r="J1159" s="750"/>
    </row>
    <row r="1160" spans="1:10" x14ac:dyDescent="0.35">
      <c r="A1160" s="92"/>
      <c r="F1160" s="726"/>
      <c r="G1160" s="735"/>
      <c r="H1160" s="93"/>
      <c r="I1160" s="750"/>
      <c r="J1160" s="750"/>
    </row>
    <row r="1161" spans="1:10" x14ac:dyDescent="0.35">
      <c r="A1161" s="92"/>
      <c r="F1161" s="726"/>
      <c r="G1161" s="735"/>
      <c r="H1161" s="93"/>
      <c r="I1161" s="750"/>
      <c r="J1161" s="750"/>
    </row>
    <row r="1162" spans="1:10" x14ac:dyDescent="0.35">
      <c r="A1162" s="92"/>
      <c r="F1162" s="726"/>
      <c r="G1162" s="735"/>
      <c r="H1162" s="93"/>
      <c r="I1162" s="750"/>
      <c r="J1162" s="750"/>
    </row>
    <row r="1163" spans="1:10" x14ac:dyDescent="0.35">
      <c r="A1163" s="92"/>
      <c r="F1163" s="726"/>
      <c r="G1163" s="735"/>
      <c r="H1163" s="93"/>
      <c r="I1163" s="750"/>
      <c r="J1163" s="750"/>
    </row>
    <row r="1164" spans="1:10" x14ac:dyDescent="0.35">
      <c r="A1164" s="92"/>
      <c r="F1164" s="726"/>
      <c r="G1164" s="735"/>
      <c r="H1164" s="93"/>
      <c r="I1164" s="750"/>
      <c r="J1164" s="750"/>
    </row>
    <row r="1165" spans="1:10" x14ac:dyDescent="0.35">
      <c r="A1165" s="92"/>
      <c r="F1165" s="726"/>
      <c r="G1165" s="735"/>
      <c r="H1165" s="93"/>
      <c r="I1165" s="750"/>
      <c r="J1165" s="750"/>
    </row>
    <row r="1166" spans="1:10" x14ac:dyDescent="0.35">
      <c r="A1166" s="92"/>
      <c r="F1166" s="726"/>
      <c r="G1166" s="735"/>
      <c r="H1166" s="93"/>
      <c r="I1166" s="750"/>
      <c r="J1166" s="750"/>
    </row>
    <row r="1167" spans="1:10" x14ac:dyDescent="0.35">
      <c r="A1167" s="92"/>
      <c r="F1167" s="726"/>
      <c r="G1167" s="735"/>
      <c r="H1167" s="93"/>
      <c r="I1167" s="750"/>
      <c r="J1167" s="750"/>
    </row>
    <row r="1168" spans="1:10" x14ac:dyDescent="0.35">
      <c r="A1168" s="92"/>
      <c r="F1168" s="726"/>
      <c r="G1168" s="735"/>
      <c r="H1168" s="93"/>
      <c r="I1168" s="750"/>
      <c r="J1168" s="750"/>
    </row>
    <row r="1169" spans="1:10" x14ac:dyDescent="0.35">
      <c r="A1169" s="92"/>
      <c r="F1169" s="726"/>
      <c r="G1169" s="735"/>
      <c r="H1169" s="93"/>
      <c r="I1169" s="750"/>
      <c r="J1169" s="750"/>
    </row>
    <row r="1170" spans="1:10" x14ac:dyDescent="0.35">
      <c r="A1170" s="92"/>
      <c r="F1170" s="726"/>
      <c r="G1170" s="735"/>
      <c r="H1170" s="93"/>
      <c r="I1170" s="750"/>
      <c r="J1170" s="750"/>
    </row>
    <row r="1171" spans="1:10" x14ac:dyDescent="0.35">
      <c r="A1171" s="92"/>
      <c r="F1171" s="726"/>
      <c r="G1171" s="735"/>
      <c r="H1171" s="93"/>
      <c r="I1171" s="750"/>
      <c r="J1171" s="750"/>
    </row>
    <row r="1172" spans="1:10" x14ac:dyDescent="0.35">
      <c r="A1172" s="92"/>
      <c r="F1172" s="726"/>
      <c r="G1172" s="735"/>
      <c r="H1172" s="93"/>
      <c r="I1172" s="750"/>
      <c r="J1172" s="750"/>
    </row>
    <row r="1173" spans="1:10" x14ac:dyDescent="0.35">
      <c r="A1173" s="92"/>
      <c r="F1173" s="726"/>
      <c r="G1173" s="735"/>
      <c r="H1173" s="93"/>
      <c r="I1173" s="750"/>
      <c r="J1173" s="750"/>
    </row>
    <row r="1174" spans="1:10" x14ac:dyDescent="0.35">
      <c r="A1174" s="92"/>
      <c r="F1174" s="726"/>
      <c r="G1174" s="735"/>
      <c r="H1174" s="93"/>
      <c r="I1174" s="750"/>
      <c r="J1174" s="750"/>
    </row>
    <row r="1175" spans="1:10" x14ac:dyDescent="0.35">
      <c r="A1175" s="92"/>
      <c r="F1175" s="726"/>
      <c r="G1175" s="735"/>
      <c r="H1175" s="93"/>
      <c r="I1175" s="750"/>
      <c r="J1175" s="750"/>
    </row>
    <row r="1176" spans="1:10" x14ac:dyDescent="0.35">
      <c r="A1176" s="92"/>
      <c r="F1176" s="726"/>
      <c r="G1176" s="735"/>
      <c r="H1176" s="93"/>
      <c r="I1176" s="750"/>
      <c r="J1176" s="750"/>
    </row>
    <row r="1177" spans="1:10" x14ac:dyDescent="0.35">
      <c r="A1177" s="92"/>
      <c r="F1177" s="726"/>
      <c r="G1177" s="735"/>
      <c r="H1177" s="93"/>
      <c r="I1177" s="750"/>
      <c r="J1177" s="750"/>
    </row>
    <row r="1178" spans="1:10" x14ac:dyDescent="0.35">
      <c r="A1178" s="92"/>
      <c r="F1178" s="726"/>
      <c r="G1178" s="735"/>
      <c r="H1178" s="93"/>
      <c r="I1178" s="750"/>
      <c r="J1178" s="750"/>
    </row>
    <row r="1179" spans="1:10" x14ac:dyDescent="0.35">
      <c r="A1179" s="92"/>
      <c r="F1179" s="726"/>
      <c r="G1179" s="735"/>
      <c r="H1179" s="93"/>
      <c r="I1179" s="750"/>
      <c r="J1179" s="750"/>
    </row>
    <row r="1180" spans="1:10" x14ac:dyDescent="0.35">
      <c r="A1180" s="92"/>
      <c r="F1180" s="726"/>
      <c r="G1180" s="735"/>
      <c r="H1180" s="93"/>
      <c r="I1180" s="750"/>
      <c r="J1180" s="750"/>
    </row>
    <row r="1181" spans="1:10" x14ac:dyDescent="0.35">
      <c r="A1181" s="92"/>
      <c r="F1181" s="726"/>
      <c r="G1181" s="735"/>
      <c r="H1181" s="93"/>
      <c r="I1181" s="750"/>
      <c r="J1181" s="750"/>
    </row>
    <row r="1182" spans="1:10" x14ac:dyDescent="0.35">
      <c r="A1182" s="92"/>
      <c r="F1182" s="726"/>
      <c r="G1182" s="735"/>
      <c r="H1182" s="93"/>
      <c r="I1182" s="750"/>
      <c r="J1182" s="750"/>
    </row>
    <row r="1183" spans="1:10" x14ac:dyDescent="0.35">
      <c r="A1183" s="92"/>
      <c r="F1183" s="726"/>
      <c r="G1183" s="735"/>
      <c r="H1183" s="93"/>
      <c r="I1183" s="750"/>
      <c r="J1183" s="750"/>
    </row>
    <row r="1184" spans="1:10" x14ac:dyDescent="0.35">
      <c r="A1184" s="92"/>
      <c r="F1184" s="726"/>
      <c r="G1184" s="735"/>
      <c r="H1184" s="93"/>
      <c r="I1184" s="750"/>
      <c r="J1184" s="750"/>
    </row>
    <row r="1185" spans="1:10" x14ac:dyDescent="0.35">
      <c r="A1185" s="92"/>
      <c r="F1185" s="726"/>
      <c r="G1185" s="735"/>
      <c r="H1185" s="93"/>
      <c r="I1185" s="750"/>
      <c r="J1185" s="750"/>
    </row>
    <row r="1186" spans="1:10" x14ac:dyDescent="0.35">
      <c r="A1186" s="92"/>
      <c r="F1186" s="726"/>
      <c r="G1186" s="735"/>
      <c r="H1186" s="93"/>
      <c r="I1186" s="750"/>
      <c r="J1186" s="750"/>
    </row>
    <row r="1187" spans="1:10" x14ac:dyDescent="0.35">
      <c r="A1187" s="92"/>
      <c r="F1187" s="726"/>
      <c r="G1187" s="735"/>
      <c r="H1187" s="93"/>
      <c r="I1187" s="750"/>
      <c r="J1187" s="750"/>
    </row>
    <row r="1188" spans="1:10" x14ac:dyDescent="0.35">
      <c r="A1188" s="92"/>
      <c r="F1188" s="726"/>
      <c r="G1188" s="735"/>
      <c r="H1188" s="93"/>
      <c r="I1188" s="750"/>
      <c r="J1188" s="750"/>
    </row>
    <row r="1189" spans="1:10" x14ac:dyDescent="0.35">
      <c r="A1189" s="92"/>
      <c r="F1189" s="726"/>
      <c r="G1189" s="735"/>
      <c r="H1189" s="93"/>
      <c r="I1189" s="750"/>
      <c r="J1189" s="750"/>
    </row>
    <row r="1190" spans="1:10" x14ac:dyDescent="0.35">
      <c r="A1190" s="92"/>
      <c r="F1190" s="726"/>
      <c r="G1190" s="735"/>
      <c r="H1190" s="93"/>
      <c r="I1190" s="750"/>
      <c r="J1190" s="750"/>
    </row>
    <row r="1191" spans="1:10" x14ac:dyDescent="0.35">
      <c r="A1191" s="92"/>
      <c r="F1191" s="726"/>
      <c r="G1191" s="735"/>
      <c r="H1191" s="93"/>
      <c r="I1191" s="750"/>
      <c r="J1191" s="750"/>
    </row>
    <row r="1192" spans="1:10" x14ac:dyDescent="0.35">
      <c r="A1192" s="92"/>
      <c r="F1192" s="726"/>
      <c r="G1192" s="735"/>
      <c r="H1192" s="93"/>
      <c r="I1192" s="750"/>
      <c r="J1192" s="750"/>
    </row>
    <row r="1193" spans="1:10" x14ac:dyDescent="0.35">
      <c r="A1193" s="92"/>
      <c r="F1193" s="726"/>
      <c r="G1193" s="735"/>
      <c r="H1193" s="93"/>
      <c r="I1193" s="750"/>
      <c r="J1193" s="750"/>
    </row>
    <row r="1194" spans="1:10" x14ac:dyDescent="0.35">
      <c r="A1194" s="92"/>
      <c r="F1194" s="726"/>
      <c r="G1194" s="735"/>
      <c r="H1194" s="93"/>
      <c r="I1194" s="750"/>
      <c r="J1194" s="750"/>
    </row>
    <row r="1195" spans="1:10" x14ac:dyDescent="0.35">
      <c r="A1195" s="92"/>
      <c r="F1195" s="726"/>
      <c r="G1195" s="735"/>
      <c r="H1195" s="93"/>
      <c r="I1195" s="750"/>
      <c r="J1195" s="750"/>
    </row>
    <row r="1196" spans="1:10" x14ac:dyDescent="0.35">
      <c r="A1196" s="92"/>
      <c r="F1196" s="726"/>
      <c r="G1196" s="735"/>
      <c r="H1196" s="93"/>
      <c r="I1196" s="750"/>
      <c r="J1196" s="750"/>
    </row>
    <row r="1197" spans="1:10" x14ac:dyDescent="0.35">
      <c r="A1197" s="92"/>
      <c r="F1197" s="726"/>
      <c r="G1197" s="735"/>
      <c r="H1197" s="93"/>
      <c r="I1197" s="750"/>
      <c r="J1197" s="750"/>
    </row>
    <row r="1198" spans="1:10" x14ac:dyDescent="0.35">
      <c r="A1198" s="92"/>
      <c r="F1198" s="726"/>
      <c r="G1198" s="735"/>
      <c r="H1198" s="93"/>
      <c r="I1198" s="750"/>
      <c r="J1198" s="750"/>
    </row>
    <row r="1199" spans="1:10" x14ac:dyDescent="0.35">
      <c r="A1199" s="92"/>
      <c r="F1199" s="726"/>
      <c r="G1199" s="735"/>
      <c r="H1199" s="93"/>
      <c r="I1199" s="750"/>
      <c r="J1199" s="750"/>
    </row>
    <row r="1200" spans="1:10" x14ac:dyDescent="0.35">
      <c r="A1200" s="92"/>
      <c r="F1200" s="726"/>
      <c r="G1200" s="735"/>
      <c r="H1200" s="93"/>
      <c r="I1200" s="750"/>
      <c r="J1200" s="750"/>
    </row>
    <row r="1201" spans="1:10" x14ac:dyDescent="0.35">
      <c r="A1201" s="92"/>
      <c r="F1201" s="726"/>
      <c r="G1201" s="735"/>
      <c r="H1201" s="93"/>
      <c r="I1201" s="750"/>
      <c r="J1201" s="750"/>
    </row>
    <row r="1202" spans="1:10" x14ac:dyDescent="0.35">
      <c r="A1202" s="92"/>
      <c r="F1202" s="726"/>
      <c r="G1202" s="735"/>
      <c r="H1202" s="93"/>
      <c r="I1202" s="750"/>
      <c r="J1202" s="750"/>
    </row>
    <row r="1203" spans="1:10" x14ac:dyDescent="0.35">
      <c r="A1203" s="92"/>
      <c r="F1203" s="726"/>
      <c r="G1203" s="735"/>
      <c r="H1203" s="93"/>
      <c r="I1203" s="750"/>
      <c r="J1203" s="750"/>
    </row>
    <row r="1204" spans="1:10" x14ac:dyDescent="0.35">
      <c r="A1204" s="92"/>
      <c r="F1204" s="726"/>
      <c r="G1204" s="735"/>
      <c r="H1204" s="93"/>
      <c r="I1204" s="750"/>
      <c r="J1204" s="750"/>
    </row>
    <row r="1205" spans="1:10" x14ac:dyDescent="0.35">
      <c r="A1205" s="92"/>
      <c r="F1205" s="726"/>
      <c r="G1205" s="735"/>
      <c r="H1205" s="93"/>
      <c r="I1205" s="750"/>
      <c r="J1205" s="750"/>
    </row>
    <row r="1206" spans="1:10" x14ac:dyDescent="0.35">
      <c r="A1206" s="92"/>
      <c r="F1206" s="726"/>
      <c r="G1206" s="735"/>
      <c r="H1206" s="93"/>
      <c r="I1206" s="750"/>
      <c r="J1206" s="750"/>
    </row>
    <row r="1207" spans="1:10" x14ac:dyDescent="0.35">
      <c r="A1207" s="92"/>
      <c r="F1207" s="726"/>
      <c r="G1207" s="735"/>
      <c r="H1207" s="93"/>
      <c r="I1207" s="750"/>
      <c r="J1207" s="750"/>
    </row>
    <row r="1208" spans="1:10" x14ac:dyDescent="0.35">
      <c r="A1208" s="92"/>
      <c r="F1208" s="726"/>
      <c r="G1208" s="735"/>
      <c r="H1208" s="93"/>
      <c r="I1208" s="750"/>
      <c r="J1208" s="750"/>
    </row>
    <row r="1209" spans="1:10" x14ac:dyDescent="0.35">
      <c r="A1209" s="92"/>
      <c r="F1209" s="726"/>
      <c r="G1209" s="735"/>
      <c r="H1209" s="93"/>
      <c r="I1209" s="750"/>
      <c r="J1209" s="750"/>
    </row>
    <row r="1210" spans="1:10" x14ac:dyDescent="0.35">
      <c r="A1210" s="92"/>
      <c r="F1210" s="726"/>
      <c r="G1210" s="735"/>
      <c r="H1210" s="93"/>
      <c r="I1210" s="750"/>
      <c r="J1210" s="750"/>
    </row>
    <row r="1211" spans="1:10" x14ac:dyDescent="0.35">
      <c r="A1211" s="92"/>
      <c r="F1211" s="726"/>
      <c r="G1211" s="735"/>
      <c r="H1211" s="93"/>
      <c r="I1211" s="750"/>
      <c r="J1211" s="750"/>
    </row>
    <row r="1212" spans="1:10" x14ac:dyDescent="0.35">
      <c r="A1212" s="92"/>
      <c r="F1212" s="726"/>
      <c r="G1212" s="735"/>
      <c r="H1212" s="93"/>
      <c r="I1212" s="750"/>
      <c r="J1212" s="750"/>
    </row>
    <row r="1213" spans="1:10" x14ac:dyDescent="0.35">
      <c r="A1213" s="92"/>
      <c r="F1213" s="726"/>
      <c r="G1213" s="735"/>
      <c r="H1213" s="93"/>
      <c r="I1213" s="750"/>
      <c r="J1213" s="750"/>
    </row>
    <row r="1214" spans="1:10" x14ac:dyDescent="0.35">
      <c r="A1214" s="92"/>
      <c r="F1214" s="726"/>
      <c r="G1214" s="735"/>
      <c r="H1214" s="93"/>
      <c r="I1214" s="750"/>
      <c r="J1214" s="750"/>
    </row>
    <row r="1215" spans="1:10" x14ac:dyDescent="0.35">
      <c r="A1215" s="92"/>
      <c r="F1215" s="726"/>
      <c r="G1215" s="735"/>
      <c r="H1215" s="93"/>
      <c r="I1215" s="750"/>
      <c r="J1215" s="750"/>
    </row>
    <row r="1216" spans="1:10" x14ac:dyDescent="0.35">
      <c r="A1216" s="92"/>
      <c r="F1216" s="726"/>
      <c r="G1216" s="735"/>
      <c r="H1216" s="93"/>
      <c r="I1216" s="750"/>
      <c r="J1216" s="750"/>
    </row>
    <row r="1217" spans="1:10" x14ac:dyDescent="0.35">
      <c r="A1217" s="92"/>
      <c r="F1217" s="726"/>
      <c r="G1217" s="735"/>
      <c r="H1217" s="93"/>
      <c r="I1217" s="750"/>
      <c r="J1217" s="750"/>
    </row>
    <row r="1218" spans="1:10" x14ac:dyDescent="0.35">
      <c r="A1218" s="92"/>
      <c r="F1218" s="726"/>
      <c r="G1218" s="735"/>
      <c r="H1218" s="93"/>
      <c r="I1218" s="750"/>
      <c r="J1218" s="750"/>
    </row>
    <row r="1219" spans="1:10" x14ac:dyDescent="0.35">
      <c r="A1219" s="92"/>
      <c r="F1219" s="726"/>
      <c r="G1219" s="735"/>
      <c r="H1219" s="93"/>
      <c r="I1219" s="750"/>
      <c r="J1219" s="750"/>
    </row>
    <row r="1220" spans="1:10" x14ac:dyDescent="0.35">
      <c r="A1220" s="92"/>
      <c r="F1220" s="726"/>
      <c r="G1220" s="735"/>
      <c r="H1220" s="93"/>
      <c r="I1220" s="750"/>
      <c r="J1220" s="750"/>
    </row>
    <row r="1221" spans="1:10" x14ac:dyDescent="0.35">
      <c r="A1221" s="92"/>
      <c r="F1221" s="726"/>
      <c r="G1221" s="735"/>
      <c r="H1221" s="93"/>
      <c r="I1221" s="750"/>
      <c r="J1221" s="750"/>
    </row>
    <row r="1222" spans="1:10" x14ac:dyDescent="0.35">
      <c r="A1222" s="92"/>
      <c r="F1222" s="726"/>
      <c r="G1222" s="735"/>
      <c r="H1222" s="93"/>
      <c r="I1222" s="750"/>
      <c r="J1222" s="750"/>
    </row>
    <row r="1223" spans="1:10" x14ac:dyDescent="0.35">
      <c r="A1223" s="92"/>
      <c r="F1223" s="726"/>
      <c r="G1223" s="735"/>
      <c r="H1223" s="93"/>
      <c r="I1223" s="750"/>
      <c r="J1223" s="750"/>
    </row>
    <row r="1224" spans="1:10" x14ac:dyDescent="0.35">
      <c r="A1224" s="92"/>
      <c r="F1224" s="726"/>
      <c r="G1224" s="735"/>
      <c r="H1224" s="93"/>
      <c r="I1224" s="750"/>
      <c r="J1224" s="750"/>
    </row>
    <row r="1225" spans="1:10" x14ac:dyDescent="0.35">
      <c r="A1225" s="92"/>
      <c r="F1225" s="726"/>
      <c r="G1225" s="735"/>
      <c r="H1225" s="93"/>
      <c r="I1225" s="750"/>
      <c r="J1225" s="750"/>
    </row>
    <row r="1226" spans="1:10" x14ac:dyDescent="0.35">
      <c r="A1226" s="92"/>
      <c r="F1226" s="726"/>
      <c r="G1226" s="735"/>
      <c r="H1226" s="93"/>
      <c r="I1226" s="750"/>
      <c r="J1226" s="750"/>
    </row>
    <row r="1227" spans="1:10" x14ac:dyDescent="0.35">
      <c r="A1227" s="92"/>
      <c r="F1227" s="726"/>
      <c r="G1227" s="735"/>
      <c r="H1227" s="93"/>
      <c r="I1227" s="750"/>
      <c r="J1227" s="750"/>
    </row>
    <row r="1228" spans="1:10" x14ac:dyDescent="0.35">
      <c r="A1228" s="92"/>
      <c r="F1228" s="726"/>
      <c r="G1228" s="735"/>
      <c r="H1228" s="93"/>
      <c r="I1228" s="750"/>
      <c r="J1228" s="750"/>
    </row>
    <row r="1229" spans="1:10" x14ac:dyDescent="0.35">
      <c r="A1229" s="92"/>
      <c r="F1229" s="726"/>
      <c r="G1229" s="735"/>
      <c r="H1229" s="93"/>
      <c r="I1229" s="750"/>
      <c r="J1229" s="750"/>
    </row>
    <row r="1230" spans="1:10" x14ac:dyDescent="0.35">
      <c r="A1230" s="92"/>
      <c r="F1230" s="726"/>
      <c r="G1230" s="735"/>
      <c r="H1230" s="93"/>
      <c r="I1230" s="750"/>
      <c r="J1230" s="750"/>
    </row>
    <row r="1231" spans="1:10" x14ac:dyDescent="0.35">
      <c r="A1231" s="92"/>
      <c r="F1231" s="726"/>
      <c r="G1231" s="735"/>
      <c r="H1231" s="93"/>
      <c r="I1231" s="750"/>
      <c r="J1231" s="750"/>
    </row>
    <row r="1232" spans="1:10" x14ac:dyDescent="0.35">
      <c r="A1232" s="92"/>
      <c r="F1232" s="726"/>
      <c r="G1232" s="735"/>
      <c r="H1232" s="93"/>
      <c r="I1232" s="750"/>
      <c r="J1232" s="750"/>
    </row>
    <row r="1233" spans="1:10" x14ac:dyDescent="0.35">
      <c r="A1233" s="92"/>
      <c r="F1233" s="726"/>
      <c r="G1233" s="735"/>
      <c r="H1233" s="93"/>
      <c r="I1233" s="750"/>
      <c r="J1233" s="750"/>
    </row>
    <row r="1234" spans="1:10" x14ac:dyDescent="0.35">
      <c r="A1234" s="92"/>
      <c r="F1234" s="726"/>
      <c r="G1234" s="735"/>
      <c r="H1234" s="93"/>
      <c r="I1234" s="750"/>
      <c r="J1234" s="750"/>
    </row>
    <row r="1235" spans="1:10" x14ac:dyDescent="0.35">
      <c r="A1235" s="92"/>
      <c r="F1235" s="726"/>
      <c r="G1235" s="735"/>
      <c r="H1235" s="93"/>
      <c r="I1235" s="750"/>
      <c r="J1235" s="750"/>
    </row>
    <row r="1236" spans="1:10" x14ac:dyDescent="0.35">
      <c r="A1236" s="92"/>
      <c r="F1236" s="726"/>
      <c r="G1236" s="735"/>
      <c r="H1236" s="93"/>
      <c r="I1236" s="750"/>
      <c r="J1236" s="750"/>
    </row>
    <row r="1237" spans="1:10" x14ac:dyDescent="0.35">
      <c r="A1237" s="92"/>
      <c r="F1237" s="726"/>
      <c r="G1237" s="735"/>
      <c r="H1237" s="93"/>
      <c r="I1237" s="750"/>
      <c r="J1237" s="750"/>
    </row>
    <row r="1238" spans="1:10" x14ac:dyDescent="0.35">
      <c r="A1238" s="92"/>
      <c r="F1238" s="726"/>
      <c r="G1238" s="735"/>
      <c r="H1238" s="93"/>
      <c r="I1238" s="750"/>
      <c r="J1238" s="750"/>
    </row>
    <row r="1239" spans="1:10" x14ac:dyDescent="0.35">
      <c r="A1239" s="92"/>
      <c r="F1239" s="726"/>
      <c r="G1239" s="735"/>
      <c r="H1239" s="93"/>
      <c r="I1239" s="750"/>
      <c r="J1239" s="750"/>
    </row>
    <row r="1240" spans="1:10" x14ac:dyDescent="0.35">
      <c r="A1240" s="92"/>
      <c r="F1240" s="726"/>
      <c r="G1240" s="735"/>
      <c r="H1240" s="93"/>
      <c r="I1240" s="750"/>
      <c r="J1240" s="750"/>
    </row>
    <row r="1241" spans="1:10" x14ac:dyDescent="0.35">
      <c r="A1241" s="92"/>
      <c r="F1241" s="726"/>
      <c r="G1241" s="735"/>
      <c r="H1241" s="93"/>
      <c r="I1241" s="750"/>
      <c r="J1241" s="750"/>
    </row>
    <row r="1242" spans="1:10" x14ac:dyDescent="0.35">
      <c r="A1242" s="92"/>
      <c r="F1242" s="726"/>
      <c r="G1242" s="735"/>
      <c r="H1242" s="93"/>
      <c r="I1242" s="750"/>
      <c r="J1242" s="750"/>
    </row>
    <row r="1243" spans="1:10" x14ac:dyDescent="0.35">
      <c r="A1243" s="92"/>
      <c r="F1243" s="726"/>
      <c r="G1243" s="735"/>
      <c r="H1243" s="93"/>
      <c r="I1243" s="750"/>
      <c r="J1243" s="750"/>
    </row>
    <row r="1244" spans="1:10" x14ac:dyDescent="0.35">
      <c r="A1244" s="92"/>
      <c r="F1244" s="726"/>
      <c r="G1244" s="735"/>
      <c r="H1244" s="93"/>
      <c r="I1244" s="750"/>
      <c r="J1244" s="750"/>
    </row>
    <row r="1245" spans="1:10" x14ac:dyDescent="0.35">
      <c r="A1245" s="92"/>
      <c r="F1245" s="726"/>
      <c r="G1245" s="735"/>
      <c r="H1245" s="93"/>
      <c r="I1245" s="750"/>
      <c r="J1245" s="750"/>
    </row>
    <row r="1246" spans="1:10" x14ac:dyDescent="0.35">
      <c r="A1246" s="92"/>
      <c r="F1246" s="726"/>
      <c r="G1246" s="735"/>
      <c r="H1246" s="93"/>
      <c r="I1246" s="750"/>
      <c r="J1246" s="750"/>
    </row>
    <row r="1247" spans="1:10" x14ac:dyDescent="0.35">
      <c r="A1247" s="92"/>
      <c r="F1247" s="726"/>
      <c r="G1247" s="735"/>
      <c r="H1247" s="93"/>
      <c r="I1247" s="750"/>
      <c r="J1247" s="750"/>
    </row>
    <row r="1248" spans="1:10" x14ac:dyDescent="0.35">
      <c r="A1248" s="92"/>
      <c r="F1248" s="726"/>
      <c r="G1248" s="735"/>
      <c r="H1248" s="93"/>
      <c r="I1248" s="750"/>
      <c r="J1248" s="750"/>
    </row>
    <row r="1249" spans="1:10" x14ac:dyDescent="0.35">
      <c r="A1249" s="92"/>
      <c r="F1249" s="726"/>
      <c r="G1249" s="735"/>
      <c r="H1249" s="93"/>
      <c r="I1249" s="750"/>
      <c r="J1249" s="750"/>
    </row>
    <row r="1250" spans="1:10" x14ac:dyDescent="0.35">
      <c r="A1250" s="92"/>
      <c r="F1250" s="726"/>
      <c r="G1250" s="735"/>
      <c r="H1250" s="93"/>
      <c r="I1250" s="750"/>
      <c r="J1250" s="750"/>
    </row>
    <row r="1251" spans="1:10" x14ac:dyDescent="0.35">
      <c r="A1251" s="92"/>
      <c r="F1251" s="726"/>
      <c r="G1251" s="735"/>
      <c r="H1251" s="93"/>
      <c r="I1251" s="750"/>
      <c r="J1251" s="750"/>
    </row>
    <row r="1252" spans="1:10" x14ac:dyDescent="0.35">
      <c r="A1252" s="92"/>
      <c r="F1252" s="726"/>
      <c r="G1252" s="735"/>
      <c r="H1252" s="93"/>
      <c r="I1252" s="750"/>
      <c r="J1252" s="750"/>
    </row>
    <row r="1253" spans="1:10" x14ac:dyDescent="0.35">
      <c r="A1253" s="92"/>
      <c r="F1253" s="726"/>
      <c r="G1253" s="735"/>
      <c r="H1253" s="93"/>
      <c r="I1253" s="750"/>
      <c r="J1253" s="750"/>
    </row>
    <row r="1254" spans="1:10" x14ac:dyDescent="0.35">
      <c r="A1254" s="92"/>
      <c r="F1254" s="726"/>
      <c r="G1254" s="735"/>
      <c r="H1254" s="93"/>
      <c r="I1254" s="750"/>
      <c r="J1254" s="750"/>
    </row>
    <row r="1255" spans="1:10" x14ac:dyDescent="0.35">
      <c r="A1255" s="92"/>
      <c r="F1255" s="726"/>
      <c r="G1255" s="735"/>
      <c r="H1255" s="93"/>
      <c r="I1255" s="750"/>
      <c r="J1255" s="750"/>
    </row>
    <row r="1256" spans="1:10" x14ac:dyDescent="0.35">
      <c r="A1256" s="92"/>
      <c r="F1256" s="726"/>
      <c r="G1256" s="735"/>
      <c r="H1256" s="93"/>
      <c r="I1256" s="750"/>
      <c r="J1256" s="750"/>
    </row>
    <row r="1257" spans="1:10" x14ac:dyDescent="0.35">
      <c r="A1257" s="92"/>
      <c r="F1257" s="726"/>
      <c r="G1257" s="735"/>
      <c r="H1257" s="93"/>
      <c r="I1257" s="750"/>
      <c r="J1257" s="750"/>
    </row>
    <row r="1258" spans="1:10" x14ac:dyDescent="0.35">
      <c r="A1258" s="92"/>
      <c r="F1258" s="726"/>
      <c r="G1258" s="735"/>
      <c r="H1258" s="93"/>
      <c r="I1258" s="750"/>
      <c r="J1258" s="750"/>
    </row>
    <row r="1259" spans="1:10" x14ac:dyDescent="0.35">
      <c r="A1259" s="92"/>
      <c r="F1259" s="726"/>
      <c r="G1259" s="735"/>
      <c r="H1259" s="93"/>
      <c r="I1259" s="750"/>
      <c r="J1259" s="750"/>
    </row>
    <row r="1260" spans="1:10" x14ac:dyDescent="0.35">
      <c r="A1260" s="92"/>
      <c r="F1260" s="726"/>
      <c r="G1260" s="735"/>
      <c r="H1260" s="93"/>
      <c r="I1260" s="750"/>
      <c r="J1260" s="750"/>
    </row>
    <row r="1261" spans="1:10" x14ac:dyDescent="0.35">
      <c r="A1261" s="92"/>
      <c r="F1261" s="726"/>
      <c r="G1261" s="735"/>
      <c r="H1261" s="93"/>
      <c r="I1261" s="750"/>
      <c r="J1261" s="750"/>
    </row>
    <row r="1262" spans="1:10" x14ac:dyDescent="0.35">
      <c r="A1262" s="92"/>
      <c r="F1262" s="726"/>
      <c r="G1262" s="735"/>
      <c r="H1262" s="93"/>
      <c r="I1262" s="750"/>
      <c r="J1262" s="750"/>
    </row>
    <row r="1263" spans="1:10" x14ac:dyDescent="0.35">
      <c r="A1263" s="92"/>
      <c r="F1263" s="726"/>
      <c r="G1263" s="735"/>
      <c r="H1263" s="93"/>
      <c r="I1263" s="750"/>
      <c r="J1263" s="750"/>
    </row>
    <row r="1264" spans="1:10" x14ac:dyDescent="0.35">
      <c r="A1264" s="92"/>
      <c r="F1264" s="726"/>
      <c r="G1264" s="735"/>
      <c r="H1264" s="93"/>
      <c r="I1264" s="750"/>
      <c r="J1264" s="750"/>
    </row>
    <row r="1265" spans="1:10" x14ac:dyDescent="0.35">
      <c r="A1265" s="92"/>
      <c r="F1265" s="726"/>
      <c r="G1265" s="735"/>
      <c r="H1265" s="93"/>
      <c r="I1265" s="750"/>
      <c r="J1265" s="750"/>
    </row>
    <row r="1266" spans="1:10" x14ac:dyDescent="0.35">
      <c r="A1266" s="92"/>
      <c r="F1266" s="726"/>
      <c r="G1266" s="735"/>
      <c r="H1266" s="93"/>
      <c r="I1266" s="750"/>
      <c r="J1266" s="750"/>
    </row>
    <row r="1267" spans="1:10" x14ac:dyDescent="0.35">
      <c r="A1267" s="92"/>
      <c r="F1267" s="726"/>
      <c r="G1267" s="735"/>
      <c r="H1267" s="93"/>
      <c r="I1267" s="750"/>
      <c r="J1267" s="750"/>
    </row>
    <row r="1268" spans="1:10" x14ac:dyDescent="0.35">
      <c r="A1268" s="92"/>
      <c r="F1268" s="726"/>
      <c r="G1268" s="735"/>
      <c r="H1268" s="93"/>
      <c r="I1268" s="750"/>
      <c r="J1268" s="750"/>
    </row>
    <row r="1269" spans="1:10" x14ac:dyDescent="0.35">
      <c r="A1269" s="92"/>
      <c r="F1269" s="726"/>
      <c r="G1269" s="735"/>
      <c r="H1269" s="93"/>
      <c r="I1269" s="750"/>
      <c r="J1269" s="750"/>
    </row>
    <row r="1270" spans="1:10" x14ac:dyDescent="0.35">
      <c r="A1270" s="92"/>
      <c r="F1270" s="726"/>
      <c r="G1270" s="735"/>
      <c r="H1270" s="93"/>
      <c r="I1270" s="750"/>
      <c r="J1270" s="750"/>
    </row>
    <row r="1271" spans="1:10" x14ac:dyDescent="0.35">
      <c r="A1271" s="92"/>
      <c r="F1271" s="726"/>
      <c r="G1271" s="735"/>
      <c r="H1271" s="93"/>
      <c r="I1271" s="750"/>
      <c r="J1271" s="750"/>
    </row>
    <row r="1272" spans="1:10" x14ac:dyDescent="0.35">
      <c r="A1272" s="92"/>
      <c r="F1272" s="726"/>
      <c r="G1272" s="735"/>
      <c r="H1272" s="93"/>
      <c r="I1272" s="750"/>
      <c r="J1272" s="750"/>
    </row>
    <row r="1273" spans="1:10" x14ac:dyDescent="0.35">
      <c r="A1273" s="92"/>
      <c r="F1273" s="726"/>
      <c r="G1273" s="735"/>
      <c r="H1273" s="93"/>
      <c r="I1273" s="750"/>
      <c r="J1273" s="750"/>
    </row>
    <row r="1274" spans="1:10" x14ac:dyDescent="0.35">
      <c r="A1274" s="92"/>
      <c r="F1274" s="726"/>
      <c r="G1274" s="735"/>
      <c r="H1274" s="93"/>
      <c r="I1274" s="750"/>
      <c r="J1274" s="750"/>
    </row>
    <row r="1275" spans="1:10" x14ac:dyDescent="0.35">
      <c r="A1275" s="92"/>
      <c r="F1275" s="726"/>
      <c r="G1275" s="735"/>
      <c r="H1275" s="93"/>
      <c r="I1275" s="750"/>
      <c r="J1275" s="750"/>
    </row>
    <row r="1276" spans="1:10" x14ac:dyDescent="0.35">
      <c r="A1276" s="92"/>
      <c r="F1276" s="726"/>
      <c r="G1276" s="735"/>
      <c r="H1276" s="93"/>
      <c r="I1276" s="750"/>
      <c r="J1276" s="750"/>
    </row>
    <row r="1277" spans="1:10" x14ac:dyDescent="0.35">
      <c r="A1277" s="92"/>
      <c r="F1277" s="726"/>
      <c r="G1277" s="735"/>
      <c r="H1277" s="93"/>
      <c r="I1277" s="750"/>
      <c r="J1277" s="750"/>
    </row>
    <row r="1278" spans="1:10" x14ac:dyDescent="0.35">
      <c r="A1278" s="92"/>
      <c r="F1278" s="726"/>
      <c r="G1278" s="735"/>
      <c r="H1278" s="93"/>
      <c r="I1278" s="750"/>
      <c r="J1278" s="750"/>
    </row>
    <row r="1279" spans="1:10" x14ac:dyDescent="0.35">
      <c r="A1279" s="92"/>
      <c r="F1279" s="726"/>
      <c r="G1279" s="735"/>
      <c r="H1279" s="93"/>
      <c r="I1279" s="750"/>
      <c r="J1279" s="750"/>
    </row>
    <row r="1280" spans="1:10" x14ac:dyDescent="0.35">
      <c r="A1280" s="92"/>
      <c r="F1280" s="726"/>
      <c r="G1280" s="735"/>
      <c r="H1280" s="93"/>
      <c r="I1280" s="750"/>
      <c r="J1280" s="750"/>
    </row>
    <row r="1281" spans="1:10" x14ac:dyDescent="0.35">
      <c r="A1281" s="92"/>
      <c r="F1281" s="726"/>
      <c r="G1281" s="735"/>
      <c r="H1281" s="93"/>
      <c r="I1281" s="750"/>
      <c r="J1281" s="750"/>
    </row>
    <row r="1282" spans="1:10" x14ac:dyDescent="0.35">
      <c r="A1282" s="92"/>
      <c r="F1282" s="726"/>
      <c r="G1282" s="735"/>
      <c r="H1282" s="93"/>
      <c r="I1282" s="750"/>
      <c r="J1282" s="750"/>
    </row>
    <row r="1283" spans="1:10" x14ac:dyDescent="0.35">
      <c r="A1283" s="92"/>
      <c r="F1283" s="726"/>
      <c r="G1283" s="735"/>
      <c r="H1283" s="93"/>
      <c r="I1283" s="750"/>
      <c r="J1283" s="750"/>
    </row>
    <row r="1284" spans="1:10" x14ac:dyDescent="0.35">
      <c r="A1284" s="92"/>
      <c r="F1284" s="726"/>
      <c r="G1284" s="735"/>
      <c r="H1284" s="93"/>
      <c r="I1284" s="750"/>
      <c r="J1284" s="750"/>
    </row>
    <row r="1285" spans="1:10" x14ac:dyDescent="0.35">
      <c r="A1285" s="92"/>
      <c r="F1285" s="726"/>
      <c r="G1285" s="735"/>
      <c r="H1285" s="93"/>
      <c r="I1285" s="750"/>
      <c r="J1285" s="750"/>
    </row>
    <row r="1286" spans="1:10" x14ac:dyDescent="0.35">
      <c r="A1286" s="92"/>
      <c r="F1286" s="726"/>
      <c r="G1286" s="735"/>
      <c r="H1286" s="93"/>
      <c r="I1286" s="750"/>
      <c r="J1286" s="750"/>
    </row>
    <row r="1287" spans="1:10" x14ac:dyDescent="0.35">
      <c r="A1287" s="92"/>
      <c r="F1287" s="726"/>
      <c r="G1287" s="735"/>
      <c r="H1287" s="93"/>
      <c r="I1287" s="750"/>
      <c r="J1287" s="750"/>
    </row>
    <row r="1288" spans="1:10" x14ac:dyDescent="0.35">
      <c r="A1288" s="92"/>
      <c r="F1288" s="726"/>
      <c r="G1288" s="735"/>
      <c r="H1288" s="93"/>
      <c r="I1288" s="750"/>
      <c r="J1288" s="750"/>
    </row>
    <row r="1289" spans="1:10" x14ac:dyDescent="0.35">
      <c r="A1289" s="92"/>
      <c r="F1289" s="726"/>
      <c r="G1289" s="735"/>
      <c r="H1289" s="93"/>
      <c r="I1289" s="750"/>
      <c r="J1289" s="750"/>
    </row>
    <row r="1290" spans="1:10" x14ac:dyDescent="0.35">
      <c r="A1290" s="92"/>
      <c r="F1290" s="726"/>
      <c r="G1290" s="735"/>
      <c r="H1290" s="93"/>
      <c r="I1290" s="750"/>
      <c r="J1290" s="750"/>
    </row>
    <row r="1291" spans="1:10" x14ac:dyDescent="0.35">
      <c r="A1291" s="92"/>
      <c r="F1291" s="726"/>
      <c r="G1291" s="735"/>
      <c r="H1291" s="93"/>
      <c r="I1291" s="750"/>
      <c r="J1291" s="750"/>
    </row>
    <row r="1292" spans="1:10" x14ac:dyDescent="0.35">
      <c r="A1292" s="92"/>
      <c r="F1292" s="726"/>
      <c r="G1292" s="735"/>
      <c r="H1292" s="93"/>
      <c r="I1292" s="750"/>
      <c r="J1292" s="750"/>
    </row>
    <row r="1293" spans="1:10" x14ac:dyDescent="0.35">
      <c r="A1293" s="92"/>
      <c r="F1293" s="726"/>
      <c r="G1293" s="735"/>
      <c r="H1293" s="93"/>
      <c r="I1293" s="750"/>
      <c r="J1293" s="750"/>
    </row>
    <row r="1294" spans="1:10" x14ac:dyDescent="0.35">
      <c r="A1294" s="92"/>
      <c r="F1294" s="726"/>
      <c r="G1294" s="735"/>
      <c r="H1294" s="93"/>
      <c r="I1294" s="750"/>
      <c r="J1294" s="750"/>
    </row>
    <row r="1295" spans="1:10" x14ac:dyDescent="0.35">
      <c r="A1295" s="92"/>
      <c r="F1295" s="726"/>
      <c r="G1295" s="735"/>
      <c r="H1295" s="93"/>
      <c r="I1295" s="750"/>
      <c r="J1295" s="750"/>
    </row>
    <row r="1296" spans="1:10" x14ac:dyDescent="0.35">
      <c r="A1296" s="92"/>
      <c r="F1296" s="726"/>
      <c r="G1296" s="735"/>
      <c r="H1296" s="93"/>
      <c r="I1296" s="750"/>
      <c r="J1296" s="750"/>
    </row>
    <row r="1297" spans="1:10" x14ac:dyDescent="0.35">
      <c r="A1297" s="92"/>
      <c r="F1297" s="726"/>
      <c r="G1297" s="735"/>
      <c r="H1297" s="93"/>
      <c r="I1297" s="750"/>
      <c r="J1297" s="750"/>
    </row>
    <row r="1298" spans="1:10" x14ac:dyDescent="0.35">
      <c r="A1298" s="92"/>
      <c r="F1298" s="726"/>
      <c r="G1298" s="735"/>
      <c r="H1298" s="93"/>
      <c r="I1298" s="750"/>
      <c r="J1298" s="750"/>
    </row>
    <row r="1299" spans="1:10" x14ac:dyDescent="0.35">
      <c r="A1299" s="92"/>
      <c r="F1299" s="726"/>
      <c r="G1299" s="735"/>
      <c r="H1299" s="93"/>
      <c r="I1299" s="750"/>
      <c r="J1299" s="750"/>
    </row>
    <row r="1300" spans="1:10" x14ac:dyDescent="0.35">
      <c r="A1300" s="92"/>
      <c r="F1300" s="726"/>
      <c r="G1300" s="735"/>
      <c r="H1300" s="93"/>
      <c r="I1300" s="750"/>
      <c r="J1300" s="750"/>
    </row>
    <row r="1301" spans="1:10" x14ac:dyDescent="0.35">
      <c r="A1301" s="92"/>
      <c r="F1301" s="726"/>
      <c r="G1301" s="735"/>
      <c r="H1301" s="93"/>
      <c r="I1301" s="750"/>
      <c r="J1301" s="750"/>
    </row>
    <row r="1302" spans="1:10" x14ac:dyDescent="0.35">
      <c r="A1302" s="92"/>
      <c r="F1302" s="726"/>
      <c r="G1302" s="735"/>
      <c r="H1302" s="93"/>
      <c r="I1302" s="750"/>
      <c r="J1302" s="750"/>
    </row>
    <row r="1303" spans="1:10" x14ac:dyDescent="0.35">
      <c r="A1303" s="92"/>
      <c r="F1303" s="726"/>
      <c r="G1303" s="735"/>
      <c r="H1303" s="93"/>
      <c r="I1303" s="750"/>
      <c r="J1303" s="750"/>
    </row>
    <row r="1304" spans="1:10" x14ac:dyDescent="0.35">
      <c r="A1304" s="92"/>
      <c r="F1304" s="726"/>
      <c r="G1304" s="735"/>
      <c r="H1304" s="93"/>
      <c r="I1304" s="750"/>
      <c r="J1304" s="750"/>
    </row>
    <row r="1305" spans="1:10" x14ac:dyDescent="0.35">
      <c r="A1305" s="92"/>
      <c r="F1305" s="726"/>
      <c r="G1305" s="735"/>
      <c r="H1305" s="93"/>
      <c r="I1305" s="750"/>
      <c r="J1305" s="750"/>
    </row>
    <row r="1306" spans="1:10" x14ac:dyDescent="0.35">
      <c r="A1306" s="92"/>
      <c r="F1306" s="726"/>
      <c r="G1306" s="735"/>
      <c r="H1306" s="93"/>
      <c r="I1306" s="750"/>
      <c r="J1306" s="750"/>
    </row>
    <row r="1307" spans="1:10" x14ac:dyDescent="0.35">
      <c r="A1307" s="92"/>
      <c r="F1307" s="726"/>
      <c r="G1307" s="735"/>
      <c r="H1307" s="93"/>
      <c r="I1307" s="750"/>
      <c r="J1307" s="750"/>
    </row>
    <row r="1308" spans="1:10" x14ac:dyDescent="0.35">
      <c r="A1308" s="92"/>
      <c r="F1308" s="726"/>
      <c r="G1308" s="735"/>
      <c r="H1308" s="93"/>
      <c r="I1308" s="750"/>
      <c r="J1308" s="750"/>
    </row>
    <row r="1309" spans="1:10" x14ac:dyDescent="0.35">
      <c r="A1309" s="92"/>
      <c r="F1309" s="726"/>
      <c r="G1309" s="735"/>
      <c r="H1309" s="93"/>
      <c r="I1309" s="750"/>
      <c r="J1309" s="750"/>
    </row>
    <row r="1310" spans="1:10" x14ac:dyDescent="0.35">
      <c r="A1310" s="92"/>
      <c r="F1310" s="726"/>
      <c r="G1310" s="735"/>
      <c r="H1310" s="93"/>
      <c r="I1310" s="750"/>
      <c r="J1310" s="750"/>
    </row>
    <row r="1311" spans="1:10" x14ac:dyDescent="0.35">
      <c r="A1311" s="92"/>
      <c r="F1311" s="726"/>
      <c r="G1311" s="735"/>
      <c r="H1311" s="93"/>
      <c r="I1311" s="750"/>
      <c r="J1311" s="750"/>
    </row>
    <row r="1312" spans="1:10" x14ac:dyDescent="0.35">
      <c r="A1312" s="92"/>
      <c r="F1312" s="726"/>
      <c r="G1312" s="735"/>
      <c r="H1312" s="93"/>
      <c r="I1312" s="750"/>
      <c r="J1312" s="750"/>
    </row>
    <row r="1313" spans="1:10" x14ac:dyDescent="0.35">
      <c r="A1313" s="92"/>
      <c r="F1313" s="726"/>
      <c r="G1313" s="735"/>
      <c r="H1313" s="93"/>
      <c r="I1313" s="750"/>
      <c r="J1313" s="750"/>
    </row>
    <row r="1314" spans="1:10" x14ac:dyDescent="0.35">
      <c r="A1314" s="92"/>
      <c r="F1314" s="726"/>
      <c r="G1314" s="735"/>
      <c r="H1314" s="93"/>
      <c r="I1314" s="750"/>
      <c r="J1314" s="750"/>
    </row>
    <row r="1315" spans="1:10" x14ac:dyDescent="0.35">
      <c r="A1315" s="92"/>
      <c r="F1315" s="726"/>
      <c r="G1315" s="735"/>
      <c r="H1315" s="93"/>
      <c r="I1315" s="750"/>
      <c r="J1315" s="750"/>
    </row>
    <row r="1316" spans="1:10" x14ac:dyDescent="0.35">
      <c r="A1316" s="92"/>
      <c r="F1316" s="726"/>
      <c r="G1316" s="735"/>
      <c r="H1316" s="93"/>
      <c r="I1316" s="750"/>
      <c r="J1316" s="750"/>
    </row>
    <row r="1317" spans="1:10" x14ac:dyDescent="0.35">
      <c r="A1317" s="92"/>
      <c r="F1317" s="726"/>
      <c r="G1317" s="735"/>
      <c r="H1317" s="93"/>
      <c r="I1317" s="750"/>
      <c r="J1317" s="750"/>
    </row>
    <row r="1318" spans="1:10" x14ac:dyDescent="0.35">
      <c r="A1318" s="92"/>
      <c r="F1318" s="726"/>
      <c r="G1318" s="735"/>
      <c r="H1318" s="93"/>
      <c r="I1318" s="750"/>
      <c r="J1318" s="750"/>
    </row>
    <row r="1319" spans="1:10" x14ac:dyDescent="0.35">
      <c r="A1319" s="92"/>
      <c r="F1319" s="726"/>
      <c r="G1319" s="735"/>
      <c r="H1319" s="93"/>
      <c r="I1319" s="750"/>
      <c r="J1319" s="750"/>
    </row>
    <row r="1320" spans="1:10" x14ac:dyDescent="0.35">
      <c r="A1320" s="92"/>
      <c r="F1320" s="726"/>
      <c r="G1320" s="735"/>
      <c r="H1320" s="93"/>
      <c r="I1320" s="750"/>
      <c r="J1320" s="750"/>
    </row>
    <row r="1321" spans="1:10" x14ac:dyDescent="0.35">
      <c r="A1321" s="92"/>
      <c r="F1321" s="726"/>
      <c r="G1321" s="735"/>
      <c r="H1321" s="93"/>
      <c r="I1321" s="750"/>
      <c r="J1321" s="750"/>
    </row>
    <row r="1322" spans="1:10" x14ac:dyDescent="0.35">
      <c r="A1322" s="92"/>
      <c r="F1322" s="726"/>
      <c r="G1322" s="735"/>
      <c r="H1322" s="93"/>
      <c r="I1322" s="750"/>
      <c r="J1322" s="750"/>
    </row>
    <row r="1323" spans="1:10" x14ac:dyDescent="0.35">
      <c r="A1323" s="92"/>
      <c r="F1323" s="726"/>
      <c r="G1323" s="735"/>
      <c r="H1323" s="93"/>
      <c r="I1323" s="750"/>
      <c r="J1323" s="750"/>
    </row>
    <row r="1324" spans="1:10" x14ac:dyDescent="0.35">
      <c r="A1324" s="92"/>
      <c r="F1324" s="726"/>
      <c r="G1324" s="735"/>
      <c r="H1324" s="93"/>
      <c r="I1324" s="750"/>
      <c r="J1324" s="750"/>
    </row>
    <row r="1325" spans="1:10" x14ac:dyDescent="0.35">
      <c r="A1325" s="92"/>
      <c r="F1325" s="726"/>
      <c r="G1325" s="735"/>
      <c r="H1325" s="93"/>
      <c r="I1325" s="750"/>
      <c r="J1325" s="750"/>
    </row>
    <row r="1326" spans="1:10" x14ac:dyDescent="0.35">
      <c r="A1326" s="92"/>
      <c r="F1326" s="726"/>
      <c r="G1326" s="735"/>
      <c r="H1326" s="93"/>
      <c r="I1326" s="750"/>
      <c r="J1326" s="750"/>
    </row>
    <row r="1327" spans="1:10" x14ac:dyDescent="0.35">
      <c r="A1327" s="92"/>
      <c r="F1327" s="726"/>
      <c r="G1327" s="735"/>
      <c r="H1327" s="93"/>
      <c r="I1327" s="750"/>
      <c r="J1327" s="750"/>
    </row>
    <row r="1328" spans="1:10" x14ac:dyDescent="0.35">
      <c r="A1328" s="92"/>
      <c r="F1328" s="726"/>
      <c r="G1328" s="735"/>
      <c r="H1328" s="93"/>
      <c r="I1328" s="750"/>
      <c r="J1328" s="750"/>
    </row>
    <row r="1329" spans="1:10" x14ac:dyDescent="0.35">
      <c r="A1329" s="92"/>
      <c r="F1329" s="726"/>
      <c r="G1329" s="735"/>
      <c r="H1329" s="93"/>
      <c r="I1329" s="750"/>
      <c r="J1329" s="750"/>
    </row>
    <row r="1330" spans="1:10" x14ac:dyDescent="0.35">
      <c r="A1330" s="92"/>
      <c r="F1330" s="726"/>
      <c r="G1330" s="735"/>
      <c r="H1330" s="93"/>
      <c r="I1330" s="750"/>
      <c r="J1330" s="750"/>
    </row>
    <row r="1331" spans="1:10" x14ac:dyDescent="0.35">
      <c r="A1331" s="92"/>
      <c r="F1331" s="726"/>
      <c r="G1331" s="735"/>
      <c r="H1331" s="93"/>
      <c r="I1331" s="750"/>
      <c r="J1331" s="750"/>
    </row>
    <row r="1332" spans="1:10" x14ac:dyDescent="0.35">
      <c r="A1332" s="92"/>
      <c r="F1332" s="726"/>
      <c r="G1332" s="735"/>
      <c r="H1332" s="93"/>
      <c r="I1332" s="750"/>
      <c r="J1332" s="750"/>
    </row>
    <row r="1333" spans="1:10" x14ac:dyDescent="0.35">
      <c r="A1333" s="92"/>
      <c r="F1333" s="726"/>
      <c r="G1333" s="735"/>
      <c r="H1333" s="93"/>
      <c r="I1333" s="750"/>
      <c r="J1333" s="750"/>
    </row>
    <row r="1334" spans="1:10" x14ac:dyDescent="0.35">
      <c r="A1334" s="92"/>
      <c r="F1334" s="726"/>
      <c r="G1334" s="735"/>
      <c r="H1334" s="93"/>
      <c r="I1334" s="750"/>
      <c r="J1334" s="750"/>
    </row>
    <row r="1335" spans="1:10" x14ac:dyDescent="0.35">
      <c r="A1335" s="92"/>
      <c r="F1335" s="726"/>
      <c r="G1335" s="735"/>
      <c r="H1335" s="93"/>
      <c r="I1335" s="750"/>
      <c r="J1335" s="750"/>
    </row>
    <row r="1336" spans="1:10" x14ac:dyDescent="0.35">
      <c r="A1336" s="92"/>
      <c r="F1336" s="726"/>
      <c r="G1336" s="735"/>
      <c r="H1336" s="93"/>
      <c r="I1336" s="750"/>
      <c r="J1336" s="750"/>
    </row>
    <row r="1337" spans="1:10" x14ac:dyDescent="0.35">
      <c r="A1337" s="92"/>
      <c r="F1337" s="726"/>
      <c r="G1337" s="735"/>
      <c r="H1337" s="93"/>
      <c r="I1337" s="750"/>
      <c r="J1337" s="750"/>
    </row>
    <row r="1338" spans="1:10" x14ac:dyDescent="0.35">
      <c r="A1338" s="92"/>
      <c r="F1338" s="726"/>
      <c r="G1338" s="735"/>
      <c r="H1338" s="93"/>
      <c r="I1338" s="750"/>
      <c r="J1338" s="750"/>
    </row>
    <row r="1339" spans="1:10" x14ac:dyDescent="0.35">
      <c r="A1339" s="92"/>
      <c r="F1339" s="726"/>
      <c r="G1339" s="735"/>
      <c r="H1339" s="93"/>
      <c r="I1339" s="750"/>
      <c r="J1339" s="750"/>
    </row>
    <row r="1340" spans="1:10" x14ac:dyDescent="0.35">
      <c r="A1340" s="92"/>
      <c r="F1340" s="726"/>
      <c r="G1340" s="735"/>
      <c r="H1340" s="93"/>
      <c r="I1340" s="750"/>
      <c r="J1340" s="750"/>
    </row>
    <row r="1341" spans="1:10" x14ac:dyDescent="0.35">
      <c r="A1341" s="92"/>
      <c r="F1341" s="726"/>
      <c r="G1341" s="735"/>
      <c r="H1341" s="93"/>
      <c r="I1341" s="750"/>
      <c r="J1341" s="750"/>
    </row>
    <row r="1342" spans="1:10" x14ac:dyDescent="0.35">
      <c r="A1342" s="92"/>
      <c r="F1342" s="726"/>
      <c r="G1342" s="735"/>
      <c r="H1342" s="93"/>
      <c r="I1342" s="750"/>
      <c r="J1342" s="750"/>
    </row>
    <row r="1343" spans="1:10" x14ac:dyDescent="0.35">
      <c r="A1343" s="92"/>
      <c r="F1343" s="726"/>
      <c r="G1343" s="735"/>
      <c r="H1343" s="93"/>
      <c r="I1343" s="750"/>
      <c r="J1343" s="750"/>
    </row>
    <row r="1344" spans="1:10" x14ac:dyDescent="0.35">
      <c r="A1344" s="92"/>
      <c r="F1344" s="726"/>
      <c r="G1344" s="735"/>
      <c r="H1344" s="93"/>
      <c r="I1344" s="750"/>
      <c r="J1344" s="750"/>
    </row>
    <row r="1345" spans="1:10" x14ac:dyDescent="0.35">
      <c r="A1345" s="92"/>
      <c r="F1345" s="726"/>
      <c r="G1345" s="735"/>
      <c r="H1345" s="93"/>
      <c r="I1345" s="750"/>
      <c r="J1345" s="750"/>
    </row>
    <row r="1346" spans="1:10" x14ac:dyDescent="0.35">
      <c r="A1346" s="92"/>
      <c r="F1346" s="726"/>
      <c r="G1346" s="735"/>
      <c r="H1346" s="93"/>
      <c r="I1346" s="750"/>
      <c r="J1346" s="750"/>
    </row>
    <row r="1347" spans="1:10" x14ac:dyDescent="0.35">
      <c r="A1347" s="92"/>
      <c r="F1347" s="726"/>
      <c r="G1347" s="735"/>
      <c r="H1347" s="93"/>
      <c r="I1347" s="750"/>
      <c r="J1347" s="750"/>
    </row>
    <row r="1348" spans="1:10" x14ac:dyDescent="0.35">
      <c r="A1348" s="92"/>
      <c r="F1348" s="726"/>
      <c r="G1348" s="735"/>
      <c r="H1348" s="93"/>
      <c r="I1348" s="750"/>
      <c r="J1348" s="750"/>
    </row>
    <row r="1349" spans="1:10" x14ac:dyDescent="0.35">
      <c r="A1349" s="92"/>
      <c r="F1349" s="726"/>
      <c r="G1349" s="735"/>
      <c r="H1349" s="93"/>
      <c r="I1349" s="750"/>
      <c r="J1349" s="750"/>
    </row>
    <row r="1350" spans="1:10" x14ac:dyDescent="0.35">
      <c r="A1350" s="92"/>
      <c r="F1350" s="726"/>
      <c r="G1350" s="735"/>
      <c r="H1350" s="93"/>
      <c r="I1350" s="750"/>
      <c r="J1350" s="750"/>
    </row>
    <row r="1351" spans="1:10" x14ac:dyDescent="0.35">
      <c r="A1351" s="92"/>
      <c r="F1351" s="726"/>
      <c r="G1351" s="735"/>
      <c r="H1351" s="93"/>
      <c r="I1351" s="750"/>
      <c r="J1351" s="750"/>
    </row>
    <row r="1352" spans="1:10" x14ac:dyDescent="0.35">
      <c r="A1352" s="92"/>
      <c r="F1352" s="726"/>
      <c r="G1352" s="735"/>
      <c r="H1352" s="93"/>
      <c r="I1352" s="750"/>
      <c r="J1352" s="750"/>
    </row>
    <row r="1353" spans="1:10" x14ac:dyDescent="0.35">
      <c r="A1353" s="92"/>
      <c r="F1353" s="726"/>
      <c r="G1353" s="735"/>
      <c r="H1353" s="93"/>
      <c r="I1353" s="750"/>
      <c r="J1353" s="750"/>
    </row>
    <row r="1354" spans="1:10" x14ac:dyDescent="0.35">
      <c r="A1354" s="92"/>
      <c r="F1354" s="726"/>
      <c r="G1354" s="735"/>
      <c r="H1354" s="93"/>
      <c r="I1354" s="750"/>
      <c r="J1354" s="750"/>
    </row>
    <row r="1355" spans="1:10" x14ac:dyDescent="0.35">
      <c r="A1355" s="92"/>
      <c r="F1355" s="726"/>
      <c r="G1355" s="735"/>
      <c r="H1355" s="93"/>
      <c r="I1355" s="750"/>
      <c r="J1355" s="750"/>
    </row>
    <row r="1356" spans="1:10" x14ac:dyDescent="0.35">
      <c r="A1356" s="92"/>
      <c r="F1356" s="726"/>
      <c r="G1356" s="735"/>
      <c r="H1356" s="93"/>
      <c r="I1356" s="750"/>
      <c r="J1356" s="750"/>
    </row>
    <row r="1357" spans="1:10" x14ac:dyDescent="0.35">
      <c r="A1357" s="92"/>
      <c r="F1357" s="726"/>
      <c r="G1357" s="735"/>
      <c r="H1357" s="93"/>
      <c r="I1357" s="750"/>
      <c r="J1357" s="750"/>
    </row>
    <row r="1358" spans="1:10" x14ac:dyDescent="0.35">
      <c r="A1358" s="92"/>
      <c r="F1358" s="726"/>
      <c r="G1358" s="735"/>
      <c r="H1358" s="93"/>
      <c r="I1358" s="750"/>
      <c r="J1358" s="750"/>
    </row>
    <row r="1359" spans="1:10" x14ac:dyDescent="0.35">
      <c r="A1359" s="92"/>
      <c r="F1359" s="726"/>
      <c r="G1359" s="735"/>
      <c r="H1359" s="93"/>
      <c r="I1359" s="750"/>
      <c r="J1359" s="750"/>
    </row>
    <row r="1360" spans="1:10" x14ac:dyDescent="0.35">
      <c r="A1360" s="92"/>
      <c r="F1360" s="726"/>
      <c r="G1360" s="735"/>
      <c r="H1360" s="93"/>
      <c r="I1360" s="750"/>
      <c r="J1360" s="750"/>
    </row>
    <row r="1361" spans="1:10" x14ac:dyDescent="0.35">
      <c r="A1361" s="92"/>
      <c r="F1361" s="726"/>
      <c r="G1361" s="735"/>
      <c r="H1361" s="93"/>
      <c r="I1361" s="750"/>
      <c r="J1361" s="750"/>
    </row>
    <row r="1362" spans="1:10" x14ac:dyDescent="0.35">
      <c r="A1362" s="92"/>
      <c r="F1362" s="726"/>
      <c r="G1362" s="735"/>
      <c r="H1362" s="93"/>
      <c r="I1362" s="750"/>
      <c r="J1362" s="750"/>
    </row>
    <row r="1363" spans="1:10" x14ac:dyDescent="0.35">
      <c r="A1363" s="92"/>
      <c r="F1363" s="726"/>
      <c r="G1363" s="735"/>
      <c r="H1363" s="93"/>
      <c r="I1363" s="750"/>
      <c r="J1363" s="750"/>
    </row>
    <row r="1364" spans="1:10" x14ac:dyDescent="0.35">
      <c r="A1364" s="92"/>
      <c r="F1364" s="726"/>
      <c r="G1364" s="735"/>
      <c r="H1364" s="93"/>
      <c r="I1364" s="750"/>
      <c r="J1364" s="750"/>
    </row>
    <row r="1365" spans="1:10" x14ac:dyDescent="0.35">
      <c r="A1365" s="92"/>
      <c r="F1365" s="726"/>
      <c r="G1365" s="735"/>
      <c r="H1365" s="93"/>
      <c r="I1365" s="750"/>
      <c r="J1365" s="750"/>
    </row>
    <row r="1366" spans="1:10" x14ac:dyDescent="0.35">
      <c r="A1366" s="92"/>
      <c r="F1366" s="726"/>
      <c r="G1366" s="735"/>
      <c r="H1366" s="93"/>
      <c r="I1366" s="750"/>
      <c r="J1366" s="750"/>
    </row>
    <row r="1367" spans="1:10" x14ac:dyDescent="0.35">
      <c r="A1367" s="92"/>
      <c r="F1367" s="726"/>
      <c r="G1367" s="735"/>
      <c r="H1367" s="93"/>
      <c r="I1367" s="750"/>
      <c r="J1367" s="750"/>
    </row>
    <row r="1368" spans="1:10" x14ac:dyDescent="0.35">
      <c r="A1368" s="92"/>
      <c r="F1368" s="726"/>
      <c r="G1368" s="735"/>
      <c r="H1368" s="93"/>
      <c r="I1368" s="750"/>
      <c r="J1368" s="750"/>
    </row>
    <row r="1369" spans="1:10" x14ac:dyDescent="0.35">
      <c r="A1369" s="92"/>
      <c r="F1369" s="726"/>
      <c r="G1369" s="735"/>
      <c r="H1369" s="93"/>
      <c r="I1369" s="750"/>
      <c r="J1369" s="750"/>
    </row>
    <row r="1370" spans="1:10" x14ac:dyDescent="0.35">
      <c r="A1370" s="92"/>
      <c r="F1370" s="726"/>
      <c r="G1370" s="735"/>
      <c r="H1370" s="93"/>
      <c r="I1370" s="750"/>
      <c r="J1370" s="750"/>
    </row>
    <row r="1371" spans="1:10" x14ac:dyDescent="0.35">
      <c r="A1371" s="92"/>
      <c r="F1371" s="726"/>
      <c r="G1371" s="735"/>
      <c r="H1371" s="93"/>
      <c r="I1371" s="750"/>
      <c r="J1371" s="750"/>
    </row>
    <row r="1372" spans="1:10" x14ac:dyDescent="0.35">
      <c r="A1372" s="92"/>
      <c r="F1372" s="726"/>
      <c r="G1372" s="735"/>
      <c r="H1372" s="93"/>
      <c r="I1372" s="750"/>
      <c r="J1372" s="750"/>
    </row>
    <row r="1373" spans="1:10" x14ac:dyDescent="0.35">
      <c r="A1373" s="92"/>
      <c r="F1373" s="726"/>
      <c r="G1373" s="735"/>
      <c r="H1373" s="93"/>
      <c r="I1373" s="750"/>
      <c r="J1373" s="750"/>
    </row>
    <row r="1374" spans="1:10" x14ac:dyDescent="0.35">
      <c r="A1374" s="92"/>
      <c r="F1374" s="726"/>
      <c r="G1374" s="735"/>
      <c r="H1374" s="93"/>
      <c r="I1374" s="750"/>
      <c r="J1374" s="750"/>
    </row>
    <row r="1375" spans="1:10" x14ac:dyDescent="0.35">
      <c r="A1375" s="92"/>
      <c r="F1375" s="726"/>
      <c r="G1375" s="735"/>
      <c r="H1375" s="93"/>
      <c r="I1375" s="750"/>
      <c r="J1375" s="750"/>
    </row>
    <row r="1376" spans="1:10" x14ac:dyDescent="0.35">
      <c r="A1376" s="92"/>
      <c r="F1376" s="726"/>
      <c r="G1376" s="735"/>
      <c r="H1376" s="93"/>
      <c r="I1376" s="750"/>
      <c r="J1376" s="750"/>
    </row>
    <row r="1377" spans="1:10" x14ac:dyDescent="0.35">
      <c r="A1377" s="92"/>
      <c r="F1377" s="726"/>
      <c r="G1377" s="735"/>
      <c r="H1377" s="93"/>
      <c r="I1377" s="750"/>
      <c r="J1377" s="750"/>
    </row>
    <row r="1378" spans="1:10" x14ac:dyDescent="0.35">
      <c r="A1378" s="92"/>
      <c r="F1378" s="726"/>
      <c r="G1378" s="735"/>
      <c r="H1378" s="93"/>
      <c r="I1378" s="750"/>
      <c r="J1378" s="750"/>
    </row>
    <row r="1379" spans="1:10" x14ac:dyDescent="0.35">
      <c r="A1379" s="92"/>
      <c r="F1379" s="726"/>
      <c r="G1379" s="735"/>
      <c r="H1379" s="93"/>
      <c r="I1379" s="750"/>
      <c r="J1379" s="750"/>
    </row>
    <row r="1380" spans="1:10" x14ac:dyDescent="0.35">
      <c r="A1380" s="92"/>
      <c r="F1380" s="726"/>
      <c r="G1380" s="735"/>
      <c r="H1380" s="93"/>
      <c r="I1380" s="750"/>
      <c r="J1380" s="750"/>
    </row>
    <row r="1381" spans="1:10" x14ac:dyDescent="0.35">
      <c r="A1381" s="92"/>
      <c r="F1381" s="726"/>
      <c r="G1381" s="735"/>
      <c r="H1381" s="93"/>
      <c r="I1381" s="750"/>
      <c r="J1381" s="750"/>
    </row>
    <row r="1382" spans="1:10" x14ac:dyDescent="0.35">
      <c r="A1382" s="92"/>
      <c r="F1382" s="726"/>
      <c r="G1382" s="735"/>
      <c r="H1382" s="93"/>
      <c r="I1382" s="750"/>
      <c r="J1382" s="750"/>
    </row>
    <row r="1383" spans="1:10" x14ac:dyDescent="0.35">
      <c r="A1383" s="92"/>
      <c r="F1383" s="726"/>
      <c r="G1383" s="735"/>
      <c r="H1383" s="93"/>
      <c r="I1383" s="750"/>
      <c r="J1383" s="750"/>
    </row>
    <row r="1384" spans="1:10" x14ac:dyDescent="0.35">
      <c r="A1384" s="92"/>
      <c r="F1384" s="726"/>
      <c r="G1384" s="735"/>
      <c r="H1384" s="93"/>
      <c r="I1384" s="750"/>
      <c r="J1384" s="750"/>
    </row>
    <row r="1385" spans="1:10" x14ac:dyDescent="0.35">
      <c r="A1385" s="92"/>
      <c r="F1385" s="726"/>
      <c r="G1385" s="735"/>
      <c r="H1385" s="93"/>
      <c r="I1385" s="750"/>
      <c r="J1385" s="750"/>
    </row>
    <row r="1386" spans="1:10" x14ac:dyDescent="0.35">
      <c r="A1386" s="92"/>
      <c r="F1386" s="726"/>
      <c r="G1386" s="735"/>
      <c r="H1386" s="93"/>
      <c r="I1386" s="750"/>
      <c r="J1386" s="750"/>
    </row>
    <row r="1387" spans="1:10" x14ac:dyDescent="0.35">
      <c r="A1387" s="92"/>
      <c r="F1387" s="726"/>
      <c r="G1387" s="735"/>
      <c r="H1387" s="93"/>
      <c r="I1387" s="750"/>
      <c r="J1387" s="750"/>
    </row>
    <row r="1388" spans="1:10" x14ac:dyDescent="0.35">
      <c r="A1388" s="92"/>
      <c r="F1388" s="726"/>
      <c r="G1388" s="735"/>
      <c r="H1388" s="93"/>
      <c r="I1388" s="750"/>
      <c r="J1388" s="750"/>
    </row>
    <row r="1389" spans="1:10" x14ac:dyDescent="0.35">
      <c r="A1389" s="92"/>
      <c r="F1389" s="726"/>
      <c r="G1389" s="735"/>
      <c r="H1389" s="93"/>
      <c r="I1389" s="750"/>
      <c r="J1389" s="750"/>
    </row>
    <row r="1390" spans="1:10" x14ac:dyDescent="0.35">
      <c r="A1390" s="92"/>
      <c r="F1390" s="726"/>
      <c r="G1390" s="735"/>
      <c r="H1390" s="93"/>
      <c r="I1390" s="750"/>
      <c r="J1390" s="750"/>
    </row>
    <row r="1391" spans="1:10" x14ac:dyDescent="0.35">
      <c r="A1391" s="92"/>
      <c r="F1391" s="726"/>
      <c r="G1391" s="735"/>
      <c r="H1391" s="93"/>
      <c r="I1391" s="750"/>
      <c r="J1391" s="750"/>
    </row>
    <row r="1392" spans="1:10" x14ac:dyDescent="0.35">
      <c r="A1392" s="92"/>
      <c r="F1392" s="726"/>
      <c r="G1392" s="735"/>
      <c r="H1392" s="93"/>
      <c r="I1392" s="750"/>
      <c r="J1392" s="750"/>
    </row>
    <row r="1393" spans="1:10" x14ac:dyDescent="0.35">
      <c r="A1393" s="92"/>
      <c r="F1393" s="726"/>
      <c r="G1393" s="735"/>
      <c r="H1393" s="93"/>
      <c r="I1393" s="750"/>
      <c r="J1393" s="750"/>
    </row>
    <row r="1394" spans="1:10" x14ac:dyDescent="0.35">
      <c r="A1394" s="92"/>
      <c r="F1394" s="726"/>
      <c r="G1394" s="735"/>
      <c r="H1394" s="93"/>
      <c r="I1394" s="750"/>
      <c r="J1394" s="750"/>
    </row>
    <row r="1395" spans="1:10" x14ac:dyDescent="0.35">
      <c r="A1395" s="92"/>
      <c r="F1395" s="726"/>
      <c r="G1395" s="735"/>
      <c r="H1395" s="93"/>
      <c r="I1395" s="750"/>
      <c r="J1395" s="750"/>
    </row>
    <row r="1396" spans="1:10" x14ac:dyDescent="0.35">
      <c r="A1396" s="92"/>
      <c r="F1396" s="726"/>
      <c r="G1396" s="735"/>
      <c r="H1396" s="93"/>
      <c r="I1396" s="750"/>
      <c r="J1396" s="750"/>
    </row>
    <row r="1397" spans="1:10" x14ac:dyDescent="0.35">
      <c r="A1397" s="92"/>
      <c r="F1397" s="726"/>
      <c r="G1397" s="735"/>
      <c r="H1397" s="93"/>
      <c r="I1397" s="750"/>
      <c r="J1397" s="750"/>
    </row>
    <row r="1398" spans="1:10" x14ac:dyDescent="0.35">
      <c r="A1398" s="92"/>
      <c r="F1398" s="726"/>
      <c r="G1398" s="735"/>
      <c r="H1398" s="93"/>
      <c r="I1398" s="750"/>
      <c r="J1398" s="750"/>
    </row>
    <row r="1399" spans="1:10" x14ac:dyDescent="0.35">
      <c r="A1399" s="92"/>
      <c r="F1399" s="726"/>
      <c r="G1399" s="735"/>
      <c r="H1399" s="93"/>
      <c r="I1399" s="750"/>
      <c r="J1399" s="750"/>
    </row>
    <row r="1400" spans="1:10" x14ac:dyDescent="0.35">
      <c r="A1400" s="92"/>
      <c r="F1400" s="726"/>
      <c r="G1400" s="735"/>
      <c r="H1400" s="93"/>
      <c r="I1400" s="750"/>
      <c r="J1400" s="750"/>
    </row>
    <row r="1401" spans="1:10" x14ac:dyDescent="0.35">
      <c r="A1401" s="92"/>
      <c r="F1401" s="726"/>
      <c r="G1401" s="735"/>
      <c r="H1401" s="93"/>
      <c r="I1401" s="750"/>
      <c r="J1401" s="750"/>
    </row>
    <row r="1402" spans="1:10" x14ac:dyDescent="0.35">
      <c r="A1402" s="92"/>
      <c r="F1402" s="726"/>
      <c r="G1402" s="735"/>
      <c r="H1402" s="93"/>
      <c r="I1402" s="750"/>
      <c r="J1402" s="750"/>
    </row>
    <row r="1403" spans="1:10" x14ac:dyDescent="0.35">
      <c r="A1403" s="92"/>
      <c r="F1403" s="726"/>
      <c r="G1403" s="735"/>
      <c r="H1403" s="93"/>
      <c r="I1403" s="750"/>
      <c r="J1403" s="750"/>
    </row>
    <row r="1404" spans="1:10" x14ac:dyDescent="0.35">
      <c r="A1404" s="92"/>
      <c r="F1404" s="726"/>
      <c r="G1404" s="735"/>
      <c r="H1404" s="93"/>
      <c r="I1404" s="750"/>
      <c r="J1404" s="750"/>
    </row>
    <row r="1405" spans="1:10" x14ac:dyDescent="0.35">
      <c r="A1405" s="92"/>
      <c r="F1405" s="726"/>
      <c r="G1405" s="735"/>
      <c r="H1405" s="93"/>
      <c r="I1405" s="750"/>
      <c r="J1405" s="750"/>
    </row>
    <row r="1406" spans="1:10" x14ac:dyDescent="0.35">
      <c r="A1406" s="92"/>
      <c r="F1406" s="726"/>
      <c r="G1406" s="735"/>
      <c r="H1406" s="93"/>
      <c r="I1406" s="750"/>
      <c r="J1406" s="750"/>
    </row>
    <row r="1407" spans="1:10" x14ac:dyDescent="0.35">
      <c r="A1407" s="92"/>
      <c r="F1407" s="726"/>
      <c r="G1407" s="735"/>
      <c r="H1407" s="93"/>
      <c r="I1407" s="750"/>
      <c r="J1407" s="750"/>
    </row>
    <row r="1408" spans="1:10" x14ac:dyDescent="0.35">
      <c r="A1408" s="92"/>
      <c r="F1408" s="726"/>
      <c r="G1408" s="735"/>
      <c r="H1408" s="93"/>
      <c r="I1408" s="750"/>
      <c r="J1408" s="750"/>
    </row>
    <row r="1409" spans="1:10" x14ac:dyDescent="0.35">
      <c r="A1409" s="92"/>
      <c r="F1409" s="726"/>
      <c r="G1409" s="735"/>
      <c r="H1409" s="93"/>
      <c r="I1409" s="750"/>
      <c r="J1409" s="750"/>
    </row>
    <row r="1410" spans="1:10" x14ac:dyDescent="0.35">
      <c r="A1410" s="92"/>
      <c r="F1410" s="726"/>
      <c r="G1410" s="735"/>
      <c r="H1410" s="93"/>
      <c r="I1410" s="750"/>
      <c r="J1410" s="750"/>
    </row>
    <row r="1411" spans="1:10" x14ac:dyDescent="0.35">
      <c r="A1411" s="92"/>
      <c r="F1411" s="726"/>
      <c r="G1411" s="735"/>
      <c r="H1411" s="93"/>
      <c r="I1411" s="750"/>
      <c r="J1411" s="750"/>
    </row>
    <row r="1412" spans="1:10" x14ac:dyDescent="0.35">
      <c r="A1412" s="92"/>
      <c r="F1412" s="726"/>
      <c r="G1412" s="735"/>
      <c r="H1412" s="93"/>
      <c r="I1412" s="750"/>
      <c r="J1412" s="750"/>
    </row>
    <row r="1413" spans="1:10" x14ac:dyDescent="0.35">
      <c r="A1413" s="92"/>
      <c r="F1413" s="726"/>
      <c r="G1413" s="735"/>
      <c r="H1413" s="93"/>
      <c r="I1413" s="750"/>
      <c r="J1413" s="750"/>
    </row>
    <row r="1414" spans="1:10" x14ac:dyDescent="0.35">
      <c r="A1414" s="92"/>
      <c r="F1414" s="726"/>
      <c r="G1414" s="735"/>
      <c r="H1414" s="93"/>
      <c r="I1414" s="750"/>
      <c r="J1414" s="750"/>
    </row>
    <row r="1415" spans="1:10" x14ac:dyDescent="0.35">
      <c r="A1415" s="92"/>
      <c r="F1415" s="726"/>
      <c r="G1415" s="735"/>
      <c r="H1415" s="93"/>
      <c r="I1415" s="750"/>
      <c r="J1415" s="750"/>
    </row>
    <row r="1416" spans="1:10" x14ac:dyDescent="0.35">
      <c r="A1416" s="92"/>
      <c r="F1416" s="726"/>
      <c r="G1416" s="735"/>
      <c r="H1416" s="93"/>
      <c r="I1416" s="750"/>
      <c r="J1416" s="750"/>
    </row>
    <row r="1417" spans="1:10" x14ac:dyDescent="0.35">
      <c r="A1417" s="92"/>
      <c r="F1417" s="726"/>
      <c r="G1417" s="735"/>
      <c r="H1417" s="93"/>
      <c r="I1417" s="750"/>
      <c r="J1417" s="750"/>
    </row>
    <row r="1418" spans="1:10" x14ac:dyDescent="0.35">
      <c r="A1418" s="92"/>
      <c r="F1418" s="726"/>
      <c r="G1418" s="735"/>
      <c r="H1418" s="93"/>
      <c r="I1418" s="750"/>
      <c r="J1418" s="750"/>
    </row>
    <row r="1419" spans="1:10" x14ac:dyDescent="0.35">
      <c r="A1419" s="92"/>
      <c r="F1419" s="726"/>
      <c r="G1419" s="735"/>
      <c r="H1419" s="93"/>
      <c r="I1419" s="750"/>
      <c r="J1419" s="750"/>
    </row>
    <row r="1420" spans="1:10" x14ac:dyDescent="0.35">
      <c r="A1420" s="92"/>
      <c r="F1420" s="726"/>
      <c r="G1420" s="735"/>
      <c r="H1420" s="93"/>
      <c r="I1420" s="750"/>
      <c r="J1420" s="750"/>
    </row>
    <row r="1421" spans="1:10" x14ac:dyDescent="0.35">
      <c r="A1421" s="92"/>
      <c r="F1421" s="726"/>
      <c r="G1421" s="735"/>
      <c r="H1421" s="93"/>
      <c r="I1421" s="750"/>
      <c r="J1421" s="750"/>
    </row>
    <row r="1422" spans="1:10" x14ac:dyDescent="0.35">
      <c r="A1422" s="92"/>
      <c r="F1422" s="726"/>
      <c r="G1422" s="735"/>
      <c r="H1422" s="93"/>
      <c r="I1422" s="750"/>
      <c r="J1422" s="750"/>
    </row>
    <row r="1423" spans="1:10" x14ac:dyDescent="0.35">
      <c r="A1423" s="92"/>
      <c r="F1423" s="726"/>
      <c r="G1423" s="735"/>
      <c r="H1423" s="93"/>
      <c r="I1423" s="750"/>
      <c r="J1423" s="750"/>
    </row>
    <row r="1424" spans="1:10" x14ac:dyDescent="0.35">
      <c r="A1424" s="92"/>
      <c r="F1424" s="726"/>
      <c r="G1424" s="735"/>
      <c r="H1424" s="93"/>
      <c r="I1424" s="750"/>
      <c r="J1424" s="750"/>
    </row>
    <row r="1425" spans="1:10" x14ac:dyDescent="0.35">
      <c r="A1425" s="92"/>
      <c r="F1425" s="726"/>
      <c r="G1425" s="735"/>
      <c r="H1425" s="93"/>
      <c r="I1425" s="750"/>
      <c r="J1425" s="750"/>
    </row>
    <row r="1426" spans="1:10" x14ac:dyDescent="0.35">
      <c r="A1426" s="92"/>
      <c r="F1426" s="726"/>
      <c r="G1426" s="735"/>
      <c r="H1426" s="93"/>
      <c r="I1426" s="750"/>
      <c r="J1426" s="750"/>
    </row>
    <row r="1427" spans="1:10" x14ac:dyDescent="0.35">
      <c r="A1427" s="92"/>
      <c r="F1427" s="726"/>
      <c r="G1427" s="735"/>
      <c r="H1427" s="93"/>
      <c r="I1427" s="750"/>
      <c r="J1427" s="750"/>
    </row>
    <row r="1428" spans="1:10" x14ac:dyDescent="0.35">
      <c r="A1428" s="92"/>
      <c r="F1428" s="726"/>
      <c r="G1428" s="735"/>
      <c r="H1428" s="93"/>
      <c r="I1428" s="750"/>
      <c r="J1428" s="750"/>
    </row>
    <row r="1429" spans="1:10" x14ac:dyDescent="0.35">
      <c r="A1429" s="92"/>
      <c r="F1429" s="726"/>
      <c r="G1429" s="735"/>
      <c r="H1429" s="93"/>
      <c r="I1429" s="750"/>
      <c r="J1429" s="750"/>
    </row>
    <row r="1430" spans="1:10" x14ac:dyDescent="0.35">
      <c r="A1430" s="92"/>
      <c r="F1430" s="726"/>
      <c r="G1430" s="735"/>
      <c r="H1430" s="93"/>
      <c r="I1430" s="750"/>
      <c r="J1430" s="750"/>
    </row>
    <row r="1431" spans="1:10" x14ac:dyDescent="0.35">
      <c r="A1431" s="92"/>
      <c r="F1431" s="726"/>
      <c r="G1431" s="735"/>
      <c r="H1431" s="93"/>
      <c r="I1431" s="750"/>
      <c r="J1431" s="750"/>
    </row>
    <row r="1432" spans="1:10" x14ac:dyDescent="0.35">
      <c r="A1432" s="92"/>
      <c r="F1432" s="726"/>
      <c r="G1432" s="735"/>
      <c r="H1432" s="93"/>
      <c r="I1432" s="750"/>
      <c r="J1432" s="750"/>
    </row>
    <row r="1433" spans="1:10" x14ac:dyDescent="0.35">
      <c r="A1433" s="92"/>
      <c r="F1433" s="726"/>
      <c r="G1433" s="735"/>
      <c r="H1433" s="93"/>
      <c r="I1433" s="750"/>
      <c r="J1433" s="750"/>
    </row>
    <row r="1434" spans="1:10" x14ac:dyDescent="0.35">
      <c r="A1434" s="92"/>
      <c r="F1434" s="726"/>
      <c r="G1434" s="735"/>
      <c r="H1434" s="93"/>
      <c r="I1434" s="750"/>
      <c r="J1434" s="750"/>
    </row>
    <row r="1435" spans="1:10" x14ac:dyDescent="0.35">
      <c r="A1435" s="92"/>
      <c r="F1435" s="726"/>
      <c r="G1435" s="735"/>
      <c r="H1435" s="93"/>
      <c r="I1435" s="750"/>
      <c r="J1435" s="750"/>
    </row>
    <row r="1436" spans="1:10" x14ac:dyDescent="0.35">
      <c r="A1436" s="92"/>
      <c r="F1436" s="726"/>
      <c r="G1436" s="735"/>
      <c r="H1436" s="93"/>
      <c r="I1436" s="750"/>
      <c r="J1436" s="750"/>
    </row>
    <row r="1437" spans="1:10" x14ac:dyDescent="0.35">
      <c r="A1437" s="92"/>
      <c r="F1437" s="726"/>
      <c r="G1437" s="735"/>
      <c r="H1437" s="93"/>
      <c r="I1437" s="750"/>
      <c r="J1437" s="750"/>
    </row>
    <row r="1438" spans="1:10" x14ac:dyDescent="0.35">
      <c r="A1438" s="92"/>
      <c r="F1438" s="726"/>
      <c r="G1438" s="735"/>
      <c r="H1438" s="93"/>
      <c r="I1438" s="750"/>
      <c r="J1438" s="750"/>
    </row>
    <row r="1439" spans="1:10" x14ac:dyDescent="0.35">
      <c r="A1439" s="92"/>
      <c r="F1439" s="726"/>
      <c r="G1439" s="735"/>
      <c r="H1439" s="93"/>
      <c r="I1439" s="750"/>
      <c r="J1439" s="750"/>
    </row>
    <row r="1440" spans="1:10" x14ac:dyDescent="0.35">
      <c r="A1440" s="92"/>
      <c r="F1440" s="726"/>
      <c r="G1440" s="735"/>
      <c r="H1440" s="93"/>
      <c r="I1440" s="750"/>
      <c r="J1440" s="750"/>
    </row>
    <row r="1441" spans="1:10" x14ac:dyDescent="0.35">
      <c r="A1441" s="92"/>
      <c r="F1441" s="726"/>
      <c r="G1441" s="735"/>
      <c r="H1441" s="93"/>
      <c r="I1441" s="750"/>
      <c r="J1441" s="750"/>
    </row>
    <row r="1442" spans="1:10" x14ac:dyDescent="0.35">
      <c r="A1442" s="92"/>
      <c r="F1442" s="726"/>
      <c r="G1442" s="735"/>
      <c r="H1442" s="93"/>
      <c r="I1442" s="750"/>
      <c r="J1442" s="750"/>
    </row>
    <row r="1443" spans="1:10" x14ac:dyDescent="0.35">
      <c r="A1443" s="92"/>
      <c r="F1443" s="726"/>
      <c r="G1443" s="735"/>
      <c r="H1443" s="93"/>
      <c r="I1443" s="750"/>
      <c r="J1443" s="750"/>
    </row>
    <row r="1444" spans="1:10" x14ac:dyDescent="0.35">
      <c r="A1444" s="92"/>
      <c r="F1444" s="726"/>
      <c r="G1444" s="735"/>
      <c r="H1444" s="93"/>
      <c r="I1444" s="750"/>
      <c r="J1444" s="750"/>
    </row>
    <row r="1445" spans="1:10" x14ac:dyDescent="0.35">
      <c r="A1445" s="92"/>
      <c r="F1445" s="726"/>
      <c r="G1445" s="735"/>
      <c r="H1445" s="93"/>
      <c r="I1445" s="750"/>
      <c r="J1445" s="750"/>
    </row>
    <row r="1446" spans="1:10" x14ac:dyDescent="0.35">
      <c r="A1446" s="92"/>
      <c r="F1446" s="726"/>
      <c r="G1446" s="735"/>
      <c r="H1446" s="93"/>
      <c r="I1446" s="750"/>
      <c r="J1446" s="750"/>
    </row>
    <row r="1447" spans="1:10" x14ac:dyDescent="0.35">
      <c r="A1447" s="92"/>
      <c r="F1447" s="726"/>
      <c r="G1447" s="735"/>
      <c r="H1447" s="93"/>
      <c r="I1447" s="750"/>
      <c r="J1447" s="750"/>
    </row>
    <row r="1448" spans="1:10" x14ac:dyDescent="0.35">
      <c r="A1448" s="92"/>
      <c r="F1448" s="726"/>
      <c r="G1448" s="735"/>
      <c r="H1448" s="93"/>
      <c r="I1448" s="750"/>
      <c r="J1448" s="750"/>
    </row>
    <row r="1449" spans="1:10" x14ac:dyDescent="0.35">
      <c r="A1449" s="92"/>
      <c r="F1449" s="726"/>
      <c r="G1449" s="735"/>
      <c r="H1449" s="93"/>
      <c r="I1449" s="750"/>
      <c r="J1449" s="750"/>
    </row>
    <row r="1450" spans="1:10" x14ac:dyDescent="0.35">
      <c r="A1450" s="92"/>
      <c r="F1450" s="726"/>
      <c r="G1450" s="735"/>
      <c r="H1450" s="93"/>
      <c r="I1450" s="750"/>
      <c r="J1450" s="750"/>
    </row>
    <row r="1451" spans="1:10" x14ac:dyDescent="0.35">
      <c r="A1451" s="92"/>
      <c r="F1451" s="726"/>
      <c r="G1451" s="735"/>
      <c r="H1451" s="93"/>
      <c r="I1451" s="750"/>
      <c r="J1451" s="750"/>
    </row>
    <row r="1452" spans="1:10" x14ac:dyDescent="0.35">
      <c r="A1452" s="92"/>
      <c r="F1452" s="726"/>
      <c r="G1452" s="735"/>
      <c r="H1452" s="93"/>
      <c r="I1452" s="750"/>
      <c r="J1452" s="750"/>
    </row>
    <row r="1453" spans="1:10" x14ac:dyDescent="0.35">
      <c r="A1453" s="92"/>
      <c r="F1453" s="726"/>
      <c r="G1453" s="735"/>
      <c r="H1453" s="93"/>
      <c r="I1453" s="750"/>
      <c r="J1453" s="750"/>
    </row>
    <row r="1454" spans="1:10" x14ac:dyDescent="0.35">
      <c r="A1454" s="92"/>
      <c r="F1454" s="726"/>
      <c r="G1454" s="735"/>
      <c r="H1454" s="93"/>
      <c r="I1454" s="750"/>
      <c r="J1454" s="750"/>
    </row>
    <row r="1455" spans="1:10" x14ac:dyDescent="0.35">
      <c r="A1455" s="92"/>
      <c r="F1455" s="726"/>
      <c r="G1455" s="735"/>
      <c r="H1455" s="93"/>
      <c r="I1455" s="750"/>
      <c r="J1455" s="750"/>
    </row>
    <row r="1456" spans="1:10" x14ac:dyDescent="0.35">
      <c r="A1456" s="92"/>
      <c r="F1456" s="726"/>
      <c r="G1456" s="735"/>
      <c r="H1456" s="93"/>
      <c r="I1456" s="750"/>
      <c r="J1456" s="750"/>
    </row>
    <row r="1457" spans="1:10" x14ac:dyDescent="0.35">
      <c r="A1457" s="92"/>
      <c r="F1457" s="726"/>
      <c r="G1457" s="735"/>
      <c r="H1457" s="93"/>
      <c r="I1457" s="750"/>
      <c r="J1457" s="750"/>
    </row>
    <row r="1458" spans="1:10" x14ac:dyDescent="0.35">
      <c r="A1458" s="92"/>
      <c r="F1458" s="726"/>
      <c r="G1458" s="735"/>
      <c r="H1458" s="93"/>
      <c r="I1458" s="750"/>
      <c r="J1458" s="750"/>
    </row>
    <row r="1459" spans="1:10" x14ac:dyDescent="0.35">
      <c r="A1459" s="92"/>
      <c r="F1459" s="726"/>
      <c r="G1459" s="735"/>
      <c r="H1459" s="93"/>
      <c r="I1459" s="750"/>
      <c r="J1459" s="750"/>
    </row>
    <row r="1460" spans="1:10" x14ac:dyDescent="0.35">
      <c r="A1460" s="92"/>
      <c r="F1460" s="726"/>
      <c r="G1460" s="735"/>
      <c r="H1460" s="93"/>
      <c r="I1460" s="750"/>
      <c r="J1460" s="750"/>
    </row>
    <row r="1461" spans="1:10" x14ac:dyDescent="0.35">
      <c r="A1461" s="92"/>
      <c r="F1461" s="726"/>
      <c r="G1461" s="735"/>
      <c r="H1461" s="93"/>
      <c r="I1461" s="750"/>
      <c r="J1461" s="750"/>
    </row>
    <row r="1462" spans="1:10" x14ac:dyDescent="0.35">
      <c r="A1462" s="92"/>
      <c r="F1462" s="726"/>
      <c r="G1462" s="735"/>
      <c r="H1462" s="93"/>
      <c r="I1462" s="750"/>
      <c r="J1462" s="750"/>
    </row>
    <row r="1463" spans="1:10" x14ac:dyDescent="0.35">
      <c r="A1463" s="92"/>
      <c r="F1463" s="726"/>
      <c r="G1463" s="735"/>
      <c r="H1463" s="93"/>
      <c r="I1463" s="750"/>
      <c r="J1463" s="750"/>
    </row>
    <row r="1464" spans="1:10" x14ac:dyDescent="0.35">
      <c r="A1464" s="92"/>
      <c r="F1464" s="726"/>
      <c r="G1464" s="735"/>
      <c r="H1464" s="93"/>
      <c r="I1464" s="750"/>
      <c r="J1464" s="750"/>
    </row>
    <row r="1465" spans="1:10" x14ac:dyDescent="0.35">
      <c r="A1465" s="92"/>
      <c r="F1465" s="726"/>
      <c r="G1465" s="735"/>
      <c r="H1465" s="93"/>
      <c r="I1465" s="750"/>
      <c r="J1465" s="750"/>
    </row>
    <row r="1466" spans="1:10" x14ac:dyDescent="0.35">
      <c r="A1466" s="92"/>
      <c r="F1466" s="726"/>
      <c r="G1466" s="735"/>
      <c r="H1466" s="93"/>
      <c r="I1466" s="750"/>
      <c r="J1466" s="750"/>
    </row>
    <row r="1467" spans="1:10" x14ac:dyDescent="0.35">
      <c r="A1467" s="92"/>
      <c r="F1467" s="726"/>
      <c r="G1467" s="735"/>
      <c r="H1467" s="93"/>
      <c r="I1467" s="750"/>
      <c r="J1467" s="750"/>
    </row>
    <row r="1468" spans="1:10" x14ac:dyDescent="0.35">
      <c r="A1468" s="92"/>
      <c r="F1468" s="726"/>
      <c r="G1468" s="735"/>
      <c r="H1468" s="93"/>
      <c r="I1468" s="750"/>
      <c r="J1468" s="750"/>
    </row>
    <row r="1469" spans="1:10" x14ac:dyDescent="0.35">
      <c r="A1469" s="92"/>
      <c r="F1469" s="726"/>
      <c r="G1469" s="735"/>
      <c r="H1469" s="93"/>
      <c r="I1469" s="750"/>
      <c r="J1469" s="750"/>
    </row>
    <row r="1470" spans="1:10" x14ac:dyDescent="0.35">
      <c r="A1470" s="92"/>
      <c r="F1470" s="726"/>
      <c r="G1470" s="735"/>
      <c r="H1470" s="93"/>
      <c r="I1470" s="750"/>
      <c r="J1470" s="750"/>
    </row>
    <row r="1471" spans="1:10" x14ac:dyDescent="0.35">
      <c r="A1471" s="92"/>
      <c r="F1471" s="726"/>
      <c r="G1471" s="735"/>
      <c r="H1471" s="93"/>
      <c r="I1471" s="750"/>
      <c r="J1471" s="750"/>
    </row>
    <row r="1472" spans="1:10" x14ac:dyDescent="0.35">
      <c r="A1472" s="92"/>
      <c r="F1472" s="726"/>
      <c r="G1472" s="735"/>
      <c r="H1472" s="93"/>
      <c r="I1472" s="750"/>
      <c r="J1472" s="750"/>
    </row>
    <row r="1473" spans="1:10" x14ac:dyDescent="0.35">
      <c r="A1473" s="92"/>
      <c r="F1473" s="726"/>
      <c r="G1473" s="735"/>
      <c r="H1473" s="93"/>
      <c r="I1473" s="750"/>
      <c r="J1473" s="750"/>
    </row>
    <row r="1474" spans="1:10" x14ac:dyDescent="0.35">
      <c r="A1474" s="92"/>
      <c r="F1474" s="726"/>
      <c r="G1474" s="735"/>
      <c r="H1474" s="93"/>
      <c r="I1474" s="750"/>
      <c r="J1474" s="750"/>
    </row>
    <row r="1475" spans="1:10" x14ac:dyDescent="0.35">
      <c r="A1475" s="92"/>
      <c r="F1475" s="726"/>
      <c r="G1475" s="735"/>
      <c r="H1475" s="93"/>
      <c r="I1475" s="750"/>
      <c r="J1475" s="750"/>
    </row>
    <row r="1476" spans="1:10" x14ac:dyDescent="0.35">
      <c r="A1476" s="92"/>
      <c r="F1476" s="726"/>
      <c r="G1476" s="735"/>
      <c r="H1476" s="93"/>
      <c r="I1476" s="750"/>
      <c r="J1476" s="750"/>
    </row>
    <row r="1477" spans="1:10" x14ac:dyDescent="0.35">
      <c r="A1477" s="92"/>
      <c r="F1477" s="726"/>
      <c r="G1477" s="735"/>
      <c r="H1477" s="93"/>
      <c r="I1477" s="750"/>
      <c r="J1477" s="750"/>
    </row>
    <row r="1478" spans="1:10" x14ac:dyDescent="0.35">
      <c r="A1478" s="92"/>
      <c r="F1478" s="726"/>
      <c r="G1478" s="735"/>
      <c r="H1478" s="93"/>
      <c r="I1478" s="750"/>
      <c r="J1478" s="750"/>
    </row>
    <row r="1479" spans="1:10" x14ac:dyDescent="0.35">
      <c r="A1479" s="92"/>
      <c r="F1479" s="726"/>
      <c r="G1479" s="735"/>
      <c r="H1479" s="93"/>
      <c r="I1479" s="750"/>
      <c r="J1479" s="750"/>
    </row>
    <row r="1480" spans="1:10" x14ac:dyDescent="0.35">
      <c r="A1480" s="92"/>
      <c r="F1480" s="726"/>
      <c r="G1480" s="735"/>
      <c r="H1480" s="93"/>
      <c r="I1480" s="750"/>
      <c r="J1480" s="750"/>
    </row>
    <row r="1481" spans="1:10" x14ac:dyDescent="0.35">
      <c r="A1481" s="92"/>
      <c r="F1481" s="726"/>
      <c r="G1481" s="735"/>
      <c r="H1481" s="93"/>
      <c r="I1481" s="750"/>
      <c r="J1481" s="750"/>
    </row>
    <row r="1482" spans="1:10" x14ac:dyDescent="0.35">
      <c r="A1482" s="92"/>
      <c r="F1482" s="726"/>
      <c r="G1482" s="735"/>
      <c r="H1482" s="93"/>
      <c r="I1482" s="750"/>
      <c r="J1482" s="750"/>
    </row>
    <row r="1483" spans="1:10" x14ac:dyDescent="0.35">
      <c r="A1483" s="92"/>
      <c r="F1483" s="726"/>
      <c r="G1483" s="735"/>
      <c r="H1483" s="93"/>
      <c r="I1483" s="750"/>
      <c r="J1483" s="750"/>
    </row>
    <row r="1484" spans="1:10" x14ac:dyDescent="0.35">
      <c r="A1484" s="92"/>
      <c r="F1484" s="726"/>
      <c r="G1484" s="735"/>
      <c r="H1484" s="93"/>
      <c r="I1484" s="750"/>
      <c r="J1484" s="750"/>
    </row>
    <row r="1485" spans="1:10" x14ac:dyDescent="0.35">
      <c r="A1485" s="92"/>
      <c r="F1485" s="726"/>
      <c r="G1485" s="735"/>
      <c r="H1485" s="93"/>
      <c r="I1485" s="750"/>
      <c r="J1485" s="750"/>
    </row>
    <row r="1486" spans="1:10" x14ac:dyDescent="0.35">
      <c r="A1486" s="92"/>
      <c r="F1486" s="726"/>
      <c r="G1486" s="735"/>
      <c r="H1486" s="93"/>
      <c r="I1486" s="750"/>
      <c r="J1486" s="750"/>
    </row>
    <row r="1487" spans="1:10" x14ac:dyDescent="0.35">
      <c r="A1487" s="92"/>
      <c r="F1487" s="726"/>
      <c r="G1487" s="735"/>
      <c r="H1487" s="93"/>
      <c r="I1487" s="750"/>
      <c r="J1487" s="750"/>
    </row>
    <row r="1488" spans="1:10" x14ac:dyDescent="0.35">
      <c r="A1488" s="92"/>
      <c r="F1488" s="726"/>
      <c r="G1488" s="735"/>
      <c r="H1488" s="93"/>
      <c r="I1488" s="750"/>
      <c r="J1488" s="750"/>
    </row>
    <row r="1489" spans="1:10" x14ac:dyDescent="0.35">
      <c r="A1489" s="92"/>
      <c r="F1489" s="726"/>
      <c r="G1489" s="735"/>
      <c r="H1489" s="93"/>
      <c r="I1489" s="750"/>
      <c r="J1489" s="750"/>
    </row>
    <row r="1490" spans="1:10" x14ac:dyDescent="0.35">
      <c r="A1490" s="92"/>
      <c r="F1490" s="726"/>
      <c r="G1490" s="735"/>
      <c r="H1490" s="93"/>
      <c r="I1490" s="750"/>
      <c r="J1490" s="750"/>
    </row>
    <row r="1491" spans="1:10" x14ac:dyDescent="0.35">
      <c r="A1491" s="92"/>
      <c r="F1491" s="726"/>
      <c r="G1491" s="735"/>
      <c r="H1491" s="93"/>
      <c r="I1491" s="750"/>
      <c r="J1491" s="750"/>
    </row>
    <row r="1492" spans="1:10" x14ac:dyDescent="0.35">
      <c r="A1492" s="92"/>
      <c r="F1492" s="726"/>
      <c r="G1492" s="735"/>
      <c r="H1492" s="93"/>
      <c r="I1492" s="750"/>
      <c r="J1492" s="750"/>
    </row>
    <row r="1493" spans="1:10" x14ac:dyDescent="0.35">
      <c r="A1493" s="92"/>
      <c r="F1493" s="726"/>
      <c r="G1493" s="735"/>
      <c r="H1493" s="93"/>
      <c r="I1493" s="750"/>
      <c r="J1493" s="750"/>
    </row>
    <row r="1494" spans="1:10" x14ac:dyDescent="0.35">
      <c r="A1494" s="92"/>
      <c r="F1494" s="726"/>
      <c r="G1494" s="735"/>
      <c r="H1494" s="93"/>
      <c r="I1494" s="750"/>
      <c r="J1494" s="750"/>
    </row>
    <row r="1495" spans="1:10" x14ac:dyDescent="0.35">
      <c r="A1495" s="92"/>
      <c r="F1495" s="726"/>
      <c r="G1495" s="735"/>
      <c r="H1495" s="93"/>
      <c r="I1495" s="750"/>
      <c r="J1495" s="750"/>
    </row>
    <row r="1496" spans="1:10" x14ac:dyDescent="0.35">
      <c r="A1496" s="92"/>
      <c r="F1496" s="726"/>
      <c r="G1496" s="735"/>
      <c r="H1496" s="93"/>
      <c r="I1496" s="750"/>
      <c r="J1496" s="750"/>
    </row>
    <row r="1497" spans="1:10" x14ac:dyDescent="0.35">
      <c r="A1497" s="92"/>
      <c r="F1497" s="726"/>
      <c r="G1497" s="735"/>
      <c r="H1497" s="93"/>
      <c r="I1497" s="750"/>
      <c r="J1497" s="750"/>
    </row>
    <row r="1498" spans="1:10" x14ac:dyDescent="0.35">
      <c r="A1498" s="92"/>
      <c r="F1498" s="726"/>
      <c r="G1498" s="735"/>
      <c r="H1498" s="93"/>
      <c r="I1498" s="750"/>
      <c r="J1498" s="750"/>
    </row>
    <row r="1499" spans="1:10" x14ac:dyDescent="0.35">
      <c r="A1499" s="92"/>
      <c r="F1499" s="726"/>
      <c r="G1499" s="735"/>
      <c r="H1499" s="93"/>
      <c r="I1499" s="750"/>
      <c r="J1499" s="750"/>
    </row>
    <row r="1500" spans="1:10" x14ac:dyDescent="0.35">
      <c r="A1500" s="92"/>
      <c r="F1500" s="726"/>
      <c r="G1500" s="735"/>
      <c r="H1500" s="93"/>
      <c r="I1500" s="750"/>
      <c r="J1500" s="750"/>
    </row>
    <row r="1501" spans="1:10" x14ac:dyDescent="0.35">
      <c r="A1501" s="92"/>
      <c r="F1501" s="726"/>
      <c r="G1501" s="735"/>
      <c r="H1501" s="93"/>
      <c r="I1501" s="750"/>
      <c r="J1501" s="750"/>
    </row>
    <row r="1502" spans="1:10" x14ac:dyDescent="0.35">
      <c r="A1502" s="92"/>
      <c r="F1502" s="726"/>
      <c r="G1502" s="735"/>
      <c r="H1502" s="93"/>
      <c r="I1502" s="750"/>
      <c r="J1502" s="750"/>
    </row>
    <row r="1503" spans="1:10" x14ac:dyDescent="0.35">
      <c r="A1503" s="92"/>
      <c r="F1503" s="726"/>
      <c r="G1503" s="735"/>
      <c r="H1503" s="93"/>
      <c r="I1503" s="750"/>
      <c r="J1503" s="750"/>
    </row>
    <row r="1504" spans="1:10" x14ac:dyDescent="0.35">
      <c r="A1504" s="92"/>
      <c r="F1504" s="726"/>
      <c r="G1504" s="735"/>
      <c r="H1504" s="93"/>
      <c r="I1504" s="750"/>
      <c r="J1504" s="750"/>
    </row>
    <row r="1505" spans="1:10" x14ac:dyDescent="0.35">
      <c r="A1505" s="92"/>
      <c r="F1505" s="726"/>
      <c r="G1505" s="735"/>
      <c r="H1505" s="93"/>
      <c r="I1505" s="750"/>
      <c r="J1505" s="750"/>
    </row>
    <row r="1506" spans="1:10" x14ac:dyDescent="0.35">
      <c r="A1506" s="92"/>
      <c r="F1506" s="726"/>
      <c r="G1506" s="735"/>
      <c r="H1506" s="93"/>
      <c r="I1506" s="750"/>
      <c r="J1506" s="750"/>
    </row>
    <row r="1507" spans="1:10" x14ac:dyDescent="0.35">
      <c r="A1507" s="92"/>
      <c r="F1507" s="726"/>
      <c r="G1507" s="735"/>
      <c r="H1507" s="93"/>
      <c r="I1507" s="750"/>
      <c r="J1507" s="750"/>
    </row>
    <row r="1508" spans="1:10" x14ac:dyDescent="0.35">
      <c r="A1508" s="92"/>
      <c r="F1508" s="726"/>
      <c r="G1508" s="735"/>
      <c r="H1508" s="93"/>
      <c r="I1508" s="750"/>
      <c r="J1508" s="750"/>
    </row>
    <row r="1509" spans="1:10" x14ac:dyDescent="0.35">
      <c r="A1509" s="92"/>
      <c r="F1509" s="726"/>
      <c r="G1509" s="735"/>
      <c r="H1509" s="93"/>
      <c r="I1509" s="750"/>
      <c r="J1509" s="750"/>
    </row>
    <row r="1510" spans="1:10" x14ac:dyDescent="0.35">
      <c r="A1510" s="92"/>
      <c r="F1510" s="726"/>
      <c r="G1510" s="735"/>
      <c r="H1510" s="93"/>
      <c r="I1510" s="750"/>
      <c r="J1510" s="750"/>
    </row>
    <row r="1511" spans="1:10" x14ac:dyDescent="0.35">
      <c r="A1511" s="92"/>
      <c r="F1511" s="726"/>
      <c r="G1511" s="735"/>
      <c r="H1511" s="93"/>
      <c r="I1511" s="750"/>
      <c r="J1511" s="750"/>
    </row>
    <row r="1512" spans="1:10" x14ac:dyDescent="0.35">
      <c r="A1512" s="92"/>
      <c r="F1512" s="726"/>
      <c r="G1512" s="735"/>
      <c r="H1512" s="93"/>
      <c r="I1512" s="750"/>
      <c r="J1512" s="750"/>
    </row>
    <row r="1513" spans="1:10" x14ac:dyDescent="0.35">
      <c r="A1513" s="92"/>
      <c r="F1513" s="726"/>
      <c r="G1513" s="735"/>
      <c r="H1513" s="93"/>
      <c r="I1513" s="750"/>
      <c r="J1513" s="750"/>
    </row>
    <row r="1514" spans="1:10" x14ac:dyDescent="0.35">
      <c r="A1514" s="92"/>
      <c r="F1514" s="726"/>
      <c r="G1514" s="735"/>
      <c r="H1514" s="93"/>
      <c r="I1514" s="750"/>
      <c r="J1514" s="750"/>
    </row>
    <row r="1515" spans="1:10" x14ac:dyDescent="0.35">
      <c r="A1515" s="92"/>
      <c r="F1515" s="726"/>
      <c r="G1515" s="735"/>
      <c r="H1515" s="93"/>
      <c r="I1515" s="750"/>
      <c r="J1515" s="750"/>
    </row>
    <row r="1516" spans="1:10" x14ac:dyDescent="0.35">
      <c r="A1516" s="92"/>
      <c r="F1516" s="726"/>
      <c r="G1516" s="735"/>
      <c r="H1516" s="93"/>
      <c r="I1516" s="750"/>
      <c r="J1516" s="750"/>
    </row>
    <row r="1517" spans="1:10" x14ac:dyDescent="0.35">
      <c r="A1517" s="92"/>
      <c r="F1517" s="726"/>
      <c r="G1517" s="735"/>
      <c r="H1517" s="93"/>
      <c r="I1517" s="750"/>
      <c r="J1517" s="750"/>
    </row>
    <row r="1518" spans="1:10" x14ac:dyDescent="0.35">
      <c r="A1518" s="92"/>
      <c r="F1518" s="726"/>
      <c r="G1518" s="735"/>
      <c r="H1518" s="93"/>
      <c r="I1518" s="750"/>
      <c r="J1518" s="750"/>
    </row>
    <row r="1519" spans="1:10" x14ac:dyDescent="0.35">
      <c r="A1519" s="92"/>
      <c r="F1519" s="726"/>
      <c r="G1519" s="735"/>
      <c r="H1519" s="93"/>
      <c r="I1519" s="750"/>
      <c r="J1519" s="750"/>
    </row>
    <row r="1520" spans="1:10" x14ac:dyDescent="0.35">
      <c r="A1520" s="92"/>
      <c r="F1520" s="726"/>
      <c r="G1520" s="735"/>
      <c r="H1520" s="93"/>
      <c r="I1520" s="750"/>
      <c r="J1520" s="750"/>
    </row>
    <row r="1521" spans="1:10" x14ac:dyDescent="0.35">
      <c r="A1521" s="92"/>
      <c r="F1521" s="726"/>
      <c r="G1521" s="735"/>
      <c r="H1521" s="93"/>
      <c r="I1521" s="750"/>
      <c r="J1521" s="750"/>
    </row>
    <row r="1522" spans="1:10" x14ac:dyDescent="0.35">
      <c r="A1522" s="92"/>
      <c r="F1522" s="726"/>
      <c r="G1522" s="735"/>
      <c r="H1522" s="93"/>
      <c r="I1522" s="750"/>
      <c r="J1522" s="750"/>
    </row>
    <row r="1523" spans="1:10" x14ac:dyDescent="0.35">
      <c r="A1523" s="92"/>
      <c r="F1523" s="726"/>
      <c r="G1523" s="735"/>
      <c r="H1523" s="93"/>
      <c r="I1523" s="750"/>
      <c r="J1523" s="750"/>
    </row>
    <row r="1524" spans="1:10" x14ac:dyDescent="0.35">
      <c r="A1524" s="92"/>
      <c r="F1524" s="726"/>
      <c r="G1524" s="735"/>
      <c r="H1524" s="93"/>
      <c r="I1524" s="750"/>
      <c r="J1524" s="750"/>
    </row>
    <row r="1525" spans="1:10" x14ac:dyDescent="0.35">
      <c r="A1525" s="92"/>
      <c r="F1525" s="726"/>
      <c r="G1525" s="735"/>
      <c r="H1525" s="93"/>
      <c r="I1525" s="750"/>
      <c r="J1525" s="750"/>
    </row>
    <row r="1526" spans="1:10" x14ac:dyDescent="0.35">
      <c r="A1526" s="92"/>
      <c r="F1526" s="726"/>
      <c r="G1526" s="735"/>
      <c r="H1526" s="93"/>
      <c r="I1526" s="750"/>
      <c r="J1526" s="750"/>
    </row>
    <row r="1527" spans="1:10" x14ac:dyDescent="0.35">
      <c r="A1527" s="92"/>
      <c r="F1527" s="726"/>
      <c r="G1527" s="735"/>
      <c r="H1527" s="93"/>
      <c r="I1527" s="750"/>
      <c r="J1527" s="750"/>
    </row>
    <row r="1528" spans="1:10" x14ac:dyDescent="0.35">
      <c r="A1528" s="92"/>
      <c r="F1528" s="726"/>
      <c r="G1528" s="735"/>
      <c r="H1528" s="93"/>
      <c r="I1528" s="750"/>
      <c r="J1528" s="750"/>
    </row>
    <row r="1529" spans="1:10" x14ac:dyDescent="0.35">
      <c r="A1529" s="92"/>
      <c r="F1529" s="726"/>
      <c r="G1529" s="735"/>
      <c r="H1529" s="93"/>
      <c r="I1529" s="750"/>
      <c r="J1529" s="750"/>
    </row>
    <row r="1530" spans="1:10" x14ac:dyDescent="0.35">
      <c r="A1530" s="92"/>
      <c r="F1530" s="726"/>
      <c r="G1530" s="735"/>
      <c r="H1530" s="93"/>
      <c r="I1530" s="750"/>
      <c r="J1530" s="750"/>
    </row>
    <row r="1531" spans="1:10" x14ac:dyDescent="0.35">
      <c r="A1531" s="92"/>
      <c r="F1531" s="726"/>
      <c r="G1531" s="735"/>
      <c r="H1531" s="93"/>
      <c r="I1531" s="750"/>
      <c r="J1531" s="750"/>
    </row>
    <row r="1532" spans="1:10" x14ac:dyDescent="0.35">
      <c r="A1532" s="92"/>
      <c r="F1532" s="726"/>
      <c r="G1532" s="735"/>
      <c r="H1532" s="93"/>
      <c r="I1532" s="750"/>
      <c r="J1532" s="750"/>
    </row>
    <row r="1533" spans="1:10" x14ac:dyDescent="0.35">
      <c r="A1533" s="92"/>
      <c r="F1533" s="726"/>
      <c r="G1533" s="735"/>
      <c r="H1533" s="93"/>
      <c r="I1533" s="750"/>
      <c r="J1533" s="750"/>
    </row>
    <row r="1534" spans="1:10" x14ac:dyDescent="0.35">
      <c r="A1534" s="92"/>
      <c r="F1534" s="726"/>
      <c r="G1534" s="735"/>
      <c r="H1534" s="93"/>
      <c r="I1534" s="750"/>
      <c r="J1534" s="750"/>
    </row>
    <row r="1535" spans="1:10" x14ac:dyDescent="0.35">
      <c r="A1535" s="92"/>
      <c r="F1535" s="726"/>
      <c r="G1535" s="735"/>
      <c r="H1535" s="93"/>
      <c r="I1535" s="750"/>
      <c r="J1535" s="750"/>
    </row>
    <row r="1536" spans="1:10" x14ac:dyDescent="0.35">
      <c r="A1536" s="92"/>
      <c r="F1536" s="726"/>
      <c r="G1536" s="735"/>
      <c r="H1536" s="93"/>
      <c r="I1536" s="750"/>
      <c r="J1536" s="750"/>
    </row>
    <row r="1537" spans="1:10" x14ac:dyDescent="0.35">
      <c r="A1537" s="92"/>
      <c r="F1537" s="726"/>
      <c r="G1537" s="735"/>
      <c r="H1537" s="93"/>
      <c r="I1537" s="750"/>
      <c r="J1537" s="750"/>
    </row>
    <row r="1538" spans="1:10" x14ac:dyDescent="0.35">
      <c r="A1538" s="92"/>
      <c r="F1538" s="726"/>
      <c r="G1538" s="735"/>
      <c r="H1538" s="93"/>
      <c r="I1538" s="750"/>
      <c r="J1538" s="750"/>
    </row>
    <row r="1539" spans="1:10" x14ac:dyDescent="0.35">
      <c r="A1539" s="92"/>
      <c r="F1539" s="726"/>
      <c r="G1539" s="735"/>
      <c r="H1539" s="93"/>
      <c r="I1539" s="750"/>
      <c r="J1539" s="750"/>
    </row>
    <row r="1540" spans="1:10" x14ac:dyDescent="0.35">
      <c r="A1540" s="92"/>
      <c r="F1540" s="726"/>
      <c r="G1540" s="735"/>
      <c r="H1540" s="93"/>
      <c r="I1540" s="750"/>
      <c r="J1540" s="750"/>
    </row>
    <row r="1541" spans="1:10" x14ac:dyDescent="0.35">
      <c r="A1541" s="92"/>
      <c r="F1541" s="726"/>
      <c r="G1541" s="735"/>
      <c r="H1541" s="93"/>
      <c r="I1541" s="750"/>
      <c r="J1541" s="750"/>
    </row>
    <row r="1542" spans="1:10" x14ac:dyDescent="0.35">
      <c r="A1542" s="92"/>
      <c r="F1542" s="726"/>
      <c r="G1542" s="735"/>
      <c r="H1542" s="93"/>
      <c r="I1542" s="750"/>
      <c r="J1542" s="750"/>
    </row>
    <row r="1543" spans="1:10" x14ac:dyDescent="0.35">
      <c r="A1543" s="92"/>
      <c r="F1543" s="726"/>
      <c r="G1543" s="735"/>
      <c r="H1543" s="93"/>
      <c r="I1543" s="750"/>
      <c r="J1543" s="750"/>
    </row>
    <row r="1544" spans="1:10" x14ac:dyDescent="0.35">
      <c r="A1544" s="92"/>
      <c r="F1544" s="726"/>
      <c r="G1544" s="735"/>
      <c r="H1544" s="93"/>
      <c r="I1544" s="750"/>
      <c r="J1544" s="750"/>
    </row>
    <row r="1545" spans="1:10" x14ac:dyDescent="0.35">
      <c r="A1545" s="92"/>
      <c r="F1545" s="726"/>
      <c r="G1545" s="735"/>
      <c r="H1545" s="93"/>
      <c r="I1545" s="750"/>
      <c r="J1545" s="750"/>
    </row>
    <row r="1546" spans="1:10" x14ac:dyDescent="0.35">
      <c r="A1546" s="92"/>
      <c r="F1546" s="726"/>
      <c r="G1546" s="735"/>
      <c r="H1546" s="93"/>
      <c r="I1546" s="750"/>
      <c r="J1546" s="750"/>
    </row>
    <row r="1547" spans="1:10" x14ac:dyDescent="0.35">
      <c r="A1547" s="92"/>
      <c r="F1547" s="726"/>
      <c r="G1547" s="735"/>
      <c r="H1547" s="93"/>
      <c r="I1547" s="750"/>
      <c r="J1547" s="750"/>
    </row>
    <row r="1548" spans="1:10" x14ac:dyDescent="0.35">
      <c r="A1548" s="92"/>
      <c r="F1548" s="726"/>
      <c r="G1548" s="735"/>
      <c r="H1548" s="93"/>
      <c r="I1548" s="750"/>
      <c r="J1548" s="750"/>
    </row>
    <row r="1549" spans="1:10" x14ac:dyDescent="0.35">
      <c r="A1549" s="92"/>
      <c r="F1549" s="726"/>
      <c r="G1549" s="735"/>
      <c r="H1549" s="93"/>
      <c r="I1549" s="750"/>
      <c r="J1549" s="750"/>
    </row>
    <row r="1550" spans="1:10" x14ac:dyDescent="0.35">
      <c r="A1550" s="92"/>
      <c r="F1550" s="726"/>
      <c r="G1550" s="735"/>
      <c r="H1550" s="93"/>
      <c r="I1550" s="750"/>
      <c r="J1550" s="750"/>
    </row>
    <row r="1551" spans="1:10" x14ac:dyDescent="0.35">
      <c r="A1551" s="92"/>
      <c r="F1551" s="726"/>
      <c r="G1551" s="735"/>
      <c r="H1551" s="93"/>
      <c r="I1551" s="750"/>
      <c r="J1551" s="750"/>
    </row>
    <row r="1552" spans="1:10" x14ac:dyDescent="0.35">
      <c r="A1552" s="92"/>
      <c r="F1552" s="726"/>
      <c r="G1552" s="735"/>
      <c r="H1552" s="93"/>
      <c r="I1552" s="750"/>
      <c r="J1552" s="750"/>
    </row>
    <row r="1553" spans="1:10" x14ac:dyDescent="0.35">
      <c r="A1553" s="92"/>
      <c r="F1553" s="726"/>
      <c r="G1553" s="735"/>
      <c r="H1553" s="93"/>
      <c r="I1553" s="750"/>
      <c r="J1553" s="750"/>
    </row>
    <row r="1554" spans="1:10" x14ac:dyDescent="0.35">
      <c r="A1554" s="92"/>
      <c r="F1554" s="726"/>
      <c r="G1554" s="735"/>
      <c r="H1554" s="93"/>
      <c r="I1554" s="750"/>
      <c r="J1554" s="750"/>
    </row>
    <row r="1555" spans="1:10" x14ac:dyDescent="0.35">
      <c r="A1555" s="92"/>
      <c r="F1555" s="726"/>
      <c r="G1555" s="735"/>
      <c r="H1555" s="93"/>
      <c r="I1555" s="750"/>
      <c r="J1555" s="750"/>
    </row>
    <row r="1556" spans="1:10" x14ac:dyDescent="0.35">
      <c r="A1556" s="92"/>
      <c r="F1556" s="726"/>
      <c r="G1556" s="735"/>
      <c r="H1556" s="93"/>
      <c r="I1556" s="750"/>
      <c r="J1556" s="750"/>
    </row>
    <row r="1557" spans="1:10" x14ac:dyDescent="0.35">
      <c r="A1557" s="92"/>
      <c r="F1557" s="726"/>
      <c r="G1557" s="735"/>
      <c r="H1557" s="93"/>
      <c r="I1557" s="750"/>
      <c r="J1557" s="750"/>
    </row>
    <row r="1558" spans="1:10" x14ac:dyDescent="0.35">
      <c r="A1558" s="92"/>
      <c r="F1558" s="726"/>
      <c r="G1558" s="735"/>
      <c r="H1558" s="93"/>
      <c r="I1558" s="750"/>
      <c r="J1558" s="750"/>
    </row>
    <row r="1559" spans="1:10" x14ac:dyDescent="0.35">
      <c r="A1559" s="92"/>
      <c r="F1559" s="726"/>
      <c r="G1559" s="735"/>
      <c r="H1559" s="93"/>
      <c r="I1559" s="750"/>
      <c r="J1559" s="750"/>
    </row>
    <row r="1560" spans="1:10" x14ac:dyDescent="0.35">
      <c r="A1560" s="92"/>
      <c r="F1560" s="726"/>
      <c r="G1560" s="735"/>
      <c r="H1560" s="93"/>
      <c r="I1560" s="750"/>
      <c r="J1560" s="750"/>
    </row>
    <row r="1561" spans="1:10" x14ac:dyDescent="0.35">
      <c r="A1561" s="92"/>
      <c r="F1561" s="726"/>
      <c r="G1561" s="735"/>
      <c r="H1561" s="93"/>
      <c r="I1561" s="750"/>
      <c r="J1561" s="750"/>
    </row>
    <row r="1562" spans="1:10" x14ac:dyDescent="0.35">
      <c r="A1562" s="92"/>
      <c r="F1562" s="726"/>
      <c r="G1562" s="735"/>
      <c r="H1562" s="93"/>
      <c r="I1562" s="750"/>
      <c r="J1562" s="750"/>
    </row>
    <row r="1563" spans="1:10" x14ac:dyDescent="0.35">
      <c r="A1563" s="92"/>
      <c r="F1563" s="726"/>
      <c r="G1563" s="735"/>
      <c r="H1563" s="93"/>
      <c r="I1563" s="750"/>
      <c r="J1563" s="750"/>
    </row>
    <row r="1564" spans="1:10" x14ac:dyDescent="0.35">
      <c r="A1564" s="92"/>
      <c r="F1564" s="726"/>
      <c r="G1564" s="735"/>
      <c r="H1564" s="93"/>
      <c r="I1564" s="750"/>
      <c r="J1564" s="750"/>
    </row>
    <row r="1565" spans="1:10" x14ac:dyDescent="0.35">
      <c r="A1565" s="92"/>
      <c r="F1565" s="726"/>
      <c r="G1565" s="735"/>
      <c r="H1565" s="93"/>
      <c r="I1565" s="750"/>
      <c r="J1565" s="750"/>
    </row>
    <row r="1566" spans="1:10" x14ac:dyDescent="0.35">
      <c r="A1566" s="92"/>
      <c r="F1566" s="726"/>
      <c r="G1566" s="735"/>
      <c r="H1566" s="93"/>
      <c r="I1566" s="750"/>
      <c r="J1566" s="750"/>
    </row>
    <row r="1567" spans="1:10" x14ac:dyDescent="0.35">
      <c r="A1567" s="92"/>
      <c r="F1567" s="726"/>
      <c r="G1567" s="735"/>
      <c r="H1567" s="93"/>
      <c r="I1567" s="750"/>
      <c r="J1567" s="750"/>
    </row>
    <row r="1568" spans="1:10" x14ac:dyDescent="0.35">
      <c r="A1568" s="92"/>
      <c r="F1568" s="726"/>
      <c r="G1568" s="735"/>
      <c r="H1568" s="93"/>
      <c r="I1568" s="750"/>
      <c r="J1568" s="750"/>
    </row>
    <row r="1569" spans="1:10" x14ac:dyDescent="0.35">
      <c r="A1569" s="92"/>
      <c r="F1569" s="726"/>
      <c r="G1569" s="735"/>
      <c r="H1569" s="93"/>
      <c r="I1569" s="750"/>
      <c r="J1569" s="750"/>
    </row>
    <row r="1570" spans="1:10" x14ac:dyDescent="0.35">
      <c r="A1570" s="92"/>
      <c r="F1570" s="726"/>
      <c r="G1570" s="735"/>
      <c r="H1570" s="93"/>
      <c r="I1570" s="750"/>
      <c r="J1570" s="750"/>
    </row>
    <row r="1571" spans="1:10" x14ac:dyDescent="0.35">
      <c r="A1571" s="92"/>
      <c r="F1571" s="726"/>
      <c r="G1571" s="735"/>
      <c r="H1571" s="93"/>
      <c r="I1571" s="750"/>
      <c r="J1571" s="750"/>
    </row>
    <row r="1572" spans="1:10" x14ac:dyDescent="0.35">
      <c r="A1572" s="92"/>
      <c r="F1572" s="726"/>
      <c r="G1572" s="735"/>
      <c r="H1572" s="93"/>
      <c r="I1572" s="750"/>
      <c r="J1572" s="750"/>
    </row>
    <row r="1573" spans="1:10" x14ac:dyDescent="0.35">
      <c r="A1573" s="92"/>
      <c r="F1573" s="726"/>
      <c r="G1573" s="735"/>
      <c r="H1573" s="93"/>
      <c r="I1573" s="750"/>
      <c r="J1573" s="750"/>
    </row>
    <row r="1574" spans="1:10" x14ac:dyDescent="0.35">
      <c r="A1574" s="92"/>
      <c r="F1574" s="726"/>
      <c r="G1574" s="735"/>
      <c r="H1574" s="93"/>
      <c r="I1574" s="750"/>
      <c r="J1574" s="750"/>
    </row>
    <row r="1575" spans="1:10" x14ac:dyDescent="0.35">
      <c r="A1575" s="92"/>
      <c r="F1575" s="726"/>
      <c r="G1575" s="735"/>
      <c r="H1575" s="93"/>
      <c r="I1575" s="750"/>
      <c r="J1575" s="750"/>
    </row>
    <row r="1576" spans="1:10" x14ac:dyDescent="0.35">
      <c r="A1576" s="92"/>
      <c r="F1576" s="726"/>
      <c r="G1576" s="735"/>
      <c r="H1576" s="93"/>
      <c r="I1576" s="750"/>
      <c r="J1576" s="750"/>
    </row>
    <row r="1577" spans="1:10" x14ac:dyDescent="0.35">
      <c r="A1577" s="92"/>
      <c r="F1577" s="726"/>
      <c r="G1577" s="735"/>
      <c r="H1577" s="93"/>
      <c r="I1577" s="750"/>
      <c r="J1577" s="750"/>
    </row>
    <row r="1578" spans="1:10" x14ac:dyDescent="0.35">
      <c r="A1578" s="92"/>
      <c r="F1578" s="726"/>
      <c r="G1578" s="735"/>
      <c r="H1578" s="93"/>
      <c r="I1578" s="750"/>
      <c r="J1578" s="750"/>
    </row>
    <row r="1579" spans="1:10" x14ac:dyDescent="0.35">
      <c r="A1579" s="92"/>
      <c r="F1579" s="726"/>
      <c r="G1579" s="735"/>
      <c r="H1579" s="93"/>
      <c r="I1579" s="750"/>
      <c r="J1579" s="750"/>
    </row>
    <row r="1580" spans="1:10" x14ac:dyDescent="0.35">
      <c r="A1580" s="92"/>
      <c r="F1580" s="726"/>
      <c r="G1580" s="735"/>
      <c r="H1580" s="93"/>
      <c r="I1580" s="750"/>
      <c r="J1580" s="750"/>
    </row>
    <row r="1581" spans="1:10" x14ac:dyDescent="0.35">
      <c r="A1581" s="92"/>
      <c r="F1581" s="726"/>
      <c r="G1581" s="735"/>
      <c r="H1581" s="93"/>
      <c r="I1581" s="750"/>
      <c r="J1581" s="750"/>
    </row>
    <row r="1582" spans="1:10" x14ac:dyDescent="0.35">
      <c r="A1582" s="92"/>
      <c r="F1582" s="726"/>
      <c r="G1582" s="735"/>
      <c r="H1582" s="93"/>
      <c r="I1582" s="750"/>
      <c r="J1582" s="750"/>
    </row>
    <row r="1583" spans="1:10" x14ac:dyDescent="0.35">
      <c r="A1583" s="92"/>
      <c r="F1583" s="726"/>
      <c r="G1583" s="735"/>
      <c r="H1583" s="93"/>
      <c r="I1583" s="750"/>
      <c r="J1583" s="750"/>
    </row>
    <row r="1584" spans="1:10" x14ac:dyDescent="0.35">
      <c r="A1584" s="92"/>
      <c r="F1584" s="726"/>
      <c r="G1584" s="735"/>
      <c r="H1584" s="93"/>
      <c r="I1584" s="750"/>
      <c r="J1584" s="750"/>
    </row>
    <row r="1585" spans="1:10" x14ac:dyDescent="0.35">
      <c r="A1585" s="92"/>
      <c r="F1585" s="726"/>
      <c r="G1585" s="735"/>
      <c r="H1585" s="93"/>
      <c r="I1585" s="750"/>
      <c r="J1585" s="750"/>
    </row>
    <row r="1586" spans="1:10" x14ac:dyDescent="0.35">
      <c r="A1586" s="92"/>
      <c r="F1586" s="726"/>
      <c r="G1586" s="735"/>
      <c r="H1586" s="93"/>
      <c r="I1586" s="750"/>
      <c r="J1586" s="750"/>
    </row>
    <row r="1587" spans="1:10" x14ac:dyDescent="0.35">
      <c r="A1587" s="92"/>
      <c r="F1587" s="726"/>
      <c r="G1587" s="735"/>
      <c r="H1587" s="93"/>
      <c r="I1587" s="750"/>
      <c r="J1587" s="750"/>
    </row>
    <row r="1588" spans="1:10" x14ac:dyDescent="0.35">
      <c r="A1588" s="92"/>
      <c r="F1588" s="726"/>
      <c r="G1588" s="735"/>
      <c r="H1588" s="93"/>
      <c r="I1588" s="750"/>
      <c r="J1588" s="750"/>
    </row>
    <row r="1589" spans="1:10" x14ac:dyDescent="0.35">
      <c r="A1589" s="92"/>
      <c r="F1589" s="726"/>
      <c r="G1589" s="735"/>
      <c r="H1589" s="93"/>
      <c r="I1589" s="750"/>
      <c r="J1589" s="750"/>
    </row>
    <row r="1590" spans="1:10" x14ac:dyDescent="0.35">
      <c r="A1590" s="92"/>
      <c r="F1590" s="726"/>
      <c r="G1590" s="735"/>
      <c r="H1590" s="93"/>
      <c r="I1590" s="750"/>
      <c r="J1590" s="750"/>
    </row>
    <row r="1591" spans="1:10" x14ac:dyDescent="0.35">
      <c r="A1591" s="92"/>
      <c r="F1591" s="726"/>
      <c r="G1591" s="735"/>
      <c r="H1591" s="93"/>
      <c r="I1591" s="750"/>
      <c r="J1591" s="750"/>
    </row>
    <row r="1592" spans="1:10" x14ac:dyDescent="0.35">
      <c r="A1592" s="92"/>
      <c r="F1592" s="726"/>
      <c r="G1592" s="735"/>
      <c r="H1592" s="93"/>
      <c r="I1592" s="750"/>
      <c r="J1592" s="750"/>
    </row>
    <row r="1593" spans="1:10" x14ac:dyDescent="0.35">
      <c r="A1593" s="92"/>
      <c r="F1593" s="726"/>
      <c r="G1593" s="735"/>
      <c r="H1593" s="93"/>
      <c r="I1593" s="750"/>
      <c r="J1593" s="750"/>
    </row>
    <row r="1594" spans="1:10" x14ac:dyDescent="0.35">
      <c r="A1594" s="92"/>
      <c r="F1594" s="726"/>
      <c r="G1594" s="735"/>
      <c r="H1594" s="93"/>
      <c r="I1594" s="750"/>
      <c r="J1594" s="750"/>
    </row>
    <row r="1595" spans="1:10" x14ac:dyDescent="0.35">
      <c r="A1595" s="92"/>
      <c r="F1595" s="726"/>
      <c r="G1595" s="735"/>
      <c r="H1595" s="93"/>
      <c r="I1595" s="750"/>
      <c r="J1595" s="750"/>
    </row>
    <row r="1596" spans="1:10" x14ac:dyDescent="0.35">
      <c r="A1596" s="92"/>
      <c r="F1596" s="726"/>
      <c r="G1596" s="735"/>
      <c r="H1596" s="93"/>
      <c r="I1596" s="750"/>
      <c r="J1596" s="750"/>
    </row>
    <row r="1597" spans="1:10" x14ac:dyDescent="0.35">
      <c r="A1597" s="92"/>
      <c r="F1597" s="726"/>
      <c r="G1597" s="735"/>
      <c r="H1597" s="93"/>
      <c r="I1597" s="750"/>
      <c r="J1597" s="750"/>
    </row>
    <row r="1598" spans="1:10" x14ac:dyDescent="0.35">
      <c r="A1598" s="92"/>
      <c r="F1598" s="726"/>
      <c r="G1598" s="735"/>
      <c r="H1598" s="93"/>
      <c r="I1598" s="750"/>
      <c r="J1598" s="750"/>
    </row>
    <row r="1599" spans="1:10" x14ac:dyDescent="0.35">
      <c r="A1599" s="92"/>
      <c r="F1599" s="726"/>
      <c r="G1599" s="735"/>
      <c r="H1599" s="93"/>
      <c r="I1599" s="750"/>
      <c r="J1599" s="750"/>
    </row>
    <row r="1600" spans="1:10" x14ac:dyDescent="0.35">
      <c r="A1600" s="92"/>
      <c r="F1600" s="726"/>
      <c r="G1600" s="735"/>
      <c r="H1600" s="93"/>
      <c r="I1600" s="750"/>
      <c r="J1600" s="750"/>
    </row>
    <row r="1601" spans="1:10" x14ac:dyDescent="0.35">
      <c r="A1601" s="92"/>
      <c r="F1601" s="726"/>
      <c r="G1601" s="735"/>
      <c r="H1601" s="93"/>
      <c r="I1601" s="750"/>
      <c r="J1601" s="750"/>
    </row>
    <row r="1602" spans="1:10" x14ac:dyDescent="0.35">
      <c r="A1602" s="92"/>
      <c r="F1602" s="726"/>
      <c r="G1602" s="735"/>
      <c r="H1602" s="93"/>
      <c r="I1602" s="750"/>
      <c r="J1602" s="750"/>
    </row>
    <row r="1603" spans="1:10" x14ac:dyDescent="0.35">
      <c r="A1603" s="92"/>
      <c r="F1603" s="726"/>
      <c r="G1603" s="735"/>
      <c r="H1603" s="93"/>
      <c r="I1603" s="750"/>
      <c r="J1603" s="750"/>
    </row>
    <row r="1604" spans="1:10" x14ac:dyDescent="0.35">
      <c r="A1604" s="92"/>
      <c r="F1604" s="726"/>
      <c r="G1604" s="735"/>
      <c r="H1604" s="93"/>
      <c r="I1604" s="750"/>
      <c r="J1604" s="750"/>
    </row>
    <row r="1605" spans="1:10" x14ac:dyDescent="0.35">
      <c r="A1605" s="92"/>
      <c r="F1605" s="726"/>
      <c r="G1605" s="735"/>
      <c r="H1605" s="93"/>
      <c r="I1605" s="750"/>
      <c r="J1605" s="750"/>
    </row>
    <row r="1606" spans="1:10" x14ac:dyDescent="0.35">
      <c r="A1606" s="92"/>
      <c r="F1606" s="726"/>
      <c r="G1606" s="735"/>
      <c r="H1606" s="93"/>
      <c r="I1606" s="750"/>
      <c r="J1606" s="750"/>
    </row>
    <row r="1607" spans="1:10" x14ac:dyDescent="0.35">
      <c r="A1607" s="92"/>
      <c r="F1607" s="726"/>
      <c r="G1607" s="735"/>
      <c r="H1607" s="93"/>
      <c r="I1607" s="750"/>
      <c r="J1607" s="750"/>
    </row>
    <row r="1608" spans="1:10" x14ac:dyDescent="0.35">
      <c r="A1608" s="92"/>
      <c r="F1608" s="726"/>
      <c r="G1608" s="735"/>
      <c r="H1608" s="93"/>
      <c r="I1608" s="750"/>
      <c r="J1608" s="750"/>
    </row>
    <row r="1609" spans="1:10" x14ac:dyDescent="0.35">
      <c r="A1609" s="92"/>
      <c r="F1609" s="726"/>
      <c r="G1609" s="735"/>
      <c r="H1609" s="93"/>
      <c r="I1609" s="750"/>
      <c r="J1609" s="750"/>
    </row>
    <row r="1610" spans="1:10" x14ac:dyDescent="0.35">
      <c r="A1610" s="92"/>
      <c r="F1610" s="726"/>
      <c r="G1610" s="735"/>
      <c r="H1610" s="93"/>
      <c r="I1610" s="750"/>
      <c r="J1610" s="750"/>
    </row>
    <row r="1611" spans="1:10" x14ac:dyDescent="0.35">
      <c r="A1611" s="92"/>
      <c r="F1611" s="726"/>
      <c r="G1611" s="735"/>
      <c r="H1611" s="93"/>
      <c r="I1611" s="750"/>
      <c r="J1611" s="750"/>
    </row>
    <row r="1612" spans="1:10" x14ac:dyDescent="0.35">
      <c r="A1612" s="92"/>
      <c r="F1612" s="726"/>
      <c r="G1612" s="735"/>
      <c r="H1612" s="93"/>
      <c r="I1612" s="750"/>
      <c r="J1612" s="750"/>
    </row>
    <row r="1613" spans="1:10" x14ac:dyDescent="0.35">
      <c r="A1613" s="92"/>
      <c r="F1613" s="726"/>
      <c r="G1613" s="735"/>
      <c r="H1613" s="93"/>
      <c r="I1613" s="750"/>
      <c r="J1613" s="750"/>
    </row>
    <row r="1614" spans="1:10" x14ac:dyDescent="0.35">
      <c r="A1614" s="92"/>
      <c r="F1614" s="726"/>
      <c r="G1614" s="735"/>
      <c r="H1614" s="93"/>
      <c r="I1614" s="750"/>
      <c r="J1614" s="750"/>
    </row>
    <row r="1615" spans="1:10" x14ac:dyDescent="0.35">
      <c r="A1615" s="92"/>
      <c r="F1615" s="726"/>
      <c r="G1615" s="735"/>
      <c r="H1615" s="93"/>
      <c r="I1615" s="750"/>
      <c r="J1615" s="750"/>
    </row>
    <row r="1616" spans="1:10" x14ac:dyDescent="0.35">
      <c r="A1616" s="92"/>
      <c r="F1616" s="726"/>
      <c r="G1616" s="735"/>
      <c r="H1616" s="93"/>
      <c r="I1616" s="750"/>
      <c r="J1616" s="750"/>
    </row>
    <row r="1617" spans="1:10" x14ac:dyDescent="0.35">
      <c r="A1617" s="92"/>
      <c r="F1617" s="726"/>
      <c r="G1617" s="735"/>
      <c r="H1617" s="93"/>
      <c r="I1617" s="750"/>
      <c r="J1617" s="750"/>
    </row>
    <row r="1618" spans="1:10" x14ac:dyDescent="0.35">
      <c r="A1618" s="92"/>
      <c r="F1618" s="726"/>
      <c r="G1618" s="735"/>
      <c r="H1618" s="93"/>
      <c r="I1618" s="750"/>
      <c r="J1618" s="750"/>
    </row>
    <row r="1619" spans="1:10" x14ac:dyDescent="0.35">
      <c r="A1619" s="92"/>
      <c r="F1619" s="726"/>
      <c r="G1619" s="735"/>
      <c r="H1619" s="93"/>
      <c r="I1619" s="750"/>
      <c r="J1619" s="750"/>
    </row>
    <row r="1620" spans="1:10" x14ac:dyDescent="0.35">
      <c r="A1620" s="92"/>
      <c r="F1620" s="726"/>
      <c r="G1620" s="735"/>
      <c r="H1620" s="93"/>
      <c r="I1620" s="750"/>
      <c r="J1620" s="750"/>
    </row>
    <row r="1621" spans="1:10" x14ac:dyDescent="0.35">
      <c r="A1621" s="92"/>
      <c r="F1621" s="726"/>
      <c r="G1621" s="735"/>
      <c r="H1621" s="93"/>
      <c r="I1621" s="750"/>
      <c r="J1621" s="750"/>
    </row>
    <row r="1622" spans="1:10" x14ac:dyDescent="0.35">
      <c r="A1622" s="92"/>
      <c r="F1622" s="726"/>
      <c r="G1622" s="735"/>
      <c r="H1622" s="93"/>
      <c r="I1622" s="750"/>
      <c r="J1622" s="750"/>
    </row>
    <row r="1623" spans="1:10" x14ac:dyDescent="0.35">
      <c r="A1623" s="92"/>
      <c r="F1623" s="726"/>
      <c r="G1623" s="735"/>
      <c r="H1623" s="93"/>
      <c r="I1623" s="750"/>
      <c r="J1623" s="750"/>
    </row>
    <row r="1624" spans="1:10" x14ac:dyDescent="0.35">
      <c r="A1624" s="92"/>
      <c r="F1624" s="726"/>
      <c r="G1624" s="735"/>
      <c r="H1624" s="93"/>
      <c r="I1624" s="750"/>
      <c r="J1624" s="750"/>
    </row>
    <row r="1625" spans="1:10" x14ac:dyDescent="0.35">
      <c r="A1625" s="92"/>
      <c r="F1625" s="726"/>
      <c r="G1625" s="735"/>
      <c r="H1625" s="93"/>
      <c r="I1625" s="750"/>
      <c r="J1625" s="750"/>
    </row>
    <row r="1626" spans="1:10" x14ac:dyDescent="0.35">
      <c r="A1626" s="92"/>
      <c r="F1626" s="726"/>
      <c r="G1626" s="735"/>
      <c r="H1626" s="93"/>
      <c r="I1626" s="750"/>
      <c r="J1626" s="750"/>
    </row>
    <row r="1627" spans="1:10" x14ac:dyDescent="0.35">
      <c r="A1627" s="92"/>
      <c r="F1627" s="726"/>
      <c r="G1627" s="735"/>
      <c r="H1627" s="93"/>
      <c r="I1627" s="750"/>
      <c r="J1627" s="750"/>
    </row>
    <row r="1628" spans="1:10" x14ac:dyDescent="0.35">
      <c r="A1628" s="92"/>
      <c r="F1628" s="726"/>
      <c r="G1628" s="735"/>
      <c r="H1628" s="93"/>
      <c r="I1628" s="750"/>
      <c r="J1628" s="750"/>
    </row>
    <row r="1629" spans="1:10" x14ac:dyDescent="0.35">
      <c r="A1629" s="92"/>
      <c r="F1629" s="726"/>
      <c r="G1629" s="735"/>
      <c r="H1629" s="93"/>
      <c r="I1629" s="750"/>
      <c r="J1629" s="750"/>
    </row>
    <row r="1630" spans="1:10" x14ac:dyDescent="0.35">
      <c r="A1630" s="92"/>
      <c r="F1630" s="726"/>
      <c r="G1630" s="735"/>
      <c r="H1630" s="93"/>
      <c r="I1630" s="750"/>
      <c r="J1630" s="750"/>
    </row>
    <row r="1631" spans="1:10" x14ac:dyDescent="0.35">
      <c r="A1631" s="92"/>
      <c r="F1631" s="726"/>
      <c r="G1631" s="735"/>
      <c r="H1631" s="93"/>
      <c r="I1631" s="750"/>
      <c r="J1631" s="750"/>
    </row>
    <row r="1632" spans="1:10" x14ac:dyDescent="0.35">
      <c r="A1632" s="92"/>
      <c r="F1632" s="726"/>
      <c r="G1632" s="735"/>
      <c r="H1632" s="93"/>
      <c r="I1632" s="750"/>
      <c r="J1632" s="750"/>
    </row>
    <row r="1633" spans="1:10" x14ac:dyDescent="0.35">
      <c r="A1633" s="92"/>
      <c r="F1633" s="726"/>
      <c r="G1633" s="735"/>
      <c r="H1633" s="93"/>
      <c r="I1633" s="750"/>
      <c r="J1633" s="750"/>
    </row>
    <row r="1634" spans="1:10" x14ac:dyDescent="0.35">
      <c r="A1634" s="92"/>
      <c r="F1634" s="726"/>
      <c r="G1634" s="735"/>
      <c r="H1634" s="93"/>
      <c r="I1634" s="750"/>
      <c r="J1634" s="750"/>
    </row>
    <row r="1635" spans="1:10" x14ac:dyDescent="0.35">
      <c r="A1635" s="92"/>
      <c r="F1635" s="726"/>
      <c r="G1635" s="735"/>
      <c r="H1635" s="93"/>
      <c r="I1635" s="750"/>
      <c r="J1635" s="750"/>
    </row>
    <row r="1636" spans="1:10" x14ac:dyDescent="0.35">
      <c r="A1636" s="92"/>
      <c r="F1636" s="726"/>
      <c r="G1636" s="735"/>
      <c r="H1636" s="93"/>
      <c r="I1636" s="750"/>
      <c r="J1636" s="750"/>
    </row>
    <row r="1637" spans="1:10" x14ac:dyDescent="0.35">
      <c r="A1637" s="92"/>
      <c r="F1637" s="726"/>
      <c r="G1637" s="735"/>
      <c r="H1637" s="93"/>
      <c r="I1637" s="750"/>
      <c r="J1637" s="750"/>
    </row>
    <row r="1638" spans="1:10" x14ac:dyDescent="0.35">
      <c r="A1638" s="92"/>
      <c r="F1638" s="726"/>
      <c r="G1638" s="735"/>
      <c r="H1638" s="93"/>
      <c r="I1638" s="750"/>
      <c r="J1638" s="750"/>
    </row>
    <row r="1639" spans="1:10" x14ac:dyDescent="0.35">
      <c r="A1639" s="92"/>
      <c r="F1639" s="726"/>
      <c r="G1639" s="735"/>
      <c r="H1639" s="93"/>
      <c r="I1639" s="750"/>
      <c r="J1639" s="750"/>
    </row>
    <row r="1640" spans="1:10" x14ac:dyDescent="0.35">
      <c r="A1640" s="92"/>
      <c r="F1640" s="726"/>
      <c r="G1640" s="735"/>
      <c r="H1640" s="93"/>
      <c r="I1640" s="750"/>
      <c r="J1640" s="750"/>
    </row>
    <row r="1641" spans="1:10" x14ac:dyDescent="0.35">
      <c r="A1641" s="92"/>
      <c r="F1641" s="726"/>
      <c r="G1641" s="735"/>
      <c r="H1641" s="93"/>
      <c r="I1641" s="750"/>
      <c r="J1641" s="750"/>
    </row>
    <row r="1642" spans="1:10" x14ac:dyDescent="0.35">
      <c r="A1642" s="92"/>
      <c r="F1642" s="726"/>
      <c r="G1642" s="735"/>
      <c r="H1642" s="93"/>
      <c r="I1642" s="750"/>
      <c r="J1642" s="750"/>
    </row>
    <row r="1643" spans="1:10" x14ac:dyDescent="0.35">
      <c r="A1643" s="92"/>
      <c r="F1643" s="726"/>
      <c r="G1643" s="735"/>
      <c r="H1643" s="93"/>
      <c r="I1643" s="750"/>
      <c r="J1643" s="750"/>
    </row>
    <row r="1644" spans="1:10" x14ac:dyDescent="0.35">
      <c r="A1644" s="92"/>
      <c r="F1644" s="726"/>
      <c r="G1644" s="735"/>
      <c r="H1644" s="93"/>
      <c r="I1644" s="750"/>
      <c r="J1644" s="750"/>
    </row>
    <row r="1645" spans="1:10" x14ac:dyDescent="0.35">
      <c r="A1645" s="92"/>
      <c r="F1645" s="726"/>
      <c r="G1645" s="735"/>
      <c r="H1645" s="93"/>
      <c r="I1645" s="750"/>
      <c r="J1645" s="750"/>
    </row>
    <row r="1646" spans="1:10" x14ac:dyDescent="0.35">
      <c r="A1646" s="92"/>
      <c r="F1646" s="726"/>
      <c r="G1646" s="735"/>
      <c r="H1646" s="93"/>
      <c r="I1646" s="750"/>
      <c r="J1646" s="750"/>
    </row>
    <row r="1647" spans="1:10" x14ac:dyDescent="0.35">
      <c r="A1647" s="92"/>
      <c r="F1647" s="726"/>
      <c r="G1647" s="735"/>
      <c r="H1647" s="93"/>
      <c r="I1647" s="750"/>
      <c r="J1647" s="750"/>
    </row>
    <row r="1648" spans="1:10" x14ac:dyDescent="0.35">
      <c r="A1648" s="92"/>
      <c r="F1648" s="726"/>
      <c r="G1648" s="735"/>
      <c r="H1648" s="93"/>
      <c r="I1648" s="750"/>
      <c r="J1648" s="750"/>
    </row>
    <row r="1649" spans="1:10" x14ac:dyDescent="0.35">
      <c r="A1649" s="92"/>
      <c r="F1649" s="726"/>
      <c r="G1649" s="735"/>
      <c r="H1649" s="93"/>
      <c r="I1649" s="750"/>
      <c r="J1649" s="750"/>
    </row>
    <row r="1650" spans="1:10" x14ac:dyDescent="0.35">
      <c r="A1650" s="92"/>
      <c r="F1650" s="726"/>
      <c r="G1650" s="735"/>
      <c r="H1650" s="93"/>
      <c r="I1650" s="750"/>
      <c r="J1650" s="750"/>
    </row>
    <row r="1651" spans="1:10" x14ac:dyDescent="0.35">
      <c r="A1651" s="92"/>
      <c r="F1651" s="726"/>
      <c r="G1651" s="735"/>
      <c r="H1651" s="93"/>
      <c r="I1651" s="750"/>
      <c r="J1651" s="750"/>
    </row>
    <row r="1652" spans="1:10" x14ac:dyDescent="0.35">
      <c r="A1652" s="92"/>
      <c r="F1652" s="726"/>
      <c r="G1652" s="735"/>
      <c r="H1652" s="93"/>
      <c r="I1652" s="750"/>
      <c r="J1652" s="750"/>
    </row>
    <row r="1653" spans="1:10" x14ac:dyDescent="0.35">
      <c r="A1653" s="92"/>
      <c r="F1653" s="726"/>
      <c r="G1653" s="735"/>
      <c r="H1653" s="93"/>
      <c r="I1653" s="750"/>
      <c r="J1653" s="750"/>
    </row>
    <row r="1654" spans="1:10" x14ac:dyDescent="0.35">
      <c r="A1654" s="92"/>
      <c r="F1654" s="726"/>
      <c r="G1654" s="735"/>
      <c r="H1654" s="93"/>
      <c r="I1654" s="750"/>
      <c r="J1654" s="750"/>
    </row>
    <row r="1655" spans="1:10" x14ac:dyDescent="0.35">
      <c r="A1655" s="92"/>
      <c r="F1655" s="726"/>
      <c r="G1655" s="735"/>
      <c r="H1655" s="93"/>
      <c r="I1655" s="750"/>
      <c r="J1655" s="750"/>
    </row>
    <row r="1656" spans="1:10" x14ac:dyDescent="0.35">
      <c r="A1656" s="92"/>
      <c r="F1656" s="726"/>
      <c r="G1656" s="735"/>
      <c r="H1656" s="93"/>
      <c r="I1656" s="750"/>
      <c r="J1656" s="750"/>
    </row>
    <row r="1657" spans="1:10" x14ac:dyDescent="0.35">
      <c r="A1657" s="92"/>
      <c r="F1657" s="726"/>
      <c r="G1657" s="735"/>
      <c r="H1657" s="93"/>
      <c r="I1657" s="750"/>
      <c r="J1657" s="750"/>
    </row>
    <row r="1658" spans="1:10" x14ac:dyDescent="0.35">
      <c r="A1658" s="92"/>
      <c r="F1658" s="726"/>
      <c r="G1658" s="735"/>
      <c r="H1658" s="93"/>
      <c r="I1658" s="750"/>
      <c r="J1658" s="750"/>
    </row>
    <row r="1659" spans="1:10" x14ac:dyDescent="0.35">
      <c r="A1659" s="92"/>
      <c r="F1659" s="726"/>
      <c r="G1659" s="735"/>
      <c r="H1659" s="93"/>
      <c r="I1659" s="750"/>
      <c r="J1659" s="750"/>
    </row>
    <row r="1660" spans="1:10" x14ac:dyDescent="0.35">
      <c r="A1660" s="92"/>
      <c r="F1660" s="726"/>
      <c r="G1660" s="735"/>
      <c r="H1660" s="93"/>
      <c r="I1660" s="750"/>
      <c r="J1660" s="750"/>
    </row>
    <row r="1661" spans="1:10" x14ac:dyDescent="0.35">
      <c r="A1661" s="92"/>
      <c r="F1661" s="726"/>
      <c r="G1661" s="735"/>
      <c r="H1661" s="93"/>
      <c r="I1661" s="750"/>
      <c r="J1661" s="750"/>
    </row>
    <row r="1662" spans="1:10" x14ac:dyDescent="0.35">
      <c r="A1662" s="92"/>
      <c r="F1662" s="726"/>
      <c r="G1662" s="735"/>
      <c r="H1662" s="93"/>
      <c r="I1662" s="750"/>
      <c r="J1662" s="750"/>
    </row>
    <row r="1663" spans="1:10" x14ac:dyDescent="0.35">
      <c r="A1663" s="92"/>
      <c r="F1663" s="726"/>
      <c r="G1663" s="735"/>
      <c r="H1663" s="93"/>
      <c r="I1663" s="750"/>
      <c r="J1663" s="750"/>
    </row>
    <row r="1664" spans="1:10" x14ac:dyDescent="0.35">
      <c r="A1664" s="92"/>
      <c r="F1664" s="726"/>
      <c r="G1664" s="735"/>
      <c r="H1664" s="93"/>
      <c r="I1664" s="750"/>
      <c r="J1664" s="750"/>
    </row>
    <row r="1665" spans="1:10" x14ac:dyDescent="0.35">
      <c r="A1665" s="92"/>
      <c r="F1665" s="726"/>
      <c r="G1665" s="735"/>
      <c r="H1665" s="93"/>
      <c r="I1665" s="750"/>
      <c r="J1665" s="750"/>
    </row>
    <row r="1666" spans="1:10" x14ac:dyDescent="0.35">
      <c r="A1666" s="92"/>
      <c r="F1666" s="726"/>
      <c r="G1666" s="735"/>
      <c r="H1666" s="93"/>
      <c r="I1666" s="750"/>
      <c r="J1666" s="750"/>
    </row>
    <row r="1667" spans="1:10" x14ac:dyDescent="0.35">
      <c r="A1667" s="92"/>
      <c r="F1667" s="726"/>
      <c r="G1667" s="735"/>
      <c r="H1667" s="93"/>
      <c r="I1667" s="750"/>
      <c r="J1667" s="750"/>
    </row>
    <row r="1668" spans="1:10" x14ac:dyDescent="0.35">
      <c r="A1668" s="92"/>
      <c r="F1668" s="726"/>
      <c r="G1668" s="735"/>
      <c r="H1668" s="93"/>
      <c r="I1668" s="750"/>
      <c r="J1668" s="750"/>
    </row>
    <row r="1669" spans="1:10" x14ac:dyDescent="0.35">
      <c r="A1669" s="92"/>
      <c r="F1669" s="726"/>
      <c r="G1669" s="735"/>
      <c r="H1669" s="93"/>
      <c r="I1669" s="750"/>
      <c r="J1669" s="750"/>
    </row>
    <row r="1670" spans="1:10" x14ac:dyDescent="0.35">
      <c r="A1670" s="92"/>
      <c r="F1670" s="726"/>
      <c r="G1670" s="735"/>
      <c r="H1670" s="93"/>
      <c r="I1670" s="750"/>
      <c r="J1670" s="750"/>
    </row>
    <row r="1671" spans="1:10" x14ac:dyDescent="0.35">
      <c r="A1671" s="92"/>
      <c r="F1671" s="726"/>
      <c r="G1671" s="735"/>
      <c r="H1671" s="93"/>
      <c r="I1671" s="750"/>
      <c r="J1671" s="750"/>
    </row>
    <row r="1672" spans="1:10" x14ac:dyDescent="0.35">
      <c r="A1672" s="92"/>
      <c r="F1672" s="726"/>
      <c r="G1672" s="735"/>
      <c r="H1672" s="93"/>
      <c r="I1672" s="750"/>
      <c r="J1672" s="750"/>
    </row>
    <row r="1673" spans="1:10" x14ac:dyDescent="0.35">
      <c r="A1673" s="92"/>
      <c r="F1673" s="726"/>
      <c r="G1673" s="735"/>
      <c r="H1673" s="93"/>
      <c r="I1673" s="750"/>
      <c r="J1673" s="750"/>
    </row>
    <row r="1674" spans="1:10" x14ac:dyDescent="0.35">
      <c r="A1674" s="92"/>
      <c r="F1674" s="726"/>
      <c r="G1674" s="735"/>
      <c r="H1674" s="93"/>
      <c r="I1674" s="750"/>
      <c r="J1674" s="750"/>
    </row>
    <row r="1675" spans="1:10" x14ac:dyDescent="0.35">
      <c r="A1675" s="92"/>
      <c r="F1675" s="726"/>
      <c r="G1675" s="735"/>
      <c r="H1675" s="93"/>
      <c r="I1675" s="750"/>
      <c r="J1675" s="750"/>
    </row>
    <row r="1676" spans="1:10" x14ac:dyDescent="0.35">
      <c r="A1676" s="92"/>
      <c r="F1676" s="726"/>
      <c r="G1676" s="735"/>
      <c r="H1676" s="93"/>
      <c r="I1676" s="750"/>
      <c r="J1676" s="750"/>
    </row>
    <row r="1677" spans="1:10" x14ac:dyDescent="0.35">
      <c r="A1677" s="92"/>
      <c r="F1677" s="726"/>
      <c r="G1677" s="735"/>
      <c r="H1677" s="93"/>
      <c r="I1677" s="750"/>
      <c r="J1677" s="750"/>
    </row>
    <row r="1678" spans="1:10" x14ac:dyDescent="0.35">
      <c r="A1678" s="92"/>
      <c r="F1678" s="726"/>
      <c r="G1678" s="735"/>
      <c r="H1678" s="93"/>
      <c r="I1678" s="750"/>
      <c r="J1678" s="750"/>
    </row>
    <row r="1679" spans="1:10" x14ac:dyDescent="0.35">
      <c r="A1679" s="92"/>
      <c r="F1679" s="726"/>
      <c r="G1679" s="735"/>
      <c r="H1679" s="93"/>
      <c r="I1679" s="750"/>
      <c r="J1679" s="750"/>
    </row>
    <row r="1680" spans="1:10" x14ac:dyDescent="0.35">
      <c r="A1680" s="92"/>
      <c r="F1680" s="726"/>
      <c r="G1680" s="735"/>
      <c r="H1680" s="93"/>
      <c r="I1680" s="750"/>
      <c r="J1680" s="750"/>
    </row>
    <row r="1681" spans="1:10" x14ac:dyDescent="0.35">
      <c r="A1681" s="92"/>
      <c r="F1681" s="726"/>
      <c r="G1681" s="735"/>
      <c r="H1681" s="93"/>
      <c r="I1681" s="750"/>
      <c r="J1681" s="750"/>
    </row>
    <row r="1682" spans="1:10" x14ac:dyDescent="0.35">
      <c r="A1682" s="92"/>
      <c r="F1682" s="726"/>
      <c r="G1682" s="735"/>
      <c r="H1682" s="93"/>
      <c r="I1682" s="750"/>
      <c r="J1682" s="750"/>
    </row>
    <row r="1683" spans="1:10" x14ac:dyDescent="0.35">
      <c r="A1683" s="92"/>
      <c r="F1683" s="726"/>
      <c r="G1683" s="735"/>
      <c r="H1683" s="93"/>
      <c r="I1683" s="750"/>
      <c r="J1683" s="750"/>
    </row>
    <row r="1684" spans="1:10" x14ac:dyDescent="0.35">
      <c r="A1684" s="92"/>
      <c r="F1684" s="726"/>
      <c r="G1684" s="735"/>
      <c r="H1684" s="93"/>
      <c r="I1684" s="750"/>
      <c r="J1684" s="750"/>
    </row>
    <row r="1685" spans="1:10" x14ac:dyDescent="0.35">
      <c r="A1685" s="92"/>
      <c r="F1685" s="726"/>
      <c r="G1685" s="735"/>
      <c r="H1685" s="93"/>
      <c r="I1685" s="750"/>
      <c r="J1685" s="750"/>
    </row>
    <row r="1686" spans="1:10" x14ac:dyDescent="0.35">
      <c r="A1686" s="92"/>
      <c r="F1686" s="726"/>
      <c r="G1686" s="735"/>
      <c r="H1686" s="93"/>
      <c r="I1686" s="750"/>
      <c r="J1686" s="750"/>
    </row>
    <row r="1687" spans="1:10" x14ac:dyDescent="0.35">
      <c r="A1687" s="92"/>
      <c r="F1687" s="726"/>
      <c r="G1687" s="735"/>
      <c r="H1687" s="93"/>
      <c r="I1687" s="750"/>
      <c r="J1687" s="750"/>
    </row>
    <row r="1688" spans="1:10" x14ac:dyDescent="0.35">
      <c r="A1688" s="92"/>
      <c r="F1688" s="726"/>
      <c r="G1688" s="735"/>
      <c r="H1688" s="93"/>
      <c r="I1688" s="750"/>
      <c r="J1688" s="750"/>
    </row>
    <row r="1689" spans="1:10" x14ac:dyDescent="0.35">
      <c r="A1689" s="92"/>
      <c r="F1689" s="726"/>
      <c r="G1689" s="735"/>
      <c r="H1689" s="93"/>
      <c r="I1689" s="750"/>
      <c r="J1689" s="750"/>
    </row>
    <row r="1690" spans="1:10" x14ac:dyDescent="0.35">
      <c r="A1690" s="92"/>
      <c r="F1690" s="726"/>
      <c r="G1690" s="735"/>
      <c r="H1690" s="93"/>
      <c r="I1690" s="750"/>
      <c r="J1690" s="750"/>
    </row>
    <row r="1691" spans="1:10" x14ac:dyDescent="0.35">
      <c r="A1691" s="92"/>
      <c r="F1691" s="726"/>
      <c r="G1691" s="735"/>
      <c r="H1691" s="93"/>
      <c r="I1691" s="750"/>
      <c r="J1691" s="750"/>
    </row>
    <row r="1692" spans="1:10" x14ac:dyDescent="0.35">
      <c r="A1692" s="92"/>
      <c r="F1692" s="726"/>
      <c r="G1692" s="735"/>
      <c r="H1692" s="93"/>
      <c r="I1692" s="750"/>
      <c r="J1692" s="750"/>
    </row>
    <row r="1693" spans="1:10" x14ac:dyDescent="0.35">
      <c r="A1693" s="92"/>
      <c r="F1693" s="726"/>
      <c r="G1693" s="735"/>
      <c r="H1693" s="93"/>
      <c r="I1693" s="750"/>
      <c r="J1693" s="750"/>
    </row>
    <row r="1694" spans="1:10" x14ac:dyDescent="0.35">
      <c r="A1694" s="92"/>
      <c r="F1694" s="726"/>
      <c r="G1694" s="735"/>
      <c r="H1694" s="93"/>
      <c r="I1694" s="750"/>
      <c r="J1694" s="750"/>
    </row>
    <row r="1695" spans="1:10" x14ac:dyDescent="0.35">
      <c r="A1695" s="92"/>
      <c r="F1695" s="726"/>
      <c r="G1695" s="735"/>
      <c r="H1695" s="93"/>
      <c r="I1695" s="750"/>
      <c r="J1695" s="750"/>
    </row>
    <row r="1696" spans="1:10" x14ac:dyDescent="0.35">
      <c r="A1696" s="92"/>
      <c r="F1696" s="726"/>
      <c r="G1696" s="735"/>
      <c r="H1696" s="93"/>
      <c r="I1696" s="750"/>
      <c r="J1696" s="750"/>
    </row>
    <row r="1697" spans="1:10" x14ac:dyDescent="0.35">
      <c r="A1697" s="92"/>
      <c r="F1697" s="726"/>
      <c r="G1697" s="735"/>
      <c r="H1697" s="93"/>
      <c r="I1697" s="750"/>
      <c r="J1697" s="750"/>
    </row>
    <row r="1698" spans="1:10" x14ac:dyDescent="0.35">
      <c r="A1698" s="92"/>
      <c r="F1698" s="726"/>
      <c r="G1698" s="735"/>
      <c r="H1698" s="93"/>
      <c r="I1698" s="750"/>
      <c r="J1698" s="750"/>
    </row>
    <row r="1699" spans="1:10" x14ac:dyDescent="0.35">
      <c r="A1699" s="92"/>
      <c r="F1699" s="726"/>
      <c r="G1699" s="735"/>
      <c r="H1699" s="93"/>
      <c r="I1699" s="750"/>
      <c r="J1699" s="750"/>
    </row>
    <row r="1700" spans="1:10" x14ac:dyDescent="0.35">
      <c r="A1700" s="92"/>
      <c r="F1700" s="726"/>
      <c r="G1700" s="735"/>
      <c r="H1700" s="93"/>
      <c r="I1700" s="750"/>
      <c r="J1700" s="750"/>
    </row>
    <row r="1701" spans="1:10" x14ac:dyDescent="0.35">
      <c r="A1701" s="92"/>
      <c r="F1701" s="726"/>
      <c r="G1701" s="735"/>
      <c r="H1701" s="93"/>
      <c r="I1701" s="750"/>
      <c r="J1701" s="750"/>
    </row>
    <row r="1702" spans="1:10" x14ac:dyDescent="0.35">
      <c r="A1702" s="92"/>
      <c r="F1702" s="726"/>
      <c r="G1702" s="735"/>
      <c r="H1702" s="93"/>
      <c r="I1702" s="750"/>
      <c r="J1702" s="750"/>
    </row>
    <row r="1703" spans="1:10" x14ac:dyDescent="0.35">
      <c r="A1703" s="92"/>
      <c r="F1703" s="726"/>
      <c r="G1703" s="735"/>
      <c r="H1703" s="93"/>
      <c r="I1703" s="750"/>
      <c r="J1703" s="750"/>
    </row>
    <row r="1704" spans="1:10" x14ac:dyDescent="0.35">
      <c r="A1704" s="92"/>
      <c r="F1704" s="726"/>
      <c r="G1704" s="735"/>
      <c r="H1704" s="93"/>
      <c r="I1704" s="750"/>
      <c r="J1704" s="750"/>
    </row>
    <row r="1705" spans="1:10" x14ac:dyDescent="0.35">
      <c r="A1705" s="92"/>
      <c r="F1705" s="726"/>
      <c r="G1705" s="735"/>
      <c r="H1705" s="93"/>
      <c r="I1705" s="750"/>
      <c r="J1705" s="750"/>
    </row>
    <row r="1706" spans="1:10" x14ac:dyDescent="0.35">
      <c r="A1706" s="92"/>
      <c r="F1706" s="726"/>
      <c r="G1706" s="735"/>
      <c r="H1706" s="93"/>
      <c r="I1706" s="750"/>
      <c r="J1706" s="750"/>
    </row>
    <row r="1707" spans="1:10" x14ac:dyDescent="0.35">
      <c r="A1707" s="92"/>
      <c r="F1707" s="726"/>
      <c r="G1707" s="735"/>
      <c r="H1707" s="93"/>
      <c r="I1707" s="750"/>
      <c r="J1707" s="750"/>
    </row>
    <row r="1708" spans="1:10" x14ac:dyDescent="0.35">
      <c r="A1708" s="92"/>
      <c r="F1708" s="726"/>
      <c r="G1708" s="735"/>
      <c r="H1708" s="93"/>
      <c r="I1708" s="750"/>
      <c r="J1708" s="750"/>
    </row>
    <row r="1709" spans="1:10" x14ac:dyDescent="0.35">
      <c r="A1709" s="92"/>
      <c r="F1709" s="726"/>
      <c r="G1709" s="735"/>
      <c r="H1709" s="93"/>
      <c r="I1709" s="750"/>
      <c r="J1709" s="750"/>
    </row>
    <row r="1710" spans="1:10" x14ac:dyDescent="0.35">
      <c r="A1710" s="92"/>
      <c r="F1710" s="726"/>
      <c r="G1710" s="735"/>
      <c r="H1710" s="93"/>
      <c r="I1710" s="750"/>
      <c r="J1710" s="750"/>
    </row>
    <row r="1711" spans="1:10" x14ac:dyDescent="0.35">
      <c r="A1711" s="92"/>
      <c r="F1711" s="726"/>
      <c r="G1711" s="735"/>
      <c r="H1711" s="93"/>
      <c r="I1711" s="750"/>
      <c r="J1711" s="750"/>
    </row>
    <row r="1712" spans="1:10" x14ac:dyDescent="0.35">
      <c r="A1712" s="92"/>
      <c r="F1712" s="726"/>
      <c r="G1712" s="735"/>
      <c r="H1712" s="93"/>
      <c r="I1712" s="750"/>
      <c r="J1712" s="750"/>
    </row>
    <row r="1713" spans="1:10" x14ac:dyDescent="0.35">
      <c r="A1713" s="92"/>
      <c r="F1713" s="726"/>
      <c r="G1713" s="735"/>
      <c r="H1713" s="93"/>
      <c r="I1713" s="750"/>
      <c r="J1713" s="750"/>
    </row>
    <row r="1714" spans="1:10" x14ac:dyDescent="0.35">
      <c r="A1714" s="92"/>
      <c r="F1714" s="726"/>
      <c r="G1714" s="735"/>
      <c r="H1714" s="93"/>
      <c r="I1714" s="750"/>
      <c r="J1714" s="750"/>
    </row>
    <row r="1715" spans="1:10" x14ac:dyDescent="0.35">
      <c r="A1715" s="92"/>
      <c r="F1715" s="726"/>
      <c r="G1715" s="735"/>
      <c r="H1715" s="93"/>
      <c r="I1715" s="750"/>
      <c r="J1715" s="750"/>
    </row>
    <row r="1716" spans="1:10" x14ac:dyDescent="0.35">
      <c r="A1716" s="92"/>
      <c r="F1716" s="726"/>
      <c r="G1716" s="735"/>
      <c r="H1716" s="93"/>
      <c r="I1716" s="750"/>
      <c r="J1716" s="750"/>
    </row>
    <row r="1717" spans="1:10" x14ac:dyDescent="0.35">
      <c r="A1717" s="92"/>
      <c r="F1717" s="726"/>
      <c r="G1717" s="735"/>
      <c r="H1717" s="93"/>
      <c r="I1717" s="750"/>
      <c r="J1717" s="750"/>
    </row>
    <row r="1718" spans="1:10" x14ac:dyDescent="0.35">
      <c r="A1718" s="92"/>
      <c r="F1718" s="726"/>
      <c r="G1718" s="735"/>
      <c r="H1718" s="93"/>
      <c r="I1718" s="750"/>
      <c r="J1718" s="750"/>
    </row>
    <row r="1719" spans="1:10" x14ac:dyDescent="0.35">
      <c r="A1719" s="92"/>
      <c r="F1719" s="726"/>
      <c r="G1719" s="735"/>
      <c r="H1719" s="93"/>
      <c r="I1719" s="750"/>
      <c r="J1719" s="750"/>
    </row>
    <row r="1720" spans="1:10" x14ac:dyDescent="0.35">
      <c r="A1720" s="92"/>
      <c r="F1720" s="726"/>
      <c r="G1720" s="735"/>
      <c r="H1720" s="93"/>
      <c r="I1720" s="750"/>
      <c r="J1720" s="750"/>
    </row>
    <row r="1721" spans="1:10" x14ac:dyDescent="0.35">
      <c r="A1721" s="92"/>
      <c r="F1721" s="726"/>
      <c r="G1721" s="735"/>
      <c r="H1721" s="93"/>
      <c r="I1721" s="750"/>
      <c r="J1721" s="750"/>
    </row>
    <row r="1722" spans="1:10" x14ac:dyDescent="0.35">
      <c r="A1722" s="92"/>
      <c r="F1722" s="726"/>
      <c r="G1722" s="735"/>
      <c r="H1722" s="93"/>
      <c r="I1722" s="750"/>
      <c r="J1722" s="750"/>
    </row>
    <row r="1723" spans="1:10" x14ac:dyDescent="0.35">
      <c r="A1723" s="92"/>
      <c r="F1723" s="726"/>
      <c r="G1723" s="735"/>
      <c r="H1723" s="93"/>
      <c r="I1723" s="750"/>
      <c r="J1723" s="750"/>
    </row>
    <row r="1724" spans="1:10" x14ac:dyDescent="0.35">
      <c r="A1724" s="92"/>
      <c r="F1724" s="726"/>
      <c r="G1724" s="735"/>
      <c r="H1724" s="93"/>
      <c r="I1724" s="750"/>
      <c r="J1724" s="750"/>
    </row>
    <row r="1725" spans="1:10" x14ac:dyDescent="0.35">
      <c r="A1725" s="92"/>
      <c r="F1725" s="726"/>
      <c r="G1725" s="735"/>
      <c r="H1725" s="93"/>
      <c r="I1725" s="750"/>
      <c r="J1725" s="750"/>
    </row>
    <row r="1726" spans="1:10" x14ac:dyDescent="0.35">
      <c r="A1726" s="92"/>
      <c r="F1726" s="726"/>
      <c r="G1726" s="735"/>
      <c r="H1726" s="93"/>
      <c r="I1726" s="750"/>
      <c r="J1726" s="750"/>
    </row>
    <row r="1727" spans="1:10" x14ac:dyDescent="0.35">
      <c r="A1727" s="92"/>
      <c r="F1727" s="726"/>
      <c r="G1727" s="735"/>
      <c r="H1727" s="93"/>
      <c r="I1727" s="750"/>
      <c r="J1727" s="750"/>
    </row>
    <row r="1728" spans="1:10" x14ac:dyDescent="0.35">
      <c r="A1728" s="92"/>
      <c r="F1728" s="726"/>
      <c r="G1728" s="735"/>
      <c r="H1728" s="93"/>
      <c r="I1728" s="750"/>
      <c r="J1728" s="750"/>
    </row>
    <row r="1729" spans="1:10" x14ac:dyDescent="0.35">
      <c r="A1729" s="92"/>
      <c r="F1729" s="726"/>
      <c r="G1729" s="735"/>
      <c r="H1729" s="93"/>
      <c r="I1729" s="750"/>
      <c r="J1729" s="750"/>
    </row>
    <row r="1730" spans="1:10" x14ac:dyDescent="0.35">
      <c r="A1730" s="92"/>
      <c r="F1730" s="726"/>
      <c r="G1730" s="735"/>
      <c r="H1730" s="93"/>
      <c r="I1730" s="750"/>
      <c r="J1730" s="750"/>
    </row>
    <row r="1731" spans="1:10" x14ac:dyDescent="0.35">
      <c r="A1731" s="92"/>
      <c r="F1731" s="726"/>
      <c r="G1731" s="735"/>
      <c r="H1731" s="93"/>
      <c r="I1731" s="750"/>
      <c r="J1731" s="750"/>
    </row>
    <row r="1732" spans="1:10" x14ac:dyDescent="0.35">
      <c r="A1732" s="92"/>
      <c r="F1732" s="726"/>
      <c r="G1732" s="735"/>
      <c r="H1732" s="93"/>
      <c r="I1732" s="750"/>
      <c r="J1732" s="750"/>
    </row>
    <row r="1733" spans="1:10" x14ac:dyDescent="0.35">
      <c r="A1733" s="92"/>
      <c r="F1733" s="726"/>
      <c r="G1733" s="735"/>
      <c r="H1733" s="93"/>
      <c r="I1733" s="750"/>
      <c r="J1733" s="750"/>
    </row>
    <row r="1734" spans="1:10" x14ac:dyDescent="0.35">
      <c r="A1734" s="92"/>
      <c r="F1734" s="726"/>
      <c r="G1734" s="735"/>
      <c r="H1734" s="93"/>
      <c r="I1734" s="750"/>
      <c r="J1734" s="750"/>
    </row>
    <row r="1735" spans="1:10" x14ac:dyDescent="0.35">
      <c r="A1735" s="92"/>
      <c r="F1735" s="726"/>
      <c r="G1735" s="735"/>
      <c r="H1735" s="93"/>
      <c r="I1735" s="750"/>
      <c r="J1735" s="750"/>
    </row>
    <row r="1736" spans="1:10" x14ac:dyDescent="0.35">
      <c r="A1736" s="92"/>
      <c r="F1736" s="726"/>
      <c r="G1736" s="735"/>
      <c r="H1736" s="93"/>
      <c r="I1736" s="750"/>
      <c r="J1736" s="750"/>
    </row>
    <row r="1737" spans="1:10" x14ac:dyDescent="0.35">
      <c r="A1737" s="92"/>
      <c r="F1737" s="726"/>
      <c r="G1737" s="735"/>
      <c r="H1737" s="93"/>
      <c r="I1737" s="750"/>
      <c r="J1737" s="750"/>
    </row>
    <row r="1738" spans="1:10" x14ac:dyDescent="0.35">
      <c r="A1738" s="92"/>
      <c r="F1738" s="726"/>
      <c r="G1738" s="735"/>
      <c r="H1738" s="93"/>
      <c r="I1738" s="750"/>
      <c r="J1738" s="750"/>
    </row>
    <row r="1739" spans="1:10" x14ac:dyDescent="0.35">
      <c r="A1739" s="92"/>
      <c r="F1739" s="726"/>
      <c r="G1739" s="735"/>
      <c r="H1739" s="93"/>
      <c r="I1739" s="750"/>
      <c r="J1739" s="750"/>
    </row>
    <row r="1740" spans="1:10" x14ac:dyDescent="0.35">
      <c r="A1740" s="92"/>
      <c r="F1740" s="726"/>
      <c r="G1740" s="735"/>
      <c r="H1740" s="93"/>
      <c r="I1740" s="750"/>
      <c r="J1740" s="750"/>
    </row>
    <row r="1741" spans="1:10" x14ac:dyDescent="0.35">
      <c r="A1741" s="92"/>
      <c r="F1741" s="726"/>
      <c r="G1741" s="735"/>
      <c r="H1741" s="93"/>
      <c r="I1741" s="750"/>
      <c r="J1741" s="750"/>
    </row>
    <row r="1742" spans="1:10" x14ac:dyDescent="0.35">
      <c r="A1742" s="92"/>
      <c r="F1742" s="726"/>
      <c r="G1742" s="735"/>
      <c r="H1742" s="93"/>
      <c r="I1742" s="750"/>
      <c r="J1742" s="750"/>
    </row>
    <row r="1743" spans="1:10" x14ac:dyDescent="0.35">
      <c r="A1743" s="92"/>
      <c r="F1743" s="726"/>
      <c r="G1743" s="735"/>
      <c r="H1743" s="93"/>
      <c r="I1743" s="750"/>
      <c r="J1743" s="750"/>
    </row>
    <row r="1744" spans="1:10" x14ac:dyDescent="0.35">
      <c r="A1744" s="92"/>
      <c r="F1744" s="726"/>
      <c r="G1744" s="735"/>
      <c r="H1744" s="93"/>
      <c r="I1744" s="750"/>
      <c r="J1744" s="750"/>
    </row>
    <row r="1745" spans="1:10" x14ac:dyDescent="0.35">
      <c r="A1745" s="92"/>
      <c r="F1745" s="726"/>
      <c r="G1745" s="735"/>
      <c r="H1745" s="93"/>
      <c r="I1745" s="750"/>
      <c r="J1745" s="750"/>
    </row>
    <row r="1746" spans="1:10" x14ac:dyDescent="0.35">
      <c r="A1746" s="92"/>
      <c r="F1746" s="726"/>
      <c r="G1746" s="735"/>
      <c r="H1746" s="93"/>
      <c r="I1746" s="750"/>
      <c r="J1746" s="750"/>
    </row>
    <row r="1747" spans="1:10" x14ac:dyDescent="0.35">
      <c r="A1747" s="92"/>
      <c r="F1747" s="726"/>
      <c r="G1747" s="735"/>
      <c r="H1747" s="93"/>
      <c r="I1747" s="750"/>
      <c r="J1747" s="750"/>
    </row>
    <row r="1748" spans="1:10" x14ac:dyDescent="0.35">
      <c r="A1748" s="92"/>
      <c r="F1748" s="726"/>
      <c r="G1748" s="735"/>
      <c r="H1748" s="93"/>
      <c r="I1748" s="750"/>
      <c r="J1748" s="750"/>
    </row>
    <row r="1749" spans="1:10" x14ac:dyDescent="0.35">
      <c r="A1749" s="92"/>
      <c r="F1749" s="726"/>
      <c r="G1749" s="735"/>
      <c r="H1749" s="93"/>
      <c r="I1749" s="750"/>
      <c r="J1749" s="750"/>
    </row>
    <row r="1750" spans="1:10" x14ac:dyDescent="0.35">
      <c r="A1750" s="92"/>
      <c r="F1750" s="726"/>
      <c r="G1750" s="735"/>
      <c r="H1750" s="93"/>
      <c r="I1750" s="750"/>
      <c r="J1750" s="750"/>
    </row>
    <row r="1751" spans="1:10" x14ac:dyDescent="0.35">
      <c r="A1751" s="92"/>
      <c r="F1751" s="726"/>
      <c r="G1751" s="735"/>
      <c r="H1751" s="93"/>
      <c r="I1751" s="750"/>
      <c r="J1751" s="750"/>
    </row>
    <row r="1752" spans="1:10" x14ac:dyDescent="0.35">
      <c r="A1752" s="92"/>
      <c r="F1752" s="726"/>
      <c r="G1752" s="735"/>
      <c r="H1752" s="93"/>
      <c r="I1752" s="750"/>
      <c r="J1752" s="750"/>
    </row>
    <row r="1753" spans="1:10" x14ac:dyDescent="0.35">
      <c r="A1753" s="92"/>
      <c r="F1753" s="726"/>
      <c r="G1753" s="735"/>
      <c r="H1753" s="93"/>
      <c r="I1753" s="750"/>
      <c r="J1753" s="750"/>
    </row>
    <row r="1754" spans="1:10" x14ac:dyDescent="0.35">
      <c r="A1754" s="92"/>
      <c r="F1754" s="726"/>
      <c r="G1754" s="735"/>
      <c r="H1754" s="93"/>
      <c r="I1754" s="750"/>
      <c r="J1754" s="750"/>
    </row>
    <row r="1755" spans="1:10" x14ac:dyDescent="0.35">
      <c r="A1755" s="92"/>
      <c r="F1755" s="726"/>
      <c r="G1755" s="735"/>
      <c r="H1755" s="93"/>
      <c r="I1755" s="750"/>
      <c r="J1755" s="750"/>
    </row>
    <row r="1756" spans="1:10" x14ac:dyDescent="0.35">
      <c r="A1756" s="92"/>
      <c r="F1756" s="726"/>
      <c r="G1756" s="735"/>
      <c r="H1756" s="93"/>
      <c r="I1756" s="750"/>
      <c r="J1756" s="750"/>
    </row>
    <row r="1757" spans="1:10" x14ac:dyDescent="0.35">
      <c r="A1757" s="92"/>
      <c r="F1757" s="726"/>
      <c r="G1757" s="735"/>
      <c r="H1757" s="93"/>
      <c r="I1757" s="750"/>
      <c r="J1757" s="750"/>
    </row>
    <row r="1758" spans="1:10" x14ac:dyDescent="0.35">
      <c r="A1758" s="92"/>
      <c r="F1758" s="726"/>
      <c r="G1758" s="735"/>
      <c r="H1758" s="93"/>
      <c r="I1758" s="750"/>
      <c r="J1758" s="750"/>
    </row>
    <row r="1759" spans="1:10" x14ac:dyDescent="0.35">
      <c r="A1759" s="92"/>
      <c r="F1759" s="726"/>
      <c r="G1759" s="735"/>
      <c r="H1759" s="93"/>
      <c r="I1759" s="750"/>
      <c r="J1759" s="750"/>
    </row>
    <row r="1760" spans="1:10" x14ac:dyDescent="0.35">
      <c r="A1760" s="92"/>
      <c r="F1760" s="726"/>
      <c r="G1760" s="735"/>
      <c r="H1760" s="93"/>
      <c r="I1760" s="750"/>
      <c r="J1760" s="750"/>
    </row>
    <row r="1761" spans="1:10" x14ac:dyDescent="0.35">
      <c r="A1761" s="92"/>
      <c r="F1761" s="726"/>
      <c r="G1761" s="735"/>
      <c r="H1761" s="93"/>
      <c r="I1761" s="750"/>
      <c r="J1761" s="750"/>
    </row>
    <row r="1762" spans="1:10" x14ac:dyDescent="0.35">
      <c r="A1762" s="92"/>
      <c r="F1762" s="726"/>
      <c r="G1762" s="735"/>
      <c r="H1762" s="93"/>
      <c r="I1762" s="750"/>
      <c r="J1762" s="750"/>
    </row>
    <row r="1763" spans="1:10" x14ac:dyDescent="0.35">
      <c r="A1763" s="92"/>
      <c r="F1763" s="726"/>
      <c r="G1763" s="735"/>
      <c r="H1763" s="93"/>
      <c r="I1763" s="750"/>
      <c r="J1763" s="750"/>
    </row>
    <row r="1764" spans="1:10" x14ac:dyDescent="0.35">
      <c r="A1764" s="92"/>
      <c r="F1764" s="726"/>
      <c r="G1764" s="735"/>
      <c r="H1764" s="93"/>
      <c r="I1764" s="750"/>
      <c r="J1764" s="750"/>
    </row>
    <row r="1765" spans="1:10" x14ac:dyDescent="0.35">
      <c r="A1765" s="92"/>
      <c r="F1765" s="726"/>
      <c r="G1765" s="735"/>
      <c r="H1765" s="93"/>
      <c r="I1765" s="750"/>
      <c r="J1765" s="750"/>
    </row>
    <row r="1766" spans="1:10" x14ac:dyDescent="0.35">
      <c r="A1766" s="92"/>
      <c r="F1766" s="726"/>
      <c r="G1766" s="735"/>
      <c r="H1766" s="93"/>
      <c r="I1766" s="750"/>
      <c r="J1766" s="750"/>
    </row>
    <row r="1767" spans="1:10" x14ac:dyDescent="0.35">
      <c r="A1767" s="92"/>
      <c r="F1767" s="726"/>
      <c r="G1767" s="735"/>
      <c r="H1767" s="93"/>
      <c r="I1767" s="750"/>
      <c r="J1767" s="750"/>
    </row>
    <row r="1768" spans="1:10" x14ac:dyDescent="0.35">
      <c r="A1768" s="92"/>
      <c r="F1768" s="726"/>
      <c r="G1768" s="735"/>
      <c r="H1768" s="93"/>
      <c r="I1768" s="750"/>
      <c r="J1768" s="750"/>
    </row>
    <row r="1769" spans="1:10" x14ac:dyDescent="0.35">
      <c r="A1769" s="92"/>
      <c r="F1769" s="726"/>
      <c r="G1769" s="735"/>
      <c r="H1769" s="93"/>
      <c r="I1769" s="750"/>
      <c r="J1769" s="750"/>
    </row>
    <row r="1770" spans="1:10" x14ac:dyDescent="0.35">
      <c r="A1770" s="92"/>
      <c r="F1770" s="726"/>
      <c r="G1770" s="735"/>
      <c r="H1770" s="93"/>
      <c r="I1770" s="750"/>
      <c r="J1770" s="750"/>
    </row>
    <row r="1771" spans="1:10" x14ac:dyDescent="0.35">
      <c r="A1771" s="92"/>
      <c r="F1771" s="726"/>
      <c r="G1771" s="735"/>
      <c r="H1771" s="93"/>
      <c r="I1771" s="750"/>
      <c r="J1771" s="750"/>
    </row>
    <row r="1772" spans="1:10" x14ac:dyDescent="0.35">
      <c r="A1772" s="92"/>
      <c r="F1772" s="726"/>
      <c r="G1772" s="735"/>
      <c r="H1772" s="93"/>
      <c r="I1772" s="750"/>
      <c r="J1772" s="750"/>
    </row>
    <row r="1773" spans="1:10" x14ac:dyDescent="0.35">
      <c r="A1773" s="92"/>
      <c r="F1773" s="726"/>
      <c r="G1773" s="735"/>
      <c r="H1773" s="93"/>
      <c r="I1773" s="750"/>
      <c r="J1773" s="750"/>
    </row>
    <row r="1774" spans="1:10" x14ac:dyDescent="0.35">
      <c r="A1774" s="92"/>
      <c r="F1774" s="726"/>
      <c r="G1774" s="735"/>
      <c r="H1774" s="93"/>
      <c r="I1774" s="750"/>
      <c r="J1774" s="750"/>
    </row>
    <row r="1775" spans="1:10" x14ac:dyDescent="0.35">
      <c r="A1775" s="92"/>
      <c r="F1775" s="726"/>
      <c r="G1775" s="735"/>
      <c r="H1775" s="93"/>
      <c r="I1775" s="750"/>
      <c r="J1775" s="750"/>
    </row>
    <row r="1776" spans="1:10" x14ac:dyDescent="0.35">
      <c r="A1776" s="92"/>
      <c r="F1776" s="726"/>
      <c r="G1776" s="735"/>
      <c r="H1776" s="93"/>
      <c r="I1776" s="750"/>
      <c r="J1776" s="750"/>
    </row>
    <row r="1777" spans="1:10" x14ac:dyDescent="0.35">
      <c r="A1777" s="92"/>
      <c r="F1777" s="726"/>
      <c r="G1777" s="735"/>
      <c r="H1777" s="93"/>
      <c r="I1777" s="750"/>
      <c r="J1777" s="750"/>
    </row>
    <row r="1778" spans="1:10" x14ac:dyDescent="0.35">
      <c r="A1778" s="92"/>
      <c r="F1778" s="726"/>
      <c r="G1778" s="735"/>
      <c r="H1778" s="93"/>
      <c r="I1778" s="750"/>
      <c r="J1778" s="750"/>
    </row>
    <row r="1779" spans="1:10" x14ac:dyDescent="0.35">
      <c r="A1779" s="92"/>
      <c r="F1779" s="726"/>
      <c r="G1779" s="735"/>
      <c r="H1779" s="93"/>
      <c r="I1779" s="750"/>
      <c r="J1779" s="750"/>
    </row>
    <row r="1780" spans="1:10" x14ac:dyDescent="0.35">
      <c r="A1780" s="92"/>
      <c r="F1780" s="726"/>
      <c r="G1780" s="735"/>
      <c r="H1780" s="93"/>
      <c r="I1780" s="750"/>
      <c r="J1780" s="750"/>
    </row>
    <row r="1781" spans="1:10" x14ac:dyDescent="0.35">
      <c r="A1781" s="92"/>
      <c r="F1781" s="726"/>
      <c r="G1781" s="735"/>
      <c r="H1781" s="93"/>
      <c r="I1781" s="750"/>
      <c r="J1781" s="750"/>
    </row>
    <row r="1782" spans="1:10" x14ac:dyDescent="0.35">
      <c r="A1782" s="92"/>
      <c r="F1782" s="726"/>
      <c r="G1782" s="735"/>
      <c r="H1782" s="93"/>
      <c r="I1782" s="750"/>
      <c r="J1782" s="750"/>
    </row>
    <row r="1783" spans="1:10" x14ac:dyDescent="0.35">
      <c r="A1783" s="92"/>
      <c r="F1783" s="726"/>
      <c r="G1783" s="735"/>
      <c r="H1783" s="93"/>
      <c r="I1783" s="750"/>
      <c r="J1783" s="750"/>
    </row>
    <row r="1784" spans="1:10" x14ac:dyDescent="0.35">
      <c r="A1784" s="92"/>
      <c r="F1784" s="726"/>
      <c r="G1784" s="735"/>
      <c r="H1784" s="93"/>
      <c r="I1784" s="750"/>
      <c r="J1784" s="750"/>
    </row>
    <row r="1785" spans="1:10" x14ac:dyDescent="0.35">
      <c r="A1785" s="92"/>
      <c r="F1785" s="726"/>
      <c r="G1785" s="735"/>
      <c r="H1785" s="93"/>
      <c r="I1785" s="750"/>
      <c r="J1785" s="750"/>
    </row>
    <row r="1786" spans="1:10" x14ac:dyDescent="0.35">
      <c r="A1786" s="92"/>
      <c r="F1786" s="726"/>
      <c r="G1786" s="735"/>
      <c r="H1786" s="93"/>
      <c r="I1786" s="750"/>
      <c r="J1786" s="750"/>
    </row>
    <row r="1787" spans="1:10" x14ac:dyDescent="0.35">
      <c r="A1787" s="92"/>
      <c r="F1787" s="726"/>
      <c r="G1787" s="735"/>
      <c r="H1787" s="93"/>
      <c r="I1787" s="750"/>
      <c r="J1787" s="750"/>
    </row>
    <row r="1788" spans="1:10" x14ac:dyDescent="0.35">
      <c r="A1788" s="92"/>
      <c r="F1788" s="726"/>
      <c r="G1788" s="735"/>
      <c r="H1788" s="93"/>
      <c r="I1788" s="750"/>
      <c r="J1788" s="750"/>
    </row>
    <row r="1789" spans="1:10" x14ac:dyDescent="0.35">
      <c r="A1789" s="92"/>
      <c r="F1789" s="726"/>
      <c r="G1789" s="735"/>
      <c r="H1789" s="93"/>
      <c r="I1789" s="750"/>
      <c r="J1789" s="750"/>
    </row>
    <row r="1790" spans="1:10" x14ac:dyDescent="0.35">
      <c r="A1790" s="92"/>
      <c r="F1790" s="726"/>
      <c r="G1790" s="735"/>
      <c r="H1790" s="93"/>
      <c r="I1790" s="750"/>
      <c r="J1790" s="750"/>
    </row>
    <row r="1791" spans="1:10" x14ac:dyDescent="0.35">
      <c r="A1791" s="92"/>
      <c r="F1791" s="726"/>
      <c r="G1791" s="735"/>
      <c r="H1791" s="93"/>
      <c r="I1791" s="750"/>
      <c r="J1791" s="750"/>
    </row>
    <row r="1792" spans="1:10" x14ac:dyDescent="0.35">
      <c r="A1792" s="92"/>
      <c r="F1792" s="726"/>
      <c r="G1792" s="735"/>
      <c r="H1792" s="93"/>
      <c r="I1792" s="750"/>
      <c r="J1792" s="750"/>
    </row>
    <row r="1793" spans="1:10" x14ac:dyDescent="0.35">
      <c r="A1793" s="92"/>
      <c r="F1793" s="726"/>
      <c r="G1793" s="735"/>
      <c r="H1793" s="93"/>
      <c r="I1793" s="750"/>
      <c r="J1793" s="750"/>
    </row>
    <row r="1794" spans="1:10" x14ac:dyDescent="0.35">
      <c r="A1794" s="92"/>
      <c r="F1794" s="726"/>
      <c r="G1794" s="735"/>
      <c r="H1794" s="93"/>
      <c r="I1794" s="750"/>
      <c r="J1794" s="750"/>
    </row>
    <row r="1795" spans="1:10" x14ac:dyDescent="0.35">
      <c r="A1795" s="92"/>
      <c r="F1795" s="726"/>
      <c r="G1795" s="735"/>
      <c r="H1795" s="93"/>
      <c r="I1795" s="750"/>
      <c r="J1795" s="750"/>
    </row>
    <row r="1796" spans="1:10" x14ac:dyDescent="0.35">
      <c r="A1796" s="92"/>
      <c r="F1796" s="726"/>
      <c r="G1796" s="735"/>
      <c r="H1796" s="93"/>
      <c r="I1796" s="750"/>
      <c r="J1796" s="750"/>
    </row>
    <row r="1797" spans="1:10" x14ac:dyDescent="0.35">
      <c r="A1797" s="92"/>
      <c r="F1797" s="726"/>
      <c r="G1797" s="735"/>
      <c r="H1797" s="93"/>
      <c r="I1797" s="750"/>
      <c r="J1797" s="750"/>
    </row>
    <row r="1798" spans="1:10" x14ac:dyDescent="0.35">
      <c r="A1798" s="92"/>
      <c r="F1798" s="726"/>
      <c r="G1798" s="735"/>
      <c r="H1798" s="93"/>
      <c r="I1798" s="750"/>
      <c r="J1798" s="750"/>
    </row>
    <row r="1799" spans="1:10" x14ac:dyDescent="0.35">
      <c r="A1799" s="92"/>
      <c r="F1799" s="726"/>
      <c r="G1799" s="735"/>
      <c r="H1799" s="93"/>
      <c r="I1799" s="750"/>
      <c r="J1799" s="750"/>
    </row>
    <row r="1800" spans="1:10" x14ac:dyDescent="0.35">
      <c r="A1800" s="92"/>
      <c r="F1800" s="726"/>
      <c r="G1800" s="735"/>
      <c r="H1800" s="93"/>
      <c r="I1800" s="750"/>
      <c r="J1800" s="750"/>
    </row>
    <row r="1801" spans="1:10" x14ac:dyDescent="0.35">
      <c r="A1801" s="92"/>
      <c r="F1801" s="726"/>
      <c r="G1801" s="735"/>
      <c r="H1801" s="93"/>
      <c r="I1801" s="750"/>
      <c r="J1801" s="750"/>
    </row>
    <row r="1802" spans="1:10" x14ac:dyDescent="0.35">
      <c r="A1802" s="92"/>
      <c r="F1802" s="726"/>
      <c r="G1802" s="735"/>
      <c r="H1802" s="93"/>
      <c r="I1802" s="750"/>
      <c r="J1802" s="750"/>
    </row>
    <row r="1803" spans="1:10" x14ac:dyDescent="0.35">
      <c r="A1803" s="92"/>
      <c r="F1803" s="726"/>
      <c r="G1803" s="735"/>
      <c r="H1803" s="93"/>
      <c r="I1803" s="750"/>
      <c r="J1803" s="750"/>
    </row>
    <row r="1804" spans="1:10" x14ac:dyDescent="0.35">
      <c r="H1804" s="93"/>
      <c r="I1804" s="750"/>
      <c r="J1804" s="750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5" x14ac:dyDescent="0.35"/>
  <cols>
    <col min="1" max="1" width="12.36328125" style="29" customWidth="1"/>
    <col min="2" max="2" width="18.36328125" style="20" customWidth="1"/>
    <col min="3" max="3" width="23" style="21" customWidth="1"/>
    <col min="4" max="5" width="15.08984375" style="599" customWidth="1"/>
    <col min="6" max="6" width="17.36328125" style="605" customWidth="1"/>
    <col min="7" max="7" width="16.08984375" style="614" customWidth="1"/>
    <col min="8" max="8" width="16.26953125" style="10" customWidth="1"/>
    <col min="9" max="9" width="18.7265625" customWidth="1"/>
    <col min="10" max="10" width="13.7265625" style="739" customWidth="1"/>
    <col min="11" max="11" width="14.36328125" customWidth="1"/>
    <col min="12" max="12" width="14.08984375" customWidth="1"/>
    <col min="13" max="13" width="15.08984375" customWidth="1"/>
    <col min="14" max="15" width="12.7265625" customWidth="1"/>
    <col min="16" max="16" width="10.26953125" customWidth="1"/>
    <col min="17" max="17" width="11.36328125" customWidth="1"/>
  </cols>
  <sheetData>
    <row r="1" spans="1:12" s="3" customFormat="1" x14ac:dyDescent="0.35">
      <c r="A1" s="183"/>
      <c r="B1" s="1176"/>
      <c r="C1" s="1177"/>
      <c r="D1" s="617" t="s">
        <v>0</v>
      </c>
      <c r="E1" s="593">
        <f>COUNTA(B7:B125)</f>
        <v>107</v>
      </c>
      <c r="F1" s="600" t="s">
        <v>1</v>
      </c>
      <c r="G1" s="607" t="s">
        <v>196</v>
      </c>
      <c r="H1" s="187"/>
      <c r="I1" s="188"/>
      <c r="J1" s="751"/>
    </row>
    <row r="2" spans="1:12" s="3" customFormat="1" x14ac:dyDescent="0.3">
      <c r="A2" s="189"/>
      <c r="B2" s="190"/>
      <c r="C2" s="191"/>
      <c r="D2" s="618"/>
      <c r="E2" s="594"/>
      <c r="F2" s="601" t="s">
        <v>731</v>
      </c>
      <c r="G2" s="608">
        <f>SUM(D6:D176)-SUM(E6:E176)</f>
        <v>55700</v>
      </c>
      <c r="H2" s="196"/>
      <c r="I2" s="196"/>
      <c r="J2" s="752"/>
      <c r="K2" s="42"/>
      <c r="L2" s="42"/>
    </row>
    <row r="3" spans="1:12" s="3" customFormat="1" x14ac:dyDescent="0.3">
      <c r="A3" s="189"/>
      <c r="B3" s="190"/>
      <c r="C3" s="191"/>
      <c r="D3" s="619"/>
      <c r="E3" s="595"/>
      <c r="F3" s="602" t="s">
        <v>225</v>
      </c>
      <c r="G3" s="609">
        <f>-G2</f>
        <v>-55700</v>
      </c>
      <c r="H3" s="247">
        <v>-28106.77</v>
      </c>
      <c r="I3" s="196"/>
      <c r="J3" s="752"/>
      <c r="K3" s="42"/>
      <c r="L3" s="42"/>
    </row>
    <row r="4" spans="1:12" s="3" customFormat="1" x14ac:dyDescent="0.35">
      <c r="A4" s="183"/>
      <c r="B4" s="198"/>
      <c r="C4" s="232"/>
      <c r="D4" s="620"/>
      <c r="E4" s="594"/>
      <c r="F4" s="601" t="s">
        <v>732</v>
      </c>
      <c r="G4" s="610">
        <v>373084.27720000001</v>
      </c>
      <c r="H4" s="200"/>
      <c r="I4" s="201"/>
      <c r="J4" s="753"/>
      <c r="K4" s="81"/>
      <c r="L4" s="42"/>
    </row>
    <row r="5" spans="1:12" s="3" customFormat="1" x14ac:dyDescent="0.35">
      <c r="A5" s="183"/>
      <c r="B5" s="202" t="s">
        <v>7</v>
      </c>
      <c r="C5" s="203" t="s">
        <v>8</v>
      </c>
      <c r="D5" s="621" t="s">
        <v>9</v>
      </c>
      <c r="E5" s="596" t="s">
        <v>63</v>
      </c>
      <c r="F5" s="603" t="s">
        <v>10</v>
      </c>
      <c r="G5" s="610">
        <f>+G2+G4+G3</f>
        <v>373084.27720000001</v>
      </c>
      <c r="H5" s="200">
        <f>+H4+H3+H2</f>
        <v>-28106.77</v>
      </c>
      <c r="I5" s="233">
        <f>+G5+H5</f>
        <v>344977.51</v>
      </c>
      <c r="J5" s="747"/>
      <c r="K5" s="42"/>
      <c r="L5" s="42"/>
    </row>
    <row r="6" spans="1:12" x14ac:dyDescent="0.35">
      <c r="A6" s="255" t="s">
        <v>11</v>
      </c>
      <c r="B6" s="256">
        <v>43466</v>
      </c>
      <c r="C6" s="255" t="s">
        <v>12</v>
      </c>
      <c r="D6" s="597">
        <v>0</v>
      </c>
      <c r="E6" s="597"/>
      <c r="F6" s="604"/>
      <c r="G6" s="611"/>
    </row>
    <row r="7" spans="1:12" x14ac:dyDescent="0.35">
      <c r="A7" s="255"/>
      <c r="B7" s="256">
        <v>43469</v>
      </c>
      <c r="C7" s="255" t="s">
        <v>13</v>
      </c>
      <c r="D7" s="597">
        <f>25000</f>
        <v>25000</v>
      </c>
      <c r="E7" s="597"/>
      <c r="F7" s="604"/>
      <c r="G7" s="612"/>
      <c r="H7" s="11"/>
      <c r="I7" s="12"/>
    </row>
    <row r="8" spans="1:12" x14ac:dyDescent="0.35">
      <c r="A8" s="255"/>
      <c r="B8" s="256">
        <v>43483</v>
      </c>
      <c r="C8" s="255" t="s">
        <v>19</v>
      </c>
      <c r="D8" s="597">
        <f>+D7/2</f>
        <v>12500</v>
      </c>
      <c r="E8" s="597"/>
      <c r="F8" s="604"/>
      <c r="G8" s="612"/>
      <c r="H8" s="11"/>
      <c r="I8" s="12"/>
    </row>
    <row r="9" spans="1:12" x14ac:dyDescent="0.35">
      <c r="A9" s="255"/>
      <c r="B9" s="256">
        <v>43486</v>
      </c>
      <c r="C9" s="255" t="s">
        <v>197</v>
      </c>
      <c r="D9" s="597"/>
      <c r="E9" s="597">
        <v>2500</v>
      </c>
      <c r="F9" s="604"/>
      <c r="G9" s="612"/>
      <c r="H9" s="11"/>
      <c r="I9" s="12"/>
    </row>
    <row r="10" spans="1:12" x14ac:dyDescent="0.35">
      <c r="A10" s="255"/>
      <c r="B10" s="256">
        <v>43469</v>
      </c>
      <c r="C10" s="255" t="s">
        <v>172</v>
      </c>
      <c r="D10" s="597"/>
      <c r="E10" s="597">
        <v>2500</v>
      </c>
      <c r="F10" s="604"/>
      <c r="G10" s="612"/>
      <c r="H10" s="11"/>
      <c r="I10" s="12"/>
    </row>
    <row r="11" spans="1:12" x14ac:dyDescent="0.35">
      <c r="A11" s="255"/>
      <c r="B11" s="256">
        <v>43472</v>
      </c>
      <c r="C11" s="255" t="s">
        <v>197</v>
      </c>
      <c r="D11" s="597"/>
      <c r="E11" s="597">
        <v>6000</v>
      </c>
      <c r="F11" s="604"/>
      <c r="G11" s="612"/>
      <c r="H11" s="11"/>
      <c r="I11" s="12"/>
    </row>
    <row r="12" spans="1:12" x14ac:dyDescent="0.35">
      <c r="A12" s="255"/>
      <c r="B12" s="256">
        <v>43472</v>
      </c>
      <c r="C12" s="255" t="s">
        <v>163</v>
      </c>
      <c r="D12" s="597"/>
      <c r="E12" s="597">
        <v>5900</v>
      </c>
      <c r="F12" s="604"/>
      <c r="G12" s="612"/>
      <c r="H12" s="11"/>
      <c r="I12" s="12"/>
    </row>
    <row r="13" spans="1:12" x14ac:dyDescent="0.35">
      <c r="A13" s="255"/>
      <c r="B13" s="256">
        <v>43469</v>
      </c>
      <c r="C13" s="255" t="s">
        <v>54</v>
      </c>
      <c r="D13" s="597"/>
      <c r="E13" s="597">
        <f>600*3</f>
        <v>1800</v>
      </c>
      <c r="F13" s="604"/>
      <c r="G13" s="612"/>
      <c r="H13" s="11"/>
      <c r="I13" s="12"/>
    </row>
    <row r="14" spans="1:12" x14ac:dyDescent="0.35">
      <c r="A14" s="255"/>
      <c r="B14" s="256">
        <v>43469</v>
      </c>
      <c r="C14" s="255" t="s">
        <v>38</v>
      </c>
      <c r="D14" s="597"/>
      <c r="E14" s="597">
        <v>200</v>
      </c>
      <c r="F14" s="604"/>
      <c r="G14" s="612"/>
      <c r="H14" s="11"/>
      <c r="I14" s="12"/>
    </row>
    <row r="15" spans="1:12" x14ac:dyDescent="0.35">
      <c r="A15" s="255"/>
      <c r="B15" s="256">
        <v>43469</v>
      </c>
      <c r="C15" s="255" t="s">
        <v>231</v>
      </c>
      <c r="D15" s="597"/>
      <c r="E15" s="597">
        <v>600</v>
      </c>
      <c r="F15" s="604"/>
      <c r="G15" s="612"/>
      <c r="H15" s="11"/>
      <c r="I15" s="12"/>
    </row>
    <row r="16" spans="1:12" x14ac:dyDescent="0.35">
      <c r="A16" s="255"/>
      <c r="B16" s="256">
        <v>43462</v>
      </c>
      <c r="C16" s="255" t="s">
        <v>236</v>
      </c>
      <c r="D16" s="597"/>
      <c r="E16" s="597">
        <v>3000</v>
      </c>
      <c r="F16" s="604"/>
      <c r="G16" s="612"/>
      <c r="H16" s="11"/>
      <c r="I16" s="12"/>
    </row>
    <row r="17" spans="1:11" x14ac:dyDescent="0.35">
      <c r="A17" s="255"/>
      <c r="B17" s="256">
        <v>43496</v>
      </c>
      <c r="C17" s="255" t="s">
        <v>15</v>
      </c>
      <c r="D17" s="597"/>
      <c r="E17" s="597">
        <v>5000</v>
      </c>
      <c r="F17" s="604"/>
      <c r="G17" s="612"/>
      <c r="H17" s="98"/>
      <c r="I17" s="12"/>
    </row>
    <row r="18" spans="1:11" x14ac:dyDescent="0.35">
      <c r="A18" s="255"/>
      <c r="B18" s="256"/>
      <c r="C18" s="255"/>
      <c r="D18" s="597"/>
      <c r="E18" s="597"/>
      <c r="F18" s="604">
        <f>SUM(D6:D18)-SUM(E6:E18)</f>
        <v>10000</v>
      </c>
      <c r="G18" s="613">
        <v>214530.39</v>
      </c>
      <c r="H18" s="98"/>
      <c r="I18" s="12"/>
    </row>
    <row r="19" spans="1:11" x14ac:dyDescent="0.35">
      <c r="A19" s="255" t="s">
        <v>16</v>
      </c>
      <c r="B19" s="256">
        <v>43501</v>
      </c>
      <c r="C19" s="255" t="s">
        <v>13</v>
      </c>
      <c r="D19" s="597">
        <v>25000</v>
      </c>
      <c r="E19" s="597"/>
      <c r="F19" s="604"/>
      <c r="G19" s="613"/>
      <c r="H19" s="11"/>
      <c r="I19" s="90"/>
    </row>
    <row r="20" spans="1:11" x14ac:dyDescent="0.35">
      <c r="A20" s="255"/>
      <c r="B20" s="256">
        <v>43501</v>
      </c>
      <c r="C20" s="255" t="s">
        <v>172</v>
      </c>
      <c r="D20" s="597"/>
      <c r="E20" s="597">
        <v>2500</v>
      </c>
      <c r="F20" s="604"/>
      <c r="G20" s="613"/>
      <c r="H20" s="11"/>
      <c r="I20" s="90"/>
    </row>
    <row r="21" spans="1:11" x14ac:dyDescent="0.35">
      <c r="A21" s="255"/>
      <c r="B21" s="256">
        <v>43502</v>
      </c>
      <c r="C21" s="255" t="s">
        <v>197</v>
      </c>
      <c r="D21" s="597"/>
      <c r="E21" s="597">
        <v>3000</v>
      </c>
      <c r="F21" s="604"/>
      <c r="G21" s="613"/>
      <c r="H21" s="11"/>
      <c r="I21" s="90"/>
    </row>
    <row r="22" spans="1:11" x14ac:dyDescent="0.35">
      <c r="A22" s="255"/>
      <c r="B22" s="256">
        <v>43502</v>
      </c>
      <c r="C22" s="255" t="s">
        <v>163</v>
      </c>
      <c r="D22" s="597"/>
      <c r="E22" s="597">
        <v>10000</v>
      </c>
      <c r="F22" s="604"/>
      <c r="G22" s="613"/>
      <c r="H22" s="11"/>
      <c r="I22" s="90"/>
    </row>
    <row r="23" spans="1:11" x14ac:dyDescent="0.35">
      <c r="A23" s="255"/>
      <c r="B23" s="256">
        <v>43507</v>
      </c>
      <c r="C23" s="255" t="s">
        <v>54</v>
      </c>
      <c r="D23" s="597"/>
      <c r="E23" s="597">
        <v>1500</v>
      </c>
      <c r="F23" s="604"/>
      <c r="G23" s="613"/>
      <c r="H23" s="11"/>
      <c r="I23" s="90"/>
    </row>
    <row r="24" spans="1:11" x14ac:dyDescent="0.35">
      <c r="A24" s="255"/>
      <c r="B24" s="256">
        <v>43500</v>
      </c>
      <c r="C24" s="255" t="s">
        <v>38</v>
      </c>
      <c r="D24" s="597"/>
      <c r="E24" s="597">
        <v>500</v>
      </c>
      <c r="F24" s="604"/>
      <c r="G24" s="613"/>
      <c r="H24" s="11"/>
      <c r="I24" s="90"/>
    </row>
    <row r="25" spans="1:11" x14ac:dyDescent="0.35">
      <c r="A25" s="255"/>
      <c r="B25" s="256">
        <v>43501</v>
      </c>
      <c r="C25" s="255" t="s">
        <v>231</v>
      </c>
      <c r="D25" s="597"/>
      <c r="E25" s="597">
        <v>700</v>
      </c>
      <c r="F25" s="604"/>
      <c r="G25" s="613"/>
      <c r="H25" s="11"/>
      <c r="I25" s="90"/>
    </row>
    <row r="26" spans="1:11" x14ac:dyDescent="0.35">
      <c r="A26" s="255"/>
      <c r="B26" s="256">
        <v>43504</v>
      </c>
      <c r="C26" s="255" t="s">
        <v>236</v>
      </c>
      <c r="D26" s="597"/>
      <c r="E26" s="597">
        <v>3000</v>
      </c>
      <c r="F26" s="604"/>
      <c r="G26" s="613"/>
      <c r="H26" s="11"/>
      <c r="I26" s="90"/>
    </row>
    <row r="27" spans="1:11" x14ac:dyDescent="0.35">
      <c r="A27" s="255"/>
      <c r="B27" s="256">
        <v>43524</v>
      </c>
      <c r="C27" s="255" t="s">
        <v>15</v>
      </c>
      <c r="D27" s="597"/>
      <c r="E27" s="597">
        <v>800</v>
      </c>
      <c r="F27" s="604"/>
      <c r="G27" s="613"/>
      <c r="H27" s="11"/>
      <c r="I27" s="90"/>
    </row>
    <row r="28" spans="1:11" x14ac:dyDescent="0.35">
      <c r="A28" s="255"/>
      <c r="B28" s="256"/>
      <c r="C28" s="255"/>
      <c r="D28" s="597"/>
      <c r="E28" s="597"/>
      <c r="F28" s="604">
        <f>SUM(D18:D28)-SUM(E18:E28)</f>
        <v>3000</v>
      </c>
      <c r="G28" s="613">
        <v>245446.26</v>
      </c>
      <c r="H28" s="98"/>
      <c r="I28" s="12"/>
      <c r="K28" s="107"/>
    </row>
    <row r="29" spans="1:11" x14ac:dyDescent="0.35">
      <c r="A29" s="255" t="s">
        <v>17</v>
      </c>
      <c r="B29" s="256">
        <v>43532</v>
      </c>
      <c r="C29" s="255" t="s">
        <v>13</v>
      </c>
      <c r="D29" s="597">
        <v>20000</v>
      </c>
      <c r="E29" s="597"/>
      <c r="F29" s="604"/>
      <c r="G29" s="613"/>
      <c r="H29" s="207"/>
      <c r="I29" s="12"/>
    </row>
    <row r="30" spans="1:11" x14ac:dyDescent="0.35">
      <c r="A30" s="255"/>
      <c r="B30" s="256">
        <v>43522</v>
      </c>
      <c r="C30" s="255" t="s">
        <v>13</v>
      </c>
      <c r="D30" s="597">
        <v>3600</v>
      </c>
      <c r="E30" s="597"/>
      <c r="F30" s="604"/>
      <c r="G30" s="613"/>
      <c r="H30" s="207"/>
      <c r="I30" s="12"/>
    </row>
    <row r="31" spans="1:11" x14ac:dyDescent="0.35">
      <c r="A31" s="255"/>
      <c r="B31" s="256">
        <v>43539</v>
      </c>
      <c r="C31" s="255" t="s">
        <v>13</v>
      </c>
      <c r="D31" s="597">
        <v>1400</v>
      </c>
      <c r="E31" s="597"/>
      <c r="F31" s="604"/>
      <c r="G31" s="613"/>
      <c r="H31" s="207"/>
      <c r="I31" s="12"/>
    </row>
    <row r="32" spans="1:11" x14ac:dyDescent="0.35">
      <c r="A32" s="255"/>
      <c r="B32" s="256">
        <v>43539</v>
      </c>
      <c r="C32" s="255" t="s">
        <v>729</v>
      </c>
      <c r="D32" s="597">
        <v>2500</v>
      </c>
      <c r="E32" s="597"/>
      <c r="F32" s="604"/>
      <c r="G32" s="613"/>
      <c r="H32" s="207"/>
      <c r="I32" s="12"/>
    </row>
    <row r="33" spans="1:13" x14ac:dyDescent="0.35">
      <c r="A33" s="255"/>
      <c r="B33" s="256">
        <v>43539</v>
      </c>
      <c r="C33" s="255" t="s">
        <v>197</v>
      </c>
      <c r="D33" s="597"/>
      <c r="E33" s="597">
        <v>2500</v>
      </c>
      <c r="F33" s="604"/>
      <c r="G33" s="613"/>
      <c r="H33" s="207"/>
      <c r="I33" s="12"/>
    </row>
    <row r="34" spans="1:13" x14ac:dyDescent="0.35">
      <c r="A34" s="255"/>
      <c r="B34" s="256">
        <v>43531</v>
      </c>
      <c r="C34" s="255" t="s">
        <v>172</v>
      </c>
      <c r="D34" s="597"/>
      <c r="E34" s="597">
        <v>2500</v>
      </c>
      <c r="F34" s="604"/>
      <c r="G34" s="613"/>
      <c r="H34" s="207"/>
      <c r="I34" s="12"/>
      <c r="L34" s="131"/>
      <c r="M34" s="131"/>
    </row>
    <row r="35" spans="1:13" x14ac:dyDescent="0.35">
      <c r="A35" s="255"/>
      <c r="B35" s="256">
        <v>43535</v>
      </c>
      <c r="C35" s="255" t="s">
        <v>197</v>
      </c>
      <c r="D35" s="597"/>
      <c r="E35" s="597">
        <v>7000</v>
      </c>
      <c r="F35" s="604"/>
      <c r="G35" s="613"/>
      <c r="H35" s="207"/>
      <c r="I35" s="12"/>
      <c r="L35" s="131"/>
    </row>
    <row r="36" spans="1:13" x14ac:dyDescent="0.35">
      <c r="A36" s="255"/>
      <c r="B36" s="256">
        <v>43535</v>
      </c>
      <c r="C36" s="255" t="s">
        <v>163</v>
      </c>
      <c r="D36" s="597"/>
      <c r="E36" s="597">
        <v>5600</v>
      </c>
      <c r="F36" s="604"/>
      <c r="G36" s="613"/>
      <c r="H36" s="207"/>
      <c r="I36" s="12"/>
    </row>
    <row r="37" spans="1:13" x14ac:dyDescent="0.35">
      <c r="A37" s="255"/>
      <c r="B37" s="256">
        <v>43524</v>
      </c>
      <c r="C37" s="255" t="s">
        <v>38</v>
      </c>
      <c r="D37" s="597"/>
      <c r="E37" s="597">
        <v>800</v>
      </c>
      <c r="F37" s="604"/>
      <c r="G37" s="613"/>
      <c r="H37" s="207"/>
      <c r="I37" s="12"/>
    </row>
    <row r="38" spans="1:13" x14ac:dyDescent="0.35">
      <c r="A38" s="255"/>
      <c r="B38" s="256">
        <v>43535</v>
      </c>
      <c r="C38" s="255" t="s">
        <v>231</v>
      </c>
      <c r="D38" s="597"/>
      <c r="E38" s="597">
        <v>700</v>
      </c>
      <c r="F38" s="604"/>
      <c r="G38" s="613"/>
      <c r="H38" s="207"/>
      <c r="I38" s="12"/>
    </row>
    <row r="39" spans="1:13" x14ac:dyDescent="0.35">
      <c r="A39" s="255"/>
      <c r="B39" s="256">
        <v>43533</v>
      </c>
      <c r="C39" s="255" t="s">
        <v>236</v>
      </c>
      <c r="D39" s="597"/>
      <c r="E39" s="597">
        <v>3000</v>
      </c>
      <c r="F39" s="604"/>
      <c r="G39" s="613"/>
      <c r="H39" s="207"/>
      <c r="I39" s="12"/>
    </row>
    <row r="40" spans="1:13" x14ac:dyDescent="0.35">
      <c r="A40" s="255"/>
      <c r="B40" s="256">
        <v>43555</v>
      </c>
      <c r="C40" s="255" t="s">
        <v>15</v>
      </c>
      <c r="D40" s="597"/>
      <c r="E40" s="597">
        <v>2000</v>
      </c>
      <c r="F40" s="604"/>
      <c r="G40" s="613"/>
      <c r="H40" s="207"/>
      <c r="I40" s="12"/>
    </row>
    <row r="41" spans="1:13" x14ac:dyDescent="0.35">
      <c r="A41" s="255"/>
      <c r="B41" s="256"/>
      <c r="C41" s="255"/>
      <c r="D41" s="597"/>
      <c r="E41" s="597"/>
      <c r="F41" s="604">
        <f>SUM(D28:D41)-SUM(E28:E41)</f>
        <v>3400</v>
      </c>
      <c r="G41" s="613">
        <v>250194.99</v>
      </c>
      <c r="H41" s="98"/>
      <c r="I41" s="12"/>
      <c r="K41" s="28"/>
    </row>
    <row r="42" spans="1:13" x14ac:dyDescent="0.35">
      <c r="A42" s="255" t="s">
        <v>18</v>
      </c>
      <c r="B42" s="256">
        <v>43559</v>
      </c>
      <c r="C42" s="255" t="s">
        <v>13</v>
      </c>
      <c r="D42" s="597">
        <v>25000</v>
      </c>
      <c r="E42" s="597"/>
      <c r="F42" s="604"/>
      <c r="G42" s="613"/>
      <c r="H42" s="98"/>
      <c r="I42" s="12"/>
      <c r="K42" s="28"/>
    </row>
    <row r="43" spans="1:13" x14ac:dyDescent="0.35">
      <c r="A43" s="255"/>
      <c r="B43" s="256">
        <v>43556</v>
      </c>
      <c r="C43" s="255" t="s">
        <v>172</v>
      </c>
      <c r="D43" s="597"/>
      <c r="E43" s="597">
        <v>2500</v>
      </c>
      <c r="F43" s="604"/>
      <c r="G43" s="613"/>
      <c r="H43" s="98"/>
      <c r="I43" s="12"/>
      <c r="K43" s="28"/>
    </row>
    <row r="44" spans="1:13" x14ac:dyDescent="0.35">
      <c r="A44" s="255"/>
      <c r="B44" s="256">
        <v>43560</v>
      </c>
      <c r="C44" s="255" t="s">
        <v>197</v>
      </c>
      <c r="D44" s="597"/>
      <c r="E44" s="597">
        <v>6400</v>
      </c>
      <c r="F44" s="604"/>
      <c r="G44" s="613"/>
      <c r="H44" s="98"/>
      <c r="I44" s="12"/>
      <c r="K44" s="28"/>
    </row>
    <row r="45" spans="1:13" x14ac:dyDescent="0.35">
      <c r="A45" s="255"/>
      <c r="B45" s="256">
        <v>43567</v>
      </c>
      <c r="C45" s="255" t="s">
        <v>163</v>
      </c>
      <c r="D45" s="597"/>
      <c r="E45" s="597">
        <v>4900</v>
      </c>
      <c r="F45" s="604"/>
      <c r="G45" s="613"/>
      <c r="H45" s="98"/>
      <c r="I45" s="12"/>
      <c r="K45" s="28"/>
      <c r="L45" s="28"/>
    </row>
    <row r="46" spans="1:13" x14ac:dyDescent="0.35">
      <c r="A46" s="255"/>
      <c r="B46" s="256">
        <v>43556</v>
      </c>
      <c r="C46" s="255" t="s">
        <v>54</v>
      </c>
      <c r="D46" s="597"/>
      <c r="E46" s="597">
        <v>800</v>
      </c>
      <c r="F46" s="604"/>
      <c r="G46" s="613"/>
      <c r="H46" s="98"/>
      <c r="I46" s="12"/>
    </row>
    <row r="47" spans="1:13" x14ac:dyDescent="0.35">
      <c r="A47" s="255"/>
      <c r="B47" s="256">
        <v>43558</v>
      </c>
      <c r="C47" s="255" t="s">
        <v>38</v>
      </c>
      <c r="D47" s="597"/>
      <c r="E47" s="597">
        <v>1000</v>
      </c>
      <c r="F47" s="604"/>
      <c r="G47" s="613"/>
      <c r="H47" s="98"/>
      <c r="I47" s="12"/>
    </row>
    <row r="48" spans="1:13" x14ac:dyDescent="0.35">
      <c r="A48" s="255"/>
      <c r="B48" s="256">
        <v>43553</v>
      </c>
      <c r="C48" s="255" t="s">
        <v>728</v>
      </c>
      <c r="D48" s="597"/>
      <c r="E48" s="597">
        <v>1700</v>
      </c>
      <c r="F48" s="604"/>
      <c r="G48" s="613"/>
      <c r="H48" s="98"/>
      <c r="I48" s="12"/>
    </row>
    <row r="49" spans="1:16" x14ac:dyDescent="0.35">
      <c r="A49" s="255"/>
      <c r="B49" s="256">
        <v>43556</v>
      </c>
      <c r="C49" s="255" t="s">
        <v>231</v>
      </c>
      <c r="D49" s="597"/>
      <c r="E49" s="597">
        <v>700</v>
      </c>
      <c r="F49" s="604"/>
      <c r="G49" s="613"/>
      <c r="H49" s="98"/>
      <c r="I49" s="12"/>
    </row>
    <row r="50" spans="1:16" x14ac:dyDescent="0.35">
      <c r="A50" s="255"/>
      <c r="B50" s="256">
        <v>43555</v>
      </c>
      <c r="C50" s="255" t="s">
        <v>236</v>
      </c>
      <c r="D50" s="597"/>
      <c r="E50" s="597">
        <v>4000</v>
      </c>
      <c r="F50" s="604"/>
      <c r="G50" s="613"/>
      <c r="H50" s="98"/>
      <c r="I50" s="12"/>
    </row>
    <row r="51" spans="1:16" x14ac:dyDescent="0.35">
      <c r="A51" s="255"/>
      <c r="B51" s="256"/>
      <c r="C51" s="255"/>
      <c r="D51" s="597"/>
      <c r="E51" s="597"/>
      <c r="F51" s="604">
        <f>SUM(D41:D51)-SUM(E41:E51)</f>
        <v>3000</v>
      </c>
      <c r="G51" s="613">
        <v>256194.99</v>
      </c>
      <c r="H51" s="11"/>
      <c r="I51" s="12"/>
      <c r="N51" s="77"/>
      <c r="O51" s="77"/>
      <c r="P51" s="77"/>
    </row>
    <row r="52" spans="1:16" x14ac:dyDescent="0.35">
      <c r="A52" s="255" t="s">
        <v>20</v>
      </c>
      <c r="B52" s="256">
        <v>43591</v>
      </c>
      <c r="C52" s="255" t="s">
        <v>13</v>
      </c>
      <c r="D52" s="597">
        <v>25000</v>
      </c>
      <c r="E52" s="597"/>
      <c r="F52" s="604"/>
      <c r="G52" s="613"/>
      <c r="H52" s="149"/>
      <c r="I52" s="12"/>
      <c r="K52" s="131"/>
      <c r="N52" s="77"/>
      <c r="O52" s="77"/>
      <c r="P52" s="77"/>
    </row>
    <row r="53" spans="1:16" x14ac:dyDescent="0.35">
      <c r="A53" s="255"/>
      <c r="B53" s="256">
        <v>43591</v>
      </c>
      <c r="C53" s="255" t="s">
        <v>172</v>
      </c>
      <c r="D53" s="597"/>
      <c r="E53" s="597">
        <v>2500</v>
      </c>
      <c r="F53" s="604"/>
      <c r="G53" s="613"/>
      <c r="H53" s="149"/>
      <c r="I53" s="12"/>
      <c r="K53" s="131"/>
      <c r="N53" s="77"/>
      <c r="O53" s="77"/>
      <c r="P53" s="77"/>
    </row>
    <row r="54" spans="1:16" x14ac:dyDescent="0.35">
      <c r="A54" s="255"/>
      <c r="B54" s="256">
        <v>43592</v>
      </c>
      <c r="C54" s="255" t="s">
        <v>197</v>
      </c>
      <c r="D54" s="597"/>
      <c r="E54" s="597">
        <v>8000</v>
      </c>
      <c r="F54" s="604"/>
      <c r="G54" s="613"/>
      <c r="H54" s="76"/>
      <c r="I54" s="12"/>
      <c r="K54" s="131"/>
      <c r="N54" s="77"/>
      <c r="O54" s="77"/>
      <c r="P54" s="77"/>
    </row>
    <row r="55" spans="1:16" x14ac:dyDescent="0.35">
      <c r="A55" s="255"/>
      <c r="B55" s="256">
        <v>43598</v>
      </c>
      <c r="C55" s="255" t="s">
        <v>163</v>
      </c>
      <c r="D55" s="597"/>
      <c r="E55" s="597">
        <v>4600</v>
      </c>
      <c r="F55" s="604"/>
      <c r="G55" s="613"/>
      <c r="H55" s="76"/>
      <c r="I55" s="102"/>
      <c r="K55" s="131"/>
      <c r="N55" s="77"/>
      <c r="O55" s="77"/>
      <c r="P55" s="77"/>
    </row>
    <row r="56" spans="1:16" x14ac:dyDescent="0.35">
      <c r="A56" s="255"/>
      <c r="B56" s="256">
        <v>43598</v>
      </c>
      <c r="C56" s="255" t="s">
        <v>38</v>
      </c>
      <c r="D56" s="597"/>
      <c r="E56" s="597">
        <v>300</v>
      </c>
      <c r="F56" s="604"/>
      <c r="G56" s="613"/>
      <c r="H56" s="76"/>
      <c r="I56" s="12"/>
      <c r="K56" s="131"/>
      <c r="N56" s="77"/>
      <c r="O56" s="77"/>
      <c r="P56" s="77"/>
    </row>
    <row r="57" spans="1:16" x14ac:dyDescent="0.35">
      <c r="A57" s="255"/>
      <c r="B57" s="256">
        <v>43592</v>
      </c>
      <c r="C57" s="255" t="s">
        <v>728</v>
      </c>
      <c r="D57" s="597"/>
      <c r="E57" s="597">
        <v>2000</v>
      </c>
      <c r="F57" s="604"/>
      <c r="G57" s="613"/>
      <c r="H57" s="76"/>
      <c r="I57" s="12"/>
      <c r="K57" s="131"/>
      <c r="N57" s="77"/>
      <c r="O57" s="77"/>
      <c r="P57" s="77"/>
    </row>
    <row r="58" spans="1:16" x14ac:dyDescent="0.35">
      <c r="A58" s="255"/>
      <c r="B58" s="256">
        <v>43583</v>
      </c>
      <c r="C58" s="255" t="s">
        <v>236</v>
      </c>
      <c r="D58" s="597"/>
      <c r="E58" s="597">
        <v>3000</v>
      </c>
      <c r="F58" s="604"/>
      <c r="G58" s="613"/>
      <c r="H58" s="76"/>
      <c r="I58" s="12"/>
      <c r="K58" s="131"/>
      <c r="N58" s="77"/>
      <c r="O58" s="77"/>
      <c r="P58" s="77"/>
    </row>
    <row r="59" spans="1:16" x14ac:dyDescent="0.35">
      <c r="A59" s="255"/>
      <c r="B59" s="256"/>
      <c r="C59" s="255"/>
      <c r="D59" s="597"/>
      <c r="E59" s="597"/>
      <c r="F59" s="604">
        <f>SUM(D51:D59)-SUM(E51:E59)</f>
        <v>4600</v>
      </c>
      <c r="G59" s="613">
        <v>256863.69</v>
      </c>
      <c r="H59" s="76"/>
      <c r="I59" s="12"/>
      <c r="K59" s="131"/>
    </row>
    <row r="60" spans="1:16" x14ac:dyDescent="0.35">
      <c r="A60" s="255" t="s">
        <v>21</v>
      </c>
      <c r="B60" s="256">
        <v>43620</v>
      </c>
      <c r="C60" s="255" t="s">
        <v>13</v>
      </c>
      <c r="D60" s="597">
        <v>35000</v>
      </c>
      <c r="E60" s="597"/>
      <c r="F60" s="604"/>
      <c r="G60" s="613"/>
      <c r="H60" s="98"/>
      <c r="I60" s="102"/>
      <c r="K60" s="131"/>
    </row>
    <row r="61" spans="1:16" x14ac:dyDescent="0.35">
      <c r="A61" s="255"/>
      <c r="B61" s="256">
        <v>43621</v>
      </c>
      <c r="C61" s="255" t="s">
        <v>172</v>
      </c>
      <c r="D61" s="597"/>
      <c r="E61" s="597">
        <v>2500</v>
      </c>
      <c r="F61" s="604"/>
      <c r="G61" s="613"/>
      <c r="H61" s="98"/>
      <c r="I61" s="102"/>
      <c r="J61" s="740"/>
      <c r="K61" s="131"/>
      <c r="L61" s="104"/>
    </row>
    <row r="62" spans="1:16" x14ac:dyDescent="0.35">
      <c r="A62" s="255"/>
      <c r="B62" s="256">
        <v>43622</v>
      </c>
      <c r="C62" s="255" t="s">
        <v>197</v>
      </c>
      <c r="D62" s="597"/>
      <c r="E62" s="597">
        <v>14000</v>
      </c>
      <c r="F62" s="604"/>
      <c r="G62" s="613"/>
      <c r="H62" s="98"/>
      <c r="I62" s="102"/>
      <c r="J62" s="740"/>
      <c r="K62" s="131"/>
      <c r="L62" s="104"/>
    </row>
    <row r="63" spans="1:16" x14ac:dyDescent="0.35">
      <c r="A63" s="255"/>
      <c r="B63" s="256">
        <v>43622</v>
      </c>
      <c r="C63" s="255" t="s">
        <v>163</v>
      </c>
      <c r="D63" s="597"/>
      <c r="E63" s="597">
        <v>1000</v>
      </c>
      <c r="F63" s="604"/>
      <c r="G63" s="613"/>
      <c r="H63" s="473"/>
      <c r="I63" s="451"/>
      <c r="J63" s="740"/>
      <c r="K63" s="254"/>
      <c r="L63" s="254"/>
    </row>
    <row r="64" spans="1:16" x14ac:dyDescent="0.35">
      <c r="A64" s="255"/>
      <c r="B64" s="256">
        <v>43622</v>
      </c>
      <c r="C64" s="255" t="s">
        <v>163</v>
      </c>
      <c r="D64" s="597"/>
      <c r="E64" s="597">
        <v>8200</v>
      </c>
      <c r="F64" s="604"/>
      <c r="G64" s="613"/>
      <c r="H64" s="98"/>
      <c r="I64" s="102"/>
      <c r="J64" s="740"/>
      <c r="K64" s="131"/>
      <c r="L64" s="104"/>
    </row>
    <row r="65" spans="1:13" x14ac:dyDescent="0.35">
      <c r="A65" s="255"/>
      <c r="B65" s="256">
        <v>43621</v>
      </c>
      <c r="C65" s="255" t="s">
        <v>38</v>
      </c>
      <c r="D65" s="597"/>
      <c r="E65" s="597">
        <v>1100</v>
      </c>
      <c r="F65" s="604"/>
      <c r="G65" s="613"/>
      <c r="H65" s="98"/>
      <c r="I65" s="102"/>
      <c r="J65" s="740"/>
      <c r="K65" s="131"/>
    </row>
    <row r="66" spans="1:13" x14ac:dyDescent="0.35">
      <c r="A66" s="255"/>
      <c r="B66" s="256">
        <v>43620</v>
      </c>
      <c r="C66" s="255" t="s">
        <v>728</v>
      </c>
      <c r="D66" s="597"/>
      <c r="E66" s="597">
        <f>1800+200</f>
        <v>2000</v>
      </c>
      <c r="F66" s="604"/>
      <c r="G66" s="613"/>
      <c r="H66" s="98"/>
      <c r="I66" s="102"/>
      <c r="J66" s="740"/>
      <c r="K66" s="131"/>
    </row>
    <row r="67" spans="1:13" x14ac:dyDescent="0.35">
      <c r="A67" s="255"/>
      <c r="B67" s="256">
        <v>43621</v>
      </c>
      <c r="C67" s="255" t="s">
        <v>231</v>
      </c>
      <c r="D67" s="597"/>
      <c r="E67" s="597">
        <v>600</v>
      </c>
      <c r="F67" s="604"/>
      <c r="G67" s="613"/>
      <c r="H67" s="98"/>
      <c r="I67" s="102"/>
      <c r="J67" s="740"/>
      <c r="K67" s="131"/>
    </row>
    <row r="68" spans="1:13" x14ac:dyDescent="0.35">
      <c r="A68" s="255"/>
      <c r="B68" s="256">
        <v>43646</v>
      </c>
      <c r="C68" s="255" t="s">
        <v>15</v>
      </c>
      <c r="D68" s="597"/>
      <c r="E68" s="597">
        <v>500</v>
      </c>
      <c r="F68" s="604"/>
      <c r="G68" s="613"/>
      <c r="H68" s="98"/>
      <c r="I68" s="635"/>
      <c r="J68" s="766"/>
      <c r="K68" s="631"/>
      <c r="L68" s="631"/>
      <c r="M68" s="631"/>
    </row>
    <row r="69" spans="1:13" x14ac:dyDescent="0.35">
      <c r="A69" s="255"/>
      <c r="B69" s="256"/>
      <c r="C69" s="255"/>
      <c r="D69" s="597"/>
      <c r="E69" s="597"/>
      <c r="F69" s="604">
        <f>SUM(D59:D69)-SUM(E59:E69)</f>
        <v>5100</v>
      </c>
      <c r="G69" s="613">
        <v>263598.28999999998</v>
      </c>
      <c r="H69" s="11"/>
      <c r="I69" s="636"/>
      <c r="J69" s="741"/>
      <c r="K69" s="632"/>
      <c r="L69" s="632"/>
      <c r="M69" s="632"/>
    </row>
    <row r="70" spans="1:13" x14ac:dyDescent="0.35">
      <c r="A70" s="255" t="s">
        <v>22</v>
      </c>
      <c r="B70" s="256">
        <v>43651</v>
      </c>
      <c r="C70" s="255" t="s">
        <v>13</v>
      </c>
      <c r="D70" s="597">
        <v>35000</v>
      </c>
      <c r="E70" s="597"/>
      <c r="F70" s="604"/>
      <c r="G70" s="613"/>
      <c r="H70" s="98"/>
      <c r="I70" s="636"/>
      <c r="J70" s="741"/>
      <c r="K70" s="632"/>
      <c r="L70" s="632"/>
      <c r="M70" s="632"/>
    </row>
    <row r="71" spans="1:13" x14ac:dyDescent="0.35">
      <c r="A71" s="255"/>
      <c r="B71" s="256">
        <v>43658</v>
      </c>
      <c r="C71" s="255" t="s">
        <v>735</v>
      </c>
      <c r="D71" s="597">
        <v>23700</v>
      </c>
      <c r="E71" s="597"/>
      <c r="F71" s="604"/>
      <c r="G71" s="613"/>
      <c r="H71" s="473"/>
      <c r="I71" s="636"/>
      <c r="J71" s="741"/>
      <c r="K71" s="632"/>
      <c r="L71" s="632"/>
      <c r="M71" s="632"/>
    </row>
    <row r="72" spans="1:13" x14ac:dyDescent="0.35">
      <c r="A72" s="255"/>
      <c r="B72" s="256">
        <v>43651</v>
      </c>
      <c r="C72" s="255" t="s">
        <v>172</v>
      </c>
      <c r="D72" s="597"/>
      <c r="E72" s="597">
        <v>2500</v>
      </c>
      <c r="F72" s="604"/>
      <c r="G72" s="613"/>
      <c r="H72" s="98"/>
      <c r="I72" s="633"/>
      <c r="J72" s="742"/>
      <c r="K72" s="632"/>
      <c r="L72" s="632"/>
      <c r="M72" s="632"/>
    </row>
    <row r="73" spans="1:13" x14ac:dyDescent="0.35">
      <c r="A73" s="255"/>
      <c r="B73" s="256">
        <v>43658</v>
      </c>
      <c r="C73" s="255" t="s">
        <v>197</v>
      </c>
      <c r="D73" s="597"/>
      <c r="E73" s="597">
        <v>9100</v>
      </c>
      <c r="F73" s="604"/>
      <c r="G73" s="613"/>
      <c r="H73" s="473"/>
      <c r="I73" s="634"/>
      <c r="J73" s="743"/>
      <c r="K73" s="632"/>
      <c r="L73" s="632"/>
      <c r="M73" s="632"/>
    </row>
    <row r="74" spans="1:13" x14ac:dyDescent="0.35">
      <c r="A74" s="255"/>
      <c r="B74" s="256">
        <v>43656</v>
      </c>
      <c r="C74" s="255" t="s">
        <v>197</v>
      </c>
      <c r="D74" s="597"/>
      <c r="E74" s="597">
        <v>9800</v>
      </c>
      <c r="F74" s="604"/>
      <c r="G74" s="613"/>
      <c r="H74" s="98"/>
      <c r="L74" s="632"/>
      <c r="M74" s="632"/>
    </row>
    <row r="75" spans="1:13" x14ac:dyDescent="0.35">
      <c r="A75" s="255"/>
      <c r="B75" s="256">
        <v>43658</v>
      </c>
      <c r="C75" s="255" t="s">
        <v>163</v>
      </c>
      <c r="D75" s="597"/>
      <c r="E75" s="597">
        <v>14600</v>
      </c>
      <c r="F75" s="604"/>
      <c r="G75" s="613"/>
      <c r="H75" s="98"/>
      <c r="I75" s="633"/>
      <c r="J75" s="742"/>
      <c r="K75" s="632"/>
      <c r="L75" s="632"/>
      <c r="M75" s="632"/>
    </row>
    <row r="76" spans="1:13" x14ac:dyDescent="0.35">
      <c r="A76" s="255"/>
      <c r="B76" s="256">
        <v>43643</v>
      </c>
      <c r="C76" s="255" t="s">
        <v>728</v>
      </c>
      <c r="D76" s="597"/>
      <c r="E76" s="597">
        <v>2000</v>
      </c>
      <c r="F76" s="604"/>
      <c r="G76" s="613"/>
      <c r="H76" s="98"/>
      <c r="I76" s="634"/>
      <c r="J76" s="743"/>
      <c r="K76" s="632"/>
    </row>
    <row r="77" spans="1:13" x14ac:dyDescent="0.35">
      <c r="A77" s="255"/>
      <c r="B77" s="256">
        <v>43651</v>
      </c>
      <c r="C77" s="255" t="s">
        <v>231</v>
      </c>
      <c r="D77" s="597"/>
      <c r="E77" s="597">
        <v>700</v>
      </c>
      <c r="F77" s="604"/>
      <c r="G77" s="613"/>
      <c r="H77" s="98"/>
      <c r="I77" s="634"/>
      <c r="J77" s="742"/>
      <c r="K77" s="632"/>
      <c r="L77" s="632"/>
      <c r="M77" s="632"/>
    </row>
    <row r="78" spans="1:13" x14ac:dyDescent="0.35">
      <c r="A78" s="255"/>
      <c r="B78" s="256">
        <v>43665</v>
      </c>
      <c r="C78" s="255" t="s">
        <v>611</v>
      </c>
      <c r="D78" s="597"/>
      <c r="E78" s="597">
        <v>20000</v>
      </c>
      <c r="F78" s="604"/>
      <c r="G78" s="613"/>
      <c r="H78" s="11"/>
      <c r="I78" s="636"/>
      <c r="J78" s="767"/>
      <c r="K78" s="637"/>
      <c r="L78" s="632"/>
      <c r="M78" s="632"/>
    </row>
    <row r="79" spans="1:13" x14ac:dyDescent="0.35">
      <c r="A79" s="255"/>
      <c r="B79" s="256"/>
      <c r="C79" s="255"/>
      <c r="D79" s="597"/>
      <c r="E79" s="597"/>
      <c r="F79" s="604">
        <f>SUM(D70:D79)-SUM(E70:E79)</f>
        <v>0</v>
      </c>
      <c r="G79" s="613">
        <v>252935.34</v>
      </c>
      <c r="H79" s="11"/>
      <c r="I79" s="638"/>
      <c r="J79" s="754"/>
      <c r="K79" s="637"/>
      <c r="L79" s="632"/>
      <c r="M79" s="632"/>
    </row>
    <row r="80" spans="1:13" x14ac:dyDescent="0.35">
      <c r="A80" s="255" t="s">
        <v>23</v>
      </c>
      <c r="B80" s="256">
        <v>43685</v>
      </c>
      <c r="C80" s="255" t="s">
        <v>13</v>
      </c>
      <c r="D80" s="597">
        <v>35000</v>
      </c>
      <c r="E80" s="597"/>
      <c r="F80" s="604"/>
      <c r="G80" s="613"/>
      <c r="H80" s="149"/>
      <c r="I80" s="11"/>
      <c r="J80" s="725"/>
      <c r="K80" s="165"/>
      <c r="L80" s="630"/>
      <c r="M80" s="630"/>
    </row>
    <row r="81" spans="1:12" x14ac:dyDescent="0.35">
      <c r="A81" s="255"/>
      <c r="B81" s="256">
        <v>43690</v>
      </c>
      <c r="C81" s="255" t="s">
        <v>172</v>
      </c>
      <c r="D81" s="597"/>
      <c r="E81" s="597">
        <v>3800</v>
      </c>
      <c r="F81" s="604"/>
      <c r="G81" s="613"/>
      <c r="H81" s="149"/>
      <c r="I81" s="12"/>
      <c r="J81" s="746"/>
      <c r="K81" s="105"/>
    </row>
    <row r="82" spans="1:12" x14ac:dyDescent="0.35">
      <c r="A82" s="255"/>
      <c r="B82" s="256">
        <v>43686</v>
      </c>
      <c r="C82" s="255" t="s">
        <v>197</v>
      </c>
      <c r="D82" s="597"/>
      <c r="E82" s="597">
        <v>11000</v>
      </c>
      <c r="F82" s="604"/>
      <c r="G82" s="613"/>
      <c r="H82" s="11"/>
      <c r="I82" s="12"/>
      <c r="J82" s="746"/>
      <c r="K82" s="105"/>
    </row>
    <row r="83" spans="1:12" x14ac:dyDescent="0.35">
      <c r="A83" s="255"/>
      <c r="B83" s="256">
        <v>43689</v>
      </c>
      <c r="C83" s="255" t="s">
        <v>163</v>
      </c>
      <c r="D83" s="597"/>
      <c r="E83" s="597">
        <v>15900</v>
      </c>
      <c r="F83" s="604"/>
      <c r="G83" s="613"/>
      <c r="H83" s="11"/>
      <c r="I83" s="12"/>
      <c r="J83" s="746"/>
      <c r="K83" s="105"/>
    </row>
    <row r="84" spans="1:12" x14ac:dyDescent="0.35">
      <c r="A84" s="255"/>
      <c r="B84" s="256">
        <v>43682</v>
      </c>
      <c r="C84" s="255" t="s">
        <v>38</v>
      </c>
      <c r="D84" s="597"/>
      <c r="E84" s="597">
        <v>1000</v>
      </c>
      <c r="F84" s="604"/>
      <c r="G84" s="613"/>
      <c r="H84" s="11"/>
      <c r="I84" s="12"/>
      <c r="J84" s="746"/>
      <c r="K84" s="105"/>
    </row>
    <row r="85" spans="1:12" x14ac:dyDescent="0.35">
      <c r="A85" s="255"/>
      <c r="B85" s="256">
        <v>43687</v>
      </c>
      <c r="C85" s="255" t="s">
        <v>728</v>
      </c>
      <c r="D85" s="597"/>
      <c r="E85" s="597">
        <v>1800</v>
      </c>
      <c r="F85" s="604"/>
      <c r="G85" s="613"/>
      <c r="H85" s="11"/>
      <c r="I85" s="12"/>
      <c r="J85" s="746"/>
      <c r="K85" s="413"/>
    </row>
    <row r="86" spans="1:12" x14ac:dyDescent="0.35">
      <c r="A86" s="255"/>
      <c r="B86" s="256">
        <v>43682</v>
      </c>
      <c r="C86" s="255" t="s">
        <v>231</v>
      </c>
      <c r="D86" s="597"/>
      <c r="E86" s="597">
        <v>700</v>
      </c>
      <c r="F86" s="604"/>
      <c r="G86" s="613"/>
      <c r="H86" s="11"/>
      <c r="I86" s="12"/>
      <c r="J86" s="746"/>
      <c r="K86" s="413"/>
    </row>
    <row r="87" spans="1:12" x14ac:dyDescent="0.35">
      <c r="A87" s="255"/>
      <c r="B87" s="256"/>
      <c r="C87" s="255"/>
      <c r="D87" s="597"/>
      <c r="E87" s="597"/>
      <c r="F87" s="604">
        <f>SUM(D79:D87)-SUM(E79:E87)</f>
        <v>800</v>
      </c>
      <c r="G87" s="613">
        <v>285119.31</v>
      </c>
      <c r="H87" s="11"/>
      <c r="I87" s="12"/>
      <c r="J87" s="746"/>
      <c r="K87" s="105"/>
    </row>
    <row r="88" spans="1:12" x14ac:dyDescent="0.35">
      <c r="A88" s="255" t="s">
        <v>24</v>
      </c>
      <c r="B88" s="256">
        <v>43710</v>
      </c>
      <c r="C88" s="255" t="s">
        <v>13</v>
      </c>
      <c r="D88" s="597">
        <v>35000</v>
      </c>
      <c r="E88" s="597"/>
      <c r="F88" s="604"/>
      <c r="G88" s="613"/>
      <c r="H88" s="11"/>
      <c r="I88" s="12"/>
      <c r="J88" s="746"/>
      <c r="K88" s="15"/>
    </row>
    <row r="89" spans="1:12" x14ac:dyDescent="0.35">
      <c r="A89" s="255"/>
      <c r="B89" s="256">
        <v>43717</v>
      </c>
      <c r="C89" s="255" t="s">
        <v>172</v>
      </c>
      <c r="D89" s="597"/>
      <c r="E89" s="597">
        <v>3800</v>
      </c>
      <c r="F89" s="604"/>
      <c r="G89" s="613"/>
      <c r="H89" s="11"/>
      <c r="I89" s="12"/>
      <c r="J89" s="746"/>
      <c r="K89" s="15"/>
    </row>
    <row r="90" spans="1:12" x14ac:dyDescent="0.35">
      <c r="A90" s="255"/>
      <c r="B90" s="256">
        <v>43718</v>
      </c>
      <c r="C90" s="255" t="s">
        <v>197</v>
      </c>
      <c r="D90" s="597"/>
      <c r="E90" s="597">
        <v>2000</v>
      </c>
      <c r="F90" s="604"/>
      <c r="G90" s="613"/>
      <c r="H90" s="11"/>
      <c r="I90" s="12"/>
    </row>
    <row r="91" spans="1:12" x14ac:dyDescent="0.35">
      <c r="A91" s="255"/>
      <c r="B91" s="256">
        <v>43725</v>
      </c>
      <c r="C91" s="255" t="s">
        <v>163</v>
      </c>
      <c r="D91" s="597"/>
      <c r="E91" s="597">
        <v>13600</v>
      </c>
      <c r="F91" s="604"/>
      <c r="G91" s="613"/>
      <c r="H91" s="11"/>
      <c r="I91" s="12"/>
    </row>
    <row r="92" spans="1:12" x14ac:dyDescent="0.35">
      <c r="A92" s="255"/>
      <c r="B92" s="256">
        <v>43714</v>
      </c>
      <c r="C92" s="255" t="s">
        <v>176</v>
      </c>
      <c r="D92" s="597"/>
      <c r="E92" s="597">
        <v>400</v>
      </c>
      <c r="F92" s="604"/>
      <c r="G92" s="613"/>
      <c r="H92" s="11"/>
      <c r="I92" s="12"/>
    </row>
    <row r="93" spans="1:12" x14ac:dyDescent="0.35">
      <c r="A93" s="255"/>
      <c r="B93" s="256">
        <v>43738</v>
      </c>
      <c r="C93" s="255" t="s">
        <v>38</v>
      </c>
      <c r="D93" s="597"/>
      <c r="E93" s="597">
        <v>1200</v>
      </c>
      <c r="F93" s="604"/>
      <c r="G93" s="613"/>
      <c r="H93" s="11"/>
      <c r="I93" s="12"/>
      <c r="L93" s="104"/>
    </row>
    <row r="94" spans="1:12" x14ac:dyDescent="0.35">
      <c r="A94" s="255"/>
      <c r="B94" s="256">
        <v>43718</v>
      </c>
      <c r="C94" s="255" t="s">
        <v>728</v>
      </c>
      <c r="D94" s="597"/>
      <c r="E94" s="597">
        <v>1800</v>
      </c>
      <c r="F94" s="604"/>
      <c r="G94" s="613"/>
      <c r="H94" s="11"/>
      <c r="I94" s="12"/>
      <c r="L94" s="254"/>
    </row>
    <row r="95" spans="1:12" x14ac:dyDescent="0.35">
      <c r="A95" s="255"/>
      <c r="B95" s="256">
        <v>43698</v>
      </c>
      <c r="C95" s="255" t="s">
        <v>231</v>
      </c>
      <c r="D95" s="597"/>
      <c r="E95" s="597">
        <v>700</v>
      </c>
      <c r="F95" s="604"/>
      <c r="G95" s="613"/>
      <c r="H95" s="11"/>
      <c r="I95" s="12"/>
      <c r="K95" s="15"/>
      <c r="L95" s="254"/>
    </row>
    <row r="96" spans="1:12" x14ac:dyDescent="0.35">
      <c r="A96" s="255"/>
      <c r="B96" s="256">
        <v>43714</v>
      </c>
      <c r="C96" s="255" t="s">
        <v>236</v>
      </c>
      <c r="D96" s="597"/>
      <c r="E96" s="597">
        <v>4000</v>
      </c>
      <c r="F96" s="604"/>
      <c r="G96" s="613"/>
      <c r="H96" s="11"/>
      <c r="I96" s="12"/>
      <c r="J96" s="746"/>
      <c r="K96" s="15"/>
      <c r="L96" s="104"/>
    </row>
    <row r="97" spans="1:13" x14ac:dyDescent="0.35">
      <c r="A97" s="255"/>
      <c r="B97" s="256"/>
      <c r="C97" s="255"/>
      <c r="D97" s="597"/>
      <c r="E97" s="597"/>
      <c r="F97" s="604">
        <f>SUM(D87:D97)-SUM(E87:E97)</f>
        <v>7500</v>
      </c>
      <c r="G97" s="613">
        <v>323622.58</v>
      </c>
      <c r="H97" s="11"/>
      <c r="I97" s="12"/>
      <c r="J97" s="746"/>
      <c r="K97" s="23"/>
    </row>
    <row r="98" spans="1:13" x14ac:dyDescent="0.35">
      <c r="A98" s="255" t="s">
        <v>25</v>
      </c>
      <c r="B98" s="256">
        <v>43742</v>
      </c>
      <c r="C98" s="255" t="s">
        <v>13</v>
      </c>
      <c r="D98" s="597">
        <v>35000</v>
      </c>
      <c r="E98" s="597"/>
      <c r="F98" s="604"/>
      <c r="G98" s="613"/>
      <c r="H98" s="11"/>
      <c r="I98" s="12"/>
      <c r="J98" s="746"/>
      <c r="K98" s="15"/>
      <c r="L98" s="104"/>
    </row>
    <row r="99" spans="1:13" x14ac:dyDescent="0.35">
      <c r="A99" s="255"/>
      <c r="B99" s="256">
        <v>43748</v>
      </c>
      <c r="C99" s="255" t="s">
        <v>172</v>
      </c>
      <c r="D99" s="597"/>
      <c r="E99" s="597">
        <v>3800</v>
      </c>
      <c r="F99" s="604"/>
      <c r="G99" s="613"/>
      <c r="H99" s="11"/>
      <c r="I99" s="12"/>
      <c r="J99" s="746"/>
      <c r="K99" s="15"/>
      <c r="L99" s="48"/>
    </row>
    <row r="100" spans="1:13" x14ac:dyDescent="0.35">
      <c r="A100" s="255"/>
      <c r="B100" s="256">
        <v>43750</v>
      </c>
      <c r="C100" s="255" t="s">
        <v>197</v>
      </c>
      <c r="D100" s="597"/>
      <c r="E100" s="597">
        <v>10800</v>
      </c>
      <c r="F100" s="604"/>
      <c r="G100" s="613"/>
      <c r="H100" s="11"/>
      <c r="I100" s="12"/>
      <c r="L100" s="628"/>
    </row>
    <row r="101" spans="1:13" x14ac:dyDescent="0.35">
      <c r="A101" s="255"/>
      <c r="B101" s="256">
        <v>43760</v>
      </c>
      <c r="C101" s="255" t="s">
        <v>163</v>
      </c>
      <c r="D101" s="597"/>
      <c r="E101" s="597">
        <v>9900</v>
      </c>
      <c r="F101" s="604"/>
      <c r="G101" s="613"/>
      <c r="H101" s="11"/>
      <c r="I101" s="12"/>
      <c r="L101" s="628"/>
    </row>
    <row r="102" spans="1:13" x14ac:dyDescent="0.35">
      <c r="A102" s="255"/>
      <c r="B102" s="256">
        <v>43738</v>
      </c>
      <c r="C102" s="255" t="s">
        <v>38</v>
      </c>
      <c r="D102" s="597"/>
      <c r="E102" s="597">
        <v>1200</v>
      </c>
      <c r="F102" s="604"/>
      <c r="G102" s="613"/>
      <c r="H102" s="11"/>
      <c r="I102" s="12"/>
      <c r="L102" s="628"/>
      <c r="M102" s="104"/>
    </row>
    <row r="103" spans="1:13" x14ac:dyDescent="0.35">
      <c r="A103" s="255"/>
      <c r="B103" s="256">
        <v>43748</v>
      </c>
      <c r="C103" s="255" t="s">
        <v>728</v>
      </c>
      <c r="D103" s="597"/>
      <c r="E103" s="597">
        <v>1800</v>
      </c>
      <c r="F103" s="604"/>
      <c r="G103" s="613"/>
      <c r="H103" s="11"/>
      <c r="I103" s="12"/>
      <c r="L103" s="628"/>
      <c r="M103" s="254"/>
    </row>
    <row r="104" spans="1:13" x14ac:dyDescent="0.35">
      <c r="A104" s="255"/>
      <c r="B104" s="256">
        <v>43739</v>
      </c>
      <c r="C104" s="255" t="s">
        <v>231</v>
      </c>
      <c r="D104" s="597"/>
      <c r="E104" s="597">
        <v>700</v>
      </c>
      <c r="F104" s="604"/>
      <c r="G104" s="613"/>
      <c r="H104" s="11"/>
      <c r="I104" s="12"/>
      <c r="L104" s="628"/>
      <c r="M104" s="254"/>
    </row>
    <row r="105" spans="1:13" x14ac:dyDescent="0.35">
      <c r="A105" s="255"/>
      <c r="B105" s="256">
        <v>43748</v>
      </c>
      <c r="C105" s="255" t="s">
        <v>236</v>
      </c>
      <c r="D105" s="597"/>
      <c r="E105" s="597">
        <v>4000</v>
      </c>
      <c r="F105" s="604"/>
      <c r="G105" s="613"/>
      <c r="H105" s="11"/>
      <c r="I105" s="12"/>
      <c r="J105" s="746"/>
      <c r="K105" s="15"/>
      <c r="L105" s="628"/>
      <c r="M105" s="104"/>
    </row>
    <row r="106" spans="1:13" x14ac:dyDescent="0.35">
      <c r="A106" s="255"/>
      <c r="B106" s="256">
        <v>43769</v>
      </c>
      <c r="C106" s="255" t="s">
        <v>15</v>
      </c>
      <c r="D106" s="597"/>
      <c r="E106" s="597">
        <v>1500</v>
      </c>
      <c r="F106" s="604"/>
      <c r="G106" s="613"/>
      <c r="H106" s="11"/>
      <c r="I106" s="11"/>
      <c r="J106" s="768"/>
      <c r="K106" s="15"/>
      <c r="L106" s="104"/>
      <c r="M106" s="104"/>
    </row>
    <row r="107" spans="1:13" x14ac:dyDescent="0.35">
      <c r="A107" s="255"/>
      <c r="B107" s="256"/>
      <c r="C107" s="255"/>
      <c r="D107" s="597"/>
      <c r="E107" s="597"/>
      <c r="F107" s="604">
        <f>SUM(D97:D107)-SUM(E97:E107)</f>
        <v>1300</v>
      </c>
      <c r="G107" s="613">
        <v>337046.24</v>
      </c>
      <c r="H107" s="98"/>
      <c r="I107" s="12"/>
      <c r="J107" s="746"/>
      <c r="K107" s="15"/>
      <c r="M107" s="104"/>
    </row>
    <row r="108" spans="1:13" x14ac:dyDescent="0.35">
      <c r="A108" s="255" t="s">
        <v>26</v>
      </c>
      <c r="B108" s="256">
        <v>43753</v>
      </c>
      <c r="C108" s="255" t="s">
        <v>13</v>
      </c>
      <c r="D108" s="597">
        <v>36500</v>
      </c>
      <c r="E108" s="597"/>
      <c r="F108" s="604"/>
      <c r="G108" s="613"/>
      <c r="H108" s="11"/>
      <c r="I108" s="12"/>
      <c r="J108" s="746"/>
      <c r="K108" s="15"/>
      <c r="L108" s="88"/>
      <c r="M108" s="104"/>
    </row>
    <row r="109" spans="1:13" x14ac:dyDescent="0.35">
      <c r="A109" s="255"/>
      <c r="B109" s="256">
        <v>43779</v>
      </c>
      <c r="C109" s="255" t="s">
        <v>172</v>
      </c>
      <c r="D109" s="597"/>
      <c r="E109" s="597">
        <v>3800</v>
      </c>
      <c r="F109" s="604"/>
      <c r="G109" s="613"/>
      <c r="H109" s="11"/>
      <c r="I109" s="12"/>
      <c r="J109" s="746"/>
      <c r="K109" s="15"/>
      <c r="L109" s="88"/>
      <c r="M109" s="104"/>
    </row>
    <row r="110" spans="1:13" x14ac:dyDescent="0.35">
      <c r="A110" s="255"/>
      <c r="B110" s="256">
        <v>43781</v>
      </c>
      <c r="C110" s="255" t="s">
        <v>197</v>
      </c>
      <c r="D110" s="597"/>
      <c r="E110" s="597">
        <v>9200</v>
      </c>
      <c r="F110" s="604"/>
      <c r="G110" s="613"/>
      <c r="H110" s="11"/>
      <c r="I110" s="12"/>
      <c r="L110" s="88"/>
      <c r="M110" s="104"/>
    </row>
    <row r="111" spans="1:13" x14ac:dyDescent="0.35">
      <c r="A111" s="255"/>
      <c r="B111" s="256">
        <v>43788</v>
      </c>
      <c r="C111" s="255" t="s">
        <v>163</v>
      </c>
      <c r="D111" s="597"/>
      <c r="E111" s="597">
        <v>7600</v>
      </c>
      <c r="F111" s="604"/>
      <c r="G111" s="613"/>
      <c r="H111" s="11"/>
      <c r="I111" s="12"/>
      <c r="L111" s="88"/>
      <c r="M111" s="104"/>
    </row>
    <row r="112" spans="1:13" x14ac:dyDescent="0.35">
      <c r="A112" s="255"/>
      <c r="B112" s="256">
        <v>43799</v>
      </c>
      <c r="C112" s="255" t="s">
        <v>38</v>
      </c>
      <c r="D112" s="597"/>
      <c r="E112" s="597">
        <v>1200</v>
      </c>
      <c r="F112" s="604"/>
      <c r="G112" s="613"/>
      <c r="H112" s="11"/>
      <c r="I112" s="12"/>
      <c r="M112" s="104"/>
    </row>
    <row r="113" spans="1:13" x14ac:dyDescent="0.35">
      <c r="A113" s="255"/>
      <c r="B113" s="256">
        <v>43779</v>
      </c>
      <c r="C113" s="255" t="s">
        <v>728</v>
      </c>
      <c r="D113" s="597"/>
      <c r="E113" s="597">
        <v>1800</v>
      </c>
      <c r="F113" s="604"/>
      <c r="G113" s="613"/>
      <c r="H113" s="11"/>
      <c r="I113" s="12"/>
      <c r="M113" s="254"/>
    </row>
    <row r="114" spans="1:13" x14ac:dyDescent="0.35">
      <c r="A114" s="255"/>
      <c r="B114" s="256">
        <v>43779</v>
      </c>
      <c r="C114" s="255" t="s">
        <v>231</v>
      </c>
      <c r="D114" s="597"/>
      <c r="E114" s="597">
        <v>900</v>
      </c>
      <c r="F114" s="604"/>
      <c r="M114" s="254"/>
    </row>
    <row r="115" spans="1:13" x14ac:dyDescent="0.35">
      <c r="A115" s="255"/>
      <c r="B115" s="256">
        <v>43779</v>
      </c>
      <c r="C115" s="255" t="s">
        <v>236</v>
      </c>
      <c r="D115" s="597"/>
      <c r="E115" s="597">
        <v>5000</v>
      </c>
      <c r="F115" s="604"/>
      <c r="G115" s="613"/>
      <c r="H115" s="11"/>
      <c r="I115" s="12"/>
      <c r="J115" s="746"/>
      <c r="K115" s="15"/>
      <c r="M115" s="104"/>
    </row>
    <row r="116" spans="1:13" x14ac:dyDescent="0.35">
      <c r="A116" s="255"/>
      <c r="B116" s="256"/>
      <c r="C116" s="255"/>
      <c r="D116" s="597"/>
      <c r="E116" s="597"/>
      <c r="F116" s="604">
        <f>SUM(D107:D116)-SUM(E107:E116)</f>
        <v>7000</v>
      </c>
      <c r="G116" s="613">
        <v>359753.07</v>
      </c>
      <c r="H116" s="473"/>
      <c r="I116" s="12"/>
      <c r="J116" s="746"/>
      <c r="K116" s="15"/>
    </row>
    <row r="117" spans="1:13" x14ac:dyDescent="0.35">
      <c r="A117" s="255" t="s">
        <v>27</v>
      </c>
      <c r="B117" s="256">
        <v>43782</v>
      </c>
      <c r="C117" s="255" t="s">
        <v>13</v>
      </c>
      <c r="D117" s="597">
        <v>36500</v>
      </c>
      <c r="E117" s="597"/>
      <c r="F117" s="604"/>
      <c r="G117" s="613"/>
      <c r="H117" s="11"/>
      <c r="I117" s="12"/>
      <c r="J117" s="746"/>
      <c r="K117" s="15"/>
    </row>
    <row r="118" spans="1:13" x14ac:dyDescent="0.35">
      <c r="A118" s="255"/>
      <c r="B118" s="256">
        <v>43809</v>
      </c>
      <c r="C118" s="255" t="s">
        <v>172</v>
      </c>
      <c r="D118" s="597"/>
      <c r="E118" s="597">
        <v>3800</v>
      </c>
      <c r="F118" s="604"/>
      <c r="G118" s="613"/>
      <c r="H118" s="11"/>
      <c r="I118" s="12"/>
      <c r="J118" s="746"/>
      <c r="K118" s="15"/>
    </row>
    <row r="119" spans="1:13" x14ac:dyDescent="0.35">
      <c r="A119" s="255"/>
      <c r="B119" s="256">
        <v>43809</v>
      </c>
      <c r="C119" s="255" t="s">
        <v>197</v>
      </c>
      <c r="D119" s="597"/>
      <c r="E119" s="597">
        <v>10100</v>
      </c>
      <c r="F119" s="604"/>
      <c r="G119" s="613"/>
      <c r="H119" s="11"/>
      <c r="I119" s="12"/>
    </row>
    <row r="120" spans="1:13" x14ac:dyDescent="0.35">
      <c r="A120" s="255"/>
      <c r="B120" s="256">
        <v>43816</v>
      </c>
      <c r="C120" s="255" t="s">
        <v>163</v>
      </c>
      <c r="D120" s="597"/>
      <c r="E120" s="597">
        <v>3400</v>
      </c>
      <c r="F120" s="604"/>
      <c r="G120" s="613"/>
      <c r="H120" s="11"/>
      <c r="I120" s="12"/>
    </row>
    <row r="121" spans="1:13" x14ac:dyDescent="0.35">
      <c r="A121" s="255"/>
      <c r="B121" s="256">
        <v>43830</v>
      </c>
      <c r="C121" s="255" t="s">
        <v>38</v>
      </c>
      <c r="D121" s="597"/>
      <c r="E121" s="597">
        <v>1200</v>
      </c>
      <c r="F121" s="604"/>
      <c r="G121" s="613"/>
      <c r="H121" s="11"/>
      <c r="I121" s="12"/>
      <c r="M121" s="104"/>
    </row>
    <row r="122" spans="1:13" x14ac:dyDescent="0.35">
      <c r="A122" s="255"/>
      <c r="B122" s="256">
        <v>43811</v>
      </c>
      <c r="C122" s="255" t="s">
        <v>728</v>
      </c>
      <c r="D122" s="597"/>
      <c r="E122" s="597">
        <v>2300</v>
      </c>
      <c r="F122" s="604"/>
      <c r="G122" s="613"/>
      <c r="H122" s="11"/>
      <c r="I122" s="12"/>
      <c r="M122" s="254"/>
    </row>
    <row r="123" spans="1:13" x14ac:dyDescent="0.35">
      <c r="A123" s="255"/>
      <c r="B123" s="256">
        <v>43809</v>
      </c>
      <c r="C123" s="255" t="s">
        <v>231</v>
      </c>
      <c r="D123" s="597"/>
      <c r="E123" s="597">
        <v>700</v>
      </c>
      <c r="F123" s="604"/>
      <c r="G123" s="613"/>
      <c r="M123" s="254"/>
    </row>
    <row r="124" spans="1:13" x14ac:dyDescent="0.35">
      <c r="A124" s="255"/>
      <c r="B124" s="256">
        <v>43809</v>
      </c>
      <c r="C124" s="255" t="s">
        <v>236</v>
      </c>
      <c r="D124" s="597"/>
      <c r="E124" s="597">
        <v>5000</v>
      </c>
      <c r="F124" s="604"/>
      <c r="G124" s="613"/>
      <c r="H124" s="11"/>
      <c r="I124" s="12"/>
      <c r="J124" s="746"/>
      <c r="K124" s="15"/>
      <c r="M124" s="104"/>
    </row>
    <row r="125" spans="1:13" x14ac:dyDescent="0.35">
      <c r="A125" s="255"/>
      <c r="B125" s="256"/>
      <c r="C125" s="255"/>
      <c r="D125" s="597"/>
      <c r="E125" s="597"/>
      <c r="F125" s="604">
        <f>SUM(D116:D125)-SUM(E116:E125)</f>
        <v>10000</v>
      </c>
      <c r="G125" s="613">
        <v>373084.27720000001</v>
      </c>
      <c r="H125" s="98"/>
      <c r="I125" s="212"/>
      <c r="J125" s="707"/>
      <c r="K125" s="212"/>
      <c r="L125" s="211"/>
    </row>
    <row r="126" spans="1:13" x14ac:dyDescent="0.35">
      <c r="A126" s="19"/>
      <c r="D126" s="598"/>
      <c r="E126" s="598"/>
      <c r="H126" s="98"/>
      <c r="I126" s="12"/>
    </row>
    <row r="127" spans="1:13" x14ac:dyDescent="0.35">
      <c r="A127" s="19"/>
      <c r="D127" s="598"/>
      <c r="E127" s="598"/>
    </row>
    <row r="128" spans="1:13" x14ac:dyDescent="0.35">
      <c r="A128" s="19"/>
      <c r="D128" s="598"/>
      <c r="E128" s="598"/>
    </row>
    <row r="129" spans="1:11" x14ac:dyDescent="0.35">
      <c r="A129" s="19"/>
      <c r="D129" s="598"/>
      <c r="E129" s="598"/>
    </row>
    <row r="130" spans="1:11" x14ac:dyDescent="0.35">
      <c r="A130" s="19"/>
      <c r="D130" s="598"/>
      <c r="E130" s="598"/>
      <c r="I130" s="587" t="s">
        <v>28</v>
      </c>
      <c r="J130" s="745">
        <f>+J131/36</f>
        <v>5965.99</v>
      </c>
      <c r="K130" s="587"/>
    </row>
    <row r="131" spans="1:11" x14ac:dyDescent="0.35">
      <c r="A131" s="19"/>
      <c r="D131" s="598"/>
      <c r="E131" s="598"/>
      <c r="I131" s="587"/>
      <c r="J131" s="745">
        <v>214775.49</v>
      </c>
      <c r="K131" s="587"/>
    </row>
    <row r="132" spans="1:11" x14ac:dyDescent="0.35">
      <c r="A132" s="19"/>
      <c r="D132" s="598"/>
      <c r="E132" s="598"/>
      <c r="I132" s="587" t="s">
        <v>137</v>
      </c>
      <c r="J132" s="745" t="s">
        <v>138</v>
      </c>
      <c r="K132" s="587" t="s">
        <v>139</v>
      </c>
    </row>
    <row r="133" spans="1:11" x14ac:dyDescent="0.35">
      <c r="A133" s="19"/>
      <c r="D133" s="598"/>
      <c r="E133" s="598"/>
      <c r="I133" s="588">
        <f>_ENE19v</f>
        <v>214530.39</v>
      </c>
      <c r="J133" s="745">
        <f>+I133-J131</f>
        <v>-245.1</v>
      </c>
      <c r="K133" s="589">
        <f>(+J133*100/J131)/100</f>
        <v>-1.1000000000000001E-3</v>
      </c>
    </row>
    <row r="134" spans="1:11" x14ac:dyDescent="0.35">
      <c r="A134" s="19"/>
      <c r="D134" s="598"/>
      <c r="E134" s="598"/>
      <c r="I134" s="588">
        <f>_FEB19v</f>
        <v>245446.26</v>
      </c>
      <c r="J134" s="745">
        <f t="shared" ref="J134:J142" si="0">+I134-I133</f>
        <v>30915.87</v>
      </c>
      <c r="K134" s="589">
        <f t="shared" ref="K134:K142" si="1">(+J134*100/I133)/100</f>
        <v>0.14410000000000001</v>
      </c>
    </row>
    <row r="135" spans="1:11" x14ac:dyDescent="0.35">
      <c r="A135" s="19"/>
      <c r="D135" s="598"/>
      <c r="E135" s="598"/>
      <c r="I135" s="588">
        <f>_MAR19v</f>
        <v>250194.99</v>
      </c>
      <c r="J135" s="745">
        <f t="shared" si="0"/>
        <v>4748.7299999999996</v>
      </c>
      <c r="K135" s="589">
        <f t="shared" si="1"/>
        <v>1.9300000000000001E-2</v>
      </c>
    </row>
    <row r="136" spans="1:11" x14ac:dyDescent="0.35">
      <c r="A136" s="19"/>
      <c r="D136" s="598"/>
      <c r="E136" s="598"/>
      <c r="I136" s="588">
        <f>_ABR19v</f>
        <v>256194.99</v>
      </c>
      <c r="J136" s="745">
        <f t="shared" si="0"/>
        <v>6000</v>
      </c>
      <c r="K136" s="589">
        <f t="shared" si="1"/>
        <v>2.4E-2</v>
      </c>
    </row>
    <row r="137" spans="1:11" x14ac:dyDescent="0.35">
      <c r="A137" s="19"/>
      <c r="D137" s="598"/>
      <c r="E137" s="598"/>
      <c r="I137" s="588">
        <f>_MAY19v</f>
        <v>256863.69</v>
      </c>
      <c r="J137" s="745">
        <f t="shared" si="0"/>
        <v>668.7</v>
      </c>
      <c r="K137" s="589">
        <f t="shared" si="1"/>
        <v>2.5999999999999999E-3</v>
      </c>
    </row>
    <row r="138" spans="1:11" x14ac:dyDescent="0.35">
      <c r="A138" s="19"/>
      <c r="D138" s="598"/>
      <c r="E138" s="598"/>
      <c r="I138" s="588">
        <f>_JUN19v</f>
        <v>263598.28999999998</v>
      </c>
      <c r="J138" s="745">
        <f t="shared" si="0"/>
        <v>6734.6</v>
      </c>
      <c r="K138" s="589">
        <f t="shared" si="1"/>
        <v>2.6200000000000001E-2</v>
      </c>
    </row>
    <row r="139" spans="1:11" x14ac:dyDescent="0.35">
      <c r="A139" s="19"/>
      <c r="D139" s="598"/>
      <c r="E139" s="598"/>
      <c r="I139" s="588">
        <f>_JUL19v</f>
        <v>252935.34</v>
      </c>
      <c r="J139" s="745">
        <f t="shared" si="0"/>
        <v>-10662.95</v>
      </c>
      <c r="K139" s="589">
        <f t="shared" si="1"/>
        <v>-4.0500000000000001E-2</v>
      </c>
    </row>
    <row r="140" spans="1:11" x14ac:dyDescent="0.35">
      <c r="A140" s="19"/>
      <c r="D140" s="598"/>
      <c r="E140" s="598"/>
      <c r="I140" s="588">
        <f>_AGO19v</f>
        <v>285119.31</v>
      </c>
      <c r="J140" s="745">
        <f t="shared" si="0"/>
        <v>32183.97</v>
      </c>
      <c r="K140" s="589">
        <f t="shared" si="1"/>
        <v>0.12720000000000001</v>
      </c>
    </row>
    <row r="141" spans="1:11" x14ac:dyDescent="0.35">
      <c r="A141" s="19"/>
      <c r="D141" s="598"/>
      <c r="E141" s="598"/>
      <c r="I141" s="588">
        <f>_SEP19v</f>
        <v>323622.58</v>
      </c>
      <c r="J141" s="745">
        <f t="shared" si="0"/>
        <v>38503.269999999997</v>
      </c>
      <c r="K141" s="589">
        <f t="shared" si="1"/>
        <v>0.13500000000000001</v>
      </c>
    </row>
    <row r="142" spans="1:11" x14ac:dyDescent="0.35">
      <c r="A142" s="19"/>
      <c r="D142" s="598"/>
      <c r="E142" s="598"/>
      <c r="I142" s="588">
        <f>_OCT19v</f>
        <v>337046.24</v>
      </c>
      <c r="J142" s="745">
        <f t="shared" si="0"/>
        <v>13423.66</v>
      </c>
      <c r="K142" s="589">
        <f t="shared" si="1"/>
        <v>4.1500000000000002E-2</v>
      </c>
    </row>
    <row r="143" spans="1:11" x14ac:dyDescent="0.35">
      <c r="A143" s="19"/>
      <c r="D143" s="598"/>
      <c r="E143" s="598"/>
      <c r="I143" s="588">
        <f>_NOV19v</f>
        <v>359753.07</v>
      </c>
      <c r="J143" s="745">
        <f>+I143-I142</f>
        <v>22706.83</v>
      </c>
      <c r="K143" s="589">
        <f>(+J143*100/I142)/100</f>
        <v>6.7400000000000002E-2</v>
      </c>
    </row>
    <row r="144" spans="1:11" x14ac:dyDescent="0.35">
      <c r="A144" s="19"/>
      <c r="D144" s="598"/>
      <c r="E144" s="598"/>
      <c r="I144" s="588">
        <f>_DIC19v</f>
        <v>373084.28</v>
      </c>
      <c r="J144" s="745">
        <f>+I144-I143</f>
        <v>13331.21</v>
      </c>
      <c r="K144" s="589">
        <f>(+J144*100/I143)/100</f>
        <v>3.7100000000000001E-2</v>
      </c>
    </row>
    <row r="145" spans="1:15" x14ac:dyDescent="0.35">
      <c r="A145" s="19"/>
      <c r="D145" s="598"/>
      <c r="E145" s="598"/>
      <c r="I145" s="588"/>
      <c r="J145" s="745">
        <f>SUM(J133:J144)</f>
        <v>158308.79</v>
      </c>
      <c r="K145" s="589">
        <f>SUM(K133:K144)</f>
        <v>0.58279999999999998</v>
      </c>
      <c r="L145" s="28"/>
    </row>
    <row r="146" spans="1:15" x14ac:dyDescent="0.35">
      <c r="A146" s="19"/>
      <c r="D146" s="598"/>
      <c r="E146" s="598"/>
      <c r="G146" s="615"/>
      <c r="I146" s="588" t="s">
        <v>871</v>
      </c>
      <c r="J146" s="745">
        <f>SUM(D6:D176)-SUM(E6:E176)</f>
        <v>55700</v>
      </c>
      <c r="K146" s="589"/>
      <c r="M146" s="104"/>
    </row>
    <row r="147" spans="1:15" x14ac:dyDescent="0.35">
      <c r="A147" s="92"/>
      <c r="F147" s="606"/>
      <c r="G147" s="615"/>
      <c r="I147" s="588" t="s">
        <v>872</v>
      </c>
      <c r="J147" s="745">
        <f>+J145-J146</f>
        <v>102608.79</v>
      </c>
      <c r="K147" s="589"/>
      <c r="L147" s="32"/>
      <c r="M147" s="33"/>
      <c r="N147" s="33"/>
    </row>
    <row r="148" spans="1:15" x14ac:dyDescent="0.35">
      <c r="A148" s="92"/>
      <c r="F148" s="606"/>
      <c r="G148" s="615"/>
      <c r="H148" s="30"/>
      <c r="I148" s="31"/>
      <c r="J148" s="755"/>
      <c r="K148" s="12"/>
      <c r="L148" s="33"/>
      <c r="M148" s="33"/>
      <c r="N148" s="33"/>
    </row>
    <row r="149" spans="1:15" x14ac:dyDescent="0.35">
      <c r="A149" s="92"/>
      <c r="D149" s="598"/>
      <c r="E149" s="598"/>
      <c r="F149" s="606"/>
      <c r="G149" s="616"/>
      <c r="H149" s="34"/>
      <c r="I149" s="31"/>
      <c r="J149" s="740"/>
      <c r="K149" s="12"/>
      <c r="L149" s="33"/>
      <c r="M149" s="33"/>
      <c r="N149" s="33"/>
    </row>
    <row r="150" spans="1:15" x14ac:dyDescent="0.35">
      <c r="A150" s="92"/>
      <c r="F150" s="606"/>
      <c r="G150" s="616"/>
      <c r="H150" s="34"/>
      <c r="I150" s="35"/>
      <c r="J150" s="740"/>
    </row>
    <row r="151" spans="1:15" x14ac:dyDescent="0.35">
      <c r="A151" s="92"/>
      <c r="F151" s="606"/>
      <c r="G151" s="616"/>
      <c r="H151" s="93"/>
      <c r="I151" s="38"/>
      <c r="J151" s="749"/>
      <c r="K151" s="104"/>
      <c r="L151" s="104"/>
      <c r="M151" s="104"/>
      <c r="O151" s="104"/>
    </row>
    <row r="152" spans="1:15" x14ac:dyDescent="0.35">
      <c r="A152" s="92"/>
      <c r="F152" s="606"/>
      <c r="G152" s="616"/>
      <c r="H152" s="93"/>
      <c r="I152" s="38"/>
      <c r="J152" s="749"/>
      <c r="K152" s="104"/>
      <c r="L152" s="104"/>
      <c r="M152" s="104"/>
      <c r="O152" s="104"/>
    </row>
    <row r="153" spans="1:15" x14ac:dyDescent="0.35">
      <c r="A153" s="92"/>
      <c r="F153" s="606"/>
      <c r="G153" s="616"/>
      <c r="H153" s="93"/>
      <c r="I153" s="38"/>
      <c r="J153" s="749"/>
      <c r="K153" s="104"/>
      <c r="L153" s="104"/>
      <c r="M153" s="104"/>
      <c r="O153" s="104"/>
    </row>
    <row r="154" spans="1:15" x14ac:dyDescent="0.35">
      <c r="A154" s="92"/>
      <c r="F154" s="606"/>
      <c r="G154" s="616"/>
      <c r="H154" s="93"/>
      <c r="I154" s="38"/>
      <c r="J154" s="749"/>
      <c r="K154" s="104"/>
      <c r="L154" s="104"/>
      <c r="M154" s="104"/>
      <c r="O154" s="104"/>
    </row>
    <row r="155" spans="1:15" x14ac:dyDescent="0.35">
      <c r="A155" s="92"/>
      <c r="F155" s="606"/>
      <c r="G155" s="616"/>
      <c r="H155" s="93"/>
      <c r="I155" s="38"/>
      <c r="J155" s="749"/>
    </row>
    <row r="156" spans="1:15" x14ac:dyDescent="0.35">
      <c r="A156" s="92"/>
      <c r="F156" s="606"/>
      <c r="G156" s="616"/>
      <c r="H156" s="93"/>
      <c r="I156" s="41"/>
      <c r="J156" s="750"/>
    </row>
    <row r="157" spans="1:15" x14ac:dyDescent="0.35">
      <c r="A157" s="92"/>
      <c r="F157" s="606"/>
      <c r="G157" s="616"/>
      <c r="H157" s="93"/>
      <c r="I157" s="41"/>
      <c r="J157" s="750"/>
    </row>
    <row r="158" spans="1:15" x14ac:dyDescent="0.35">
      <c r="A158" s="92"/>
      <c r="F158" s="606"/>
      <c r="G158" s="616"/>
      <c r="H158" s="93"/>
      <c r="I158" s="41"/>
      <c r="J158" s="750"/>
    </row>
    <row r="159" spans="1:15" x14ac:dyDescent="0.35">
      <c r="A159" s="92"/>
      <c r="F159" s="606"/>
      <c r="G159" s="616"/>
      <c r="H159" s="93"/>
      <c r="I159" s="41"/>
      <c r="J159" s="750"/>
    </row>
    <row r="160" spans="1:15" x14ac:dyDescent="0.35">
      <c r="A160" s="92"/>
      <c r="F160" s="606"/>
      <c r="G160" s="616"/>
      <c r="H160" s="93"/>
      <c r="I160" s="41"/>
      <c r="J160" s="750"/>
    </row>
    <row r="161" spans="1:10" x14ac:dyDescent="0.35">
      <c r="A161" s="92"/>
      <c r="F161" s="606"/>
      <c r="G161" s="616"/>
      <c r="H161" s="93"/>
      <c r="I161" s="41"/>
      <c r="J161" s="750"/>
    </row>
    <row r="162" spans="1:10" x14ac:dyDescent="0.35">
      <c r="A162" s="92"/>
      <c r="F162" s="606"/>
      <c r="G162" s="616"/>
      <c r="H162" s="93"/>
      <c r="I162" s="41"/>
      <c r="J162" s="750"/>
    </row>
    <row r="163" spans="1:10" x14ac:dyDescent="0.35">
      <c r="A163" s="92"/>
      <c r="F163" s="606"/>
      <c r="G163" s="616"/>
      <c r="H163" s="93"/>
      <c r="I163" s="41"/>
      <c r="J163" s="750"/>
    </row>
    <row r="164" spans="1:10" x14ac:dyDescent="0.35">
      <c r="A164" s="92"/>
      <c r="F164" s="606"/>
      <c r="G164" s="616"/>
      <c r="H164" s="93"/>
      <c r="I164" s="41"/>
      <c r="J164" s="750"/>
    </row>
    <row r="165" spans="1:10" x14ac:dyDescent="0.35">
      <c r="A165" s="92"/>
      <c r="F165" s="606"/>
      <c r="G165" s="616"/>
      <c r="H165" s="93"/>
      <c r="I165" s="41"/>
      <c r="J165" s="750"/>
    </row>
    <row r="166" spans="1:10" x14ac:dyDescent="0.35">
      <c r="A166" s="92"/>
      <c r="F166" s="606"/>
      <c r="G166" s="616"/>
      <c r="H166" s="93"/>
      <c r="I166" s="41"/>
      <c r="J166" s="750"/>
    </row>
    <row r="167" spans="1:10" x14ac:dyDescent="0.35">
      <c r="A167" s="92"/>
      <c r="F167" s="606"/>
      <c r="G167" s="616"/>
      <c r="H167" s="93"/>
      <c r="I167" s="41"/>
      <c r="J167" s="750"/>
    </row>
    <row r="168" spans="1:10" x14ac:dyDescent="0.35">
      <c r="A168" s="92"/>
      <c r="F168" s="606"/>
      <c r="G168" s="616"/>
      <c r="H168" s="93"/>
      <c r="I168" s="41"/>
      <c r="J168" s="750"/>
    </row>
    <row r="169" spans="1:10" x14ac:dyDescent="0.35">
      <c r="A169" s="92"/>
      <c r="B169" s="26" t="s">
        <v>32</v>
      </c>
      <c r="C169" s="26" t="s">
        <v>33</v>
      </c>
      <c r="F169" s="606"/>
      <c r="G169" s="616"/>
      <c r="H169" s="93"/>
      <c r="I169" s="41"/>
      <c r="J169" s="750"/>
    </row>
    <row r="170" spans="1:10" x14ac:dyDescent="0.35">
      <c r="A170" s="92"/>
      <c r="B170" s="26">
        <f>SUM(D6:D147)</f>
        <v>411700</v>
      </c>
      <c r="C170" s="26">
        <f>SUM(E6:E147)</f>
        <v>356000</v>
      </c>
      <c r="F170" s="606"/>
      <c r="G170" s="616"/>
      <c r="H170" s="93"/>
      <c r="I170" s="41"/>
      <c r="J170" s="750"/>
    </row>
    <row r="171" spans="1:10" x14ac:dyDescent="0.35">
      <c r="A171" s="92"/>
      <c r="B171" s="74">
        <f>+B170-C170</f>
        <v>55700</v>
      </c>
      <c r="F171" s="606"/>
      <c r="G171" s="616"/>
      <c r="H171" s="93"/>
      <c r="I171" s="41"/>
      <c r="J171" s="750"/>
    </row>
    <row r="172" spans="1:10" x14ac:dyDescent="0.35">
      <c r="A172" s="92"/>
      <c r="F172" s="606"/>
      <c r="G172" s="616"/>
      <c r="H172" s="93"/>
      <c r="I172" s="41"/>
      <c r="J172" s="750"/>
    </row>
    <row r="173" spans="1:10" x14ac:dyDescent="0.35">
      <c r="A173" s="92"/>
      <c r="F173" s="606"/>
      <c r="G173" s="616"/>
      <c r="H173" s="93"/>
      <c r="I173" s="41"/>
      <c r="J173" s="750"/>
    </row>
    <row r="174" spans="1:10" x14ac:dyDescent="0.35">
      <c r="A174" s="92"/>
      <c r="F174" s="606"/>
      <c r="G174" s="616"/>
      <c r="H174" s="93"/>
      <c r="I174" s="41"/>
      <c r="J174" s="750"/>
    </row>
    <row r="175" spans="1:10" x14ac:dyDescent="0.35">
      <c r="A175" s="92"/>
      <c r="F175" s="606"/>
      <c r="G175" s="616"/>
      <c r="H175" s="93"/>
      <c r="I175" s="41"/>
      <c r="J175" s="750"/>
    </row>
    <row r="176" spans="1:10" x14ac:dyDescent="0.35">
      <c r="A176" s="92"/>
      <c r="F176" s="606"/>
      <c r="G176" s="616"/>
      <c r="H176" s="93"/>
      <c r="I176" s="41"/>
      <c r="J176" s="750"/>
    </row>
    <row r="177" spans="1:10" x14ac:dyDescent="0.35">
      <c r="A177" s="92"/>
      <c r="F177" s="606"/>
      <c r="G177" s="616"/>
      <c r="H177" s="93"/>
      <c r="I177" s="41"/>
      <c r="J177" s="750"/>
    </row>
    <row r="178" spans="1:10" x14ac:dyDescent="0.35">
      <c r="A178" s="92"/>
      <c r="F178" s="606"/>
      <c r="G178" s="616"/>
      <c r="H178" s="93"/>
      <c r="I178" s="41"/>
      <c r="J178" s="750"/>
    </row>
    <row r="179" spans="1:10" x14ac:dyDescent="0.35">
      <c r="A179" s="92"/>
      <c r="F179" s="606"/>
      <c r="G179" s="616"/>
      <c r="H179" s="93"/>
      <c r="I179" s="41"/>
      <c r="J179" s="750"/>
    </row>
    <row r="180" spans="1:10" x14ac:dyDescent="0.35">
      <c r="A180" s="92"/>
      <c r="F180" s="606"/>
      <c r="G180" s="616"/>
      <c r="H180" s="93"/>
      <c r="I180" s="41"/>
      <c r="J180" s="750"/>
    </row>
    <row r="181" spans="1:10" x14ac:dyDescent="0.35">
      <c r="A181" s="92"/>
      <c r="F181" s="606"/>
      <c r="G181" s="616"/>
      <c r="H181" s="93"/>
      <c r="I181" s="41"/>
      <c r="J181" s="750"/>
    </row>
    <row r="182" spans="1:10" x14ac:dyDescent="0.35">
      <c r="A182" s="92"/>
      <c r="F182" s="606"/>
      <c r="G182" s="616"/>
      <c r="H182" s="93"/>
      <c r="I182" s="41"/>
      <c r="J182" s="750"/>
    </row>
    <row r="183" spans="1:10" x14ac:dyDescent="0.35">
      <c r="A183" s="92"/>
      <c r="F183" s="606"/>
      <c r="G183" s="616"/>
      <c r="H183" s="93"/>
      <c r="I183" s="41"/>
      <c r="J183" s="750"/>
    </row>
    <row r="184" spans="1:10" x14ac:dyDescent="0.35">
      <c r="A184" s="92"/>
      <c r="F184" s="606"/>
      <c r="G184" s="616"/>
      <c r="H184" s="93"/>
      <c r="I184" s="41"/>
      <c r="J184" s="750"/>
    </row>
    <row r="185" spans="1:10" x14ac:dyDescent="0.35">
      <c r="A185" s="92"/>
      <c r="F185" s="606"/>
      <c r="G185" s="616"/>
      <c r="H185" s="93"/>
      <c r="I185" s="41"/>
      <c r="J185" s="750"/>
    </row>
    <row r="186" spans="1:10" x14ac:dyDescent="0.35">
      <c r="A186" s="92"/>
      <c r="F186" s="606"/>
      <c r="G186" s="616"/>
      <c r="H186" s="93"/>
      <c r="I186" s="41"/>
      <c r="J186" s="750"/>
    </row>
    <row r="187" spans="1:10" x14ac:dyDescent="0.35">
      <c r="A187" s="92"/>
      <c r="F187" s="606"/>
      <c r="G187" s="616"/>
      <c r="H187" s="93"/>
      <c r="I187" s="41"/>
      <c r="J187" s="750"/>
    </row>
    <row r="188" spans="1:10" x14ac:dyDescent="0.35">
      <c r="A188" s="92"/>
      <c r="F188" s="606"/>
      <c r="G188" s="616"/>
      <c r="H188" s="93"/>
      <c r="I188" s="41"/>
      <c r="J188" s="750"/>
    </row>
    <row r="189" spans="1:10" x14ac:dyDescent="0.35">
      <c r="A189" s="92"/>
      <c r="F189" s="606"/>
      <c r="G189" s="616"/>
      <c r="H189" s="93"/>
      <c r="I189" s="41"/>
      <c r="J189" s="750"/>
    </row>
    <row r="190" spans="1:10" x14ac:dyDescent="0.35">
      <c r="A190" s="92"/>
      <c r="F190" s="606"/>
      <c r="G190" s="616"/>
      <c r="H190" s="93"/>
      <c r="I190" s="41"/>
      <c r="J190" s="750"/>
    </row>
    <row r="191" spans="1:10" x14ac:dyDescent="0.35">
      <c r="A191" s="92"/>
      <c r="F191" s="606"/>
      <c r="G191" s="616"/>
      <c r="H191" s="93"/>
      <c r="I191" s="41"/>
      <c r="J191" s="750"/>
    </row>
    <row r="192" spans="1:10" x14ac:dyDescent="0.35">
      <c r="A192" s="92"/>
      <c r="F192" s="606"/>
      <c r="G192" s="616"/>
      <c r="H192" s="93"/>
      <c r="I192" s="41"/>
      <c r="J192" s="750"/>
    </row>
    <row r="193" spans="1:10" x14ac:dyDescent="0.35">
      <c r="A193" s="92"/>
      <c r="F193" s="606"/>
      <c r="G193" s="616"/>
      <c r="H193" s="93"/>
      <c r="I193" s="41"/>
      <c r="J193" s="750"/>
    </row>
    <row r="194" spans="1:10" x14ac:dyDescent="0.35">
      <c r="A194" s="92"/>
      <c r="F194" s="606"/>
      <c r="G194" s="616"/>
      <c r="H194" s="93"/>
      <c r="I194" s="41"/>
      <c r="J194" s="750"/>
    </row>
    <row r="195" spans="1:10" x14ac:dyDescent="0.35">
      <c r="A195" s="92"/>
      <c r="F195" s="606"/>
      <c r="G195" s="616"/>
      <c r="H195" s="93"/>
      <c r="I195" s="41"/>
      <c r="J195" s="750"/>
    </row>
    <row r="196" spans="1:10" x14ac:dyDescent="0.35">
      <c r="A196" s="92"/>
      <c r="F196" s="606"/>
      <c r="G196" s="616"/>
      <c r="H196" s="93"/>
      <c r="I196" s="41"/>
      <c r="J196" s="750"/>
    </row>
    <row r="197" spans="1:10" x14ac:dyDescent="0.35">
      <c r="A197" s="92"/>
      <c r="F197" s="606"/>
      <c r="G197" s="616"/>
      <c r="H197" s="93"/>
      <c r="I197" s="41"/>
      <c r="J197" s="750"/>
    </row>
    <row r="198" spans="1:10" x14ac:dyDescent="0.35">
      <c r="A198" s="92"/>
      <c r="F198" s="606"/>
      <c r="G198" s="616"/>
      <c r="H198" s="93"/>
      <c r="I198" s="41"/>
      <c r="J198" s="750"/>
    </row>
    <row r="199" spans="1:10" x14ac:dyDescent="0.35">
      <c r="A199" s="92"/>
      <c r="F199" s="606"/>
      <c r="G199" s="616"/>
      <c r="H199" s="93"/>
      <c r="I199" s="41"/>
      <c r="J199" s="750"/>
    </row>
    <row r="200" spans="1:10" x14ac:dyDescent="0.35">
      <c r="A200" s="92"/>
      <c r="F200" s="606"/>
      <c r="G200" s="616"/>
      <c r="H200" s="93"/>
      <c r="I200" s="41"/>
      <c r="J200" s="750"/>
    </row>
    <row r="201" spans="1:10" x14ac:dyDescent="0.35">
      <c r="A201" s="92"/>
      <c r="F201" s="606"/>
      <c r="G201" s="616"/>
      <c r="H201" s="93"/>
      <c r="I201" s="41"/>
      <c r="J201" s="750"/>
    </row>
    <row r="202" spans="1:10" x14ac:dyDescent="0.35">
      <c r="A202" s="92"/>
      <c r="F202" s="606"/>
      <c r="G202" s="616"/>
      <c r="H202" s="93"/>
      <c r="I202" s="41"/>
      <c r="J202" s="750"/>
    </row>
    <row r="203" spans="1:10" x14ac:dyDescent="0.35">
      <c r="A203" s="92"/>
      <c r="F203" s="606"/>
      <c r="G203" s="616"/>
      <c r="H203" s="93"/>
      <c r="I203" s="41"/>
      <c r="J203" s="750"/>
    </row>
    <row r="204" spans="1:10" x14ac:dyDescent="0.35">
      <c r="A204" s="92"/>
      <c r="F204" s="606"/>
      <c r="G204" s="616"/>
      <c r="H204" s="93"/>
      <c r="I204" s="41"/>
      <c r="J204" s="750"/>
    </row>
    <row r="205" spans="1:10" x14ac:dyDescent="0.35">
      <c r="A205" s="92"/>
      <c r="F205" s="606"/>
      <c r="G205" s="616"/>
      <c r="H205" s="93"/>
      <c r="I205" s="41"/>
      <c r="J205" s="750"/>
    </row>
    <row r="206" spans="1:10" x14ac:dyDescent="0.35">
      <c r="A206" s="92"/>
      <c r="F206" s="606"/>
      <c r="G206" s="616"/>
      <c r="H206" s="93"/>
      <c r="I206" s="41"/>
      <c r="J206" s="750"/>
    </row>
    <row r="207" spans="1:10" x14ac:dyDescent="0.35">
      <c r="A207" s="92"/>
      <c r="F207" s="606"/>
      <c r="G207" s="616"/>
      <c r="H207" s="93"/>
      <c r="I207" s="41"/>
      <c r="J207" s="750"/>
    </row>
    <row r="208" spans="1:10" x14ac:dyDescent="0.35">
      <c r="A208" s="92"/>
      <c r="F208" s="606"/>
      <c r="G208" s="616"/>
      <c r="H208" s="93"/>
      <c r="I208" s="41"/>
      <c r="J208" s="750"/>
    </row>
    <row r="209" spans="1:10" x14ac:dyDescent="0.35">
      <c r="A209" s="92"/>
      <c r="F209" s="606"/>
      <c r="G209" s="616"/>
      <c r="H209" s="93"/>
      <c r="I209" s="41"/>
      <c r="J209" s="750"/>
    </row>
    <row r="210" spans="1:10" x14ac:dyDescent="0.35">
      <c r="A210" s="92"/>
      <c r="F210" s="606"/>
      <c r="G210" s="616"/>
      <c r="H210" s="93"/>
      <c r="I210" s="41"/>
      <c r="J210" s="750"/>
    </row>
    <row r="211" spans="1:10" x14ac:dyDescent="0.35">
      <c r="A211" s="92"/>
      <c r="F211" s="606"/>
      <c r="G211" s="616"/>
      <c r="H211" s="93"/>
      <c r="I211" s="41"/>
      <c r="J211" s="750"/>
    </row>
    <row r="212" spans="1:10" x14ac:dyDescent="0.35">
      <c r="A212" s="92"/>
      <c r="F212" s="606"/>
      <c r="G212" s="616"/>
      <c r="H212" s="93"/>
      <c r="I212" s="41"/>
      <c r="J212" s="750"/>
    </row>
    <row r="213" spans="1:10" x14ac:dyDescent="0.35">
      <c r="A213" s="92"/>
      <c r="F213" s="606"/>
      <c r="G213" s="616"/>
      <c r="H213" s="93"/>
      <c r="I213" s="41"/>
      <c r="J213" s="750"/>
    </row>
    <row r="214" spans="1:10" x14ac:dyDescent="0.35">
      <c r="A214" s="92"/>
      <c r="F214" s="606"/>
      <c r="G214" s="616"/>
      <c r="H214" s="93"/>
      <c r="I214" s="41"/>
      <c r="J214" s="750"/>
    </row>
    <row r="215" spans="1:10" x14ac:dyDescent="0.35">
      <c r="A215" s="92"/>
      <c r="F215" s="606"/>
      <c r="G215" s="616"/>
      <c r="H215" s="93"/>
      <c r="I215" s="41"/>
      <c r="J215" s="750"/>
    </row>
    <row r="216" spans="1:10" x14ac:dyDescent="0.35">
      <c r="A216" s="92"/>
      <c r="F216" s="606"/>
      <c r="G216" s="616"/>
      <c r="H216" s="93"/>
      <c r="I216" s="41"/>
      <c r="J216" s="750"/>
    </row>
    <row r="217" spans="1:10" x14ac:dyDescent="0.35">
      <c r="A217" s="92"/>
      <c r="F217" s="606"/>
      <c r="G217" s="616"/>
      <c r="H217" s="93"/>
      <c r="I217" s="41"/>
      <c r="J217" s="750"/>
    </row>
    <row r="218" spans="1:10" x14ac:dyDescent="0.35">
      <c r="A218" s="92"/>
      <c r="F218" s="606"/>
      <c r="G218" s="616"/>
      <c r="H218" s="93"/>
      <c r="I218" s="41"/>
      <c r="J218" s="750"/>
    </row>
    <row r="219" spans="1:10" x14ac:dyDescent="0.35">
      <c r="A219" s="92"/>
      <c r="F219" s="606"/>
      <c r="G219" s="616"/>
      <c r="H219" s="93"/>
      <c r="I219" s="41"/>
      <c r="J219" s="750"/>
    </row>
    <row r="220" spans="1:10" x14ac:dyDescent="0.35">
      <c r="A220" s="92"/>
      <c r="F220" s="606"/>
      <c r="G220" s="616"/>
      <c r="H220" s="93"/>
      <c r="I220" s="41"/>
      <c r="J220" s="750"/>
    </row>
    <row r="221" spans="1:10" x14ac:dyDescent="0.35">
      <c r="A221" s="92"/>
      <c r="F221" s="606"/>
      <c r="G221" s="616"/>
      <c r="H221" s="93"/>
      <c r="I221" s="41"/>
      <c r="J221" s="750"/>
    </row>
    <row r="222" spans="1:10" x14ac:dyDescent="0.35">
      <c r="A222" s="92"/>
      <c r="F222" s="606"/>
      <c r="G222" s="616"/>
      <c r="H222" s="93"/>
      <c r="I222" s="41"/>
      <c r="J222" s="750"/>
    </row>
    <row r="223" spans="1:10" x14ac:dyDescent="0.35">
      <c r="A223" s="92"/>
      <c r="F223" s="606"/>
      <c r="G223" s="616"/>
      <c r="H223" s="93"/>
      <c r="I223" s="41"/>
      <c r="J223" s="750"/>
    </row>
    <row r="224" spans="1:10" x14ac:dyDescent="0.35">
      <c r="A224" s="92"/>
      <c r="F224" s="606"/>
      <c r="G224" s="616"/>
      <c r="H224" s="93"/>
      <c r="I224" s="41"/>
      <c r="J224" s="750"/>
    </row>
    <row r="225" spans="1:10" x14ac:dyDescent="0.35">
      <c r="A225" s="92"/>
      <c r="F225" s="606"/>
      <c r="G225" s="616"/>
      <c r="H225" s="93"/>
      <c r="I225" s="41"/>
      <c r="J225" s="750"/>
    </row>
    <row r="226" spans="1:10" x14ac:dyDescent="0.35">
      <c r="A226" s="92"/>
      <c r="F226" s="606"/>
      <c r="G226" s="616"/>
      <c r="H226" s="93"/>
      <c r="I226" s="41"/>
      <c r="J226" s="750"/>
    </row>
    <row r="227" spans="1:10" x14ac:dyDescent="0.35">
      <c r="A227" s="92"/>
      <c r="F227" s="606"/>
      <c r="G227" s="616"/>
      <c r="H227" s="93"/>
      <c r="I227" s="41"/>
      <c r="J227" s="750"/>
    </row>
    <row r="228" spans="1:10" x14ac:dyDescent="0.35">
      <c r="A228" s="92"/>
      <c r="F228" s="606"/>
      <c r="G228" s="616"/>
      <c r="H228" s="93"/>
      <c r="I228" s="41"/>
      <c r="J228" s="750"/>
    </row>
    <row r="229" spans="1:10" x14ac:dyDescent="0.35">
      <c r="A229" s="92"/>
      <c r="F229" s="606"/>
      <c r="G229" s="616"/>
      <c r="H229" s="93"/>
      <c r="I229" s="41"/>
      <c r="J229" s="750"/>
    </row>
    <row r="230" spans="1:10" x14ac:dyDescent="0.35">
      <c r="A230" s="92"/>
      <c r="F230" s="606"/>
      <c r="G230" s="616"/>
      <c r="H230" s="93"/>
      <c r="I230" s="41"/>
      <c r="J230" s="750"/>
    </row>
    <row r="231" spans="1:10" x14ac:dyDescent="0.35">
      <c r="A231" s="92"/>
      <c r="F231" s="606"/>
      <c r="G231" s="616"/>
      <c r="H231" s="93"/>
      <c r="I231" s="41"/>
      <c r="J231" s="750"/>
    </row>
    <row r="232" spans="1:10" x14ac:dyDescent="0.35">
      <c r="A232" s="92"/>
      <c r="F232" s="606"/>
      <c r="G232" s="616"/>
      <c r="H232" s="93"/>
      <c r="I232" s="41"/>
      <c r="J232" s="750"/>
    </row>
    <row r="233" spans="1:10" x14ac:dyDescent="0.35">
      <c r="A233" s="92"/>
      <c r="F233" s="606"/>
      <c r="G233" s="616"/>
      <c r="H233" s="93"/>
      <c r="I233" s="41"/>
      <c r="J233" s="750"/>
    </row>
    <row r="234" spans="1:10" x14ac:dyDescent="0.35">
      <c r="A234" s="92"/>
      <c r="F234" s="606"/>
      <c r="G234" s="616"/>
      <c r="H234" s="93"/>
      <c r="I234" s="41"/>
      <c r="J234" s="750"/>
    </row>
    <row r="235" spans="1:10" x14ac:dyDescent="0.35">
      <c r="A235" s="92"/>
      <c r="F235" s="606"/>
      <c r="G235" s="616"/>
      <c r="H235" s="93"/>
      <c r="I235" s="41"/>
      <c r="J235" s="750"/>
    </row>
    <row r="236" spans="1:10" x14ac:dyDescent="0.35">
      <c r="A236" s="92"/>
      <c r="F236" s="606"/>
      <c r="G236" s="616"/>
      <c r="H236" s="93"/>
      <c r="I236" s="41"/>
      <c r="J236" s="750"/>
    </row>
    <row r="237" spans="1:10" x14ac:dyDescent="0.35">
      <c r="A237" s="92"/>
      <c r="F237" s="606"/>
      <c r="G237" s="616"/>
      <c r="H237" s="93"/>
      <c r="I237" s="41"/>
      <c r="J237" s="750"/>
    </row>
    <row r="238" spans="1:10" x14ac:dyDescent="0.35">
      <c r="A238" s="92"/>
      <c r="F238" s="606"/>
      <c r="G238" s="616"/>
      <c r="H238" s="93"/>
      <c r="I238" s="41"/>
      <c r="J238" s="750"/>
    </row>
    <row r="239" spans="1:10" x14ac:dyDescent="0.35">
      <c r="A239" s="92"/>
      <c r="F239" s="606"/>
      <c r="G239" s="616"/>
      <c r="H239" s="93"/>
      <c r="I239" s="41"/>
      <c r="J239" s="750"/>
    </row>
    <row r="240" spans="1:10" x14ac:dyDescent="0.35">
      <c r="A240" s="92"/>
      <c r="F240" s="606"/>
      <c r="G240" s="616"/>
      <c r="H240" s="93"/>
      <c r="I240" s="41"/>
      <c r="J240" s="750"/>
    </row>
    <row r="241" spans="1:10" x14ac:dyDescent="0.35">
      <c r="A241" s="92"/>
      <c r="F241" s="606"/>
      <c r="G241" s="616"/>
      <c r="H241" s="93"/>
      <c r="I241" s="41"/>
      <c r="J241" s="750"/>
    </row>
    <row r="242" spans="1:10" x14ac:dyDescent="0.35">
      <c r="A242" s="92"/>
      <c r="F242" s="606"/>
      <c r="G242" s="616"/>
      <c r="H242" s="93"/>
      <c r="I242" s="41"/>
      <c r="J242" s="750"/>
    </row>
    <row r="243" spans="1:10" x14ac:dyDescent="0.35">
      <c r="A243" s="92"/>
      <c r="F243" s="606"/>
      <c r="G243" s="616"/>
      <c r="H243" s="93"/>
      <c r="I243" s="41"/>
      <c r="J243" s="750"/>
    </row>
    <row r="244" spans="1:10" x14ac:dyDescent="0.35">
      <c r="A244" s="92"/>
      <c r="F244" s="606"/>
      <c r="G244" s="616"/>
      <c r="H244" s="93"/>
      <c r="I244" s="41"/>
      <c r="J244" s="750"/>
    </row>
    <row r="245" spans="1:10" x14ac:dyDescent="0.35">
      <c r="A245" s="92"/>
      <c r="F245" s="606"/>
      <c r="G245" s="616"/>
      <c r="H245" s="93"/>
      <c r="I245" s="41"/>
      <c r="J245" s="750"/>
    </row>
    <row r="246" spans="1:10" x14ac:dyDescent="0.35">
      <c r="A246" s="92"/>
      <c r="F246" s="606"/>
      <c r="G246" s="616"/>
      <c r="H246" s="93"/>
      <c r="I246" s="41"/>
      <c r="J246" s="750"/>
    </row>
    <row r="247" spans="1:10" x14ac:dyDescent="0.35">
      <c r="A247" s="92"/>
      <c r="F247" s="606"/>
      <c r="G247" s="616"/>
      <c r="H247" s="93"/>
      <c r="I247" s="41"/>
      <c r="J247" s="750"/>
    </row>
    <row r="248" spans="1:10" x14ac:dyDescent="0.35">
      <c r="A248" s="92"/>
      <c r="F248" s="606"/>
      <c r="G248" s="616"/>
      <c r="H248" s="93"/>
      <c r="I248" s="41"/>
      <c r="J248" s="750"/>
    </row>
    <row r="249" spans="1:10" x14ac:dyDescent="0.35">
      <c r="A249" s="92"/>
      <c r="F249" s="606"/>
      <c r="G249" s="616"/>
      <c r="H249" s="93"/>
      <c r="I249" s="41"/>
      <c r="J249" s="750"/>
    </row>
    <row r="250" spans="1:10" x14ac:dyDescent="0.35">
      <c r="A250" s="92"/>
      <c r="F250" s="606"/>
      <c r="G250" s="616"/>
      <c r="H250" s="93"/>
      <c r="I250" s="41"/>
      <c r="J250" s="750"/>
    </row>
    <row r="251" spans="1:10" x14ac:dyDescent="0.35">
      <c r="A251" s="92"/>
      <c r="F251" s="606"/>
      <c r="G251" s="616"/>
      <c r="H251" s="93"/>
      <c r="I251" s="41"/>
      <c r="J251" s="750"/>
    </row>
    <row r="252" spans="1:10" x14ac:dyDescent="0.35">
      <c r="A252" s="92"/>
      <c r="F252" s="606"/>
      <c r="G252" s="616"/>
      <c r="H252" s="93"/>
      <c r="I252" s="41"/>
      <c r="J252" s="750"/>
    </row>
    <row r="253" spans="1:10" x14ac:dyDescent="0.35">
      <c r="A253" s="92"/>
      <c r="F253" s="606"/>
      <c r="G253" s="616"/>
      <c r="H253" s="93"/>
      <c r="I253" s="41"/>
      <c r="J253" s="750"/>
    </row>
    <row r="254" spans="1:10" x14ac:dyDescent="0.35">
      <c r="A254" s="92"/>
      <c r="F254" s="606"/>
      <c r="G254" s="616"/>
      <c r="H254" s="93"/>
      <c r="I254" s="41"/>
      <c r="J254" s="750"/>
    </row>
    <row r="255" spans="1:10" x14ac:dyDescent="0.35">
      <c r="A255" s="92"/>
      <c r="F255" s="606"/>
      <c r="G255" s="616"/>
      <c r="H255" s="93"/>
      <c r="I255" s="41"/>
      <c r="J255" s="750"/>
    </row>
    <row r="256" spans="1:10" x14ac:dyDescent="0.35">
      <c r="A256" s="92"/>
      <c r="F256" s="606"/>
      <c r="G256" s="616"/>
      <c r="H256" s="93"/>
      <c r="I256" s="41"/>
      <c r="J256" s="750"/>
    </row>
    <row r="257" spans="1:10" x14ac:dyDescent="0.35">
      <c r="A257" s="92"/>
      <c r="F257" s="606"/>
      <c r="G257" s="616"/>
      <c r="H257" s="93"/>
      <c r="I257" s="41"/>
      <c r="J257" s="750"/>
    </row>
    <row r="258" spans="1:10" x14ac:dyDescent="0.35">
      <c r="A258" s="92"/>
      <c r="F258" s="606"/>
      <c r="G258" s="616"/>
      <c r="H258" s="93"/>
      <c r="I258" s="41"/>
      <c r="J258" s="750"/>
    </row>
    <row r="259" spans="1:10" x14ac:dyDescent="0.35">
      <c r="A259" s="92"/>
      <c r="F259" s="606"/>
      <c r="G259" s="616"/>
      <c r="H259" s="93"/>
      <c r="I259" s="41"/>
      <c r="J259" s="750"/>
    </row>
    <row r="260" spans="1:10" x14ac:dyDescent="0.35">
      <c r="A260" s="92"/>
      <c r="F260" s="606"/>
      <c r="G260" s="616"/>
      <c r="H260" s="93"/>
      <c r="I260" s="41"/>
      <c r="J260" s="750"/>
    </row>
    <row r="261" spans="1:10" x14ac:dyDescent="0.35">
      <c r="A261" s="92"/>
      <c r="F261" s="606"/>
      <c r="G261" s="616"/>
      <c r="H261" s="93"/>
      <c r="I261" s="41"/>
      <c r="J261" s="750"/>
    </row>
    <row r="262" spans="1:10" x14ac:dyDescent="0.35">
      <c r="A262" s="92"/>
      <c r="F262" s="606"/>
      <c r="G262" s="616"/>
      <c r="H262" s="93"/>
      <c r="I262" s="41"/>
      <c r="J262" s="750"/>
    </row>
    <row r="263" spans="1:10" x14ac:dyDescent="0.35">
      <c r="A263" s="92"/>
      <c r="F263" s="606"/>
      <c r="G263" s="616"/>
      <c r="H263" s="93"/>
      <c r="I263" s="41"/>
      <c r="J263" s="750"/>
    </row>
    <row r="264" spans="1:10" x14ac:dyDescent="0.35">
      <c r="A264" s="92"/>
      <c r="F264" s="606"/>
      <c r="G264" s="616"/>
      <c r="H264" s="93"/>
      <c r="I264" s="41"/>
      <c r="J264" s="750"/>
    </row>
    <row r="265" spans="1:10" x14ac:dyDescent="0.35">
      <c r="A265" s="92"/>
      <c r="F265" s="606"/>
      <c r="G265" s="616"/>
      <c r="H265" s="93"/>
      <c r="I265" s="41"/>
      <c r="J265" s="750"/>
    </row>
    <row r="266" spans="1:10" x14ac:dyDescent="0.35">
      <c r="A266" s="92"/>
      <c r="F266" s="606"/>
      <c r="G266" s="616"/>
      <c r="H266" s="93"/>
      <c r="I266" s="41"/>
      <c r="J266" s="750"/>
    </row>
    <row r="267" spans="1:10" x14ac:dyDescent="0.35">
      <c r="A267" s="92"/>
      <c r="F267" s="606"/>
      <c r="G267" s="616"/>
      <c r="H267" s="93"/>
      <c r="I267" s="41"/>
      <c r="J267" s="750"/>
    </row>
    <row r="268" spans="1:10" x14ac:dyDescent="0.35">
      <c r="A268" s="92"/>
      <c r="F268" s="606"/>
      <c r="G268" s="616"/>
      <c r="H268" s="93"/>
      <c r="I268" s="41"/>
      <c r="J268" s="750"/>
    </row>
    <row r="269" spans="1:10" x14ac:dyDescent="0.35">
      <c r="A269" s="92"/>
      <c r="F269" s="606"/>
      <c r="G269" s="616"/>
      <c r="H269" s="93"/>
      <c r="I269" s="41"/>
      <c r="J269" s="750"/>
    </row>
    <row r="270" spans="1:10" x14ac:dyDescent="0.35">
      <c r="A270" s="92"/>
      <c r="F270" s="606"/>
      <c r="G270" s="616"/>
      <c r="H270" s="93"/>
      <c r="I270" s="41"/>
      <c r="J270" s="750"/>
    </row>
    <row r="271" spans="1:10" x14ac:dyDescent="0.35">
      <c r="A271" s="92"/>
      <c r="F271" s="606"/>
      <c r="G271" s="616"/>
      <c r="H271" s="93"/>
      <c r="I271" s="41"/>
      <c r="J271" s="750"/>
    </row>
    <row r="272" spans="1:10" x14ac:dyDescent="0.35">
      <c r="A272" s="92"/>
      <c r="F272" s="606"/>
      <c r="G272" s="616"/>
      <c r="H272" s="93"/>
      <c r="I272" s="41"/>
      <c r="J272" s="750"/>
    </row>
    <row r="273" spans="1:10" x14ac:dyDescent="0.35">
      <c r="A273" s="92"/>
      <c r="F273" s="606"/>
      <c r="G273" s="616"/>
      <c r="H273" s="93"/>
      <c r="I273" s="41"/>
      <c r="J273" s="750"/>
    </row>
    <row r="274" spans="1:10" x14ac:dyDescent="0.35">
      <c r="A274" s="92"/>
      <c r="F274" s="606"/>
      <c r="G274" s="616"/>
      <c r="H274" s="93"/>
      <c r="I274" s="41"/>
      <c r="J274" s="750"/>
    </row>
    <row r="275" spans="1:10" x14ac:dyDescent="0.35">
      <c r="A275" s="92"/>
      <c r="F275" s="606"/>
      <c r="G275" s="616"/>
      <c r="H275" s="93"/>
      <c r="I275" s="41"/>
      <c r="J275" s="750"/>
    </row>
    <row r="276" spans="1:10" x14ac:dyDescent="0.35">
      <c r="A276" s="92"/>
      <c r="F276" s="606"/>
      <c r="G276" s="616"/>
      <c r="H276" s="93"/>
      <c r="I276" s="41"/>
      <c r="J276" s="750"/>
    </row>
    <row r="277" spans="1:10" x14ac:dyDescent="0.35">
      <c r="A277" s="92"/>
      <c r="F277" s="606"/>
      <c r="G277" s="616"/>
      <c r="H277" s="93"/>
      <c r="I277" s="41"/>
      <c r="J277" s="750"/>
    </row>
    <row r="278" spans="1:10" x14ac:dyDescent="0.35">
      <c r="A278" s="92"/>
      <c r="F278" s="606"/>
      <c r="G278" s="616"/>
      <c r="H278" s="93"/>
      <c r="I278" s="41"/>
      <c r="J278" s="750"/>
    </row>
    <row r="279" spans="1:10" x14ac:dyDescent="0.35">
      <c r="A279" s="92"/>
      <c r="F279" s="606"/>
      <c r="G279" s="616"/>
      <c r="H279" s="93"/>
      <c r="I279" s="41"/>
      <c r="J279" s="750"/>
    </row>
    <row r="280" spans="1:10" x14ac:dyDescent="0.35">
      <c r="A280" s="92"/>
      <c r="F280" s="606"/>
      <c r="G280" s="616"/>
      <c r="H280" s="93"/>
      <c r="I280" s="41"/>
      <c r="J280" s="750"/>
    </row>
    <row r="281" spans="1:10" x14ac:dyDescent="0.35">
      <c r="A281" s="92"/>
      <c r="F281" s="606"/>
      <c r="G281" s="616"/>
      <c r="H281" s="93"/>
      <c r="I281" s="41"/>
      <c r="J281" s="750"/>
    </row>
    <row r="282" spans="1:10" x14ac:dyDescent="0.35">
      <c r="A282" s="92"/>
      <c r="F282" s="606"/>
      <c r="G282" s="616"/>
      <c r="H282" s="93"/>
      <c r="I282" s="41"/>
      <c r="J282" s="750"/>
    </row>
    <row r="283" spans="1:10" x14ac:dyDescent="0.35">
      <c r="A283" s="92"/>
      <c r="F283" s="606"/>
      <c r="G283" s="616"/>
      <c r="H283" s="93"/>
      <c r="I283" s="41"/>
      <c r="J283" s="750"/>
    </row>
    <row r="284" spans="1:10" x14ac:dyDescent="0.35">
      <c r="A284" s="92"/>
      <c r="F284" s="606"/>
      <c r="G284" s="616"/>
      <c r="H284" s="93"/>
      <c r="I284" s="41"/>
      <c r="J284" s="750"/>
    </row>
    <row r="285" spans="1:10" x14ac:dyDescent="0.35">
      <c r="A285" s="92"/>
      <c r="F285" s="606"/>
      <c r="G285" s="616"/>
      <c r="H285" s="93"/>
      <c r="I285" s="41"/>
      <c r="J285" s="750"/>
    </row>
    <row r="286" spans="1:10" x14ac:dyDescent="0.35">
      <c r="A286" s="92"/>
      <c r="F286" s="606"/>
      <c r="G286" s="616"/>
      <c r="H286" s="93"/>
      <c r="I286" s="41"/>
      <c r="J286" s="750"/>
    </row>
    <row r="287" spans="1:10" x14ac:dyDescent="0.35">
      <c r="A287" s="92"/>
      <c r="F287" s="606"/>
      <c r="G287" s="616"/>
      <c r="H287" s="93"/>
      <c r="I287" s="41"/>
      <c r="J287" s="750"/>
    </row>
    <row r="288" spans="1:10" x14ac:dyDescent="0.35">
      <c r="A288" s="92"/>
      <c r="F288" s="606"/>
      <c r="G288" s="616"/>
      <c r="H288" s="93"/>
      <c r="I288" s="41"/>
      <c r="J288" s="750"/>
    </row>
    <row r="289" spans="1:10" x14ac:dyDescent="0.35">
      <c r="A289" s="92"/>
      <c r="F289" s="606"/>
      <c r="G289" s="616"/>
      <c r="H289" s="93"/>
      <c r="I289" s="41"/>
      <c r="J289" s="750"/>
    </row>
    <row r="290" spans="1:10" x14ac:dyDescent="0.35">
      <c r="A290" s="92"/>
      <c r="F290" s="606"/>
      <c r="G290" s="616"/>
      <c r="H290" s="93"/>
      <c r="I290" s="41"/>
      <c r="J290" s="750"/>
    </row>
    <row r="291" spans="1:10" x14ac:dyDescent="0.35">
      <c r="A291" s="92"/>
      <c r="F291" s="606"/>
      <c r="G291" s="616"/>
      <c r="H291" s="93"/>
      <c r="I291" s="41"/>
      <c r="J291" s="750"/>
    </row>
    <row r="292" spans="1:10" x14ac:dyDescent="0.35">
      <c r="A292" s="92"/>
      <c r="F292" s="606"/>
      <c r="G292" s="616"/>
      <c r="H292" s="93"/>
      <c r="I292" s="41"/>
      <c r="J292" s="750"/>
    </row>
    <row r="293" spans="1:10" x14ac:dyDescent="0.35">
      <c r="A293" s="92"/>
      <c r="F293" s="606"/>
      <c r="G293" s="616"/>
      <c r="H293" s="93"/>
      <c r="I293" s="41"/>
      <c r="J293" s="750"/>
    </row>
    <row r="294" spans="1:10" x14ac:dyDescent="0.35">
      <c r="A294" s="92"/>
      <c r="F294" s="606"/>
      <c r="G294" s="616"/>
      <c r="H294" s="93"/>
      <c r="I294" s="41"/>
      <c r="J294" s="750"/>
    </row>
    <row r="295" spans="1:10" x14ac:dyDescent="0.35">
      <c r="A295" s="92"/>
      <c r="F295" s="606"/>
      <c r="G295" s="616"/>
      <c r="H295" s="93"/>
      <c r="I295" s="41"/>
      <c r="J295" s="750"/>
    </row>
    <row r="296" spans="1:10" x14ac:dyDescent="0.35">
      <c r="A296" s="92"/>
      <c r="F296" s="606"/>
      <c r="G296" s="616"/>
      <c r="H296" s="93"/>
      <c r="I296" s="41"/>
      <c r="J296" s="750"/>
    </row>
    <row r="297" spans="1:10" x14ac:dyDescent="0.35">
      <c r="A297" s="92"/>
      <c r="F297" s="606"/>
      <c r="G297" s="616"/>
      <c r="H297" s="93"/>
      <c r="I297" s="41"/>
      <c r="J297" s="750"/>
    </row>
    <row r="298" spans="1:10" x14ac:dyDescent="0.35">
      <c r="A298" s="92"/>
      <c r="F298" s="606"/>
      <c r="G298" s="616"/>
      <c r="H298" s="93"/>
      <c r="I298" s="41"/>
      <c r="J298" s="750"/>
    </row>
    <row r="299" spans="1:10" x14ac:dyDescent="0.35">
      <c r="A299" s="92"/>
      <c r="F299" s="606"/>
      <c r="G299" s="616"/>
      <c r="H299" s="93"/>
      <c r="I299" s="41"/>
      <c r="J299" s="750"/>
    </row>
    <row r="300" spans="1:10" x14ac:dyDescent="0.35">
      <c r="A300" s="92"/>
      <c r="F300" s="606"/>
      <c r="G300" s="616"/>
      <c r="H300" s="93"/>
      <c r="I300" s="41"/>
      <c r="J300" s="750"/>
    </row>
    <row r="301" spans="1:10" x14ac:dyDescent="0.35">
      <c r="A301" s="92"/>
      <c r="F301" s="606"/>
      <c r="G301" s="616"/>
      <c r="H301" s="93"/>
      <c r="I301" s="41"/>
      <c r="J301" s="750"/>
    </row>
    <row r="302" spans="1:10" x14ac:dyDescent="0.35">
      <c r="A302" s="92"/>
      <c r="F302" s="606"/>
      <c r="G302" s="616"/>
      <c r="H302" s="93"/>
      <c r="I302" s="41"/>
      <c r="J302" s="750"/>
    </row>
    <row r="303" spans="1:10" x14ac:dyDescent="0.35">
      <c r="A303" s="92"/>
      <c r="F303" s="606"/>
      <c r="G303" s="616"/>
      <c r="H303" s="93"/>
      <c r="I303" s="41"/>
      <c r="J303" s="750"/>
    </row>
    <row r="304" spans="1:10" x14ac:dyDescent="0.35">
      <c r="A304" s="92"/>
      <c r="F304" s="606"/>
      <c r="G304" s="616"/>
      <c r="H304" s="93"/>
      <c r="I304" s="41"/>
      <c r="J304" s="750"/>
    </row>
    <row r="305" spans="1:10" x14ac:dyDescent="0.35">
      <c r="A305" s="92"/>
      <c r="F305" s="606"/>
      <c r="G305" s="616"/>
      <c r="H305" s="93"/>
      <c r="I305" s="41"/>
      <c r="J305" s="750"/>
    </row>
    <row r="306" spans="1:10" x14ac:dyDescent="0.35">
      <c r="A306" s="92"/>
      <c r="F306" s="606"/>
      <c r="G306" s="616"/>
      <c r="H306" s="93"/>
      <c r="I306" s="41"/>
      <c r="J306" s="750"/>
    </row>
    <row r="307" spans="1:10" x14ac:dyDescent="0.35">
      <c r="A307" s="92"/>
      <c r="F307" s="606"/>
      <c r="G307" s="616"/>
      <c r="H307" s="93"/>
      <c r="I307" s="41"/>
      <c r="J307" s="750"/>
    </row>
    <row r="308" spans="1:10" x14ac:dyDescent="0.35">
      <c r="A308" s="92"/>
      <c r="F308" s="606"/>
      <c r="G308" s="616"/>
      <c r="H308" s="93"/>
      <c r="I308" s="41"/>
      <c r="J308" s="750"/>
    </row>
    <row r="309" spans="1:10" x14ac:dyDescent="0.35">
      <c r="A309" s="92"/>
      <c r="F309" s="606"/>
      <c r="G309" s="616"/>
      <c r="H309" s="93"/>
      <c r="I309" s="41"/>
      <c r="J309" s="750"/>
    </row>
    <row r="310" spans="1:10" x14ac:dyDescent="0.35">
      <c r="A310" s="92"/>
      <c r="F310" s="606"/>
      <c r="G310" s="616"/>
      <c r="H310" s="93"/>
      <c r="I310" s="41"/>
      <c r="J310" s="750"/>
    </row>
    <row r="311" spans="1:10" x14ac:dyDescent="0.35">
      <c r="A311" s="92"/>
      <c r="F311" s="606"/>
      <c r="G311" s="616"/>
      <c r="H311" s="93"/>
      <c r="I311" s="41"/>
      <c r="J311" s="750"/>
    </row>
    <row r="312" spans="1:10" x14ac:dyDescent="0.35">
      <c r="A312" s="92"/>
      <c r="F312" s="606"/>
      <c r="G312" s="616"/>
      <c r="H312" s="93"/>
      <c r="I312" s="41"/>
      <c r="J312" s="750"/>
    </row>
    <row r="313" spans="1:10" x14ac:dyDescent="0.35">
      <c r="A313" s="92"/>
      <c r="F313" s="606"/>
      <c r="G313" s="616"/>
      <c r="H313" s="93"/>
      <c r="I313" s="41"/>
      <c r="J313" s="750"/>
    </row>
    <row r="314" spans="1:10" x14ac:dyDescent="0.35">
      <c r="A314" s="92"/>
      <c r="F314" s="606"/>
      <c r="G314" s="616"/>
      <c r="H314" s="93"/>
      <c r="I314" s="41"/>
      <c r="J314" s="750"/>
    </row>
    <row r="315" spans="1:10" x14ac:dyDescent="0.35">
      <c r="A315" s="92"/>
      <c r="F315" s="606"/>
      <c r="G315" s="616"/>
      <c r="H315" s="93"/>
      <c r="I315" s="41"/>
      <c r="J315" s="750"/>
    </row>
    <row r="316" spans="1:10" x14ac:dyDescent="0.35">
      <c r="A316" s="92"/>
      <c r="F316" s="606"/>
      <c r="G316" s="616"/>
      <c r="H316" s="93"/>
      <c r="I316" s="41"/>
      <c r="J316" s="750"/>
    </row>
    <row r="317" spans="1:10" x14ac:dyDescent="0.35">
      <c r="A317" s="92"/>
      <c r="F317" s="606"/>
      <c r="G317" s="616"/>
      <c r="H317" s="93"/>
      <c r="I317" s="41"/>
      <c r="J317" s="750"/>
    </row>
    <row r="318" spans="1:10" x14ac:dyDescent="0.35">
      <c r="A318" s="92"/>
      <c r="F318" s="606"/>
      <c r="G318" s="616"/>
      <c r="H318" s="93"/>
      <c r="I318" s="41"/>
      <c r="J318" s="750"/>
    </row>
    <row r="319" spans="1:10" x14ac:dyDescent="0.35">
      <c r="A319" s="92"/>
      <c r="F319" s="606"/>
      <c r="G319" s="616"/>
      <c r="H319" s="93"/>
      <c r="I319" s="41"/>
      <c r="J319" s="750"/>
    </row>
    <row r="320" spans="1:10" x14ac:dyDescent="0.35">
      <c r="A320" s="92"/>
      <c r="F320" s="606"/>
      <c r="G320" s="616"/>
      <c r="H320" s="93"/>
      <c r="I320" s="41"/>
      <c r="J320" s="750"/>
    </row>
    <row r="321" spans="1:10" x14ac:dyDescent="0.35">
      <c r="A321" s="92"/>
      <c r="F321" s="606"/>
      <c r="G321" s="616"/>
      <c r="H321" s="93"/>
      <c r="I321" s="41"/>
      <c r="J321" s="750"/>
    </row>
    <row r="322" spans="1:10" x14ac:dyDescent="0.35">
      <c r="A322" s="92"/>
      <c r="F322" s="606"/>
      <c r="G322" s="616"/>
      <c r="H322" s="93"/>
      <c r="I322" s="41"/>
      <c r="J322" s="750"/>
    </row>
    <row r="323" spans="1:10" x14ac:dyDescent="0.35">
      <c r="A323" s="92"/>
      <c r="F323" s="606"/>
      <c r="G323" s="616"/>
      <c r="H323" s="93"/>
      <c r="I323" s="41"/>
      <c r="J323" s="750"/>
    </row>
    <row r="324" spans="1:10" x14ac:dyDescent="0.35">
      <c r="A324" s="92"/>
      <c r="F324" s="606"/>
      <c r="G324" s="616"/>
      <c r="H324" s="93"/>
      <c r="I324" s="41"/>
      <c r="J324" s="750"/>
    </row>
    <row r="325" spans="1:10" x14ac:dyDescent="0.35">
      <c r="A325" s="92"/>
      <c r="F325" s="606"/>
      <c r="G325" s="616"/>
      <c r="H325" s="93"/>
      <c r="I325" s="41"/>
      <c r="J325" s="750"/>
    </row>
    <row r="326" spans="1:10" x14ac:dyDescent="0.35">
      <c r="A326" s="92"/>
      <c r="F326" s="606"/>
      <c r="G326" s="616"/>
      <c r="H326" s="93"/>
      <c r="I326" s="41"/>
      <c r="J326" s="750"/>
    </row>
    <row r="327" spans="1:10" x14ac:dyDescent="0.35">
      <c r="A327" s="92"/>
      <c r="F327" s="606"/>
      <c r="G327" s="616"/>
      <c r="H327" s="93"/>
      <c r="I327" s="41"/>
      <c r="J327" s="750"/>
    </row>
    <row r="328" spans="1:10" x14ac:dyDescent="0.35">
      <c r="A328" s="92"/>
      <c r="F328" s="606"/>
      <c r="G328" s="616"/>
      <c r="H328" s="93"/>
      <c r="I328" s="41"/>
      <c r="J328" s="750"/>
    </row>
    <row r="329" spans="1:10" x14ac:dyDescent="0.35">
      <c r="A329" s="92"/>
      <c r="F329" s="606"/>
      <c r="G329" s="616"/>
      <c r="H329" s="93"/>
      <c r="I329" s="41"/>
      <c r="J329" s="750"/>
    </row>
    <row r="330" spans="1:10" x14ac:dyDescent="0.35">
      <c r="A330" s="92"/>
      <c r="F330" s="606"/>
      <c r="G330" s="616"/>
      <c r="H330" s="93"/>
      <c r="I330" s="41"/>
      <c r="J330" s="750"/>
    </row>
    <row r="331" spans="1:10" x14ac:dyDescent="0.35">
      <c r="A331" s="92"/>
      <c r="F331" s="606"/>
      <c r="G331" s="616"/>
      <c r="H331" s="93"/>
      <c r="I331" s="41"/>
      <c r="J331" s="750"/>
    </row>
    <row r="332" spans="1:10" x14ac:dyDescent="0.35">
      <c r="A332" s="92"/>
      <c r="F332" s="606"/>
      <c r="G332" s="616"/>
      <c r="H332" s="93"/>
      <c r="I332" s="41"/>
      <c r="J332" s="750"/>
    </row>
    <row r="333" spans="1:10" x14ac:dyDescent="0.35">
      <c r="A333" s="92"/>
      <c r="F333" s="606"/>
      <c r="G333" s="616"/>
      <c r="H333" s="93"/>
      <c r="I333" s="41"/>
      <c r="J333" s="750"/>
    </row>
    <row r="334" spans="1:10" x14ac:dyDescent="0.35">
      <c r="A334" s="92"/>
      <c r="F334" s="606"/>
      <c r="G334" s="616"/>
      <c r="H334" s="93"/>
      <c r="I334" s="41"/>
      <c r="J334" s="750"/>
    </row>
    <row r="335" spans="1:10" x14ac:dyDescent="0.35">
      <c r="A335" s="92"/>
      <c r="F335" s="606"/>
      <c r="G335" s="616"/>
      <c r="H335" s="93"/>
      <c r="I335" s="41"/>
      <c r="J335" s="750"/>
    </row>
    <row r="336" spans="1:10" x14ac:dyDescent="0.35">
      <c r="A336" s="92"/>
      <c r="F336" s="606"/>
      <c r="G336" s="616"/>
      <c r="H336" s="93"/>
      <c r="I336" s="41"/>
      <c r="J336" s="750"/>
    </row>
    <row r="337" spans="1:10" x14ac:dyDescent="0.35">
      <c r="A337" s="92"/>
      <c r="F337" s="606"/>
      <c r="G337" s="616"/>
      <c r="H337" s="93"/>
      <c r="I337" s="41"/>
      <c r="J337" s="750"/>
    </row>
    <row r="338" spans="1:10" x14ac:dyDescent="0.35">
      <c r="A338" s="92"/>
      <c r="F338" s="606"/>
      <c r="G338" s="616"/>
      <c r="H338" s="93"/>
      <c r="I338" s="41"/>
      <c r="J338" s="750"/>
    </row>
    <row r="339" spans="1:10" x14ac:dyDescent="0.35">
      <c r="A339" s="92"/>
      <c r="F339" s="606"/>
      <c r="G339" s="616"/>
      <c r="H339" s="93"/>
      <c r="I339" s="41"/>
      <c r="J339" s="750"/>
    </row>
    <row r="340" spans="1:10" x14ac:dyDescent="0.35">
      <c r="A340" s="92"/>
      <c r="F340" s="606"/>
      <c r="G340" s="616"/>
      <c r="H340" s="93"/>
      <c r="I340" s="41"/>
      <c r="J340" s="750"/>
    </row>
    <row r="341" spans="1:10" x14ac:dyDescent="0.35">
      <c r="A341" s="92"/>
      <c r="F341" s="606"/>
      <c r="G341" s="616"/>
      <c r="H341" s="93"/>
      <c r="I341" s="41"/>
      <c r="J341" s="750"/>
    </row>
    <row r="342" spans="1:10" x14ac:dyDescent="0.35">
      <c r="A342" s="92"/>
      <c r="F342" s="606"/>
      <c r="G342" s="616"/>
      <c r="H342" s="93"/>
      <c r="I342" s="41"/>
      <c r="J342" s="750"/>
    </row>
    <row r="343" spans="1:10" x14ac:dyDescent="0.35">
      <c r="A343" s="92"/>
      <c r="F343" s="606"/>
      <c r="G343" s="616"/>
      <c r="H343" s="93"/>
      <c r="I343" s="41"/>
      <c r="J343" s="750"/>
    </row>
    <row r="344" spans="1:10" x14ac:dyDescent="0.35">
      <c r="A344" s="92"/>
      <c r="F344" s="606"/>
      <c r="G344" s="616"/>
      <c r="H344" s="93"/>
      <c r="I344" s="41"/>
      <c r="J344" s="750"/>
    </row>
    <row r="345" spans="1:10" x14ac:dyDescent="0.35">
      <c r="A345" s="92"/>
      <c r="F345" s="606"/>
      <c r="G345" s="616"/>
      <c r="H345" s="93"/>
      <c r="I345" s="41"/>
      <c r="J345" s="750"/>
    </row>
    <row r="346" spans="1:10" x14ac:dyDescent="0.35">
      <c r="A346" s="92"/>
      <c r="F346" s="606"/>
      <c r="G346" s="616"/>
      <c r="H346" s="93"/>
      <c r="I346" s="41"/>
      <c r="J346" s="750"/>
    </row>
    <row r="347" spans="1:10" x14ac:dyDescent="0.35">
      <c r="A347" s="92"/>
      <c r="F347" s="606"/>
      <c r="G347" s="616"/>
      <c r="H347" s="93"/>
      <c r="I347" s="41"/>
      <c r="J347" s="750"/>
    </row>
    <row r="348" spans="1:10" x14ac:dyDescent="0.35">
      <c r="A348" s="92"/>
      <c r="F348" s="606"/>
      <c r="G348" s="616"/>
      <c r="H348" s="93"/>
      <c r="I348" s="41"/>
      <c r="J348" s="750"/>
    </row>
    <row r="349" spans="1:10" x14ac:dyDescent="0.35">
      <c r="A349" s="92"/>
      <c r="F349" s="606"/>
      <c r="G349" s="616"/>
      <c r="H349" s="93"/>
      <c r="I349" s="41"/>
      <c r="J349" s="750"/>
    </row>
    <row r="350" spans="1:10" x14ac:dyDescent="0.35">
      <c r="A350" s="92"/>
      <c r="F350" s="606"/>
      <c r="G350" s="616"/>
      <c r="H350" s="93"/>
      <c r="I350" s="41"/>
      <c r="J350" s="750"/>
    </row>
    <row r="351" spans="1:10" x14ac:dyDescent="0.35">
      <c r="A351" s="92"/>
      <c r="F351" s="606"/>
      <c r="G351" s="616"/>
      <c r="H351" s="93"/>
      <c r="I351" s="41"/>
      <c r="J351" s="750"/>
    </row>
    <row r="352" spans="1:10" x14ac:dyDescent="0.35">
      <c r="A352" s="92"/>
      <c r="F352" s="606"/>
      <c r="G352" s="616"/>
      <c r="H352" s="93"/>
      <c r="I352" s="41"/>
      <c r="J352" s="750"/>
    </row>
    <row r="353" spans="1:10" x14ac:dyDescent="0.35">
      <c r="A353" s="92"/>
      <c r="F353" s="606"/>
      <c r="G353" s="616"/>
      <c r="H353" s="93"/>
      <c r="I353" s="41"/>
      <c r="J353" s="750"/>
    </row>
    <row r="354" spans="1:10" x14ac:dyDescent="0.35">
      <c r="A354" s="92"/>
      <c r="F354" s="606"/>
      <c r="G354" s="616"/>
      <c r="H354" s="93"/>
      <c r="I354" s="41"/>
      <c r="J354" s="750"/>
    </row>
    <row r="355" spans="1:10" x14ac:dyDescent="0.35">
      <c r="A355" s="92"/>
      <c r="F355" s="606"/>
      <c r="G355" s="616"/>
      <c r="H355" s="93"/>
      <c r="I355" s="41"/>
      <c r="J355" s="750"/>
    </row>
    <row r="356" spans="1:10" x14ac:dyDescent="0.35">
      <c r="A356" s="92"/>
      <c r="F356" s="606"/>
      <c r="G356" s="616"/>
      <c r="H356" s="93"/>
      <c r="I356" s="41"/>
      <c r="J356" s="750"/>
    </row>
    <row r="357" spans="1:10" x14ac:dyDescent="0.35">
      <c r="A357" s="92"/>
      <c r="F357" s="606"/>
      <c r="G357" s="616"/>
      <c r="H357" s="93"/>
      <c r="I357" s="41"/>
      <c r="J357" s="750"/>
    </row>
    <row r="358" spans="1:10" x14ac:dyDescent="0.35">
      <c r="A358" s="92"/>
      <c r="F358" s="606"/>
      <c r="G358" s="616"/>
      <c r="H358" s="93"/>
      <c r="I358" s="41"/>
      <c r="J358" s="750"/>
    </row>
    <row r="359" spans="1:10" x14ac:dyDescent="0.35">
      <c r="A359" s="92"/>
      <c r="F359" s="606"/>
      <c r="G359" s="616"/>
      <c r="H359" s="93"/>
      <c r="I359" s="41"/>
      <c r="J359" s="750"/>
    </row>
    <row r="360" spans="1:10" x14ac:dyDescent="0.35">
      <c r="A360" s="92"/>
      <c r="F360" s="606"/>
      <c r="G360" s="616"/>
      <c r="H360" s="93"/>
      <c r="I360" s="41"/>
      <c r="J360" s="750"/>
    </row>
    <row r="361" spans="1:10" x14ac:dyDescent="0.35">
      <c r="A361" s="92"/>
      <c r="F361" s="606"/>
      <c r="G361" s="616"/>
      <c r="H361" s="93"/>
      <c r="I361" s="41"/>
      <c r="J361" s="750"/>
    </row>
    <row r="362" spans="1:10" x14ac:dyDescent="0.35">
      <c r="A362" s="92"/>
      <c r="F362" s="606"/>
      <c r="G362" s="616"/>
      <c r="H362" s="93"/>
      <c r="I362" s="41"/>
      <c r="J362" s="750"/>
    </row>
    <row r="363" spans="1:10" x14ac:dyDescent="0.35">
      <c r="A363" s="92"/>
      <c r="F363" s="606"/>
      <c r="G363" s="616"/>
      <c r="H363" s="93"/>
      <c r="I363" s="41"/>
      <c r="J363" s="750"/>
    </row>
    <row r="364" spans="1:10" x14ac:dyDescent="0.35">
      <c r="A364" s="92"/>
      <c r="F364" s="606"/>
      <c r="G364" s="616"/>
      <c r="H364" s="93"/>
      <c r="I364" s="41"/>
      <c r="J364" s="750"/>
    </row>
    <row r="365" spans="1:10" x14ac:dyDescent="0.35">
      <c r="A365" s="92"/>
      <c r="F365" s="606"/>
      <c r="G365" s="616"/>
      <c r="H365" s="93"/>
      <c r="I365" s="41"/>
      <c r="J365" s="750"/>
    </row>
    <row r="366" spans="1:10" x14ac:dyDescent="0.35">
      <c r="A366" s="92"/>
      <c r="F366" s="606"/>
      <c r="G366" s="616"/>
      <c r="H366" s="93"/>
      <c r="I366" s="41"/>
      <c r="J366" s="750"/>
    </row>
    <row r="367" spans="1:10" x14ac:dyDescent="0.35">
      <c r="A367" s="92"/>
      <c r="F367" s="606"/>
      <c r="G367" s="616"/>
      <c r="H367" s="93"/>
      <c r="I367" s="41"/>
      <c r="J367" s="750"/>
    </row>
    <row r="368" spans="1:10" x14ac:dyDescent="0.35">
      <c r="A368" s="92"/>
      <c r="F368" s="606"/>
      <c r="G368" s="616"/>
      <c r="H368" s="93"/>
      <c r="I368" s="41"/>
      <c r="J368" s="750"/>
    </row>
    <row r="369" spans="1:10" x14ac:dyDescent="0.35">
      <c r="A369" s="92"/>
      <c r="F369" s="606"/>
      <c r="G369" s="616"/>
      <c r="H369" s="93"/>
      <c r="I369" s="41"/>
      <c r="J369" s="750"/>
    </row>
    <row r="370" spans="1:10" x14ac:dyDescent="0.35">
      <c r="A370" s="92"/>
      <c r="F370" s="606"/>
      <c r="G370" s="616"/>
      <c r="H370" s="93"/>
      <c r="I370" s="41"/>
      <c r="J370" s="750"/>
    </row>
    <row r="371" spans="1:10" x14ac:dyDescent="0.35">
      <c r="A371" s="92"/>
      <c r="F371" s="606"/>
      <c r="G371" s="616"/>
      <c r="H371" s="93"/>
      <c r="I371" s="41"/>
      <c r="J371" s="750"/>
    </row>
    <row r="372" spans="1:10" x14ac:dyDescent="0.35">
      <c r="A372" s="92"/>
      <c r="F372" s="606"/>
      <c r="G372" s="616"/>
      <c r="H372" s="93"/>
      <c r="I372" s="41"/>
      <c r="J372" s="750"/>
    </row>
    <row r="373" spans="1:10" x14ac:dyDescent="0.35">
      <c r="A373" s="92"/>
      <c r="F373" s="606"/>
      <c r="G373" s="616"/>
      <c r="H373" s="93"/>
      <c r="I373" s="41"/>
      <c r="J373" s="750"/>
    </row>
    <row r="374" spans="1:10" x14ac:dyDescent="0.35">
      <c r="A374" s="92"/>
      <c r="F374" s="606"/>
      <c r="G374" s="616"/>
      <c r="H374" s="93"/>
      <c r="I374" s="41"/>
      <c r="J374" s="750"/>
    </row>
    <row r="375" spans="1:10" x14ac:dyDescent="0.35">
      <c r="A375" s="92"/>
      <c r="F375" s="606"/>
      <c r="G375" s="616"/>
      <c r="H375" s="93"/>
      <c r="I375" s="41"/>
      <c r="J375" s="750"/>
    </row>
    <row r="376" spans="1:10" x14ac:dyDescent="0.35">
      <c r="A376" s="92"/>
      <c r="F376" s="606"/>
      <c r="G376" s="616"/>
      <c r="H376" s="93"/>
      <c r="I376" s="41"/>
      <c r="J376" s="750"/>
    </row>
    <row r="377" spans="1:10" x14ac:dyDescent="0.35">
      <c r="A377" s="92"/>
      <c r="F377" s="606"/>
      <c r="G377" s="616"/>
      <c r="H377" s="93"/>
      <c r="I377" s="41"/>
      <c r="J377" s="750"/>
    </row>
    <row r="378" spans="1:10" x14ac:dyDescent="0.35">
      <c r="A378" s="92"/>
      <c r="F378" s="606"/>
      <c r="G378" s="616"/>
      <c r="H378" s="93"/>
      <c r="I378" s="41"/>
      <c r="J378" s="750"/>
    </row>
    <row r="379" spans="1:10" x14ac:dyDescent="0.35">
      <c r="A379" s="92"/>
      <c r="F379" s="606"/>
      <c r="G379" s="616"/>
      <c r="H379" s="93"/>
      <c r="I379" s="41"/>
      <c r="J379" s="750"/>
    </row>
    <row r="380" spans="1:10" x14ac:dyDescent="0.35">
      <c r="A380" s="92"/>
      <c r="F380" s="606"/>
      <c r="G380" s="616"/>
      <c r="H380" s="93"/>
      <c r="I380" s="41"/>
      <c r="J380" s="750"/>
    </row>
    <row r="381" spans="1:10" x14ac:dyDescent="0.35">
      <c r="A381" s="92"/>
      <c r="F381" s="606"/>
      <c r="G381" s="616"/>
      <c r="H381" s="93"/>
      <c r="I381" s="41"/>
      <c r="J381" s="750"/>
    </row>
    <row r="382" spans="1:10" x14ac:dyDescent="0.35">
      <c r="A382" s="92"/>
      <c r="F382" s="606"/>
      <c r="G382" s="616"/>
      <c r="H382" s="93"/>
      <c r="I382" s="41"/>
      <c r="J382" s="750"/>
    </row>
    <row r="383" spans="1:10" x14ac:dyDescent="0.35">
      <c r="A383" s="92"/>
      <c r="F383" s="606"/>
      <c r="G383" s="616"/>
      <c r="H383" s="93"/>
      <c r="I383" s="41"/>
      <c r="J383" s="750"/>
    </row>
    <row r="384" spans="1:10" x14ac:dyDescent="0.35">
      <c r="A384" s="92"/>
      <c r="F384" s="606"/>
      <c r="G384" s="616"/>
      <c r="H384" s="93"/>
      <c r="I384" s="41"/>
      <c r="J384" s="750"/>
    </row>
    <row r="385" spans="1:10" x14ac:dyDescent="0.35">
      <c r="A385" s="92"/>
      <c r="F385" s="606"/>
      <c r="G385" s="616"/>
      <c r="H385" s="93"/>
      <c r="I385" s="41"/>
      <c r="J385" s="750"/>
    </row>
    <row r="386" spans="1:10" x14ac:dyDescent="0.35">
      <c r="A386" s="92"/>
      <c r="F386" s="606"/>
      <c r="G386" s="616"/>
      <c r="H386" s="93"/>
      <c r="I386" s="41"/>
      <c r="J386" s="750"/>
    </row>
    <row r="387" spans="1:10" x14ac:dyDescent="0.35">
      <c r="A387" s="92"/>
      <c r="F387" s="606"/>
      <c r="G387" s="616"/>
      <c r="H387" s="93"/>
      <c r="I387" s="41"/>
      <c r="J387" s="750"/>
    </row>
    <row r="388" spans="1:10" x14ac:dyDescent="0.35">
      <c r="A388" s="92"/>
      <c r="F388" s="606"/>
      <c r="G388" s="616"/>
      <c r="H388" s="93"/>
      <c r="I388" s="41"/>
      <c r="J388" s="750"/>
    </row>
    <row r="389" spans="1:10" x14ac:dyDescent="0.35">
      <c r="A389" s="92"/>
      <c r="F389" s="606"/>
      <c r="G389" s="616"/>
      <c r="H389" s="93"/>
      <c r="I389" s="41"/>
      <c r="J389" s="750"/>
    </row>
    <row r="390" spans="1:10" x14ac:dyDescent="0.35">
      <c r="A390" s="92"/>
      <c r="F390" s="606"/>
      <c r="G390" s="616"/>
      <c r="H390" s="93"/>
      <c r="I390" s="41"/>
      <c r="J390" s="750"/>
    </row>
    <row r="391" spans="1:10" x14ac:dyDescent="0.35">
      <c r="A391" s="92"/>
      <c r="F391" s="606"/>
      <c r="G391" s="616"/>
      <c r="H391" s="93"/>
      <c r="I391" s="41"/>
      <c r="J391" s="750"/>
    </row>
    <row r="392" spans="1:10" x14ac:dyDescent="0.35">
      <c r="A392" s="92"/>
      <c r="F392" s="606"/>
      <c r="G392" s="616"/>
      <c r="H392" s="93"/>
      <c r="I392" s="41"/>
      <c r="J392" s="750"/>
    </row>
    <row r="393" spans="1:10" x14ac:dyDescent="0.35">
      <c r="A393" s="92"/>
      <c r="F393" s="606"/>
      <c r="G393" s="616"/>
      <c r="H393" s="93"/>
      <c r="I393" s="41"/>
      <c r="J393" s="750"/>
    </row>
    <row r="394" spans="1:10" x14ac:dyDescent="0.35">
      <c r="A394" s="92"/>
      <c r="F394" s="606"/>
      <c r="G394" s="616"/>
      <c r="H394" s="93"/>
      <c r="I394" s="41"/>
      <c r="J394" s="750"/>
    </row>
    <row r="395" spans="1:10" x14ac:dyDescent="0.35">
      <c r="A395" s="92"/>
      <c r="F395" s="606"/>
      <c r="G395" s="616"/>
      <c r="H395" s="93"/>
      <c r="I395" s="41"/>
      <c r="J395" s="750"/>
    </row>
    <row r="396" spans="1:10" x14ac:dyDescent="0.35">
      <c r="A396" s="92"/>
      <c r="F396" s="606"/>
      <c r="G396" s="616"/>
      <c r="H396" s="93"/>
      <c r="I396" s="41"/>
      <c r="J396" s="750"/>
    </row>
    <row r="397" spans="1:10" x14ac:dyDescent="0.35">
      <c r="A397" s="92"/>
      <c r="F397" s="606"/>
      <c r="G397" s="616"/>
      <c r="H397" s="93"/>
      <c r="I397" s="41"/>
      <c r="J397" s="750"/>
    </row>
    <row r="398" spans="1:10" x14ac:dyDescent="0.35">
      <c r="A398" s="92"/>
      <c r="F398" s="606"/>
      <c r="G398" s="616"/>
      <c r="H398" s="93"/>
      <c r="I398" s="41"/>
      <c r="J398" s="750"/>
    </row>
    <row r="399" spans="1:10" x14ac:dyDescent="0.35">
      <c r="A399" s="92"/>
      <c r="F399" s="606"/>
      <c r="G399" s="616"/>
      <c r="H399" s="93"/>
      <c r="I399" s="41"/>
      <c r="J399" s="750"/>
    </row>
    <row r="400" spans="1:10" x14ac:dyDescent="0.35">
      <c r="A400" s="92"/>
      <c r="F400" s="606"/>
      <c r="G400" s="616"/>
      <c r="H400" s="93"/>
      <c r="I400" s="41"/>
      <c r="J400" s="750"/>
    </row>
    <row r="401" spans="1:10" x14ac:dyDescent="0.35">
      <c r="A401" s="92"/>
      <c r="F401" s="606"/>
      <c r="G401" s="616"/>
      <c r="H401" s="93"/>
      <c r="I401" s="41"/>
      <c r="J401" s="750"/>
    </row>
    <row r="402" spans="1:10" x14ac:dyDescent="0.35">
      <c r="A402" s="92"/>
      <c r="F402" s="606"/>
      <c r="G402" s="616"/>
      <c r="H402" s="93"/>
      <c r="I402" s="41"/>
      <c r="J402" s="750"/>
    </row>
    <row r="403" spans="1:10" x14ac:dyDescent="0.35">
      <c r="A403" s="92"/>
      <c r="F403" s="606"/>
      <c r="G403" s="616"/>
      <c r="H403" s="93"/>
      <c r="I403" s="41"/>
      <c r="J403" s="750"/>
    </row>
    <row r="404" spans="1:10" x14ac:dyDescent="0.35">
      <c r="A404" s="92"/>
      <c r="F404" s="606"/>
      <c r="G404" s="616"/>
      <c r="H404" s="93"/>
      <c r="I404" s="41"/>
      <c r="J404" s="750"/>
    </row>
    <row r="405" spans="1:10" x14ac:dyDescent="0.35">
      <c r="A405" s="92"/>
      <c r="F405" s="606"/>
      <c r="G405" s="616"/>
      <c r="H405" s="93"/>
      <c r="I405" s="41"/>
      <c r="J405" s="750"/>
    </row>
    <row r="406" spans="1:10" x14ac:dyDescent="0.35">
      <c r="A406" s="92"/>
      <c r="F406" s="606"/>
      <c r="G406" s="616"/>
      <c r="H406" s="93"/>
      <c r="I406" s="41"/>
      <c r="J406" s="750"/>
    </row>
    <row r="407" spans="1:10" x14ac:dyDescent="0.35">
      <c r="A407" s="92"/>
      <c r="F407" s="606"/>
      <c r="G407" s="616"/>
      <c r="H407" s="93"/>
      <c r="I407" s="41"/>
      <c r="J407" s="750"/>
    </row>
    <row r="408" spans="1:10" x14ac:dyDescent="0.35">
      <c r="A408" s="92"/>
      <c r="F408" s="606"/>
      <c r="G408" s="616"/>
      <c r="H408" s="93"/>
      <c r="I408" s="41"/>
      <c r="J408" s="750"/>
    </row>
    <row r="409" spans="1:10" x14ac:dyDescent="0.35">
      <c r="A409" s="92"/>
      <c r="F409" s="606"/>
      <c r="G409" s="616"/>
      <c r="H409" s="93"/>
      <c r="I409" s="41"/>
      <c r="J409" s="750"/>
    </row>
    <row r="410" spans="1:10" x14ac:dyDescent="0.35">
      <c r="A410" s="92"/>
      <c r="F410" s="606"/>
      <c r="G410" s="616"/>
      <c r="H410" s="93"/>
      <c r="I410" s="41"/>
      <c r="J410" s="750"/>
    </row>
    <row r="411" spans="1:10" x14ac:dyDescent="0.35">
      <c r="A411" s="92"/>
      <c r="F411" s="606"/>
      <c r="G411" s="616"/>
      <c r="H411" s="93"/>
      <c r="I411" s="41"/>
      <c r="J411" s="750"/>
    </row>
    <row r="412" spans="1:10" x14ac:dyDescent="0.35">
      <c r="A412" s="92"/>
      <c r="F412" s="606"/>
      <c r="G412" s="616"/>
      <c r="H412" s="93"/>
      <c r="I412" s="41"/>
      <c r="J412" s="750"/>
    </row>
    <row r="413" spans="1:10" x14ac:dyDescent="0.35">
      <c r="A413" s="92"/>
      <c r="F413" s="606"/>
      <c r="G413" s="616"/>
      <c r="H413" s="93"/>
      <c r="I413" s="41"/>
      <c r="J413" s="750"/>
    </row>
    <row r="414" spans="1:10" x14ac:dyDescent="0.35">
      <c r="A414" s="92"/>
      <c r="F414" s="606"/>
      <c r="G414" s="616"/>
      <c r="H414" s="93"/>
      <c r="I414" s="41"/>
      <c r="J414" s="750"/>
    </row>
    <row r="415" spans="1:10" x14ac:dyDescent="0.35">
      <c r="A415" s="92"/>
      <c r="F415" s="606"/>
      <c r="G415" s="616"/>
      <c r="H415" s="93"/>
      <c r="I415" s="41"/>
      <c r="J415" s="750"/>
    </row>
    <row r="416" spans="1:10" x14ac:dyDescent="0.35">
      <c r="A416" s="92"/>
      <c r="F416" s="606"/>
      <c r="G416" s="616"/>
      <c r="H416" s="93"/>
      <c r="I416" s="41"/>
      <c r="J416" s="750"/>
    </row>
    <row r="417" spans="1:10" x14ac:dyDescent="0.35">
      <c r="A417" s="92"/>
      <c r="F417" s="606"/>
      <c r="G417" s="616"/>
      <c r="H417" s="93"/>
      <c r="I417" s="41"/>
      <c r="J417" s="750"/>
    </row>
    <row r="418" spans="1:10" x14ac:dyDescent="0.35">
      <c r="A418" s="92"/>
      <c r="F418" s="606"/>
      <c r="G418" s="616"/>
      <c r="H418" s="93"/>
      <c r="I418" s="41"/>
      <c r="J418" s="750"/>
    </row>
    <row r="419" spans="1:10" x14ac:dyDescent="0.35">
      <c r="A419" s="92"/>
      <c r="F419" s="606"/>
      <c r="G419" s="616"/>
      <c r="H419" s="93"/>
      <c r="I419" s="41"/>
      <c r="J419" s="750"/>
    </row>
    <row r="420" spans="1:10" x14ac:dyDescent="0.35">
      <c r="A420" s="92"/>
      <c r="F420" s="606"/>
      <c r="G420" s="616"/>
      <c r="H420" s="93"/>
      <c r="I420" s="41"/>
      <c r="J420" s="750"/>
    </row>
    <row r="421" spans="1:10" x14ac:dyDescent="0.35">
      <c r="A421" s="92"/>
      <c r="F421" s="606"/>
      <c r="G421" s="616"/>
      <c r="H421" s="93"/>
      <c r="I421" s="41"/>
      <c r="J421" s="750"/>
    </row>
    <row r="422" spans="1:10" x14ac:dyDescent="0.35">
      <c r="A422" s="92"/>
      <c r="F422" s="606"/>
      <c r="G422" s="616"/>
      <c r="H422" s="93"/>
      <c r="I422" s="41"/>
      <c r="J422" s="750"/>
    </row>
    <row r="423" spans="1:10" x14ac:dyDescent="0.35">
      <c r="A423" s="92"/>
      <c r="F423" s="606"/>
      <c r="G423" s="616"/>
      <c r="H423" s="93"/>
      <c r="I423" s="41"/>
      <c r="J423" s="750"/>
    </row>
    <row r="424" spans="1:10" x14ac:dyDescent="0.35">
      <c r="A424" s="92"/>
      <c r="F424" s="606"/>
      <c r="G424" s="616"/>
      <c r="H424" s="93"/>
      <c r="I424" s="41"/>
      <c r="J424" s="750"/>
    </row>
    <row r="425" spans="1:10" x14ac:dyDescent="0.35">
      <c r="A425" s="92"/>
      <c r="F425" s="606"/>
      <c r="G425" s="616"/>
      <c r="H425" s="93"/>
      <c r="I425" s="41"/>
      <c r="J425" s="750"/>
    </row>
    <row r="426" spans="1:10" x14ac:dyDescent="0.35">
      <c r="A426" s="92"/>
      <c r="F426" s="606"/>
      <c r="G426" s="616"/>
      <c r="H426" s="93"/>
      <c r="I426" s="41"/>
      <c r="J426" s="750"/>
    </row>
    <row r="427" spans="1:10" x14ac:dyDescent="0.35">
      <c r="A427" s="92"/>
      <c r="F427" s="606"/>
      <c r="G427" s="616"/>
      <c r="H427" s="93"/>
      <c r="I427" s="41"/>
      <c r="J427" s="750"/>
    </row>
    <row r="428" spans="1:10" x14ac:dyDescent="0.35">
      <c r="A428" s="92"/>
      <c r="F428" s="606"/>
      <c r="G428" s="616"/>
      <c r="H428" s="93"/>
      <c r="I428" s="41"/>
      <c r="J428" s="750"/>
    </row>
    <row r="429" spans="1:10" x14ac:dyDescent="0.35">
      <c r="A429" s="92"/>
      <c r="F429" s="606"/>
      <c r="G429" s="616"/>
      <c r="H429" s="93"/>
      <c r="I429" s="41"/>
      <c r="J429" s="750"/>
    </row>
    <row r="430" spans="1:10" x14ac:dyDescent="0.35">
      <c r="A430" s="92"/>
      <c r="F430" s="606"/>
      <c r="G430" s="616"/>
      <c r="H430" s="93"/>
      <c r="I430" s="41"/>
      <c r="J430" s="750"/>
    </row>
    <row r="431" spans="1:10" x14ac:dyDescent="0.35">
      <c r="A431" s="92"/>
      <c r="F431" s="606"/>
      <c r="G431" s="616"/>
      <c r="H431" s="93"/>
      <c r="I431" s="41"/>
      <c r="J431" s="750"/>
    </row>
    <row r="432" spans="1:10" x14ac:dyDescent="0.35">
      <c r="A432" s="92"/>
      <c r="F432" s="606"/>
      <c r="G432" s="616"/>
      <c r="H432" s="93"/>
      <c r="I432" s="41"/>
      <c r="J432" s="750"/>
    </row>
    <row r="433" spans="1:10" x14ac:dyDescent="0.35">
      <c r="A433" s="92"/>
      <c r="F433" s="606"/>
      <c r="G433" s="616"/>
      <c r="H433" s="93"/>
      <c r="I433" s="41"/>
      <c r="J433" s="750"/>
    </row>
    <row r="434" spans="1:10" x14ac:dyDescent="0.35">
      <c r="A434" s="92"/>
      <c r="F434" s="606"/>
      <c r="G434" s="616"/>
      <c r="H434" s="93"/>
      <c r="I434" s="41"/>
      <c r="J434" s="750"/>
    </row>
    <row r="435" spans="1:10" x14ac:dyDescent="0.35">
      <c r="A435" s="92"/>
      <c r="F435" s="606"/>
      <c r="G435" s="616"/>
      <c r="H435" s="93"/>
      <c r="I435" s="41"/>
      <c r="J435" s="750"/>
    </row>
    <row r="436" spans="1:10" x14ac:dyDescent="0.35">
      <c r="A436" s="92"/>
      <c r="F436" s="606"/>
      <c r="G436" s="616"/>
      <c r="H436" s="93"/>
      <c r="I436" s="41"/>
      <c r="J436" s="750"/>
    </row>
    <row r="437" spans="1:10" x14ac:dyDescent="0.35">
      <c r="A437" s="92"/>
      <c r="F437" s="606"/>
      <c r="G437" s="616"/>
      <c r="H437" s="93"/>
      <c r="I437" s="41"/>
      <c r="J437" s="750"/>
    </row>
    <row r="438" spans="1:10" x14ac:dyDescent="0.35">
      <c r="A438" s="92"/>
      <c r="F438" s="606"/>
      <c r="G438" s="616"/>
      <c r="H438" s="93"/>
      <c r="I438" s="41"/>
      <c r="J438" s="750"/>
    </row>
    <row r="439" spans="1:10" x14ac:dyDescent="0.35">
      <c r="A439" s="92"/>
      <c r="F439" s="606"/>
      <c r="G439" s="616"/>
      <c r="H439" s="93"/>
      <c r="I439" s="41"/>
      <c r="J439" s="750"/>
    </row>
    <row r="440" spans="1:10" x14ac:dyDescent="0.35">
      <c r="A440" s="92"/>
      <c r="F440" s="606"/>
      <c r="G440" s="616"/>
      <c r="H440" s="93"/>
      <c r="I440" s="41"/>
      <c r="J440" s="750"/>
    </row>
    <row r="441" spans="1:10" x14ac:dyDescent="0.35">
      <c r="A441" s="92"/>
      <c r="F441" s="606"/>
      <c r="G441" s="616"/>
      <c r="H441" s="93"/>
      <c r="I441" s="41"/>
      <c r="J441" s="750"/>
    </row>
    <row r="442" spans="1:10" x14ac:dyDescent="0.35">
      <c r="A442" s="92"/>
      <c r="F442" s="606"/>
      <c r="G442" s="616"/>
      <c r="H442" s="93"/>
      <c r="I442" s="41"/>
      <c r="J442" s="750"/>
    </row>
    <row r="443" spans="1:10" x14ac:dyDescent="0.35">
      <c r="A443" s="92"/>
      <c r="F443" s="606"/>
      <c r="G443" s="616"/>
      <c r="H443" s="93"/>
      <c r="I443" s="41"/>
      <c r="J443" s="750"/>
    </row>
    <row r="444" spans="1:10" x14ac:dyDescent="0.35">
      <c r="A444" s="92"/>
      <c r="F444" s="606"/>
      <c r="G444" s="616"/>
      <c r="H444" s="93"/>
      <c r="I444" s="41"/>
      <c r="J444" s="750"/>
    </row>
    <row r="445" spans="1:10" x14ac:dyDescent="0.35">
      <c r="A445" s="92"/>
      <c r="F445" s="606"/>
      <c r="G445" s="616"/>
      <c r="H445" s="93"/>
      <c r="I445" s="41"/>
      <c r="J445" s="750"/>
    </row>
    <row r="446" spans="1:10" x14ac:dyDescent="0.35">
      <c r="A446" s="92"/>
      <c r="F446" s="606"/>
      <c r="G446" s="616"/>
      <c r="H446" s="93"/>
      <c r="I446" s="41"/>
      <c r="J446" s="750"/>
    </row>
    <row r="447" spans="1:10" x14ac:dyDescent="0.35">
      <c r="A447" s="92"/>
      <c r="F447" s="606"/>
      <c r="G447" s="616"/>
      <c r="H447" s="93"/>
      <c r="I447" s="41"/>
      <c r="J447" s="750"/>
    </row>
    <row r="448" spans="1:10" x14ac:dyDescent="0.35">
      <c r="A448" s="92"/>
      <c r="F448" s="606"/>
      <c r="G448" s="616"/>
      <c r="H448" s="93"/>
      <c r="I448" s="41"/>
      <c r="J448" s="750"/>
    </row>
    <row r="449" spans="1:10" x14ac:dyDescent="0.35">
      <c r="A449" s="92"/>
      <c r="F449" s="606"/>
      <c r="G449" s="616"/>
      <c r="H449" s="93"/>
      <c r="I449" s="41"/>
      <c r="J449" s="750"/>
    </row>
    <row r="450" spans="1:10" x14ac:dyDescent="0.35">
      <c r="A450" s="92"/>
      <c r="F450" s="606"/>
      <c r="G450" s="616"/>
      <c r="H450" s="93"/>
      <c r="I450" s="41"/>
      <c r="J450" s="750"/>
    </row>
    <row r="451" spans="1:10" x14ac:dyDescent="0.35">
      <c r="A451" s="92"/>
      <c r="F451" s="606"/>
      <c r="G451" s="616"/>
      <c r="H451" s="93"/>
      <c r="I451" s="41"/>
      <c r="J451" s="750"/>
    </row>
    <row r="452" spans="1:10" x14ac:dyDescent="0.35">
      <c r="A452" s="92"/>
      <c r="F452" s="606"/>
      <c r="G452" s="616"/>
      <c r="H452" s="93"/>
      <c r="I452" s="41"/>
      <c r="J452" s="750"/>
    </row>
    <row r="453" spans="1:10" x14ac:dyDescent="0.35">
      <c r="A453" s="92"/>
      <c r="F453" s="606"/>
      <c r="G453" s="616"/>
      <c r="H453" s="93"/>
      <c r="I453" s="41"/>
      <c r="J453" s="750"/>
    </row>
    <row r="454" spans="1:10" x14ac:dyDescent="0.35">
      <c r="A454" s="92"/>
      <c r="F454" s="606"/>
      <c r="G454" s="616"/>
      <c r="H454" s="93"/>
      <c r="I454" s="41"/>
      <c r="J454" s="750"/>
    </row>
    <row r="455" spans="1:10" x14ac:dyDescent="0.35">
      <c r="A455" s="92"/>
      <c r="F455" s="606"/>
      <c r="G455" s="616"/>
      <c r="H455" s="93"/>
      <c r="I455" s="41"/>
      <c r="J455" s="750"/>
    </row>
    <row r="456" spans="1:10" x14ac:dyDescent="0.35">
      <c r="A456" s="92"/>
      <c r="F456" s="606"/>
      <c r="G456" s="616"/>
      <c r="H456" s="93"/>
      <c r="I456" s="41"/>
      <c r="J456" s="750"/>
    </row>
    <row r="457" spans="1:10" x14ac:dyDescent="0.35">
      <c r="A457" s="92"/>
      <c r="F457" s="606"/>
      <c r="G457" s="616"/>
      <c r="H457" s="93"/>
      <c r="I457" s="41"/>
      <c r="J457" s="750"/>
    </row>
    <row r="458" spans="1:10" x14ac:dyDescent="0.35">
      <c r="A458" s="92"/>
      <c r="F458" s="606"/>
      <c r="G458" s="616"/>
      <c r="H458" s="93"/>
      <c r="I458" s="41"/>
      <c r="J458" s="750"/>
    </row>
    <row r="459" spans="1:10" x14ac:dyDescent="0.35">
      <c r="A459" s="92"/>
      <c r="F459" s="606"/>
      <c r="G459" s="616"/>
      <c r="H459" s="93"/>
      <c r="I459" s="41"/>
      <c r="J459" s="750"/>
    </row>
    <row r="460" spans="1:10" x14ac:dyDescent="0.35">
      <c r="A460" s="92"/>
      <c r="F460" s="606"/>
      <c r="G460" s="616"/>
      <c r="H460" s="93"/>
      <c r="I460" s="41"/>
      <c r="J460" s="750"/>
    </row>
    <row r="461" spans="1:10" x14ac:dyDescent="0.35">
      <c r="A461" s="92"/>
      <c r="F461" s="606"/>
      <c r="G461" s="616"/>
      <c r="H461" s="93"/>
      <c r="I461" s="41"/>
      <c r="J461" s="750"/>
    </row>
    <row r="462" spans="1:10" x14ac:dyDescent="0.35">
      <c r="A462" s="92"/>
      <c r="F462" s="606"/>
      <c r="G462" s="616"/>
      <c r="H462" s="93"/>
      <c r="I462" s="41"/>
      <c r="J462" s="750"/>
    </row>
    <row r="463" spans="1:10" x14ac:dyDescent="0.35">
      <c r="A463" s="92"/>
      <c r="F463" s="606"/>
      <c r="G463" s="616"/>
      <c r="H463" s="93"/>
      <c r="I463" s="41"/>
      <c r="J463" s="750"/>
    </row>
    <row r="464" spans="1:10" x14ac:dyDescent="0.35">
      <c r="A464" s="92"/>
      <c r="F464" s="606"/>
      <c r="G464" s="616"/>
      <c r="H464" s="93"/>
      <c r="I464" s="41"/>
      <c r="J464" s="750"/>
    </row>
    <row r="465" spans="1:10" x14ac:dyDescent="0.35">
      <c r="A465" s="92"/>
      <c r="F465" s="606"/>
      <c r="G465" s="616"/>
      <c r="H465" s="93"/>
      <c r="I465" s="41"/>
      <c r="J465" s="750"/>
    </row>
    <row r="466" spans="1:10" x14ac:dyDescent="0.35">
      <c r="A466" s="92"/>
      <c r="F466" s="606"/>
      <c r="G466" s="616"/>
      <c r="H466" s="93"/>
      <c r="I466" s="41"/>
      <c r="J466" s="750"/>
    </row>
    <row r="467" spans="1:10" x14ac:dyDescent="0.35">
      <c r="A467" s="92"/>
      <c r="F467" s="606"/>
      <c r="G467" s="616"/>
      <c r="H467" s="93"/>
      <c r="I467" s="41"/>
      <c r="J467" s="750"/>
    </row>
    <row r="468" spans="1:10" x14ac:dyDescent="0.35">
      <c r="A468" s="92"/>
      <c r="F468" s="606"/>
      <c r="G468" s="616"/>
      <c r="H468" s="93"/>
      <c r="I468" s="41"/>
      <c r="J468" s="750"/>
    </row>
    <row r="469" spans="1:10" x14ac:dyDescent="0.35">
      <c r="A469" s="92"/>
      <c r="F469" s="606"/>
      <c r="G469" s="616"/>
      <c r="H469" s="93"/>
      <c r="I469" s="41"/>
      <c r="J469" s="750"/>
    </row>
    <row r="470" spans="1:10" x14ac:dyDescent="0.35">
      <c r="A470" s="92"/>
      <c r="F470" s="606"/>
      <c r="G470" s="616"/>
      <c r="H470" s="93"/>
      <c r="I470" s="41"/>
      <c r="J470" s="750"/>
    </row>
    <row r="471" spans="1:10" x14ac:dyDescent="0.35">
      <c r="A471" s="92"/>
      <c r="F471" s="606"/>
      <c r="G471" s="616"/>
      <c r="H471" s="93"/>
      <c r="I471" s="41"/>
      <c r="J471" s="750"/>
    </row>
    <row r="472" spans="1:10" x14ac:dyDescent="0.35">
      <c r="A472" s="92"/>
      <c r="F472" s="606"/>
      <c r="G472" s="616"/>
      <c r="H472" s="93"/>
      <c r="I472" s="41"/>
      <c r="J472" s="750"/>
    </row>
    <row r="473" spans="1:10" x14ac:dyDescent="0.35">
      <c r="A473" s="92"/>
      <c r="F473" s="606"/>
      <c r="G473" s="616"/>
      <c r="H473" s="93"/>
      <c r="I473" s="41"/>
      <c r="J473" s="750"/>
    </row>
    <row r="474" spans="1:10" x14ac:dyDescent="0.35">
      <c r="A474" s="92"/>
      <c r="F474" s="606"/>
      <c r="G474" s="616"/>
      <c r="H474" s="93"/>
      <c r="I474" s="41"/>
      <c r="J474" s="750"/>
    </row>
    <row r="475" spans="1:10" x14ac:dyDescent="0.35">
      <c r="A475" s="92"/>
      <c r="F475" s="606"/>
      <c r="G475" s="616"/>
      <c r="H475" s="93"/>
      <c r="I475" s="41"/>
      <c r="J475" s="750"/>
    </row>
    <row r="476" spans="1:10" x14ac:dyDescent="0.35">
      <c r="A476" s="92"/>
      <c r="F476" s="606"/>
      <c r="G476" s="616"/>
      <c r="H476" s="93"/>
      <c r="I476" s="41"/>
      <c r="J476" s="750"/>
    </row>
    <row r="477" spans="1:10" x14ac:dyDescent="0.35">
      <c r="A477" s="92"/>
      <c r="F477" s="606"/>
      <c r="G477" s="616"/>
      <c r="H477" s="93"/>
      <c r="I477" s="41"/>
      <c r="J477" s="750"/>
    </row>
    <row r="478" spans="1:10" x14ac:dyDescent="0.35">
      <c r="A478" s="92"/>
      <c r="F478" s="606"/>
      <c r="G478" s="616"/>
      <c r="H478" s="93"/>
      <c r="I478" s="41"/>
      <c r="J478" s="750"/>
    </row>
    <row r="479" spans="1:10" x14ac:dyDescent="0.35">
      <c r="A479" s="92"/>
      <c r="F479" s="606"/>
      <c r="G479" s="616"/>
      <c r="H479" s="93"/>
      <c r="I479" s="41"/>
      <c r="J479" s="750"/>
    </row>
    <row r="480" spans="1:10" x14ac:dyDescent="0.35">
      <c r="A480" s="92"/>
      <c r="F480" s="606"/>
      <c r="G480" s="616"/>
      <c r="H480" s="93"/>
      <c r="I480" s="41"/>
      <c r="J480" s="750"/>
    </row>
    <row r="481" spans="1:10" x14ac:dyDescent="0.35">
      <c r="A481" s="92"/>
      <c r="F481" s="606"/>
      <c r="G481" s="616"/>
      <c r="H481" s="93"/>
      <c r="I481" s="41"/>
      <c r="J481" s="750"/>
    </row>
    <row r="482" spans="1:10" x14ac:dyDescent="0.35">
      <c r="A482" s="92"/>
      <c r="F482" s="606"/>
      <c r="G482" s="616"/>
      <c r="H482" s="93"/>
      <c r="I482" s="41"/>
      <c r="J482" s="750"/>
    </row>
    <row r="483" spans="1:10" x14ac:dyDescent="0.35">
      <c r="A483" s="92"/>
      <c r="F483" s="606"/>
      <c r="G483" s="616"/>
      <c r="H483" s="93"/>
      <c r="I483" s="41"/>
      <c r="J483" s="750"/>
    </row>
    <row r="484" spans="1:10" x14ac:dyDescent="0.35">
      <c r="A484" s="92"/>
      <c r="F484" s="606"/>
      <c r="G484" s="616"/>
      <c r="H484" s="93"/>
      <c r="I484" s="41"/>
      <c r="J484" s="750"/>
    </row>
    <row r="485" spans="1:10" x14ac:dyDescent="0.35">
      <c r="A485" s="92"/>
      <c r="F485" s="606"/>
      <c r="G485" s="616"/>
      <c r="H485" s="93"/>
      <c r="I485" s="41"/>
      <c r="J485" s="750"/>
    </row>
    <row r="486" spans="1:10" x14ac:dyDescent="0.35">
      <c r="A486" s="92"/>
      <c r="F486" s="606"/>
      <c r="G486" s="616"/>
      <c r="H486" s="93"/>
      <c r="I486" s="41"/>
      <c r="J486" s="750"/>
    </row>
    <row r="487" spans="1:10" x14ac:dyDescent="0.35">
      <c r="A487" s="92"/>
      <c r="F487" s="606"/>
      <c r="G487" s="616"/>
      <c r="H487" s="93"/>
      <c r="I487" s="41"/>
      <c r="J487" s="750"/>
    </row>
    <row r="488" spans="1:10" x14ac:dyDescent="0.35">
      <c r="A488" s="92"/>
      <c r="F488" s="606"/>
      <c r="G488" s="616"/>
      <c r="H488" s="93"/>
      <c r="I488" s="41"/>
      <c r="J488" s="750"/>
    </row>
    <row r="489" spans="1:10" x14ac:dyDescent="0.35">
      <c r="A489" s="92"/>
      <c r="F489" s="606"/>
      <c r="G489" s="616"/>
      <c r="H489" s="93"/>
      <c r="I489" s="41"/>
      <c r="J489" s="750"/>
    </row>
    <row r="490" spans="1:10" x14ac:dyDescent="0.35">
      <c r="A490" s="92"/>
      <c r="F490" s="606"/>
      <c r="G490" s="616"/>
      <c r="H490" s="93"/>
      <c r="I490" s="41"/>
      <c r="J490" s="750"/>
    </row>
    <row r="491" spans="1:10" x14ac:dyDescent="0.35">
      <c r="A491" s="92"/>
      <c r="F491" s="606"/>
      <c r="G491" s="616"/>
      <c r="H491" s="93"/>
      <c r="I491" s="41"/>
      <c r="J491" s="750"/>
    </row>
    <row r="492" spans="1:10" x14ac:dyDescent="0.35">
      <c r="A492" s="92"/>
      <c r="F492" s="606"/>
      <c r="G492" s="616"/>
      <c r="H492" s="93"/>
      <c r="I492" s="41"/>
      <c r="J492" s="750"/>
    </row>
    <row r="493" spans="1:10" x14ac:dyDescent="0.35">
      <c r="A493" s="92"/>
      <c r="F493" s="606"/>
      <c r="G493" s="616"/>
      <c r="H493" s="93"/>
      <c r="I493" s="41"/>
      <c r="J493" s="750"/>
    </row>
    <row r="494" spans="1:10" x14ac:dyDescent="0.35">
      <c r="A494" s="92"/>
      <c r="F494" s="606"/>
      <c r="G494" s="616"/>
      <c r="H494" s="93"/>
      <c r="I494" s="41"/>
      <c r="J494" s="750"/>
    </row>
    <row r="495" spans="1:10" x14ac:dyDescent="0.35">
      <c r="A495" s="92"/>
      <c r="F495" s="606"/>
      <c r="G495" s="616"/>
      <c r="H495" s="93"/>
      <c r="I495" s="41"/>
      <c r="J495" s="750"/>
    </row>
    <row r="496" spans="1:10" x14ac:dyDescent="0.35">
      <c r="A496" s="92"/>
      <c r="F496" s="606"/>
      <c r="G496" s="616"/>
      <c r="H496" s="93"/>
      <c r="I496" s="41"/>
      <c r="J496" s="750"/>
    </row>
    <row r="497" spans="1:10" x14ac:dyDescent="0.35">
      <c r="A497" s="92"/>
      <c r="F497" s="606"/>
      <c r="G497" s="616"/>
      <c r="H497" s="93"/>
      <c r="I497" s="41"/>
      <c r="J497" s="750"/>
    </row>
    <row r="498" spans="1:10" x14ac:dyDescent="0.35">
      <c r="A498" s="92"/>
      <c r="F498" s="606"/>
      <c r="G498" s="616"/>
      <c r="H498" s="93"/>
      <c r="I498" s="41"/>
      <c r="J498" s="750"/>
    </row>
    <row r="499" spans="1:10" x14ac:dyDescent="0.35">
      <c r="A499" s="92"/>
      <c r="F499" s="606"/>
      <c r="G499" s="616"/>
      <c r="H499" s="93"/>
      <c r="I499" s="41"/>
      <c r="J499" s="750"/>
    </row>
    <row r="500" spans="1:10" x14ac:dyDescent="0.35">
      <c r="A500" s="92"/>
      <c r="F500" s="606"/>
      <c r="G500" s="616"/>
      <c r="H500" s="93"/>
      <c r="I500" s="41"/>
      <c r="J500" s="750"/>
    </row>
    <row r="501" spans="1:10" x14ac:dyDescent="0.35">
      <c r="A501" s="92"/>
      <c r="F501" s="606"/>
      <c r="G501" s="616"/>
      <c r="H501" s="93"/>
      <c r="I501" s="41"/>
      <c r="J501" s="750"/>
    </row>
    <row r="502" spans="1:10" x14ac:dyDescent="0.35">
      <c r="A502" s="92"/>
      <c r="F502" s="606"/>
      <c r="G502" s="616"/>
      <c r="H502" s="93"/>
      <c r="I502" s="41"/>
      <c r="J502" s="750"/>
    </row>
    <row r="503" spans="1:10" x14ac:dyDescent="0.35">
      <c r="A503" s="92"/>
      <c r="F503" s="606"/>
      <c r="G503" s="616"/>
      <c r="H503" s="93"/>
      <c r="I503" s="41"/>
      <c r="J503" s="750"/>
    </row>
    <row r="504" spans="1:10" x14ac:dyDescent="0.35">
      <c r="A504" s="92"/>
      <c r="F504" s="606"/>
      <c r="G504" s="616"/>
      <c r="H504" s="93"/>
      <c r="I504" s="41"/>
      <c r="J504" s="750"/>
    </row>
    <row r="505" spans="1:10" x14ac:dyDescent="0.35">
      <c r="A505" s="92"/>
      <c r="F505" s="606"/>
      <c r="G505" s="616"/>
      <c r="H505" s="93"/>
      <c r="I505" s="41"/>
      <c r="J505" s="750"/>
    </row>
    <row r="506" spans="1:10" x14ac:dyDescent="0.35">
      <c r="A506" s="92"/>
      <c r="F506" s="606"/>
      <c r="G506" s="616"/>
      <c r="H506" s="93"/>
      <c r="I506" s="41"/>
      <c r="J506" s="750"/>
    </row>
    <row r="507" spans="1:10" x14ac:dyDescent="0.35">
      <c r="A507" s="92"/>
      <c r="F507" s="606"/>
      <c r="G507" s="616"/>
      <c r="H507" s="93"/>
      <c r="I507" s="41"/>
      <c r="J507" s="750"/>
    </row>
    <row r="508" spans="1:10" x14ac:dyDescent="0.35">
      <c r="A508" s="92"/>
      <c r="F508" s="606"/>
      <c r="G508" s="616"/>
      <c r="H508" s="93"/>
      <c r="I508" s="41"/>
      <c r="J508" s="750"/>
    </row>
    <row r="509" spans="1:10" x14ac:dyDescent="0.35">
      <c r="A509" s="92"/>
      <c r="F509" s="606"/>
      <c r="G509" s="616"/>
      <c r="H509" s="93"/>
      <c r="I509" s="41"/>
      <c r="J509" s="750"/>
    </row>
    <row r="510" spans="1:10" x14ac:dyDescent="0.35">
      <c r="A510" s="92"/>
      <c r="F510" s="606"/>
      <c r="G510" s="616"/>
      <c r="H510" s="93"/>
      <c r="I510" s="41"/>
      <c r="J510" s="750"/>
    </row>
    <row r="511" spans="1:10" x14ac:dyDescent="0.35">
      <c r="A511" s="92"/>
      <c r="F511" s="606"/>
      <c r="G511" s="616"/>
      <c r="H511" s="93"/>
      <c r="I511" s="41"/>
      <c r="J511" s="750"/>
    </row>
    <row r="512" spans="1:10" x14ac:dyDescent="0.35">
      <c r="A512" s="92"/>
      <c r="F512" s="606"/>
      <c r="G512" s="616"/>
      <c r="H512" s="93"/>
      <c r="I512" s="41"/>
      <c r="J512" s="750"/>
    </row>
    <row r="513" spans="1:10" x14ac:dyDescent="0.35">
      <c r="A513" s="92"/>
      <c r="F513" s="606"/>
      <c r="G513" s="616"/>
      <c r="H513" s="93"/>
      <c r="I513" s="41"/>
      <c r="J513" s="750"/>
    </row>
    <row r="514" spans="1:10" x14ac:dyDescent="0.35">
      <c r="A514" s="92"/>
      <c r="F514" s="606"/>
      <c r="G514" s="616"/>
      <c r="H514" s="93"/>
      <c r="I514" s="41"/>
      <c r="J514" s="750"/>
    </row>
    <row r="515" spans="1:10" x14ac:dyDescent="0.35">
      <c r="A515" s="92"/>
      <c r="F515" s="606"/>
      <c r="G515" s="616"/>
      <c r="H515" s="93"/>
      <c r="I515" s="41"/>
      <c r="J515" s="750"/>
    </row>
    <row r="516" spans="1:10" x14ac:dyDescent="0.35">
      <c r="A516" s="92"/>
      <c r="F516" s="606"/>
      <c r="G516" s="616"/>
      <c r="H516" s="93"/>
      <c r="I516" s="41"/>
      <c r="J516" s="750"/>
    </row>
    <row r="517" spans="1:10" x14ac:dyDescent="0.35">
      <c r="A517" s="92"/>
      <c r="F517" s="606"/>
      <c r="G517" s="616"/>
      <c r="H517" s="93"/>
      <c r="I517" s="41"/>
      <c r="J517" s="750"/>
    </row>
    <row r="518" spans="1:10" x14ac:dyDescent="0.35">
      <c r="A518" s="92"/>
      <c r="F518" s="606"/>
      <c r="G518" s="616"/>
      <c r="H518" s="93"/>
      <c r="I518" s="41"/>
      <c r="J518" s="750"/>
    </row>
    <row r="519" spans="1:10" x14ac:dyDescent="0.35">
      <c r="A519" s="92"/>
      <c r="F519" s="606"/>
      <c r="G519" s="616"/>
      <c r="H519" s="93"/>
      <c r="I519" s="41"/>
      <c r="J519" s="750"/>
    </row>
    <row r="520" spans="1:10" x14ac:dyDescent="0.35">
      <c r="A520" s="92"/>
      <c r="F520" s="606"/>
      <c r="G520" s="616"/>
      <c r="H520" s="93"/>
      <c r="I520" s="41"/>
      <c r="J520" s="750"/>
    </row>
    <row r="521" spans="1:10" x14ac:dyDescent="0.35">
      <c r="A521" s="92"/>
      <c r="F521" s="606"/>
      <c r="G521" s="616"/>
      <c r="H521" s="93"/>
      <c r="I521" s="41"/>
      <c r="J521" s="750"/>
    </row>
    <row r="522" spans="1:10" x14ac:dyDescent="0.35">
      <c r="A522" s="92"/>
      <c r="F522" s="606"/>
      <c r="G522" s="616"/>
      <c r="H522" s="93"/>
      <c r="I522" s="41"/>
      <c r="J522" s="750"/>
    </row>
    <row r="523" spans="1:10" x14ac:dyDescent="0.35">
      <c r="A523" s="92"/>
      <c r="F523" s="606"/>
      <c r="G523" s="616"/>
      <c r="H523" s="93"/>
      <c r="I523" s="41"/>
      <c r="J523" s="750"/>
    </row>
    <row r="524" spans="1:10" x14ac:dyDescent="0.35">
      <c r="A524" s="92"/>
      <c r="F524" s="606"/>
      <c r="G524" s="616"/>
      <c r="H524" s="93"/>
      <c r="I524" s="41"/>
      <c r="J524" s="750"/>
    </row>
    <row r="525" spans="1:10" x14ac:dyDescent="0.35">
      <c r="A525" s="92"/>
      <c r="F525" s="606"/>
      <c r="G525" s="616"/>
      <c r="H525" s="93"/>
      <c r="I525" s="41"/>
      <c r="J525" s="750"/>
    </row>
    <row r="526" spans="1:10" x14ac:dyDescent="0.35">
      <c r="A526" s="92"/>
      <c r="F526" s="606"/>
      <c r="G526" s="616"/>
      <c r="H526" s="93"/>
      <c r="I526" s="41"/>
      <c r="J526" s="750"/>
    </row>
    <row r="527" spans="1:10" x14ac:dyDescent="0.35">
      <c r="A527" s="92"/>
      <c r="F527" s="606"/>
      <c r="G527" s="616"/>
      <c r="H527" s="93"/>
      <c r="I527" s="41"/>
      <c r="J527" s="750"/>
    </row>
    <row r="528" spans="1:10" x14ac:dyDescent="0.35">
      <c r="A528" s="92"/>
      <c r="F528" s="606"/>
      <c r="G528" s="616"/>
      <c r="H528" s="93"/>
      <c r="I528" s="41"/>
      <c r="J528" s="750"/>
    </row>
    <row r="529" spans="1:10" x14ac:dyDescent="0.35">
      <c r="A529" s="92"/>
      <c r="F529" s="606"/>
      <c r="G529" s="616"/>
      <c r="H529" s="93"/>
      <c r="I529" s="41"/>
      <c r="J529" s="750"/>
    </row>
    <row r="530" spans="1:10" x14ac:dyDescent="0.35">
      <c r="A530" s="92"/>
      <c r="F530" s="606"/>
      <c r="G530" s="616"/>
      <c r="H530" s="93"/>
      <c r="I530" s="41"/>
      <c r="J530" s="750"/>
    </row>
    <row r="531" spans="1:10" x14ac:dyDescent="0.35">
      <c r="A531" s="92"/>
      <c r="F531" s="606"/>
      <c r="G531" s="616"/>
      <c r="H531" s="93"/>
      <c r="I531" s="41"/>
      <c r="J531" s="750"/>
    </row>
    <row r="532" spans="1:10" x14ac:dyDescent="0.35">
      <c r="A532" s="92"/>
      <c r="F532" s="606"/>
      <c r="G532" s="616"/>
      <c r="H532" s="93"/>
      <c r="I532" s="41"/>
      <c r="J532" s="750"/>
    </row>
    <row r="533" spans="1:10" x14ac:dyDescent="0.35">
      <c r="A533" s="92"/>
      <c r="F533" s="606"/>
      <c r="G533" s="616"/>
      <c r="H533" s="93"/>
      <c r="I533" s="41"/>
      <c r="J533" s="750"/>
    </row>
    <row r="534" spans="1:10" x14ac:dyDescent="0.35">
      <c r="A534" s="92"/>
      <c r="F534" s="606"/>
      <c r="G534" s="616"/>
      <c r="H534" s="93"/>
      <c r="I534" s="41"/>
      <c r="J534" s="750"/>
    </row>
    <row r="535" spans="1:10" x14ac:dyDescent="0.35">
      <c r="A535" s="92"/>
      <c r="F535" s="606"/>
      <c r="G535" s="616"/>
      <c r="H535" s="93"/>
      <c r="I535" s="41"/>
      <c r="J535" s="750"/>
    </row>
    <row r="536" spans="1:10" x14ac:dyDescent="0.35">
      <c r="A536" s="92"/>
      <c r="F536" s="606"/>
      <c r="G536" s="616"/>
      <c r="H536" s="93"/>
      <c r="I536" s="41"/>
      <c r="J536" s="750"/>
    </row>
    <row r="537" spans="1:10" x14ac:dyDescent="0.35">
      <c r="A537" s="92"/>
      <c r="F537" s="606"/>
      <c r="G537" s="616"/>
      <c r="H537" s="93"/>
      <c r="I537" s="41"/>
      <c r="J537" s="750"/>
    </row>
    <row r="538" spans="1:10" x14ac:dyDescent="0.35">
      <c r="A538" s="92"/>
      <c r="F538" s="606"/>
      <c r="G538" s="616"/>
      <c r="H538" s="93"/>
      <c r="I538" s="41"/>
      <c r="J538" s="750"/>
    </row>
    <row r="539" spans="1:10" x14ac:dyDescent="0.35">
      <c r="A539" s="92"/>
      <c r="F539" s="606"/>
      <c r="G539" s="616"/>
      <c r="H539" s="93"/>
      <c r="I539" s="41"/>
      <c r="J539" s="750"/>
    </row>
    <row r="540" spans="1:10" x14ac:dyDescent="0.35">
      <c r="A540" s="92"/>
      <c r="F540" s="606"/>
      <c r="G540" s="616"/>
      <c r="H540" s="93"/>
      <c r="I540" s="41"/>
      <c r="J540" s="750"/>
    </row>
    <row r="541" spans="1:10" x14ac:dyDescent="0.35">
      <c r="A541" s="92"/>
      <c r="F541" s="606"/>
      <c r="G541" s="616"/>
      <c r="H541" s="93"/>
      <c r="I541" s="41"/>
      <c r="J541" s="750"/>
    </row>
    <row r="542" spans="1:10" x14ac:dyDescent="0.35">
      <c r="A542" s="92"/>
      <c r="F542" s="606"/>
      <c r="G542" s="616"/>
      <c r="H542" s="93"/>
      <c r="I542" s="41"/>
      <c r="J542" s="750"/>
    </row>
    <row r="543" spans="1:10" x14ac:dyDescent="0.35">
      <c r="A543" s="92"/>
      <c r="F543" s="606"/>
      <c r="G543" s="616"/>
      <c r="H543" s="93"/>
      <c r="I543" s="41"/>
      <c r="J543" s="750"/>
    </row>
    <row r="544" spans="1:10" x14ac:dyDescent="0.35">
      <c r="A544" s="92"/>
      <c r="F544" s="606"/>
      <c r="G544" s="616"/>
      <c r="H544" s="93"/>
      <c r="I544" s="41"/>
      <c r="J544" s="750"/>
    </row>
    <row r="545" spans="1:10" x14ac:dyDescent="0.35">
      <c r="A545" s="92"/>
      <c r="F545" s="606"/>
      <c r="G545" s="616"/>
      <c r="H545" s="93"/>
      <c r="I545" s="41"/>
      <c r="J545" s="750"/>
    </row>
    <row r="546" spans="1:10" x14ac:dyDescent="0.35">
      <c r="A546" s="92"/>
      <c r="F546" s="606"/>
      <c r="G546" s="616"/>
      <c r="H546" s="93"/>
      <c r="I546" s="41"/>
      <c r="J546" s="750"/>
    </row>
    <row r="547" spans="1:10" x14ac:dyDescent="0.35">
      <c r="A547" s="92"/>
      <c r="F547" s="606"/>
      <c r="G547" s="616"/>
      <c r="H547" s="93"/>
      <c r="I547" s="41"/>
      <c r="J547" s="750"/>
    </row>
    <row r="548" spans="1:10" x14ac:dyDescent="0.35">
      <c r="A548" s="92"/>
      <c r="F548" s="606"/>
      <c r="G548" s="616"/>
      <c r="H548" s="93"/>
      <c r="I548" s="41"/>
      <c r="J548" s="750"/>
    </row>
    <row r="549" spans="1:10" x14ac:dyDescent="0.35">
      <c r="A549" s="92"/>
      <c r="F549" s="606"/>
      <c r="G549" s="616"/>
      <c r="H549" s="93"/>
      <c r="I549" s="41"/>
      <c r="J549" s="750"/>
    </row>
    <row r="550" spans="1:10" x14ac:dyDescent="0.35">
      <c r="A550" s="92"/>
      <c r="F550" s="606"/>
      <c r="G550" s="616"/>
      <c r="H550" s="93"/>
      <c r="I550" s="41"/>
      <c r="J550" s="750"/>
    </row>
    <row r="551" spans="1:10" x14ac:dyDescent="0.35">
      <c r="A551" s="92"/>
      <c r="F551" s="606"/>
      <c r="G551" s="616"/>
      <c r="H551" s="93"/>
      <c r="I551" s="41"/>
      <c r="J551" s="750"/>
    </row>
    <row r="552" spans="1:10" x14ac:dyDescent="0.35">
      <c r="A552" s="92"/>
      <c r="F552" s="606"/>
      <c r="G552" s="616"/>
      <c r="H552" s="93"/>
      <c r="I552" s="41"/>
      <c r="J552" s="750"/>
    </row>
    <row r="553" spans="1:10" x14ac:dyDescent="0.35">
      <c r="A553" s="92"/>
      <c r="F553" s="606"/>
      <c r="G553" s="616"/>
      <c r="H553" s="93"/>
      <c r="I553" s="41"/>
      <c r="J553" s="750"/>
    </row>
    <row r="554" spans="1:10" x14ac:dyDescent="0.35">
      <c r="A554" s="92"/>
      <c r="F554" s="606"/>
      <c r="G554" s="616"/>
      <c r="H554" s="93"/>
      <c r="I554" s="41"/>
      <c r="J554" s="750"/>
    </row>
    <row r="555" spans="1:10" x14ac:dyDescent="0.35">
      <c r="A555" s="92"/>
      <c r="F555" s="606"/>
      <c r="G555" s="616"/>
      <c r="H555" s="93"/>
      <c r="I555" s="41"/>
      <c r="J555" s="750"/>
    </row>
    <row r="556" spans="1:10" x14ac:dyDescent="0.35">
      <c r="A556" s="92"/>
      <c r="F556" s="606"/>
      <c r="G556" s="616"/>
      <c r="H556" s="93"/>
      <c r="I556" s="41"/>
      <c r="J556" s="750"/>
    </row>
    <row r="557" spans="1:10" x14ac:dyDescent="0.35">
      <c r="A557" s="92"/>
      <c r="F557" s="606"/>
      <c r="G557" s="616"/>
      <c r="H557" s="93"/>
      <c r="I557" s="41"/>
      <c r="J557" s="750"/>
    </row>
    <row r="558" spans="1:10" x14ac:dyDescent="0.35">
      <c r="A558" s="92"/>
      <c r="F558" s="606"/>
      <c r="G558" s="616"/>
      <c r="H558" s="93"/>
      <c r="I558" s="41"/>
      <c r="J558" s="750"/>
    </row>
    <row r="559" spans="1:10" x14ac:dyDescent="0.35">
      <c r="A559" s="92"/>
      <c r="F559" s="606"/>
      <c r="G559" s="616"/>
      <c r="H559" s="93"/>
      <c r="I559" s="41"/>
      <c r="J559" s="750"/>
    </row>
    <row r="560" spans="1:10" x14ac:dyDescent="0.35">
      <c r="A560" s="92"/>
      <c r="F560" s="606"/>
      <c r="G560" s="616"/>
      <c r="H560" s="93"/>
      <c r="I560" s="41"/>
      <c r="J560" s="750"/>
    </row>
    <row r="561" spans="1:10" x14ac:dyDescent="0.35">
      <c r="A561" s="92"/>
      <c r="F561" s="606"/>
      <c r="G561" s="616"/>
      <c r="H561" s="93"/>
      <c r="I561" s="41"/>
      <c r="J561" s="750"/>
    </row>
    <row r="562" spans="1:10" x14ac:dyDescent="0.35">
      <c r="A562" s="92"/>
      <c r="F562" s="606"/>
      <c r="G562" s="616"/>
      <c r="H562" s="93"/>
      <c r="I562" s="41"/>
      <c r="J562" s="750"/>
    </row>
    <row r="563" spans="1:10" x14ac:dyDescent="0.35">
      <c r="A563" s="92"/>
      <c r="F563" s="606"/>
      <c r="G563" s="616"/>
      <c r="H563" s="93"/>
      <c r="I563" s="41"/>
      <c r="J563" s="750"/>
    </row>
    <row r="564" spans="1:10" x14ac:dyDescent="0.35">
      <c r="A564" s="92"/>
      <c r="F564" s="606"/>
      <c r="G564" s="616"/>
      <c r="H564" s="93"/>
      <c r="I564" s="41"/>
      <c r="J564" s="750"/>
    </row>
    <row r="565" spans="1:10" x14ac:dyDescent="0.35">
      <c r="A565" s="92"/>
      <c r="F565" s="606"/>
      <c r="G565" s="616"/>
      <c r="H565" s="93"/>
      <c r="I565" s="41"/>
      <c r="J565" s="750"/>
    </row>
    <row r="566" spans="1:10" x14ac:dyDescent="0.35">
      <c r="A566" s="92"/>
      <c r="F566" s="606"/>
      <c r="G566" s="616"/>
      <c r="H566" s="93"/>
      <c r="I566" s="41"/>
      <c r="J566" s="750"/>
    </row>
    <row r="567" spans="1:10" x14ac:dyDescent="0.35">
      <c r="A567" s="92"/>
      <c r="F567" s="606"/>
      <c r="G567" s="616"/>
      <c r="H567" s="93"/>
      <c r="I567" s="41"/>
      <c r="J567" s="750"/>
    </row>
    <row r="568" spans="1:10" x14ac:dyDescent="0.35">
      <c r="A568" s="92"/>
      <c r="F568" s="606"/>
      <c r="G568" s="616"/>
      <c r="H568" s="93"/>
      <c r="I568" s="41"/>
      <c r="J568" s="750"/>
    </row>
    <row r="569" spans="1:10" x14ac:dyDescent="0.35">
      <c r="A569" s="92"/>
      <c r="F569" s="606"/>
      <c r="G569" s="616"/>
      <c r="H569" s="93"/>
      <c r="I569" s="41"/>
      <c r="J569" s="750"/>
    </row>
    <row r="570" spans="1:10" x14ac:dyDescent="0.35">
      <c r="A570" s="92"/>
      <c r="F570" s="606"/>
      <c r="G570" s="616"/>
      <c r="H570" s="93"/>
      <c r="I570" s="41"/>
      <c r="J570" s="750"/>
    </row>
    <row r="571" spans="1:10" x14ac:dyDescent="0.35">
      <c r="A571" s="92"/>
      <c r="F571" s="606"/>
      <c r="G571" s="616"/>
      <c r="H571" s="93"/>
      <c r="I571" s="41"/>
      <c r="J571" s="750"/>
    </row>
    <row r="572" spans="1:10" x14ac:dyDescent="0.35">
      <c r="A572" s="92"/>
      <c r="F572" s="606"/>
      <c r="G572" s="616"/>
      <c r="H572" s="93"/>
      <c r="I572" s="41"/>
      <c r="J572" s="750"/>
    </row>
    <row r="573" spans="1:10" x14ac:dyDescent="0.35">
      <c r="A573" s="92"/>
      <c r="F573" s="606"/>
      <c r="G573" s="616"/>
      <c r="H573" s="93"/>
      <c r="I573" s="41"/>
      <c r="J573" s="750"/>
    </row>
    <row r="574" spans="1:10" x14ac:dyDescent="0.35">
      <c r="A574" s="92"/>
      <c r="F574" s="606"/>
      <c r="G574" s="616"/>
      <c r="H574" s="93"/>
      <c r="I574" s="41"/>
      <c r="J574" s="750"/>
    </row>
    <row r="575" spans="1:10" x14ac:dyDescent="0.35">
      <c r="A575" s="92"/>
      <c r="F575" s="606"/>
      <c r="G575" s="616"/>
      <c r="H575" s="93"/>
      <c r="I575" s="41"/>
      <c r="J575" s="750"/>
    </row>
    <row r="576" spans="1:10" x14ac:dyDescent="0.35">
      <c r="A576" s="92"/>
      <c r="F576" s="606"/>
      <c r="G576" s="616"/>
      <c r="H576" s="93"/>
      <c r="I576" s="41"/>
      <c r="J576" s="750"/>
    </row>
    <row r="577" spans="1:10" x14ac:dyDescent="0.35">
      <c r="A577" s="92"/>
      <c r="F577" s="606"/>
      <c r="G577" s="616"/>
      <c r="H577" s="93"/>
      <c r="I577" s="41"/>
      <c r="J577" s="750"/>
    </row>
    <row r="578" spans="1:10" x14ac:dyDescent="0.35">
      <c r="A578" s="92"/>
      <c r="F578" s="606"/>
      <c r="G578" s="616"/>
      <c r="H578" s="93"/>
      <c r="I578" s="41"/>
      <c r="J578" s="750"/>
    </row>
    <row r="579" spans="1:10" x14ac:dyDescent="0.35">
      <c r="A579" s="92"/>
      <c r="F579" s="606"/>
      <c r="G579" s="616"/>
      <c r="H579" s="93"/>
      <c r="I579" s="41"/>
      <c r="J579" s="750"/>
    </row>
    <row r="580" spans="1:10" x14ac:dyDescent="0.35">
      <c r="A580" s="92"/>
      <c r="F580" s="606"/>
      <c r="G580" s="616"/>
      <c r="H580" s="93"/>
      <c r="I580" s="41"/>
      <c r="J580" s="750"/>
    </row>
    <row r="581" spans="1:10" x14ac:dyDescent="0.35">
      <c r="A581" s="92"/>
      <c r="F581" s="606"/>
      <c r="G581" s="616"/>
      <c r="H581" s="93"/>
      <c r="I581" s="41"/>
      <c r="J581" s="750"/>
    </row>
    <row r="582" spans="1:10" x14ac:dyDescent="0.35">
      <c r="A582" s="92"/>
      <c r="F582" s="606"/>
      <c r="G582" s="616"/>
      <c r="H582" s="93"/>
      <c r="I582" s="41"/>
      <c r="J582" s="750"/>
    </row>
    <row r="583" spans="1:10" x14ac:dyDescent="0.35">
      <c r="A583" s="92"/>
      <c r="F583" s="606"/>
      <c r="G583" s="616"/>
      <c r="H583" s="93"/>
      <c r="I583" s="41"/>
      <c r="J583" s="750"/>
    </row>
    <row r="584" spans="1:10" x14ac:dyDescent="0.35">
      <c r="A584" s="92"/>
      <c r="F584" s="606"/>
      <c r="G584" s="616"/>
      <c r="H584" s="93"/>
      <c r="I584" s="41"/>
      <c r="J584" s="750"/>
    </row>
    <row r="585" spans="1:10" x14ac:dyDescent="0.35">
      <c r="A585" s="92"/>
      <c r="F585" s="606"/>
      <c r="G585" s="616"/>
      <c r="H585" s="93"/>
      <c r="I585" s="41"/>
      <c r="J585" s="750"/>
    </row>
    <row r="586" spans="1:10" x14ac:dyDescent="0.35">
      <c r="A586" s="92"/>
      <c r="F586" s="606"/>
      <c r="G586" s="616"/>
      <c r="H586" s="93"/>
      <c r="I586" s="41"/>
      <c r="J586" s="750"/>
    </row>
    <row r="587" spans="1:10" x14ac:dyDescent="0.35">
      <c r="A587" s="92"/>
      <c r="F587" s="606"/>
      <c r="G587" s="616"/>
      <c r="H587" s="93"/>
      <c r="I587" s="41"/>
      <c r="J587" s="750"/>
    </row>
    <row r="588" spans="1:10" x14ac:dyDescent="0.35">
      <c r="A588" s="92"/>
      <c r="F588" s="606"/>
      <c r="G588" s="616"/>
      <c r="H588" s="93"/>
      <c r="I588" s="41"/>
      <c r="J588" s="750"/>
    </row>
    <row r="589" spans="1:10" x14ac:dyDescent="0.35">
      <c r="A589" s="92"/>
      <c r="F589" s="606"/>
      <c r="G589" s="616"/>
      <c r="H589" s="93"/>
      <c r="I589" s="41"/>
      <c r="J589" s="750"/>
    </row>
    <row r="590" spans="1:10" x14ac:dyDescent="0.35">
      <c r="A590" s="92"/>
      <c r="F590" s="606"/>
      <c r="G590" s="616"/>
      <c r="H590" s="93"/>
      <c r="I590" s="41"/>
      <c r="J590" s="750"/>
    </row>
    <row r="591" spans="1:10" x14ac:dyDescent="0.35">
      <c r="A591" s="92"/>
      <c r="F591" s="606"/>
      <c r="G591" s="616"/>
      <c r="H591" s="93"/>
      <c r="I591" s="41"/>
      <c r="J591" s="750"/>
    </row>
    <row r="592" spans="1:10" x14ac:dyDescent="0.35">
      <c r="A592" s="92"/>
      <c r="F592" s="606"/>
      <c r="G592" s="616"/>
      <c r="H592" s="93"/>
      <c r="I592" s="41"/>
      <c r="J592" s="750"/>
    </row>
    <row r="593" spans="1:10" x14ac:dyDescent="0.35">
      <c r="A593" s="92"/>
      <c r="F593" s="606"/>
      <c r="G593" s="616"/>
      <c r="H593" s="93"/>
      <c r="I593" s="41"/>
      <c r="J593" s="750"/>
    </row>
    <row r="594" spans="1:10" x14ac:dyDescent="0.35">
      <c r="A594" s="92"/>
      <c r="F594" s="606"/>
      <c r="G594" s="616"/>
      <c r="H594" s="93"/>
      <c r="I594" s="41"/>
      <c r="J594" s="750"/>
    </row>
    <row r="595" spans="1:10" x14ac:dyDescent="0.35">
      <c r="A595" s="92"/>
      <c r="F595" s="606"/>
      <c r="G595" s="616"/>
      <c r="H595" s="93"/>
      <c r="I595" s="41"/>
      <c r="J595" s="750"/>
    </row>
    <row r="596" spans="1:10" x14ac:dyDescent="0.35">
      <c r="A596" s="92"/>
      <c r="F596" s="606"/>
      <c r="G596" s="616"/>
      <c r="H596" s="93"/>
      <c r="I596" s="41"/>
      <c r="J596" s="750"/>
    </row>
    <row r="597" spans="1:10" x14ac:dyDescent="0.35">
      <c r="A597" s="92"/>
      <c r="F597" s="606"/>
      <c r="G597" s="616"/>
      <c r="H597" s="93"/>
      <c r="I597" s="41"/>
      <c r="J597" s="750"/>
    </row>
    <row r="598" spans="1:10" x14ac:dyDescent="0.35">
      <c r="A598" s="92"/>
      <c r="F598" s="606"/>
      <c r="G598" s="616"/>
      <c r="H598" s="93"/>
      <c r="I598" s="41"/>
      <c r="J598" s="750"/>
    </row>
    <row r="599" spans="1:10" x14ac:dyDescent="0.35">
      <c r="A599" s="92"/>
      <c r="F599" s="606"/>
      <c r="G599" s="616"/>
      <c r="H599" s="93"/>
      <c r="I599" s="41"/>
      <c r="J599" s="750"/>
    </row>
    <row r="600" spans="1:10" x14ac:dyDescent="0.35">
      <c r="A600" s="92"/>
      <c r="F600" s="606"/>
      <c r="G600" s="616"/>
      <c r="H600" s="93"/>
      <c r="I600" s="41"/>
      <c r="J600" s="750"/>
    </row>
    <row r="601" spans="1:10" x14ac:dyDescent="0.35">
      <c r="A601" s="92"/>
      <c r="F601" s="606"/>
      <c r="G601" s="616"/>
      <c r="H601" s="93"/>
      <c r="I601" s="41"/>
      <c r="J601" s="750"/>
    </row>
    <row r="602" spans="1:10" x14ac:dyDescent="0.35">
      <c r="A602" s="92"/>
      <c r="F602" s="606"/>
      <c r="G602" s="616"/>
      <c r="H602" s="93"/>
      <c r="I602" s="41"/>
      <c r="J602" s="750"/>
    </row>
    <row r="603" spans="1:10" x14ac:dyDescent="0.35">
      <c r="A603" s="92"/>
      <c r="F603" s="606"/>
      <c r="G603" s="616"/>
      <c r="H603" s="93"/>
      <c r="I603" s="41"/>
      <c r="J603" s="750"/>
    </row>
    <row r="604" spans="1:10" x14ac:dyDescent="0.35">
      <c r="A604" s="92"/>
      <c r="F604" s="606"/>
      <c r="G604" s="616"/>
      <c r="H604" s="93"/>
      <c r="I604" s="41"/>
      <c r="J604" s="750"/>
    </row>
    <row r="605" spans="1:10" x14ac:dyDescent="0.35">
      <c r="A605" s="92"/>
      <c r="F605" s="606"/>
      <c r="G605" s="616"/>
      <c r="H605" s="93"/>
      <c r="I605" s="41"/>
      <c r="J605" s="750"/>
    </row>
    <row r="606" spans="1:10" x14ac:dyDescent="0.35">
      <c r="A606" s="92"/>
      <c r="F606" s="606"/>
      <c r="G606" s="616"/>
      <c r="H606" s="93"/>
      <c r="I606" s="41"/>
      <c r="J606" s="750"/>
    </row>
    <row r="607" spans="1:10" x14ac:dyDescent="0.35">
      <c r="A607" s="92"/>
      <c r="F607" s="606"/>
      <c r="G607" s="616"/>
      <c r="H607" s="93"/>
      <c r="I607" s="41"/>
      <c r="J607" s="750"/>
    </row>
    <row r="608" spans="1:10" x14ac:dyDescent="0.35">
      <c r="A608" s="92"/>
      <c r="F608" s="606"/>
      <c r="G608" s="616"/>
      <c r="H608" s="93"/>
      <c r="I608" s="41"/>
      <c r="J608" s="750"/>
    </row>
    <row r="609" spans="1:10" x14ac:dyDescent="0.35">
      <c r="A609" s="92"/>
      <c r="F609" s="606"/>
      <c r="G609" s="616"/>
      <c r="H609" s="93"/>
      <c r="I609" s="41"/>
      <c r="J609" s="750"/>
    </row>
    <row r="610" spans="1:10" x14ac:dyDescent="0.35">
      <c r="A610" s="92"/>
      <c r="F610" s="606"/>
      <c r="G610" s="616"/>
      <c r="H610" s="93"/>
      <c r="I610" s="41"/>
      <c r="J610" s="750"/>
    </row>
    <row r="611" spans="1:10" x14ac:dyDescent="0.35">
      <c r="A611" s="92"/>
      <c r="F611" s="606"/>
      <c r="G611" s="616"/>
      <c r="H611" s="93"/>
      <c r="I611" s="41"/>
      <c r="J611" s="750"/>
    </row>
    <row r="612" spans="1:10" x14ac:dyDescent="0.35">
      <c r="A612" s="92"/>
      <c r="F612" s="606"/>
      <c r="G612" s="616"/>
      <c r="H612" s="93"/>
      <c r="I612" s="41"/>
      <c r="J612" s="750"/>
    </row>
    <row r="613" spans="1:10" x14ac:dyDescent="0.35">
      <c r="A613" s="92"/>
      <c r="F613" s="606"/>
      <c r="G613" s="616"/>
      <c r="H613" s="93"/>
      <c r="I613" s="41"/>
      <c r="J613" s="750"/>
    </row>
    <row r="614" spans="1:10" x14ac:dyDescent="0.35">
      <c r="A614" s="92"/>
      <c r="F614" s="606"/>
      <c r="G614" s="616"/>
      <c r="H614" s="93"/>
      <c r="I614" s="41"/>
      <c r="J614" s="750"/>
    </row>
    <row r="615" spans="1:10" x14ac:dyDescent="0.35">
      <c r="A615" s="92"/>
      <c r="F615" s="606"/>
      <c r="G615" s="616"/>
      <c r="H615" s="93"/>
      <c r="I615" s="41"/>
      <c r="J615" s="750"/>
    </row>
    <row r="616" spans="1:10" x14ac:dyDescent="0.35">
      <c r="A616" s="92"/>
      <c r="F616" s="606"/>
      <c r="G616" s="616"/>
      <c r="H616" s="93"/>
      <c r="I616" s="41"/>
      <c r="J616" s="750"/>
    </row>
    <row r="617" spans="1:10" x14ac:dyDescent="0.35">
      <c r="A617" s="92"/>
      <c r="F617" s="606"/>
      <c r="G617" s="616"/>
      <c r="H617" s="93"/>
      <c r="I617" s="41"/>
      <c r="J617" s="750"/>
    </row>
    <row r="618" spans="1:10" x14ac:dyDescent="0.35">
      <c r="A618" s="92"/>
      <c r="F618" s="606"/>
      <c r="G618" s="616"/>
      <c r="H618" s="93"/>
      <c r="I618" s="41"/>
      <c r="J618" s="750"/>
    </row>
    <row r="619" spans="1:10" x14ac:dyDescent="0.35">
      <c r="A619" s="92"/>
      <c r="F619" s="606"/>
      <c r="G619" s="616"/>
      <c r="H619" s="93"/>
      <c r="I619" s="41"/>
      <c r="J619" s="750"/>
    </row>
    <row r="620" spans="1:10" x14ac:dyDescent="0.35">
      <c r="A620" s="92"/>
      <c r="F620" s="606"/>
      <c r="G620" s="616"/>
      <c r="H620" s="93"/>
      <c r="I620" s="41"/>
      <c r="J620" s="750"/>
    </row>
    <row r="621" spans="1:10" x14ac:dyDescent="0.35">
      <c r="A621" s="92"/>
      <c r="F621" s="606"/>
      <c r="G621" s="616"/>
      <c r="H621" s="93"/>
      <c r="I621" s="41"/>
      <c r="J621" s="750"/>
    </row>
    <row r="622" spans="1:10" x14ac:dyDescent="0.35">
      <c r="A622" s="92"/>
      <c r="F622" s="606"/>
      <c r="G622" s="616"/>
      <c r="H622" s="93"/>
      <c r="I622" s="41"/>
      <c r="J622" s="750"/>
    </row>
    <row r="623" spans="1:10" x14ac:dyDescent="0.35">
      <c r="A623" s="92"/>
      <c r="F623" s="606"/>
      <c r="G623" s="616"/>
      <c r="H623" s="93"/>
      <c r="I623" s="41"/>
      <c r="J623" s="750"/>
    </row>
    <row r="624" spans="1:10" x14ac:dyDescent="0.35">
      <c r="A624" s="92"/>
      <c r="F624" s="606"/>
      <c r="G624" s="616"/>
      <c r="H624" s="93"/>
      <c r="I624" s="41"/>
      <c r="J624" s="750"/>
    </row>
    <row r="625" spans="1:10" x14ac:dyDescent="0.35">
      <c r="A625" s="92"/>
      <c r="F625" s="606"/>
      <c r="G625" s="616"/>
      <c r="H625" s="93"/>
      <c r="I625" s="41"/>
      <c r="J625" s="750"/>
    </row>
    <row r="626" spans="1:10" x14ac:dyDescent="0.35">
      <c r="A626" s="92"/>
      <c r="F626" s="606"/>
      <c r="G626" s="616"/>
      <c r="H626" s="93"/>
      <c r="I626" s="41"/>
      <c r="J626" s="750"/>
    </row>
    <row r="627" spans="1:10" x14ac:dyDescent="0.35">
      <c r="A627" s="92"/>
      <c r="F627" s="606"/>
      <c r="G627" s="616"/>
      <c r="H627" s="93"/>
      <c r="I627" s="41"/>
      <c r="J627" s="750"/>
    </row>
    <row r="628" spans="1:10" x14ac:dyDescent="0.35">
      <c r="A628" s="92"/>
      <c r="F628" s="606"/>
      <c r="G628" s="616"/>
      <c r="H628" s="93"/>
      <c r="I628" s="41"/>
      <c r="J628" s="750"/>
    </row>
    <row r="629" spans="1:10" x14ac:dyDescent="0.35">
      <c r="A629" s="92"/>
      <c r="F629" s="606"/>
      <c r="G629" s="616"/>
      <c r="H629" s="93"/>
      <c r="I629" s="41"/>
      <c r="J629" s="750"/>
    </row>
    <row r="630" spans="1:10" x14ac:dyDescent="0.35">
      <c r="A630" s="92"/>
      <c r="F630" s="606"/>
      <c r="G630" s="616"/>
      <c r="H630" s="93"/>
      <c r="I630" s="41"/>
      <c r="J630" s="750"/>
    </row>
    <row r="631" spans="1:10" x14ac:dyDescent="0.35">
      <c r="A631" s="92"/>
      <c r="F631" s="606"/>
      <c r="G631" s="616"/>
      <c r="H631" s="93"/>
      <c r="I631" s="41"/>
      <c r="J631" s="750"/>
    </row>
    <row r="632" spans="1:10" x14ac:dyDescent="0.35">
      <c r="A632" s="92"/>
      <c r="F632" s="606"/>
      <c r="G632" s="616"/>
      <c r="H632" s="93"/>
      <c r="I632" s="41"/>
      <c r="J632" s="750"/>
    </row>
    <row r="633" spans="1:10" x14ac:dyDescent="0.35">
      <c r="A633" s="92"/>
      <c r="F633" s="606"/>
      <c r="G633" s="616"/>
      <c r="H633" s="93"/>
      <c r="I633" s="41"/>
      <c r="J633" s="750"/>
    </row>
    <row r="634" spans="1:10" x14ac:dyDescent="0.35">
      <c r="A634" s="92"/>
      <c r="F634" s="606"/>
      <c r="G634" s="616"/>
      <c r="H634" s="93"/>
      <c r="I634" s="41"/>
      <c r="J634" s="750"/>
    </row>
    <row r="635" spans="1:10" x14ac:dyDescent="0.35">
      <c r="A635" s="92"/>
      <c r="F635" s="606"/>
      <c r="G635" s="616"/>
      <c r="H635" s="93"/>
      <c r="I635" s="41"/>
      <c r="J635" s="750"/>
    </row>
    <row r="636" spans="1:10" x14ac:dyDescent="0.35">
      <c r="A636" s="92"/>
      <c r="F636" s="606"/>
      <c r="G636" s="616"/>
      <c r="H636" s="93"/>
      <c r="I636" s="41"/>
      <c r="J636" s="750"/>
    </row>
    <row r="637" spans="1:10" x14ac:dyDescent="0.35">
      <c r="A637" s="92"/>
      <c r="F637" s="606"/>
      <c r="G637" s="616"/>
      <c r="H637" s="93"/>
      <c r="I637" s="41"/>
      <c r="J637" s="750"/>
    </row>
    <row r="638" spans="1:10" x14ac:dyDescent="0.35">
      <c r="A638" s="92"/>
      <c r="F638" s="606"/>
      <c r="G638" s="616"/>
      <c r="H638" s="93"/>
      <c r="I638" s="41"/>
      <c r="J638" s="750"/>
    </row>
    <row r="639" spans="1:10" x14ac:dyDescent="0.35">
      <c r="A639" s="92"/>
      <c r="F639" s="606"/>
      <c r="G639" s="616"/>
      <c r="H639" s="93"/>
      <c r="I639" s="41"/>
      <c r="J639" s="750"/>
    </row>
    <row r="640" spans="1:10" x14ac:dyDescent="0.35">
      <c r="A640" s="92"/>
      <c r="F640" s="606"/>
      <c r="G640" s="616"/>
      <c r="H640" s="93"/>
      <c r="I640" s="41"/>
      <c r="J640" s="750"/>
    </row>
    <row r="641" spans="1:10" x14ac:dyDescent="0.35">
      <c r="A641" s="92"/>
      <c r="F641" s="606"/>
      <c r="G641" s="616"/>
      <c r="H641" s="93"/>
      <c r="I641" s="41"/>
      <c r="J641" s="750"/>
    </row>
    <row r="642" spans="1:10" x14ac:dyDescent="0.35">
      <c r="A642" s="92"/>
      <c r="F642" s="606"/>
      <c r="G642" s="616"/>
      <c r="H642" s="93"/>
      <c r="I642" s="41"/>
      <c r="J642" s="750"/>
    </row>
    <row r="643" spans="1:10" x14ac:dyDescent="0.35">
      <c r="A643" s="92"/>
      <c r="F643" s="606"/>
      <c r="G643" s="616"/>
      <c r="H643" s="93"/>
      <c r="I643" s="41"/>
      <c r="J643" s="750"/>
    </row>
    <row r="644" spans="1:10" x14ac:dyDescent="0.35">
      <c r="A644" s="92"/>
      <c r="F644" s="606"/>
      <c r="G644" s="616"/>
      <c r="H644" s="93"/>
      <c r="I644" s="41"/>
      <c r="J644" s="750"/>
    </row>
    <row r="645" spans="1:10" x14ac:dyDescent="0.35">
      <c r="A645" s="92"/>
      <c r="F645" s="606"/>
      <c r="G645" s="616"/>
      <c r="H645" s="93"/>
      <c r="I645" s="41"/>
      <c r="J645" s="750"/>
    </row>
    <row r="646" spans="1:10" x14ac:dyDescent="0.35">
      <c r="A646" s="92"/>
      <c r="F646" s="606"/>
      <c r="G646" s="616"/>
      <c r="H646" s="93"/>
      <c r="I646" s="41"/>
      <c r="J646" s="750"/>
    </row>
    <row r="647" spans="1:10" x14ac:dyDescent="0.35">
      <c r="A647" s="92"/>
      <c r="F647" s="606"/>
      <c r="G647" s="616"/>
      <c r="H647" s="93"/>
      <c r="I647" s="41"/>
      <c r="J647" s="750"/>
    </row>
    <row r="648" spans="1:10" x14ac:dyDescent="0.35">
      <c r="A648" s="92"/>
      <c r="F648" s="606"/>
      <c r="G648" s="616"/>
      <c r="H648" s="93"/>
      <c r="I648" s="41"/>
      <c r="J648" s="750"/>
    </row>
    <row r="649" spans="1:10" x14ac:dyDescent="0.35">
      <c r="A649" s="92"/>
      <c r="F649" s="606"/>
      <c r="G649" s="616"/>
      <c r="H649" s="93"/>
      <c r="I649" s="41"/>
      <c r="J649" s="750"/>
    </row>
    <row r="650" spans="1:10" x14ac:dyDescent="0.35">
      <c r="A650" s="92"/>
      <c r="F650" s="606"/>
      <c r="G650" s="616"/>
      <c r="H650" s="93"/>
      <c r="I650" s="41"/>
      <c r="J650" s="750"/>
    </row>
    <row r="651" spans="1:10" x14ac:dyDescent="0.35">
      <c r="A651" s="92"/>
      <c r="F651" s="606"/>
      <c r="G651" s="616"/>
      <c r="H651" s="93"/>
      <c r="I651" s="41"/>
      <c r="J651" s="750"/>
    </row>
    <row r="652" spans="1:10" x14ac:dyDescent="0.35">
      <c r="A652" s="92"/>
      <c r="F652" s="606"/>
      <c r="G652" s="616"/>
      <c r="H652" s="93"/>
      <c r="I652" s="41"/>
      <c r="J652" s="750"/>
    </row>
    <row r="653" spans="1:10" x14ac:dyDescent="0.35">
      <c r="A653" s="92"/>
      <c r="F653" s="606"/>
      <c r="G653" s="616"/>
      <c r="H653" s="93"/>
      <c r="I653" s="41"/>
      <c r="J653" s="750"/>
    </row>
    <row r="654" spans="1:10" x14ac:dyDescent="0.35">
      <c r="A654" s="92"/>
      <c r="F654" s="606"/>
      <c r="G654" s="616"/>
      <c r="H654" s="93"/>
      <c r="I654" s="41"/>
      <c r="J654" s="750"/>
    </row>
    <row r="655" spans="1:10" x14ac:dyDescent="0.35">
      <c r="A655" s="92"/>
      <c r="F655" s="606"/>
      <c r="G655" s="616"/>
      <c r="H655" s="93"/>
      <c r="I655" s="41"/>
      <c r="J655" s="750"/>
    </row>
    <row r="656" spans="1:10" x14ac:dyDescent="0.35">
      <c r="A656" s="92"/>
      <c r="F656" s="606"/>
      <c r="G656" s="616"/>
      <c r="H656" s="93"/>
      <c r="I656" s="41"/>
      <c r="J656" s="750"/>
    </row>
    <row r="657" spans="1:10" x14ac:dyDescent="0.35">
      <c r="A657" s="92"/>
      <c r="F657" s="606"/>
      <c r="G657" s="616"/>
      <c r="H657" s="93"/>
      <c r="I657" s="41"/>
      <c r="J657" s="750"/>
    </row>
    <row r="658" spans="1:10" x14ac:dyDescent="0.35">
      <c r="A658" s="92"/>
      <c r="F658" s="606"/>
      <c r="G658" s="616"/>
      <c r="H658" s="93"/>
      <c r="I658" s="41"/>
      <c r="J658" s="750"/>
    </row>
    <row r="659" spans="1:10" x14ac:dyDescent="0.35">
      <c r="A659" s="92"/>
      <c r="F659" s="606"/>
      <c r="G659" s="616"/>
      <c r="H659" s="93"/>
      <c r="I659" s="41"/>
      <c r="J659" s="750"/>
    </row>
    <row r="660" spans="1:10" x14ac:dyDescent="0.35">
      <c r="A660" s="92"/>
      <c r="F660" s="606"/>
      <c r="G660" s="616"/>
      <c r="H660" s="93"/>
      <c r="I660" s="41"/>
      <c r="J660" s="750"/>
    </row>
    <row r="661" spans="1:10" x14ac:dyDescent="0.35">
      <c r="A661" s="92"/>
      <c r="F661" s="606"/>
      <c r="G661" s="616"/>
      <c r="H661" s="93"/>
      <c r="I661" s="41"/>
      <c r="J661" s="750"/>
    </row>
    <row r="662" spans="1:10" x14ac:dyDescent="0.35">
      <c r="A662" s="92"/>
      <c r="F662" s="606"/>
      <c r="G662" s="616"/>
      <c r="H662" s="93"/>
      <c r="I662" s="41"/>
      <c r="J662" s="750"/>
    </row>
    <row r="663" spans="1:10" x14ac:dyDescent="0.35">
      <c r="A663" s="92"/>
      <c r="F663" s="606"/>
      <c r="G663" s="616"/>
      <c r="H663" s="93"/>
      <c r="I663" s="41"/>
      <c r="J663" s="750"/>
    </row>
    <row r="664" spans="1:10" x14ac:dyDescent="0.35">
      <c r="A664" s="92"/>
      <c r="F664" s="606"/>
      <c r="G664" s="616"/>
      <c r="H664" s="93"/>
      <c r="I664" s="41"/>
      <c r="J664" s="750"/>
    </row>
    <row r="665" spans="1:10" x14ac:dyDescent="0.35">
      <c r="A665" s="92"/>
      <c r="F665" s="606"/>
      <c r="G665" s="616"/>
      <c r="H665" s="93"/>
      <c r="I665" s="41"/>
      <c r="J665" s="750"/>
    </row>
    <row r="666" spans="1:10" x14ac:dyDescent="0.35">
      <c r="A666" s="92"/>
      <c r="F666" s="606"/>
      <c r="G666" s="616"/>
      <c r="H666" s="93"/>
      <c r="I666" s="41"/>
      <c r="J666" s="750"/>
    </row>
    <row r="667" spans="1:10" x14ac:dyDescent="0.35">
      <c r="A667" s="92"/>
      <c r="F667" s="606"/>
      <c r="G667" s="616"/>
      <c r="H667" s="93"/>
      <c r="I667" s="41"/>
      <c r="J667" s="750"/>
    </row>
    <row r="668" spans="1:10" x14ac:dyDescent="0.35">
      <c r="A668" s="92"/>
      <c r="F668" s="606"/>
      <c r="G668" s="616"/>
      <c r="H668" s="93"/>
      <c r="I668" s="41"/>
      <c r="J668" s="750"/>
    </row>
    <row r="669" spans="1:10" x14ac:dyDescent="0.35">
      <c r="A669" s="92"/>
      <c r="F669" s="606"/>
      <c r="G669" s="616"/>
      <c r="H669" s="93"/>
      <c r="I669" s="41"/>
      <c r="J669" s="750"/>
    </row>
    <row r="670" spans="1:10" x14ac:dyDescent="0.35">
      <c r="A670" s="92"/>
      <c r="F670" s="606"/>
      <c r="G670" s="616"/>
      <c r="H670" s="93"/>
      <c r="I670" s="41"/>
      <c r="J670" s="750"/>
    </row>
    <row r="671" spans="1:10" x14ac:dyDescent="0.35">
      <c r="A671" s="92"/>
      <c r="F671" s="606"/>
      <c r="G671" s="616"/>
      <c r="H671" s="93"/>
      <c r="I671" s="41"/>
      <c r="J671" s="750"/>
    </row>
    <row r="672" spans="1:10" x14ac:dyDescent="0.35">
      <c r="A672" s="92"/>
      <c r="F672" s="606"/>
      <c r="G672" s="616"/>
      <c r="H672" s="93"/>
      <c r="I672" s="41"/>
      <c r="J672" s="750"/>
    </row>
    <row r="673" spans="1:10" x14ac:dyDescent="0.35">
      <c r="A673" s="92"/>
      <c r="F673" s="606"/>
      <c r="G673" s="616"/>
      <c r="H673" s="93"/>
      <c r="I673" s="41"/>
      <c r="J673" s="750"/>
    </row>
    <row r="674" spans="1:10" x14ac:dyDescent="0.35">
      <c r="A674" s="92"/>
      <c r="F674" s="606"/>
      <c r="G674" s="616"/>
      <c r="H674" s="93"/>
      <c r="I674" s="41"/>
      <c r="J674" s="750"/>
    </row>
    <row r="675" spans="1:10" x14ac:dyDescent="0.35">
      <c r="A675" s="92"/>
      <c r="F675" s="606"/>
      <c r="G675" s="616"/>
      <c r="H675" s="93"/>
      <c r="I675" s="41"/>
      <c r="J675" s="750"/>
    </row>
    <row r="676" spans="1:10" x14ac:dyDescent="0.35">
      <c r="A676" s="92"/>
      <c r="F676" s="606"/>
      <c r="G676" s="616"/>
      <c r="H676" s="93"/>
      <c r="I676" s="41"/>
      <c r="J676" s="750"/>
    </row>
    <row r="677" spans="1:10" x14ac:dyDescent="0.35">
      <c r="A677" s="92"/>
      <c r="F677" s="606"/>
      <c r="G677" s="616"/>
      <c r="H677" s="93"/>
      <c r="I677" s="41"/>
      <c r="J677" s="750"/>
    </row>
    <row r="678" spans="1:10" x14ac:dyDescent="0.35">
      <c r="A678" s="92"/>
      <c r="F678" s="606"/>
      <c r="G678" s="616"/>
      <c r="H678" s="93"/>
      <c r="I678" s="41"/>
      <c r="J678" s="750"/>
    </row>
    <row r="679" spans="1:10" x14ac:dyDescent="0.35">
      <c r="A679" s="92"/>
      <c r="F679" s="606"/>
      <c r="G679" s="616"/>
      <c r="H679" s="93"/>
      <c r="I679" s="41"/>
      <c r="J679" s="750"/>
    </row>
    <row r="680" spans="1:10" x14ac:dyDescent="0.35">
      <c r="A680" s="92"/>
      <c r="F680" s="606"/>
      <c r="G680" s="616"/>
      <c r="H680" s="93"/>
      <c r="I680" s="41"/>
      <c r="J680" s="750"/>
    </row>
    <row r="681" spans="1:10" x14ac:dyDescent="0.35">
      <c r="A681" s="92"/>
      <c r="F681" s="606"/>
      <c r="G681" s="616"/>
      <c r="H681" s="93"/>
      <c r="I681" s="41"/>
      <c r="J681" s="750"/>
    </row>
    <row r="682" spans="1:10" x14ac:dyDescent="0.35">
      <c r="A682" s="92"/>
      <c r="F682" s="606"/>
      <c r="G682" s="616"/>
      <c r="H682" s="93"/>
      <c r="I682" s="41"/>
      <c r="J682" s="750"/>
    </row>
    <row r="683" spans="1:10" x14ac:dyDescent="0.35">
      <c r="A683" s="92"/>
      <c r="F683" s="606"/>
      <c r="G683" s="616"/>
      <c r="H683" s="93"/>
      <c r="I683" s="41"/>
      <c r="J683" s="750"/>
    </row>
    <row r="684" spans="1:10" x14ac:dyDescent="0.35">
      <c r="A684" s="92"/>
      <c r="F684" s="606"/>
      <c r="G684" s="616"/>
      <c r="H684" s="93"/>
      <c r="I684" s="41"/>
      <c r="J684" s="750"/>
    </row>
    <row r="685" spans="1:10" x14ac:dyDescent="0.35">
      <c r="A685" s="92"/>
      <c r="F685" s="606"/>
      <c r="G685" s="616"/>
      <c r="H685" s="93"/>
      <c r="I685" s="41"/>
      <c r="J685" s="750"/>
    </row>
    <row r="686" spans="1:10" x14ac:dyDescent="0.35">
      <c r="A686" s="92"/>
      <c r="F686" s="606"/>
      <c r="G686" s="616"/>
      <c r="H686" s="93"/>
      <c r="I686" s="41"/>
      <c r="J686" s="750"/>
    </row>
    <row r="687" spans="1:10" x14ac:dyDescent="0.35">
      <c r="A687" s="92"/>
      <c r="F687" s="606"/>
      <c r="G687" s="616"/>
      <c r="H687" s="93"/>
      <c r="I687" s="41"/>
      <c r="J687" s="750"/>
    </row>
    <row r="688" spans="1:10" x14ac:dyDescent="0.35">
      <c r="A688" s="92"/>
      <c r="F688" s="606"/>
      <c r="G688" s="616"/>
      <c r="H688" s="93"/>
      <c r="I688" s="41"/>
      <c r="J688" s="750"/>
    </row>
    <row r="689" spans="1:10" x14ac:dyDescent="0.35">
      <c r="A689" s="92"/>
      <c r="F689" s="606"/>
      <c r="G689" s="616"/>
      <c r="H689" s="93"/>
      <c r="I689" s="41"/>
      <c r="J689" s="750"/>
    </row>
    <row r="690" spans="1:10" x14ac:dyDescent="0.35">
      <c r="A690" s="92"/>
      <c r="F690" s="606"/>
      <c r="G690" s="616"/>
      <c r="H690" s="93"/>
      <c r="I690" s="41"/>
      <c r="J690" s="750"/>
    </row>
    <row r="691" spans="1:10" x14ac:dyDescent="0.35">
      <c r="A691" s="92"/>
      <c r="F691" s="606"/>
      <c r="G691" s="616"/>
      <c r="H691" s="93"/>
      <c r="I691" s="41"/>
      <c r="J691" s="750"/>
    </row>
    <row r="692" spans="1:10" x14ac:dyDescent="0.35">
      <c r="A692" s="92"/>
      <c r="F692" s="606"/>
      <c r="G692" s="616"/>
      <c r="H692" s="93"/>
      <c r="I692" s="41"/>
      <c r="J692" s="750"/>
    </row>
    <row r="693" spans="1:10" x14ac:dyDescent="0.35">
      <c r="A693" s="92"/>
      <c r="F693" s="606"/>
      <c r="G693" s="616"/>
      <c r="H693" s="93"/>
      <c r="I693" s="41"/>
      <c r="J693" s="750"/>
    </row>
    <row r="694" spans="1:10" x14ac:dyDescent="0.35">
      <c r="A694" s="92"/>
      <c r="F694" s="606"/>
      <c r="G694" s="616"/>
      <c r="H694" s="93"/>
      <c r="I694" s="41"/>
      <c r="J694" s="750"/>
    </row>
    <row r="695" spans="1:10" x14ac:dyDescent="0.35">
      <c r="A695" s="92"/>
      <c r="F695" s="606"/>
      <c r="G695" s="616"/>
      <c r="H695" s="93"/>
      <c r="I695" s="41"/>
      <c r="J695" s="750"/>
    </row>
    <row r="696" spans="1:10" x14ac:dyDescent="0.35">
      <c r="A696" s="92"/>
      <c r="F696" s="606"/>
      <c r="G696" s="616"/>
      <c r="H696" s="93"/>
      <c r="I696" s="41"/>
      <c r="J696" s="750"/>
    </row>
    <row r="697" spans="1:10" x14ac:dyDescent="0.35">
      <c r="A697" s="92"/>
      <c r="F697" s="606"/>
      <c r="G697" s="616"/>
      <c r="H697" s="93"/>
      <c r="I697" s="41"/>
      <c r="J697" s="750"/>
    </row>
    <row r="698" spans="1:10" x14ac:dyDescent="0.35">
      <c r="A698" s="92"/>
      <c r="F698" s="606"/>
      <c r="G698" s="616"/>
      <c r="H698" s="93"/>
      <c r="I698" s="41"/>
      <c r="J698" s="750"/>
    </row>
    <row r="699" spans="1:10" x14ac:dyDescent="0.35">
      <c r="A699" s="92"/>
      <c r="F699" s="606"/>
      <c r="G699" s="616"/>
      <c r="H699" s="93"/>
      <c r="I699" s="41"/>
      <c r="J699" s="750"/>
    </row>
    <row r="700" spans="1:10" x14ac:dyDescent="0.35">
      <c r="A700" s="92"/>
      <c r="F700" s="606"/>
      <c r="G700" s="616"/>
      <c r="H700" s="93"/>
      <c r="I700" s="41"/>
      <c r="J700" s="750"/>
    </row>
    <row r="701" spans="1:10" x14ac:dyDescent="0.35">
      <c r="A701" s="92"/>
      <c r="F701" s="606"/>
      <c r="G701" s="616"/>
      <c r="H701" s="93"/>
      <c r="I701" s="41"/>
      <c r="J701" s="750"/>
    </row>
    <row r="702" spans="1:10" x14ac:dyDescent="0.35">
      <c r="A702" s="92"/>
      <c r="F702" s="606"/>
      <c r="G702" s="616"/>
      <c r="H702" s="93"/>
      <c r="I702" s="41"/>
      <c r="J702" s="750"/>
    </row>
    <row r="703" spans="1:10" x14ac:dyDescent="0.35">
      <c r="A703" s="92"/>
      <c r="F703" s="606"/>
      <c r="G703" s="616"/>
      <c r="H703" s="93"/>
      <c r="I703" s="41"/>
      <c r="J703" s="750"/>
    </row>
    <row r="704" spans="1:10" x14ac:dyDescent="0.35">
      <c r="A704" s="92"/>
      <c r="F704" s="606"/>
      <c r="G704" s="616"/>
      <c r="H704" s="93"/>
      <c r="I704" s="41"/>
      <c r="J704" s="750"/>
    </row>
    <row r="705" spans="1:10" x14ac:dyDescent="0.35">
      <c r="A705" s="92"/>
      <c r="F705" s="606"/>
      <c r="G705" s="616"/>
      <c r="H705" s="93"/>
      <c r="I705" s="41"/>
      <c r="J705" s="750"/>
    </row>
    <row r="706" spans="1:10" x14ac:dyDescent="0.35">
      <c r="A706" s="92"/>
      <c r="F706" s="606"/>
      <c r="G706" s="616"/>
      <c r="H706" s="93"/>
      <c r="I706" s="41"/>
      <c r="J706" s="750"/>
    </row>
    <row r="707" spans="1:10" x14ac:dyDescent="0.35">
      <c r="A707" s="92"/>
      <c r="F707" s="606"/>
      <c r="G707" s="616"/>
      <c r="H707" s="93"/>
      <c r="I707" s="41"/>
      <c r="J707" s="750"/>
    </row>
    <row r="708" spans="1:10" x14ac:dyDescent="0.35">
      <c r="A708" s="92"/>
      <c r="F708" s="606"/>
      <c r="G708" s="616"/>
      <c r="H708" s="93"/>
      <c r="I708" s="41"/>
      <c r="J708" s="750"/>
    </row>
    <row r="709" spans="1:10" x14ac:dyDescent="0.35">
      <c r="A709" s="92"/>
      <c r="F709" s="606"/>
      <c r="G709" s="616"/>
      <c r="H709" s="93"/>
      <c r="I709" s="41"/>
      <c r="J709" s="750"/>
    </row>
    <row r="710" spans="1:10" x14ac:dyDescent="0.35">
      <c r="A710" s="92"/>
      <c r="F710" s="606"/>
      <c r="G710" s="616"/>
      <c r="H710" s="93"/>
      <c r="I710" s="41"/>
      <c r="J710" s="750"/>
    </row>
    <row r="711" spans="1:10" x14ac:dyDescent="0.35">
      <c r="A711" s="92"/>
      <c r="F711" s="606"/>
      <c r="G711" s="616"/>
      <c r="H711" s="93"/>
      <c r="I711" s="41"/>
      <c r="J711" s="750"/>
    </row>
    <row r="712" spans="1:10" x14ac:dyDescent="0.35">
      <c r="A712" s="92"/>
      <c r="F712" s="606"/>
      <c r="G712" s="616"/>
      <c r="H712" s="93"/>
      <c r="I712" s="41"/>
      <c r="J712" s="750"/>
    </row>
    <row r="713" spans="1:10" x14ac:dyDescent="0.35">
      <c r="A713" s="92"/>
      <c r="F713" s="606"/>
      <c r="G713" s="616"/>
      <c r="H713" s="93"/>
      <c r="I713" s="41"/>
      <c r="J713" s="750"/>
    </row>
    <row r="714" spans="1:10" x14ac:dyDescent="0.35">
      <c r="A714" s="92"/>
      <c r="F714" s="606"/>
      <c r="G714" s="616"/>
      <c r="H714" s="93"/>
      <c r="I714" s="41"/>
      <c r="J714" s="750"/>
    </row>
    <row r="715" spans="1:10" x14ac:dyDescent="0.35">
      <c r="A715" s="92"/>
      <c r="F715" s="606"/>
      <c r="G715" s="616"/>
      <c r="H715" s="93"/>
      <c r="I715" s="41"/>
      <c r="J715" s="750"/>
    </row>
    <row r="716" spans="1:10" x14ac:dyDescent="0.35">
      <c r="A716" s="92"/>
      <c r="F716" s="606"/>
      <c r="G716" s="616"/>
      <c r="H716" s="93"/>
      <c r="I716" s="41"/>
      <c r="J716" s="750"/>
    </row>
    <row r="717" spans="1:10" x14ac:dyDescent="0.35">
      <c r="A717" s="92"/>
      <c r="F717" s="606"/>
      <c r="G717" s="616"/>
      <c r="H717" s="93"/>
      <c r="I717" s="41"/>
      <c r="J717" s="750"/>
    </row>
    <row r="718" spans="1:10" x14ac:dyDescent="0.35">
      <c r="A718" s="92"/>
      <c r="F718" s="606"/>
      <c r="G718" s="616"/>
      <c r="H718" s="93"/>
      <c r="I718" s="41"/>
      <c r="J718" s="750"/>
    </row>
    <row r="719" spans="1:10" x14ac:dyDescent="0.35">
      <c r="A719" s="92"/>
      <c r="F719" s="606"/>
      <c r="G719" s="616"/>
      <c r="H719" s="93"/>
      <c r="I719" s="41"/>
      <c r="J719" s="750"/>
    </row>
    <row r="720" spans="1:10" x14ac:dyDescent="0.35">
      <c r="A720" s="92"/>
      <c r="F720" s="606"/>
      <c r="G720" s="616"/>
      <c r="H720" s="93"/>
      <c r="I720" s="41"/>
      <c r="J720" s="750"/>
    </row>
    <row r="721" spans="1:10" x14ac:dyDescent="0.35">
      <c r="A721" s="92"/>
      <c r="F721" s="606"/>
      <c r="G721" s="616"/>
      <c r="H721" s="93"/>
      <c r="I721" s="41"/>
      <c r="J721" s="750"/>
    </row>
    <row r="722" spans="1:10" x14ac:dyDescent="0.35">
      <c r="A722" s="92"/>
      <c r="F722" s="606"/>
      <c r="G722" s="616"/>
      <c r="H722" s="93"/>
      <c r="I722" s="41"/>
      <c r="J722" s="750"/>
    </row>
    <row r="723" spans="1:10" x14ac:dyDescent="0.35">
      <c r="A723" s="92"/>
      <c r="F723" s="606"/>
      <c r="G723" s="616"/>
      <c r="H723" s="93"/>
      <c r="I723" s="41"/>
      <c r="J723" s="750"/>
    </row>
    <row r="724" spans="1:10" x14ac:dyDescent="0.35">
      <c r="A724" s="92"/>
      <c r="F724" s="606"/>
      <c r="G724" s="616"/>
      <c r="H724" s="93"/>
      <c r="I724" s="41"/>
      <c r="J724" s="750"/>
    </row>
    <row r="725" spans="1:10" x14ac:dyDescent="0.35">
      <c r="A725" s="92"/>
      <c r="F725" s="606"/>
      <c r="G725" s="616"/>
      <c r="H725" s="93"/>
      <c r="I725" s="41"/>
      <c r="J725" s="750"/>
    </row>
    <row r="726" spans="1:10" x14ac:dyDescent="0.35">
      <c r="A726" s="92"/>
      <c r="F726" s="606"/>
      <c r="G726" s="616"/>
      <c r="H726" s="93"/>
      <c r="I726" s="41"/>
      <c r="J726" s="750"/>
    </row>
    <row r="727" spans="1:10" x14ac:dyDescent="0.35">
      <c r="A727" s="92"/>
      <c r="F727" s="606"/>
      <c r="G727" s="616"/>
      <c r="H727" s="93"/>
      <c r="I727" s="41"/>
      <c r="J727" s="750"/>
    </row>
    <row r="728" spans="1:10" x14ac:dyDescent="0.35">
      <c r="A728" s="92"/>
      <c r="F728" s="606"/>
      <c r="G728" s="616"/>
      <c r="H728" s="93"/>
      <c r="I728" s="41"/>
      <c r="J728" s="750"/>
    </row>
    <row r="729" spans="1:10" x14ac:dyDescent="0.35">
      <c r="A729" s="92"/>
      <c r="F729" s="606"/>
      <c r="G729" s="616"/>
      <c r="H729" s="93"/>
      <c r="I729" s="41"/>
      <c r="J729" s="750"/>
    </row>
    <row r="730" spans="1:10" x14ac:dyDescent="0.35">
      <c r="A730" s="92"/>
      <c r="F730" s="606"/>
      <c r="G730" s="616"/>
      <c r="H730" s="93"/>
      <c r="I730" s="41"/>
      <c r="J730" s="750"/>
    </row>
    <row r="731" spans="1:10" x14ac:dyDescent="0.35">
      <c r="A731" s="92"/>
      <c r="F731" s="606"/>
      <c r="G731" s="616"/>
      <c r="H731" s="93"/>
      <c r="I731" s="41"/>
      <c r="J731" s="750"/>
    </row>
    <row r="732" spans="1:10" x14ac:dyDescent="0.35">
      <c r="A732" s="92"/>
      <c r="F732" s="606"/>
      <c r="G732" s="616"/>
      <c r="H732" s="93"/>
      <c r="I732" s="41"/>
      <c r="J732" s="750"/>
    </row>
    <row r="733" spans="1:10" x14ac:dyDescent="0.35">
      <c r="A733" s="92"/>
      <c r="F733" s="606"/>
      <c r="G733" s="616"/>
      <c r="H733" s="93"/>
      <c r="I733" s="41"/>
      <c r="J733" s="750"/>
    </row>
    <row r="734" spans="1:10" x14ac:dyDescent="0.35">
      <c r="A734" s="92"/>
      <c r="F734" s="606"/>
      <c r="G734" s="616"/>
      <c r="H734" s="93"/>
      <c r="I734" s="41"/>
      <c r="J734" s="750"/>
    </row>
    <row r="735" spans="1:10" x14ac:dyDescent="0.35">
      <c r="A735" s="92"/>
      <c r="F735" s="606"/>
      <c r="G735" s="616"/>
      <c r="H735" s="93"/>
      <c r="I735" s="41"/>
      <c r="J735" s="750"/>
    </row>
    <row r="736" spans="1:10" x14ac:dyDescent="0.35">
      <c r="A736" s="92"/>
      <c r="F736" s="606"/>
      <c r="G736" s="616"/>
      <c r="H736" s="93"/>
      <c r="I736" s="41"/>
      <c r="J736" s="750"/>
    </row>
    <row r="737" spans="1:10" x14ac:dyDescent="0.35">
      <c r="A737" s="92"/>
      <c r="F737" s="606"/>
      <c r="G737" s="616"/>
      <c r="H737" s="93"/>
      <c r="I737" s="41"/>
      <c r="J737" s="750"/>
    </row>
    <row r="738" spans="1:10" x14ac:dyDescent="0.35">
      <c r="A738" s="92"/>
      <c r="F738" s="606"/>
      <c r="G738" s="616"/>
      <c r="H738" s="93"/>
      <c r="I738" s="41"/>
      <c r="J738" s="750"/>
    </row>
    <row r="739" spans="1:10" x14ac:dyDescent="0.35">
      <c r="A739" s="92"/>
      <c r="F739" s="606"/>
      <c r="G739" s="616"/>
      <c r="H739" s="93"/>
      <c r="I739" s="41"/>
      <c r="J739" s="750"/>
    </row>
    <row r="740" spans="1:10" x14ac:dyDescent="0.35">
      <c r="A740" s="92"/>
      <c r="F740" s="606"/>
      <c r="G740" s="616"/>
      <c r="H740" s="93"/>
      <c r="I740" s="41"/>
      <c r="J740" s="750"/>
    </row>
    <row r="741" spans="1:10" x14ac:dyDescent="0.35">
      <c r="A741" s="92"/>
      <c r="F741" s="606"/>
      <c r="G741" s="616"/>
      <c r="H741" s="93"/>
      <c r="I741" s="41"/>
      <c r="J741" s="750"/>
    </row>
    <row r="742" spans="1:10" x14ac:dyDescent="0.35">
      <c r="A742" s="92"/>
      <c r="F742" s="606"/>
      <c r="G742" s="616"/>
      <c r="H742" s="93"/>
      <c r="I742" s="41"/>
      <c r="J742" s="750"/>
    </row>
    <row r="743" spans="1:10" x14ac:dyDescent="0.35">
      <c r="A743" s="92"/>
      <c r="F743" s="606"/>
      <c r="G743" s="616"/>
      <c r="H743" s="93"/>
      <c r="I743" s="41"/>
      <c r="J743" s="750"/>
    </row>
    <row r="744" spans="1:10" x14ac:dyDescent="0.35">
      <c r="A744" s="92"/>
      <c r="F744" s="606"/>
      <c r="G744" s="616"/>
      <c r="H744" s="93"/>
      <c r="I744" s="41"/>
      <c r="J744" s="750"/>
    </row>
    <row r="745" spans="1:10" x14ac:dyDescent="0.35">
      <c r="A745" s="92"/>
      <c r="F745" s="606"/>
      <c r="G745" s="616"/>
      <c r="H745" s="93"/>
      <c r="I745" s="41"/>
      <c r="J745" s="750"/>
    </row>
    <row r="746" spans="1:10" x14ac:dyDescent="0.35">
      <c r="A746" s="92"/>
      <c r="F746" s="606"/>
      <c r="G746" s="616"/>
      <c r="H746" s="93"/>
      <c r="I746" s="41"/>
      <c r="J746" s="750"/>
    </row>
    <row r="747" spans="1:10" x14ac:dyDescent="0.35">
      <c r="A747" s="92"/>
      <c r="F747" s="606"/>
      <c r="G747" s="616"/>
      <c r="H747" s="93"/>
      <c r="I747" s="41"/>
      <c r="J747" s="750"/>
    </row>
    <row r="748" spans="1:10" x14ac:dyDescent="0.35">
      <c r="A748" s="92"/>
      <c r="F748" s="606"/>
      <c r="G748" s="616"/>
      <c r="H748" s="93"/>
      <c r="I748" s="41"/>
      <c r="J748" s="750"/>
    </row>
    <row r="749" spans="1:10" x14ac:dyDescent="0.35">
      <c r="A749" s="92"/>
      <c r="F749" s="606"/>
      <c r="G749" s="616"/>
      <c r="H749" s="93"/>
      <c r="I749" s="41"/>
      <c r="J749" s="750"/>
    </row>
    <row r="750" spans="1:10" x14ac:dyDescent="0.35">
      <c r="A750" s="92"/>
      <c r="F750" s="606"/>
      <c r="G750" s="616"/>
      <c r="H750" s="93"/>
      <c r="I750" s="41"/>
      <c r="J750" s="750"/>
    </row>
    <row r="751" spans="1:10" x14ac:dyDescent="0.35">
      <c r="A751" s="92"/>
      <c r="F751" s="606"/>
      <c r="G751" s="616"/>
      <c r="H751" s="93"/>
      <c r="I751" s="41"/>
      <c r="J751" s="750"/>
    </row>
    <row r="752" spans="1:10" x14ac:dyDescent="0.35">
      <c r="A752" s="92"/>
      <c r="F752" s="606"/>
      <c r="G752" s="616"/>
      <c r="H752" s="93"/>
      <c r="I752" s="41"/>
      <c r="J752" s="750"/>
    </row>
    <row r="753" spans="1:10" x14ac:dyDescent="0.35">
      <c r="A753" s="92"/>
      <c r="F753" s="606"/>
      <c r="G753" s="616"/>
      <c r="H753" s="93"/>
      <c r="I753" s="41"/>
      <c r="J753" s="750"/>
    </row>
    <row r="754" spans="1:10" x14ac:dyDescent="0.35">
      <c r="A754" s="92"/>
      <c r="F754" s="606"/>
      <c r="G754" s="616"/>
      <c r="H754" s="93"/>
      <c r="I754" s="41"/>
      <c r="J754" s="750"/>
    </row>
    <row r="755" spans="1:10" x14ac:dyDescent="0.35">
      <c r="A755" s="92"/>
      <c r="F755" s="606"/>
      <c r="G755" s="616"/>
      <c r="H755" s="93"/>
      <c r="I755" s="41"/>
      <c r="J755" s="750"/>
    </row>
    <row r="756" spans="1:10" x14ac:dyDescent="0.35">
      <c r="A756" s="92"/>
      <c r="F756" s="606"/>
      <c r="G756" s="616"/>
      <c r="H756" s="93"/>
      <c r="I756" s="41"/>
      <c r="J756" s="750"/>
    </row>
    <row r="757" spans="1:10" x14ac:dyDescent="0.35">
      <c r="A757" s="92"/>
      <c r="F757" s="606"/>
      <c r="G757" s="616"/>
      <c r="H757" s="93"/>
      <c r="I757" s="41"/>
      <c r="J757" s="750"/>
    </row>
    <row r="758" spans="1:10" x14ac:dyDescent="0.35">
      <c r="A758" s="92"/>
      <c r="F758" s="606"/>
      <c r="G758" s="616"/>
      <c r="H758" s="93"/>
      <c r="I758" s="41"/>
      <c r="J758" s="750"/>
    </row>
    <row r="759" spans="1:10" x14ac:dyDescent="0.35">
      <c r="A759" s="92"/>
      <c r="F759" s="606"/>
      <c r="G759" s="616"/>
      <c r="H759" s="93"/>
      <c r="I759" s="41"/>
      <c r="J759" s="750"/>
    </row>
    <row r="760" spans="1:10" x14ac:dyDescent="0.35">
      <c r="A760" s="92"/>
      <c r="F760" s="606"/>
      <c r="G760" s="616"/>
      <c r="H760" s="93"/>
      <c r="I760" s="41"/>
      <c r="J760" s="750"/>
    </row>
    <row r="761" spans="1:10" x14ac:dyDescent="0.35">
      <c r="A761" s="92"/>
      <c r="F761" s="606"/>
      <c r="G761" s="616"/>
      <c r="H761" s="93"/>
      <c r="I761" s="41"/>
      <c r="J761" s="750"/>
    </row>
    <row r="762" spans="1:10" x14ac:dyDescent="0.35">
      <c r="A762" s="92"/>
      <c r="F762" s="606"/>
      <c r="G762" s="616"/>
      <c r="H762" s="93"/>
      <c r="I762" s="41"/>
      <c r="J762" s="750"/>
    </row>
    <row r="763" spans="1:10" x14ac:dyDescent="0.35">
      <c r="A763" s="92"/>
      <c r="F763" s="606"/>
      <c r="G763" s="616"/>
      <c r="H763" s="93"/>
      <c r="I763" s="41"/>
      <c r="J763" s="750"/>
    </row>
    <row r="764" spans="1:10" x14ac:dyDescent="0.35">
      <c r="A764" s="92"/>
      <c r="F764" s="606"/>
      <c r="G764" s="616"/>
      <c r="H764" s="93"/>
      <c r="I764" s="41"/>
      <c r="J764" s="750"/>
    </row>
    <row r="765" spans="1:10" x14ac:dyDescent="0.35">
      <c r="A765" s="92"/>
      <c r="F765" s="606"/>
      <c r="G765" s="616"/>
      <c r="H765" s="93"/>
      <c r="I765" s="41"/>
      <c r="J765" s="750"/>
    </row>
    <row r="766" spans="1:10" x14ac:dyDescent="0.35">
      <c r="A766" s="92"/>
      <c r="F766" s="606"/>
      <c r="G766" s="616"/>
      <c r="H766" s="93"/>
      <c r="I766" s="41"/>
      <c r="J766" s="750"/>
    </row>
    <row r="767" spans="1:10" x14ac:dyDescent="0.35">
      <c r="A767" s="92"/>
      <c r="F767" s="606"/>
      <c r="G767" s="616"/>
      <c r="H767" s="93"/>
      <c r="I767" s="41"/>
      <c r="J767" s="750"/>
    </row>
    <row r="768" spans="1:10" x14ac:dyDescent="0.35">
      <c r="A768" s="92"/>
      <c r="F768" s="606"/>
      <c r="G768" s="616"/>
      <c r="H768" s="93"/>
      <c r="I768" s="41"/>
      <c r="J768" s="750"/>
    </row>
    <row r="769" spans="1:10" x14ac:dyDescent="0.35">
      <c r="A769" s="92"/>
      <c r="F769" s="606"/>
      <c r="G769" s="616"/>
      <c r="H769" s="93"/>
      <c r="I769" s="41"/>
      <c r="J769" s="750"/>
    </row>
    <row r="770" spans="1:10" x14ac:dyDescent="0.35">
      <c r="A770" s="92"/>
      <c r="F770" s="606"/>
      <c r="G770" s="616"/>
      <c r="H770" s="93"/>
      <c r="I770" s="41"/>
      <c r="J770" s="750"/>
    </row>
    <row r="771" spans="1:10" x14ac:dyDescent="0.35">
      <c r="A771" s="92"/>
      <c r="F771" s="606"/>
      <c r="G771" s="616"/>
      <c r="H771" s="93"/>
      <c r="I771" s="41"/>
      <c r="J771" s="750"/>
    </row>
    <row r="772" spans="1:10" x14ac:dyDescent="0.35">
      <c r="A772" s="92"/>
      <c r="F772" s="606"/>
      <c r="G772" s="616"/>
      <c r="H772" s="93"/>
      <c r="I772" s="41"/>
      <c r="J772" s="750"/>
    </row>
    <row r="773" spans="1:10" x14ac:dyDescent="0.35">
      <c r="A773" s="92"/>
      <c r="F773" s="606"/>
      <c r="G773" s="616"/>
      <c r="H773" s="93"/>
      <c r="I773" s="41"/>
      <c r="J773" s="750"/>
    </row>
    <row r="774" spans="1:10" x14ac:dyDescent="0.35">
      <c r="A774" s="92"/>
      <c r="F774" s="606"/>
      <c r="G774" s="616"/>
      <c r="H774" s="93"/>
      <c r="I774" s="41"/>
      <c r="J774" s="750"/>
    </row>
    <row r="775" spans="1:10" x14ac:dyDescent="0.35">
      <c r="A775" s="92"/>
      <c r="F775" s="606"/>
      <c r="G775" s="616"/>
      <c r="H775" s="93"/>
      <c r="I775" s="41"/>
      <c r="J775" s="750"/>
    </row>
    <row r="776" spans="1:10" x14ac:dyDescent="0.35">
      <c r="A776" s="92"/>
      <c r="F776" s="606"/>
      <c r="G776" s="616"/>
      <c r="H776" s="93"/>
      <c r="I776" s="41"/>
      <c r="J776" s="750"/>
    </row>
    <row r="777" spans="1:10" x14ac:dyDescent="0.35">
      <c r="A777" s="92"/>
      <c r="F777" s="606"/>
      <c r="G777" s="616"/>
      <c r="H777" s="93"/>
      <c r="I777" s="41"/>
      <c r="J777" s="750"/>
    </row>
    <row r="778" spans="1:10" x14ac:dyDescent="0.35">
      <c r="A778" s="92"/>
      <c r="F778" s="606"/>
      <c r="G778" s="616"/>
      <c r="H778" s="93"/>
      <c r="I778" s="41"/>
      <c r="J778" s="750"/>
    </row>
    <row r="779" spans="1:10" x14ac:dyDescent="0.35">
      <c r="A779" s="92"/>
      <c r="F779" s="606"/>
      <c r="G779" s="616"/>
      <c r="H779" s="93"/>
      <c r="I779" s="41"/>
      <c r="J779" s="750"/>
    </row>
    <row r="780" spans="1:10" x14ac:dyDescent="0.35">
      <c r="A780" s="92"/>
      <c r="F780" s="606"/>
      <c r="G780" s="616"/>
      <c r="H780" s="93"/>
      <c r="I780" s="41"/>
      <c r="J780" s="750"/>
    </row>
    <row r="781" spans="1:10" x14ac:dyDescent="0.35">
      <c r="A781" s="92"/>
      <c r="F781" s="606"/>
      <c r="G781" s="616"/>
      <c r="H781" s="93"/>
      <c r="I781" s="41"/>
      <c r="J781" s="750"/>
    </row>
    <row r="782" spans="1:10" x14ac:dyDescent="0.35">
      <c r="A782" s="92"/>
      <c r="F782" s="606"/>
      <c r="G782" s="616"/>
      <c r="H782" s="93"/>
      <c r="I782" s="41"/>
      <c r="J782" s="750"/>
    </row>
    <row r="783" spans="1:10" x14ac:dyDescent="0.35">
      <c r="A783" s="92"/>
      <c r="F783" s="606"/>
      <c r="G783" s="616"/>
      <c r="H783" s="93"/>
      <c r="I783" s="41"/>
      <c r="J783" s="750"/>
    </row>
    <row r="784" spans="1:10" x14ac:dyDescent="0.35">
      <c r="A784" s="92"/>
      <c r="F784" s="606"/>
      <c r="G784" s="616"/>
      <c r="H784" s="93"/>
      <c r="I784" s="41"/>
      <c r="J784" s="750"/>
    </row>
    <row r="785" spans="1:10" x14ac:dyDescent="0.35">
      <c r="A785" s="92"/>
      <c r="F785" s="606"/>
      <c r="G785" s="616"/>
      <c r="H785" s="93"/>
      <c r="I785" s="41"/>
      <c r="J785" s="750"/>
    </row>
    <row r="786" spans="1:10" x14ac:dyDescent="0.35">
      <c r="A786" s="92"/>
      <c r="F786" s="606"/>
      <c r="G786" s="616"/>
      <c r="H786" s="93"/>
      <c r="I786" s="41"/>
      <c r="J786" s="750"/>
    </row>
    <row r="787" spans="1:10" x14ac:dyDescent="0.35">
      <c r="A787" s="92"/>
      <c r="F787" s="606"/>
      <c r="G787" s="616"/>
      <c r="H787" s="93"/>
      <c r="I787" s="41"/>
      <c r="J787" s="750"/>
    </row>
    <row r="788" spans="1:10" x14ac:dyDescent="0.35">
      <c r="A788" s="92"/>
      <c r="F788" s="606"/>
      <c r="G788" s="616"/>
      <c r="H788" s="93"/>
      <c r="I788" s="41"/>
      <c r="J788" s="750"/>
    </row>
    <row r="789" spans="1:10" x14ac:dyDescent="0.35">
      <c r="A789" s="92"/>
      <c r="F789" s="606"/>
      <c r="G789" s="616"/>
      <c r="H789" s="93"/>
      <c r="I789" s="41"/>
      <c r="J789" s="750"/>
    </row>
    <row r="790" spans="1:10" x14ac:dyDescent="0.35">
      <c r="A790" s="92"/>
      <c r="F790" s="606"/>
      <c r="G790" s="616"/>
      <c r="H790" s="93"/>
      <c r="I790" s="41"/>
      <c r="J790" s="750"/>
    </row>
    <row r="791" spans="1:10" x14ac:dyDescent="0.35">
      <c r="A791" s="92"/>
      <c r="F791" s="606"/>
      <c r="G791" s="616"/>
      <c r="H791" s="93"/>
      <c r="I791" s="41"/>
      <c r="J791" s="750"/>
    </row>
    <row r="792" spans="1:10" x14ac:dyDescent="0.35">
      <c r="A792" s="92"/>
      <c r="F792" s="606"/>
      <c r="G792" s="616"/>
      <c r="H792" s="93"/>
      <c r="I792" s="41"/>
      <c r="J792" s="750"/>
    </row>
    <row r="793" spans="1:10" x14ac:dyDescent="0.35">
      <c r="A793" s="92"/>
      <c r="F793" s="606"/>
      <c r="G793" s="616"/>
      <c r="H793" s="93"/>
      <c r="I793" s="41"/>
      <c r="J793" s="750"/>
    </row>
    <row r="794" spans="1:10" x14ac:dyDescent="0.35">
      <c r="A794" s="92"/>
      <c r="F794" s="606"/>
      <c r="G794" s="616"/>
      <c r="H794" s="93"/>
      <c r="I794" s="41"/>
      <c r="J794" s="750"/>
    </row>
    <row r="795" spans="1:10" x14ac:dyDescent="0.35">
      <c r="A795" s="92"/>
      <c r="F795" s="606"/>
      <c r="G795" s="616"/>
      <c r="H795" s="93"/>
      <c r="I795" s="41"/>
      <c r="J795" s="750"/>
    </row>
    <row r="796" spans="1:10" x14ac:dyDescent="0.35">
      <c r="A796" s="92"/>
      <c r="F796" s="606"/>
      <c r="G796" s="616"/>
      <c r="H796" s="93"/>
      <c r="I796" s="41"/>
      <c r="J796" s="750"/>
    </row>
    <row r="797" spans="1:10" x14ac:dyDescent="0.35">
      <c r="A797" s="92"/>
      <c r="F797" s="606"/>
      <c r="G797" s="616"/>
      <c r="H797" s="93"/>
      <c r="I797" s="41"/>
      <c r="J797" s="750"/>
    </row>
    <row r="798" spans="1:10" x14ac:dyDescent="0.35">
      <c r="A798" s="92"/>
      <c r="F798" s="606"/>
      <c r="G798" s="616"/>
      <c r="H798" s="93"/>
      <c r="I798" s="41"/>
      <c r="J798" s="750"/>
    </row>
    <row r="799" spans="1:10" x14ac:dyDescent="0.35">
      <c r="A799" s="92"/>
      <c r="F799" s="606"/>
      <c r="G799" s="616"/>
      <c r="H799" s="93"/>
      <c r="I799" s="41"/>
      <c r="J799" s="750"/>
    </row>
    <row r="800" spans="1:10" x14ac:dyDescent="0.35">
      <c r="A800" s="92"/>
      <c r="F800" s="606"/>
      <c r="G800" s="616"/>
      <c r="H800" s="93"/>
      <c r="I800" s="41"/>
      <c r="J800" s="750"/>
    </row>
    <row r="801" spans="1:10" x14ac:dyDescent="0.35">
      <c r="A801" s="92"/>
      <c r="F801" s="606"/>
      <c r="G801" s="616"/>
      <c r="H801" s="93"/>
      <c r="I801" s="41"/>
      <c r="J801" s="750"/>
    </row>
    <row r="802" spans="1:10" x14ac:dyDescent="0.35">
      <c r="A802" s="92"/>
      <c r="F802" s="606"/>
      <c r="G802" s="616"/>
      <c r="H802" s="93"/>
      <c r="I802" s="41"/>
      <c r="J802" s="750"/>
    </row>
    <row r="803" spans="1:10" x14ac:dyDescent="0.35">
      <c r="A803" s="92"/>
      <c r="F803" s="606"/>
      <c r="G803" s="616"/>
      <c r="H803" s="93"/>
      <c r="I803" s="41"/>
      <c r="J803" s="750"/>
    </row>
    <row r="804" spans="1:10" x14ac:dyDescent="0.35">
      <c r="A804" s="92"/>
      <c r="F804" s="606"/>
      <c r="G804" s="616"/>
      <c r="H804" s="93"/>
      <c r="I804" s="41"/>
      <c r="J804" s="750"/>
    </row>
    <row r="805" spans="1:10" x14ac:dyDescent="0.35">
      <c r="A805" s="92"/>
      <c r="F805" s="606"/>
      <c r="G805" s="616"/>
      <c r="H805" s="93"/>
      <c r="I805" s="41"/>
      <c r="J805" s="750"/>
    </row>
    <row r="806" spans="1:10" x14ac:dyDescent="0.35">
      <c r="A806" s="92"/>
      <c r="F806" s="606"/>
      <c r="G806" s="616"/>
      <c r="H806" s="93"/>
      <c r="I806" s="41"/>
      <c r="J806" s="750"/>
    </row>
    <row r="807" spans="1:10" x14ac:dyDescent="0.35">
      <c r="A807" s="92"/>
      <c r="F807" s="606"/>
      <c r="G807" s="616"/>
      <c r="H807" s="93"/>
      <c r="I807" s="41"/>
      <c r="J807" s="750"/>
    </row>
    <row r="808" spans="1:10" x14ac:dyDescent="0.35">
      <c r="A808" s="92"/>
      <c r="F808" s="606"/>
      <c r="G808" s="616"/>
      <c r="H808" s="93"/>
      <c r="I808" s="41"/>
      <c r="J808" s="750"/>
    </row>
    <row r="809" spans="1:10" x14ac:dyDescent="0.35">
      <c r="A809" s="92"/>
      <c r="F809" s="606"/>
      <c r="G809" s="616"/>
      <c r="H809" s="93"/>
      <c r="I809" s="41"/>
      <c r="J809" s="750"/>
    </row>
    <row r="810" spans="1:10" x14ac:dyDescent="0.35">
      <c r="A810" s="92"/>
      <c r="F810" s="606"/>
      <c r="G810" s="616"/>
      <c r="H810" s="93"/>
      <c r="I810" s="41"/>
      <c r="J810" s="750"/>
    </row>
    <row r="811" spans="1:10" x14ac:dyDescent="0.35">
      <c r="A811" s="92"/>
      <c r="F811" s="606"/>
      <c r="G811" s="616"/>
      <c r="H811" s="93"/>
      <c r="I811" s="41"/>
      <c r="J811" s="750"/>
    </row>
    <row r="812" spans="1:10" x14ac:dyDescent="0.35">
      <c r="A812" s="92"/>
      <c r="F812" s="606"/>
      <c r="G812" s="616"/>
      <c r="H812" s="93"/>
      <c r="I812" s="41"/>
      <c r="J812" s="750"/>
    </row>
    <row r="813" spans="1:10" x14ac:dyDescent="0.35">
      <c r="A813" s="92"/>
      <c r="F813" s="606"/>
      <c r="G813" s="616"/>
      <c r="H813" s="93"/>
      <c r="I813" s="41"/>
      <c r="J813" s="750"/>
    </row>
    <row r="814" spans="1:10" x14ac:dyDescent="0.35">
      <c r="A814" s="92"/>
      <c r="F814" s="606"/>
      <c r="G814" s="616"/>
      <c r="H814" s="93"/>
      <c r="I814" s="41"/>
      <c r="J814" s="750"/>
    </row>
    <row r="815" spans="1:10" x14ac:dyDescent="0.35">
      <c r="A815" s="92"/>
      <c r="F815" s="606"/>
      <c r="G815" s="616"/>
      <c r="H815" s="93"/>
      <c r="I815" s="41"/>
      <c r="J815" s="750"/>
    </row>
    <row r="816" spans="1:10" x14ac:dyDescent="0.35">
      <c r="A816" s="92"/>
      <c r="F816" s="606"/>
      <c r="G816" s="616"/>
      <c r="H816" s="93"/>
      <c r="I816" s="41"/>
      <c r="J816" s="750"/>
    </row>
    <row r="817" spans="1:10" x14ac:dyDescent="0.35">
      <c r="A817" s="92"/>
      <c r="F817" s="606"/>
      <c r="G817" s="616"/>
      <c r="H817" s="93"/>
      <c r="I817" s="41"/>
      <c r="J817" s="750"/>
    </row>
    <row r="818" spans="1:10" x14ac:dyDescent="0.35">
      <c r="A818" s="92"/>
      <c r="F818" s="606"/>
      <c r="G818" s="616"/>
      <c r="H818" s="93"/>
      <c r="I818" s="41"/>
      <c r="J818" s="750"/>
    </row>
    <row r="819" spans="1:10" x14ac:dyDescent="0.35">
      <c r="A819" s="92"/>
      <c r="F819" s="606"/>
      <c r="G819" s="616"/>
      <c r="H819" s="93"/>
      <c r="I819" s="41"/>
      <c r="J819" s="750"/>
    </row>
    <row r="820" spans="1:10" x14ac:dyDescent="0.35">
      <c r="A820" s="92"/>
      <c r="F820" s="606"/>
      <c r="G820" s="616"/>
      <c r="H820" s="93"/>
      <c r="I820" s="41"/>
      <c r="J820" s="750"/>
    </row>
    <row r="821" spans="1:10" x14ac:dyDescent="0.35">
      <c r="A821" s="92"/>
      <c r="F821" s="606"/>
      <c r="G821" s="616"/>
      <c r="H821" s="93"/>
      <c r="I821" s="41"/>
      <c r="J821" s="750"/>
    </row>
    <row r="822" spans="1:10" x14ac:dyDescent="0.35">
      <c r="A822" s="92"/>
      <c r="F822" s="606"/>
      <c r="G822" s="616"/>
      <c r="H822" s="93"/>
      <c r="I822" s="41"/>
      <c r="J822" s="750"/>
    </row>
    <row r="823" spans="1:10" x14ac:dyDescent="0.35">
      <c r="A823" s="92"/>
      <c r="F823" s="606"/>
      <c r="G823" s="616"/>
      <c r="H823" s="93"/>
      <c r="I823" s="41"/>
      <c r="J823" s="750"/>
    </row>
    <row r="824" spans="1:10" x14ac:dyDescent="0.35">
      <c r="A824" s="92"/>
      <c r="F824" s="606"/>
      <c r="G824" s="616"/>
      <c r="H824" s="93"/>
      <c r="I824" s="41"/>
      <c r="J824" s="750"/>
    </row>
    <row r="825" spans="1:10" x14ac:dyDescent="0.35">
      <c r="A825" s="92"/>
      <c r="F825" s="606"/>
      <c r="G825" s="616"/>
      <c r="H825" s="93"/>
      <c r="I825" s="41"/>
      <c r="J825" s="750"/>
    </row>
    <row r="826" spans="1:10" x14ac:dyDescent="0.35">
      <c r="A826" s="92"/>
      <c r="F826" s="606"/>
      <c r="G826" s="616"/>
      <c r="H826" s="93"/>
      <c r="I826" s="41"/>
      <c r="J826" s="750"/>
    </row>
    <row r="827" spans="1:10" x14ac:dyDescent="0.35">
      <c r="A827" s="92"/>
      <c r="F827" s="606"/>
      <c r="G827" s="616"/>
      <c r="H827" s="93"/>
      <c r="I827" s="41"/>
      <c r="J827" s="750"/>
    </row>
    <row r="828" spans="1:10" x14ac:dyDescent="0.35">
      <c r="A828" s="92"/>
      <c r="F828" s="606"/>
      <c r="G828" s="616"/>
      <c r="H828" s="93"/>
      <c r="I828" s="41"/>
      <c r="J828" s="750"/>
    </row>
    <row r="829" spans="1:10" x14ac:dyDescent="0.35">
      <c r="A829" s="92"/>
      <c r="F829" s="606"/>
      <c r="G829" s="616"/>
      <c r="H829" s="93"/>
      <c r="I829" s="41"/>
      <c r="J829" s="750"/>
    </row>
    <row r="830" spans="1:10" x14ac:dyDescent="0.35">
      <c r="A830" s="92"/>
      <c r="F830" s="606"/>
      <c r="G830" s="616"/>
      <c r="H830" s="93"/>
      <c r="I830" s="41"/>
      <c r="J830" s="750"/>
    </row>
    <row r="831" spans="1:10" x14ac:dyDescent="0.35">
      <c r="A831" s="92"/>
      <c r="F831" s="606"/>
      <c r="G831" s="616"/>
      <c r="H831" s="93"/>
      <c r="I831" s="41"/>
      <c r="J831" s="750"/>
    </row>
    <row r="832" spans="1:10" x14ac:dyDescent="0.35">
      <c r="A832" s="92"/>
      <c r="F832" s="606"/>
      <c r="G832" s="616"/>
      <c r="H832" s="93"/>
      <c r="I832" s="41"/>
      <c r="J832" s="750"/>
    </row>
    <row r="833" spans="1:10" x14ac:dyDescent="0.35">
      <c r="A833" s="92"/>
      <c r="F833" s="606"/>
      <c r="G833" s="616"/>
      <c r="H833" s="93"/>
      <c r="I833" s="41"/>
      <c r="J833" s="750"/>
    </row>
    <row r="834" spans="1:10" x14ac:dyDescent="0.35">
      <c r="A834" s="92"/>
      <c r="F834" s="606"/>
      <c r="G834" s="616"/>
      <c r="H834" s="93"/>
      <c r="I834" s="41"/>
      <c r="J834" s="750"/>
    </row>
    <row r="835" spans="1:10" x14ac:dyDescent="0.35">
      <c r="A835" s="92"/>
      <c r="F835" s="606"/>
      <c r="G835" s="616"/>
      <c r="H835" s="93"/>
      <c r="I835" s="41"/>
      <c r="J835" s="750"/>
    </row>
    <row r="836" spans="1:10" x14ac:dyDescent="0.35">
      <c r="A836" s="92"/>
      <c r="F836" s="606"/>
      <c r="G836" s="616"/>
      <c r="H836" s="93"/>
      <c r="I836" s="41"/>
      <c r="J836" s="750"/>
    </row>
    <row r="837" spans="1:10" x14ac:dyDescent="0.35">
      <c r="A837" s="92"/>
      <c r="F837" s="606"/>
      <c r="G837" s="616"/>
      <c r="H837" s="93"/>
      <c r="I837" s="41"/>
      <c r="J837" s="750"/>
    </row>
    <row r="838" spans="1:10" x14ac:dyDescent="0.35">
      <c r="A838" s="92"/>
      <c r="F838" s="606"/>
      <c r="G838" s="616"/>
      <c r="H838" s="93"/>
      <c r="I838" s="41"/>
      <c r="J838" s="750"/>
    </row>
    <row r="839" spans="1:10" x14ac:dyDescent="0.35">
      <c r="A839" s="92"/>
      <c r="F839" s="606"/>
      <c r="G839" s="616"/>
      <c r="H839" s="93"/>
      <c r="I839" s="41"/>
      <c r="J839" s="750"/>
    </row>
    <row r="840" spans="1:10" x14ac:dyDescent="0.35">
      <c r="A840" s="92"/>
      <c r="F840" s="606"/>
      <c r="G840" s="616"/>
      <c r="H840" s="93"/>
      <c r="I840" s="41"/>
      <c r="J840" s="750"/>
    </row>
    <row r="841" spans="1:10" x14ac:dyDescent="0.35">
      <c r="A841" s="92"/>
      <c r="F841" s="606"/>
      <c r="G841" s="616"/>
      <c r="H841" s="93"/>
      <c r="I841" s="41"/>
      <c r="J841" s="750"/>
    </row>
    <row r="842" spans="1:10" x14ac:dyDescent="0.35">
      <c r="A842" s="92"/>
      <c r="F842" s="606"/>
      <c r="G842" s="616"/>
      <c r="H842" s="93"/>
      <c r="I842" s="41"/>
      <c r="J842" s="750"/>
    </row>
    <row r="843" spans="1:10" x14ac:dyDescent="0.35">
      <c r="A843" s="92"/>
      <c r="F843" s="606"/>
      <c r="G843" s="616"/>
      <c r="H843" s="93"/>
      <c r="I843" s="41"/>
      <c r="J843" s="750"/>
    </row>
    <row r="844" spans="1:10" x14ac:dyDescent="0.35">
      <c r="A844" s="92"/>
      <c r="F844" s="606"/>
      <c r="G844" s="616"/>
      <c r="H844" s="93"/>
      <c r="I844" s="41"/>
      <c r="J844" s="750"/>
    </row>
    <row r="845" spans="1:10" x14ac:dyDescent="0.35">
      <c r="A845" s="92"/>
      <c r="F845" s="606"/>
      <c r="G845" s="616"/>
      <c r="H845" s="93"/>
      <c r="I845" s="41"/>
      <c r="J845" s="750"/>
    </row>
    <row r="846" spans="1:10" x14ac:dyDescent="0.35">
      <c r="A846" s="92"/>
      <c r="F846" s="606"/>
      <c r="G846" s="616"/>
      <c r="H846" s="93"/>
      <c r="I846" s="41"/>
      <c r="J846" s="750"/>
    </row>
    <row r="847" spans="1:10" x14ac:dyDescent="0.35">
      <c r="A847" s="92"/>
      <c r="F847" s="606"/>
      <c r="G847" s="616"/>
      <c r="H847" s="93"/>
      <c r="I847" s="41"/>
      <c r="J847" s="750"/>
    </row>
    <row r="848" spans="1:10" x14ac:dyDescent="0.35">
      <c r="A848" s="92"/>
      <c r="F848" s="606"/>
      <c r="G848" s="616"/>
      <c r="H848" s="93"/>
      <c r="I848" s="41"/>
      <c r="J848" s="750"/>
    </row>
    <row r="849" spans="1:10" x14ac:dyDescent="0.35">
      <c r="A849" s="92"/>
      <c r="F849" s="606"/>
      <c r="G849" s="616"/>
      <c r="H849" s="93"/>
      <c r="I849" s="41"/>
      <c r="J849" s="750"/>
    </row>
    <row r="850" spans="1:10" x14ac:dyDescent="0.35">
      <c r="A850" s="92"/>
      <c r="F850" s="606"/>
      <c r="G850" s="616"/>
      <c r="H850" s="93"/>
      <c r="I850" s="41"/>
      <c r="J850" s="750"/>
    </row>
    <row r="851" spans="1:10" x14ac:dyDescent="0.35">
      <c r="A851" s="92"/>
      <c r="F851" s="606"/>
      <c r="G851" s="616"/>
      <c r="H851" s="93"/>
      <c r="I851" s="41"/>
      <c r="J851" s="750"/>
    </row>
    <row r="852" spans="1:10" x14ac:dyDescent="0.35">
      <c r="A852" s="92"/>
      <c r="F852" s="606"/>
      <c r="G852" s="616"/>
      <c r="H852" s="93"/>
      <c r="I852" s="41"/>
      <c r="J852" s="750"/>
    </row>
    <row r="853" spans="1:10" x14ac:dyDescent="0.35">
      <c r="A853" s="92"/>
      <c r="F853" s="606"/>
      <c r="G853" s="616"/>
      <c r="H853" s="93"/>
      <c r="I853" s="41"/>
      <c r="J853" s="750"/>
    </row>
    <row r="854" spans="1:10" x14ac:dyDescent="0.35">
      <c r="A854" s="92"/>
      <c r="F854" s="606"/>
      <c r="G854" s="616"/>
      <c r="H854" s="93"/>
      <c r="I854" s="41"/>
      <c r="J854" s="750"/>
    </row>
    <row r="855" spans="1:10" x14ac:dyDescent="0.35">
      <c r="A855" s="92"/>
      <c r="F855" s="606"/>
      <c r="G855" s="616"/>
      <c r="H855" s="93"/>
      <c r="I855" s="41"/>
      <c r="J855" s="750"/>
    </row>
    <row r="856" spans="1:10" x14ac:dyDescent="0.35">
      <c r="A856" s="92"/>
      <c r="F856" s="606"/>
      <c r="G856" s="616"/>
      <c r="H856" s="93"/>
      <c r="I856" s="41"/>
      <c r="J856" s="750"/>
    </row>
    <row r="857" spans="1:10" x14ac:dyDescent="0.35">
      <c r="A857" s="92"/>
      <c r="F857" s="606"/>
      <c r="G857" s="616"/>
      <c r="H857" s="93"/>
      <c r="I857" s="41"/>
      <c r="J857" s="750"/>
    </row>
    <row r="858" spans="1:10" x14ac:dyDescent="0.35">
      <c r="A858" s="92"/>
      <c r="F858" s="606"/>
      <c r="G858" s="616"/>
      <c r="H858" s="93"/>
      <c r="I858" s="41"/>
      <c r="J858" s="750"/>
    </row>
    <row r="859" spans="1:10" x14ac:dyDescent="0.35">
      <c r="A859" s="92"/>
      <c r="F859" s="606"/>
      <c r="G859" s="616"/>
      <c r="H859" s="93"/>
      <c r="I859" s="41"/>
      <c r="J859" s="750"/>
    </row>
    <row r="860" spans="1:10" x14ac:dyDescent="0.35">
      <c r="A860" s="92"/>
      <c r="F860" s="606"/>
      <c r="G860" s="616"/>
      <c r="H860" s="93"/>
      <c r="I860" s="41"/>
      <c r="J860" s="750"/>
    </row>
    <row r="861" spans="1:10" x14ac:dyDescent="0.35">
      <c r="A861" s="92"/>
      <c r="F861" s="606"/>
      <c r="G861" s="616"/>
      <c r="H861" s="93"/>
      <c r="I861" s="41"/>
      <c r="J861" s="750"/>
    </row>
    <row r="862" spans="1:10" x14ac:dyDescent="0.35">
      <c r="A862" s="92"/>
      <c r="F862" s="606"/>
      <c r="G862" s="616"/>
      <c r="H862" s="93"/>
      <c r="I862" s="41"/>
      <c r="J862" s="750"/>
    </row>
    <row r="863" spans="1:10" x14ac:dyDescent="0.35">
      <c r="A863" s="92"/>
      <c r="F863" s="606"/>
      <c r="G863" s="616"/>
      <c r="H863" s="93"/>
      <c r="I863" s="41"/>
      <c r="J863" s="750"/>
    </row>
    <row r="864" spans="1:10" x14ac:dyDescent="0.35">
      <c r="A864" s="92"/>
      <c r="F864" s="606"/>
      <c r="G864" s="616"/>
      <c r="H864" s="93"/>
      <c r="I864" s="41"/>
      <c r="J864" s="750"/>
    </row>
    <row r="865" spans="1:10" x14ac:dyDescent="0.35">
      <c r="A865" s="92"/>
      <c r="F865" s="606"/>
      <c r="G865" s="616"/>
      <c r="H865" s="93"/>
      <c r="I865" s="41"/>
      <c r="J865" s="750"/>
    </row>
    <row r="866" spans="1:10" x14ac:dyDescent="0.35">
      <c r="A866" s="92"/>
      <c r="F866" s="606"/>
      <c r="G866" s="616"/>
      <c r="H866" s="93"/>
      <c r="I866" s="41"/>
      <c r="J866" s="750"/>
    </row>
    <row r="867" spans="1:10" x14ac:dyDescent="0.35">
      <c r="A867" s="92"/>
      <c r="F867" s="606"/>
      <c r="G867" s="616"/>
      <c r="H867" s="93"/>
      <c r="I867" s="41"/>
      <c r="J867" s="750"/>
    </row>
    <row r="868" spans="1:10" x14ac:dyDescent="0.35">
      <c r="A868" s="92"/>
      <c r="F868" s="606"/>
      <c r="G868" s="616"/>
      <c r="H868" s="93"/>
      <c r="I868" s="41"/>
      <c r="J868" s="750"/>
    </row>
    <row r="869" spans="1:10" x14ac:dyDescent="0.35">
      <c r="A869" s="92"/>
      <c r="F869" s="606"/>
      <c r="G869" s="616"/>
      <c r="H869" s="93"/>
      <c r="I869" s="41"/>
      <c r="J869" s="750"/>
    </row>
    <row r="870" spans="1:10" x14ac:dyDescent="0.35">
      <c r="A870" s="92"/>
      <c r="F870" s="606"/>
      <c r="G870" s="616"/>
      <c r="H870" s="93"/>
      <c r="I870" s="41"/>
      <c r="J870" s="750"/>
    </row>
    <row r="871" spans="1:10" x14ac:dyDescent="0.35">
      <c r="A871" s="92"/>
      <c r="F871" s="606"/>
      <c r="G871" s="616"/>
      <c r="H871" s="93"/>
      <c r="I871" s="41"/>
      <c r="J871" s="750"/>
    </row>
    <row r="872" spans="1:10" x14ac:dyDescent="0.35">
      <c r="A872" s="92"/>
      <c r="F872" s="606"/>
      <c r="G872" s="616"/>
      <c r="H872" s="93"/>
      <c r="I872" s="41"/>
      <c r="J872" s="750"/>
    </row>
    <row r="873" spans="1:10" x14ac:dyDescent="0.35">
      <c r="A873" s="92"/>
      <c r="F873" s="606"/>
      <c r="G873" s="616"/>
      <c r="H873" s="93"/>
      <c r="I873" s="41"/>
      <c r="J873" s="750"/>
    </row>
    <row r="874" spans="1:10" x14ac:dyDescent="0.35">
      <c r="A874" s="92"/>
      <c r="F874" s="606"/>
      <c r="G874" s="616"/>
      <c r="H874" s="93"/>
      <c r="I874" s="41"/>
      <c r="J874" s="750"/>
    </row>
    <row r="875" spans="1:10" x14ac:dyDescent="0.35">
      <c r="A875" s="92"/>
      <c r="F875" s="606"/>
      <c r="G875" s="616"/>
      <c r="H875" s="93"/>
      <c r="I875" s="41"/>
      <c r="J875" s="750"/>
    </row>
    <row r="876" spans="1:10" x14ac:dyDescent="0.35">
      <c r="A876" s="92"/>
      <c r="F876" s="606"/>
      <c r="G876" s="616"/>
      <c r="H876" s="93"/>
      <c r="I876" s="41"/>
      <c r="J876" s="750"/>
    </row>
    <row r="877" spans="1:10" x14ac:dyDescent="0.35">
      <c r="A877" s="92"/>
      <c r="F877" s="606"/>
      <c r="G877" s="616"/>
      <c r="H877" s="93"/>
      <c r="I877" s="41"/>
      <c r="J877" s="750"/>
    </row>
    <row r="878" spans="1:10" x14ac:dyDescent="0.35">
      <c r="A878" s="92"/>
      <c r="F878" s="606"/>
      <c r="G878" s="616"/>
      <c r="H878" s="93"/>
      <c r="I878" s="41"/>
      <c r="J878" s="750"/>
    </row>
    <row r="879" spans="1:10" x14ac:dyDescent="0.35">
      <c r="A879" s="92"/>
      <c r="F879" s="606"/>
      <c r="G879" s="616"/>
      <c r="H879" s="93"/>
      <c r="I879" s="41"/>
      <c r="J879" s="750"/>
    </row>
    <row r="880" spans="1:10" x14ac:dyDescent="0.35">
      <c r="A880" s="92"/>
      <c r="F880" s="606"/>
      <c r="G880" s="616"/>
      <c r="H880" s="93"/>
      <c r="I880" s="41"/>
      <c r="J880" s="750"/>
    </row>
    <row r="881" spans="1:10" x14ac:dyDescent="0.35">
      <c r="A881" s="92"/>
      <c r="F881" s="606"/>
      <c r="G881" s="616"/>
      <c r="H881" s="93"/>
      <c r="I881" s="41"/>
      <c r="J881" s="750"/>
    </row>
    <row r="882" spans="1:10" x14ac:dyDescent="0.35">
      <c r="A882" s="92"/>
      <c r="F882" s="606"/>
      <c r="G882" s="616"/>
      <c r="H882" s="93"/>
      <c r="I882" s="41"/>
      <c r="J882" s="750"/>
    </row>
    <row r="883" spans="1:10" x14ac:dyDescent="0.35">
      <c r="A883" s="92"/>
      <c r="F883" s="606"/>
      <c r="G883" s="616"/>
      <c r="H883" s="93"/>
      <c r="I883" s="41"/>
      <c r="J883" s="750"/>
    </row>
    <row r="884" spans="1:10" x14ac:dyDescent="0.35">
      <c r="A884" s="92"/>
      <c r="F884" s="606"/>
      <c r="G884" s="616"/>
      <c r="H884" s="93"/>
      <c r="I884" s="41"/>
      <c r="J884" s="750"/>
    </row>
    <row r="885" spans="1:10" x14ac:dyDescent="0.35">
      <c r="A885" s="92"/>
      <c r="F885" s="606"/>
      <c r="G885" s="616"/>
      <c r="H885" s="93"/>
      <c r="I885" s="41"/>
      <c r="J885" s="750"/>
    </row>
    <row r="886" spans="1:10" x14ac:dyDescent="0.35">
      <c r="A886" s="92"/>
      <c r="F886" s="606"/>
      <c r="G886" s="616"/>
      <c r="H886" s="93"/>
      <c r="I886" s="41"/>
      <c r="J886" s="750"/>
    </row>
    <row r="887" spans="1:10" x14ac:dyDescent="0.35">
      <c r="A887" s="92"/>
      <c r="F887" s="606"/>
      <c r="G887" s="616"/>
      <c r="H887" s="93"/>
      <c r="I887" s="41"/>
      <c r="J887" s="750"/>
    </row>
    <row r="888" spans="1:10" x14ac:dyDescent="0.35">
      <c r="A888" s="92"/>
      <c r="F888" s="606"/>
      <c r="G888" s="616"/>
      <c r="H888" s="93"/>
      <c r="I888" s="41"/>
      <c r="J888" s="750"/>
    </row>
    <row r="889" spans="1:10" x14ac:dyDescent="0.35">
      <c r="A889" s="92"/>
      <c r="F889" s="606"/>
      <c r="G889" s="616"/>
      <c r="H889" s="93"/>
      <c r="I889" s="41"/>
      <c r="J889" s="750"/>
    </row>
    <row r="890" spans="1:10" x14ac:dyDescent="0.35">
      <c r="A890" s="92"/>
      <c r="F890" s="606"/>
      <c r="G890" s="616"/>
      <c r="H890" s="93"/>
      <c r="I890" s="41"/>
      <c r="J890" s="750"/>
    </row>
    <row r="891" spans="1:10" x14ac:dyDescent="0.35">
      <c r="A891" s="92"/>
      <c r="F891" s="606"/>
      <c r="G891" s="616"/>
      <c r="H891" s="93"/>
      <c r="I891" s="41"/>
      <c r="J891" s="750"/>
    </row>
    <row r="892" spans="1:10" x14ac:dyDescent="0.35">
      <c r="A892" s="92"/>
      <c r="F892" s="606"/>
      <c r="G892" s="616"/>
      <c r="H892" s="93"/>
      <c r="I892" s="41"/>
      <c r="J892" s="750"/>
    </row>
    <row r="893" spans="1:10" x14ac:dyDescent="0.35">
      <c r="A893" s="92"/>
      <c r="F893" s="606"/>
      <c r="G893" s="616"/>
      <c r="H893" s="93"/>
      <c r="I893" s="41"/>
      <c r="J893" s="750"/>
    </row>
    <row r="894" spans="1:10" x14ac:dyDescent="0.35">
      <c r="A894" s="92"/>
      <c r="F894" s="606"/>
      <c r="G894" s="616"/>
      <c r="H894" s="93"/>
      <c r="I894" s="41"/>
      <c r="J894" s="750"/>
    </row>
    <row r="895" spans="1:10" x14ac:dyDescent="0.35">
      <c r="A895" s="92"/>
      <c r="F895" s="606"/>
      <c r="G895" s="616"/>
      <c r="H895" s="93"/>
      <c r="I895" s="41"/>
      <c r="J895" s="750"/>
    </row>
    <row r="896" spans="1:10" x14ac:dyDescent="0.35">
      <c r="A896" s="92"/>
      <c r="F896" s="606"/>
      <c r="G896" s="616"/>
      <c r="H896" s="93"/>
      <c r="I896" s="41"/>
      <c r="J896" s="750"/>
    </row>
    <row r="897" spans="1:10" x14ac:dyDescent="0.35">
      <c r="A897" s="92"/>
      <c r="F897" s="606"/>
      <c r="G897" s="616"/>
      <c r="H897" s="93"/>
      <c r="I897" s="41"/>
      <c r="J897" s="750"/>
    </row>
    <row r="898" spans="1:10" x14ac:dyDescent="0.35">
      <c r="A898" s="92"/>
      <c r="F898" s="606"/>
      <c r="G898" s="616"/>
      <c r="H898" s="93"/>
      <c r="I898" s="41"/>
      <c r="J898" s="750"/>
    </row>
    <row r="899" spans="1:10" x14ac:dyDescent="0.35">
      <c r="A899" s="92"/>
      <c r="F899" s="606"/>
      <c r="G899" s="616"/>
      <c r="H899" s="93"/>
      <c r="I899" s="41"/>
      <c r="J899" s="750"/>
    </row>
    <row r="900" spans="1:10" x14ac:dyDescent="0.35">
      <c r="A900" s="92"/>
      <c r="F900" s="606"/>
      <c r="G900" s="616"/>
      <c r="H900" s="93"/>
      <c r="I900" s="41"/>
      <c r="J900" s="750"/>
    </row>
    <row r="901" spans="1:10" x14ac:dyDescent="0.35">
      <c r="A901" s="92"/>
      <c r="F901" s="606"/>
      <c r="G901" s="616"/>
      <c r="H901" s="93"/>
      <c r="I901" s="41"/>
      <c r="J901" s="750"/>
    </row>
    <row r="902" spans="1:10" x14ac:dyDescent="0.35">
      <c r="A902" s="92"/>
      <c r="F902" s="606"/>
      <c r="G902" s="616"/>
      <c r="H902" s="93"/>
      <c r="I902" s="41"/>
      <c r="J902" s="750"/>
    </row>
    <row r="903" spans="1:10" x14ac:dyDescent="0.35">
      <c r="A903" s="92"/>
      <c r="F903" s="606"/>
      <c r="G903" s="616"/>
      <c r="H903" s="93"/>
      <c r="I903" s="41"/>
      <c r="J903" s="750"/>
    </row>
    <row r="904" spans="1:10" x14ac:dyDescent="0.35">
      <c r="A904" s="92"/>
      <c r="F904" s="606"/>
      <c r="G904" s="616"/>
      <c r="H904" s="93"/>
      <c r="I904" s="41"/>
      <c r="J904" s="750"/>
    </row>
    <row r="905" spans="1:10" x14ac:dyDescent="0.35">
      <c r="A905" s="92"/>
      <c r="F905" s="606"/>
      <c r="G905" s="616"/>
      <c r="H905" s="93"/>
      <c r="I905" s="41"/>
      <c r="J905" s="750"/>
    </row>
    <row r="906" spans="1:10" x14ac:dyDescent="0.35">
      <c r="A906" s="92"/>
      <c r="F906" s="606"/>
      <c r="G906" s="616"/>
      <c r="H906" s="93"/>
      <c r="I906" s="41"/>
      <c r="J906" s="750"/>
    </row>
    <row r="907" spans="1:10" x14ac:dyDescent="0.35">
      <c r="A907" s="92"/>
      <c r="F907" s="606"/>
      <c r="G907" s="616"/>
      <c r="H907" s="93"/>
      <c r="I907" s="41"/>
      <c r="J907" s="750"/>
    </row>
    <row r="908" spans="1:10" x14ac:dyDescent="0.35">
      <c r="A908" s="92"/>
      <c r="F908" s="606"/>
      <c r="G908" s="616"/>
      <c r="H908" s="93"/>
      <c r="I908" s="41"/>
      <c r="J908" s="750"/>
    </row>
    <row r="909" spans="1:10" x14ac:dyDescent="0.35">
      <c r="A909" s="92"/>
      <c r="F909" s="606"/>
      <c r="G909" s="616"/>
      <c r="H909" s="93"/>
      <c r="I909" s="41"/>
      <c r="J909" s="750"/>
    </row>
    <row r="910" spans="1:10" x14ac:dyDescent="0.35">
      <c r="A910" s="92"/>
      <c r="F910" s="606"/>
      <c r="G910" s="616"/>
      <c r="H910" s="93"/>
      <c r="I910" s="41"/>
      <c r="J910" s="750"/>
    </row>
    <row r="911" spans="1:10" x14ac:dyDescent="0.35">
      <c r="A911" s="92"/>
      <c r="F911" s="606"/>
      <c r="G911" s="616"/>
      <c r="H911" s="93"/>
      <c r="I911" s="41"/>
      <c r="J911" s="750"/>
    </row>
    <row r="912" spans="1:10" x14ac:dyDescent="0.35">
      <c r="A912" s="92"/>
      <c r="F912" s="606"/>
      <c r="G912" s="616"/>
      <c r="H912" s="93"/>
      <c r="I912" s="41"/>
      <c r="J912" s="750"/>
    </row>
    <row r="913" spans="1:10" x14ac:dyDescent="0.35">
      <c r="A913" s="92"/>
      <c r="F913" s="606"/>
      <c r="G913" s="616"/>
      <c r="H913" s="93"/>
      <c r="I913" s="41"/>
      <c r="J913" s="750"/>
    </row>
    <row r="914" spans="1:10" x14ac:dyDescent="0.35">
      <c r="A914" s="92"/>
      <c r="F914" s="606"/>
      <c r="G914" s="616"/>
      <c r="H914" s="93"/>
      <c r="I914" s="41"/>
      <c r="J914" s="750"/>
    </row>
    <row r="915" spans="1:10" x14ac:dyDescent="0.35">
      <c r="A915" s="92"/>
      <c r="F915" s="606"/>
      <c r="G915" s="616"/>
      <c r="H915" s="93"/>
      <c r="I915" s="41"/>
      <c r="J915" s="750"/>
    </row>
    <row r="916" spans="1:10" x14ac:dyDescent="0.35">
      <c r="A916" s="92"/>
      <c r="F916" s="606"/>
      <c r="G916" s="616"/>
      <c r="H916" s="93"/>
      <c r="I916" s="41"/>
      <c r="J916" s="750"/>
    </row>
    <row r="917" spans="1:10" x14ac:dyDescent="0.35">
      <c r="A917" s="92"/>
      <c r="F917" s="606"/>
      <c r="G917" s="616"/>
      <c r="H917" s="93"/>
      <c r="I917" s="41"/>
      <c r="J917" s="750"/>
    </row>
    <row r="918" spans="1:10" x14ac:dyDescent="0.35">
      <c r="A918" s="92"/>
      <c r="F918" s="606"/>
      <c r="G918" s="616"/>
      <c r="H918" s="93"/>
      <c r="I918" s="41"/>
      <c r="J918" s="750"/>
    </row>
    <row r="919" spans="1:10" x14ac:dyDescent="0.35">
      <c r="A919" s="92"/>
      <c r="F919" s="606"/>
      <c r="G919" s="616"/>
      <c r="H919" s="93"/>
      <c r="I919" s="41"/>
      <c r="J919" s="750"/>
    </row>
    <row r="920" spans="1:10" x14ac:dyDescent="0.35">
      <c r="A920" s="92"/>
      <c r="F920" s="606"/>
      <c r="G920" s="616"/>
      <c r="H920" s="93"/>
      <c r="I920" s="41"/>
      <c r="J920" s="750"/>
    </row>
    <row r="921" spans="1:10" x14ac:dyDescent="0.35">
      <c r="A921" s="92"/>
      <c r="F921" s="606"/>
      <c r="G921" s="616"/>
      <c r="H921" s="93"/>
      <c r="I921" s="41"/>
      <c r="J921" s="750"/>
    </row>
    <row r="922" spans="1:10" x14ac:dyDescent="0.35">
      <c r="A922" s="92"/>
      <c r="F922" s="606"/>
      <c r="G922" s="616"/>
      <c r="H922" s="93"/>
      <c r="I922" s="41"/>
      <c r="J922" s="750"/>
    </row>
    <row r="923" spans="1:10" x14ac:dyDescent="0.35">
      <c r="A923" s="92"/>
      <c r="F923" s="606"/>
      <c r="G923" s="616"/>
      <c r="H923" s="93"/>
      <c r="I923" s="41"/>
      <c r="J923" s="750"/>
    </row>
    <row r="924" spans="1:10" x14ac:dyDescent="0.35">
      <c r="A924" s="92"/>
      <c r="F924" s="606"/>
      <c r="G924" s="616"/>
      <c r="H924" s="93"/>
      <c r="I924" s="41"/>
      <c r="J924" s="750"/>
    </row>
    <row r="925" spans="1:10" x14ac:dyDescent="0.35">
      <c r="A925" s="92"/>
      <c r="F925" s="606"/>
      <c r="G925" s="616"/>
      <c r="H925" s="93"/>
      <c r="I925" s="41"/>
      <c r="J925" s="750"/>
    </row>
    <row r="926" spans="1:10" x14ac:dyDescent="0.35">
      <c r="A926" s="92"/>
      <c r="F926" s="606"/>
      <c r="G926" s="616"/>
      <c r="H926" s="93"/>
      <c r="I926" s="41"/>
      <c r="J926" s="750"/>
    </row>
    <row r="927" spans="1:10" x14ac:dyDescent="0.35">
      <c r="A927" s="92"/>
      <c r="F927" s="606"/>
      <c r="G927" s="616"/>
      <c r="H927" s="93"/>
      <c r="I927" s="41"/>
      <c r="J927" s="750"/>
    </row>
    <row r="928" spans="1:10" x14ac:dyDescent="0.35">
      <c r="A928" s="92"/>
      <c r="F928" s="606"/>
      <c r="G928" s="616"/>
      <c r="H928" s="93"/>
      <c r="I928" s="41"/>
      <c r="J928" s="750"/>
    </row>
    <row r="929" spans="1:10" x14ac:dyDescent="0.35">
      <c r="A929" s="92"/>
      <c r="F929" s="606"/>
      <c r="G929" s="616"/>
      <c r="H929" s="93"/>
      <c r="I929" s="41"/>
      <c r="J929" s="750"/>
    </row>
    <row r="930" spans="1:10" x14ac:dyDescent="0.35">
      <c r="A930" s="92"/>
      <c r="F930" s="606"/>
      <c r="G930" s="616"/>
      <c r="H930" s="93"/>
      <c r="I930" s="41"/>
      <c r="J930" s="750"/>
    </row>
    <row r="931" spans="1:10" x14ac:dyDescent="0.35">
      <c r="A931" s="92"/>
      <c r="F931" s="606"/>
      <c r="G931" s="616"/>
      <c r="H931" s="93"/>
      <c r="I931" s="41"/>
      <c r="J931" s="750"/>
    </row>
    <row r="932" spans="1:10" x14ac:dyDescent="0.35">
      <c r="A932" s="92"/>
      <c r="F932" s="606"/>
      <c r="G932" s="616"/>
      <c r="H932" s="93"/>
      <c r="I932" s="41"/>
      <c r="J932" s="750"/>
    </row>
    <row r="933" spans="1:10" x14ac:dyDescent="0.35">
      <c r="A933" s="92"/>
      <c r="F933" s="606"/>
      <c r="G933" s="616"/>
      <c r="H933" s="93"/>
      <c r="I933" s="41"/>
      <c r="J933" s="750"/>
    </row>
    <row r="934" spans="1:10" x14ac:dyDescent="0.35">
      <c r="A934" s="92"/>
      <c r="F934" s="606"/>
      <c r="G934" s="616"/>
      <c r="H934" s="93"/>
      <c r="I934" s="41"/>
      <c r="J934" s="750"/>
    </row>
    <row r="935" spans="1:10" x14ac:dyDescent="0.35">
      <c r="A935" s="92"/>
      <c r="F935" s="606"/>
      <c r="G935" s="616"/>
      <c r="H935" s="93"/>
      <c r="I935" s="41"/>
      <c r="J935" s="750"/>
    </row>
    <row r="936" spans="1:10" x14ac:dyDescent="0.35">
      <c r="A936" s="92"/>
      <c r="F936" s="606"/>
      <c r="G936" s="616"/>
      <c r="H936" s="93"/>
      <c r="I936" s="41"/>
      <c r="J936" s="750"/>
    </row>
    <row r="937" spans="1:10" x14ac:dyDescent="0.35">
      <c r="A937" s="92"/>
      <c r="F937" s="606"/>
      <c r="G937" s="616"/>
      <c r="H937" s="93"/>
      <c r="I937" s="41"/>
      <c r="J937" s="750"/>
    </row>
    <row r="938" spans="1:10" x14ac:dyDescent="0.35">
      <c r="A938" s="92"/>
      <c r="F938" s="606"/>
      <c r="G938" s="616"/>
      <c r="H938" s="93"/>
      <c r="I938" s="41"/>
      <c r="J938" s="750"/>
    </row>
    <row r="939" spans="1:10" x14ac:dyDescent="0.35">
      <c r="A939" s="92"/>
      <c r="F939" s="606"/>
      <c r="G939" s="616"/>
      <c r="H939" s="93"/>
      <c r="I939" s="41"/>
      <c r="J939" s="750"/>
    </row>
    <row r="940" spans="1:10" x14ac:dyDescent="0.35">
      <c r="A940" s="92"/>
      <c r="F940" s="606"/>
      <c r="G940" s="616"/>
      <c r="H940" s="93"/>
      <c r="I940" s="41"/>
      <c r="J940" s="750"/>
    </row>
    <row r="941" spans="1:10" x14ac:dyDescent="0.35">
      <c r="A941" s="92"/>
      <c r="F941" s="606"/>
      <c r="G941" s="616"/>
      <c r="H941" s="93"/>
      <c r="I941" s="41"/>
      <c r="J941" s="750"/>
    </row>
    <row r="942" spans="1:10" x14ac:dyDescent="0.35">
      <c r="A942" s="92"/>
      <c r="F942" s="606"/>
      <c r="G942" s="616"/>
      <c r="H942" s="93"/>
      <c r="I942" s="41"/>
      <c r="J942" s="750"/>
    </row>
    <row r="943" spans="1:10" x14ac:dyDescent="0.35">
      <c r="A943" s="92"/>
      <c r="F943" s="606"/>
      <c r="G943" s="616"/>
      <c r="H943" s="93"/>
      <c r="I943" s="41"/>
      <c r="J943" s="750"/>
    </row>
    <row r="944" spans="1:10" x14ac:dyDescent="0.35">
      <c r="A944" s="92"/>
      <c r="F944" s="606"/>
      <c r="G944" s="616"/>
      <c r="H944" s="93"/>
      <c r="I944" s="41"/>
      <c r="J944" s="750"/>
    </row>
    <row r="945" spans="1:10" x14ac:dyDescent="0.35">
      <c r="A945" s="92"/>
      <c r="F945" s="606"/>
      <c r="G945" s="616"/>
      <c r="H945" s="93"/>
      <c r="I945" s="41"/>
      <c r="J945" s="750"/>
    </row>
    <row r="946" spans="1:10" x14ac:dyDescent="0.35">
      <c r="A946" s="92"/>
      <c r="F946" s="606"/>
      <c r="G946" s="616"/>
      <c r="H946" s="93"/>
      <c r="I946" s="41"/>
      <c r="J946" s="750"/>
    </row>
    <row r="947" spans="1:10" x14ac:dyDescent="0.35">
      <c r="A947" s="92"/>
      <c r="F947" s="606"/>
      <c r="G947" s="616"/>
      <c r="H947" s="93"/>
      <c r="I947" s="41"/>
      <c r="J947" s="750"/>
    </row>
    <row r="948" spans="1:10" x14ac:dyDescent="0.35">
      <c r="A948" s="92"/>
      <c r="F948" s="606"/>
      <c r="G948" s="616"/>
      <c r="H948" s="93"/>
      <c r="I948" s="41"/>
      <c r="J948" s="750"/>
    </row>
    <row r="949" spans="1:10" x14ac:dyDescent="0.35">
      <c r="A949" s="92"/>
      <c r="F949" s="606"/>
      <c r="G949" s="616"/>
      <c r="H949" s="93"/>
      <c r="I949" s="41"/>
      <c r="J949" s="750"/>
    </row>
    <row r="950" spans="1:10" x14ac:dyDescent="0.35">
      <c r="A950" s="92"/>
      <c r="F950" s="606"/>
      <c r="G950" s="616"/>
      <c r="H950" s="93"/>
      <c r="I950" s="41"/>
      <c r="J950" s="750"/>
    </row>
    <row r="951" spans="1:10" x14ac:dyDescent="0.35">
      <c r="A951" s="92"/>
      <c r="F951" s="606"/>
      <c r="G951" s="616"/>
      <c r="H951" s="93"/>
      <c r="I951" s="41"/>
      <c r="J951" s="750"/>
    </row>
    <row r="952" spans="1:10" x14ac:dyDescent="0.35">
      <c r="A952" s="92"/>
      <c r="F952" s="606"/>
      <c r="G952" s="616"/>
      <c r="H952" s="93"/>
      <c r="I952" s="41"/>
      <c r="J952" s="750"/>
    </row>
    <row r="953" spans="1:10" x14ac:dyDescent="0.35">
      <c r="A953" s="92"/>
      <c r="F953" s="606"/>
      <c r="G953" s="616"/>
      <c r="H953" s="93"/>
      <c r="I953" s="41"/>
      <c r="J953" s="750"/>
    </row>
    <row r="954" spans="1:10" x14ac:dyDescent="0.35">
      <c r="A954" s="92"/>
      <c r="F954" s="606"/>
      <c r="G954" s="616"/>
      <c r="H954" s="93"/>
      <c r="I954" s="41"/>
      <c r="J954" s="750"/>
    </row>
    <row r="955" spans="1:10" x14ac:dyDescent="0.35">
      <c r="A955" s="92"/>
      <c r="F955" s="606"/>
      <c r="G955" s="616"/>
      <c r="H955" s="93"/>
      <c r="I955" s="41"/>
      <c r="J955" s="750"/>
    </row>
    <row r="956" spans="1:10" x14ac:dyDescent="0.35">
      <c r="A956" s="92"/>
      <c r="F956" s="606"/>
      <c r="G956" s="616"/>
      <c r="H956" s="93"/>
      <c r="I956" s="41"/>
      <c r="J956" s="750"/>
    </row>
    <row r="957" spans="1:10" x14ac:dyDescent="0.35">
      <c r="A957" s="92"/>
      <c r="F957" s="606"/>
      <c r="G957" s="616"/>
      <c r="H957" s="93"/>
      <c r="I957" s="41"/>
      <c r="J957" s="750"/>
    </row>
    <row r="958" spans="1:10" x14ac:dyDescent="0.35">
      <c r="A958" s="92"/>
      <c r="F958" s="606"/>
      <c r="G958" s="616"/>
      <c r="H958" s="93"/>
      <c r="I958" s="41"/>
      <c r="J958" s="750"/>
    </row>
    <row r="959" spans="1:10" x14ac:dyDescent="0.35">
      <c r="A959" s="92"/>
      <c r="F959" s="606"/>
      <c r="G959" s="616"/>
      <c r="H959" s="93"/>
      <c r="I959" s="41"/>
      <c r="J959" s="750"/>
    </row>
    <row r="960" spans="1:10" x14ac:dyDescent="0.35">
      <c r="A960" s="92"/>
      <c r="F960" s="606"/>
      <c r="G960" s="616"/>
      <c r="H960" s="93"/>
      <c r="I960" s="41"/>
      <c r="J960" s="750"/>
    </row>
    <row r="961" spans="1:10" x14ac:dyDescent="0.35">
      <c r="A961" s="92"/>
      <c r="F961" s="606"/>
      <c r="G961" s="616"/>
      <c r="H961" s="93"/>
      <c r="I961" s="41"/>
      <c r="J961" s="750"/>
    </row>
    <row r="962" spans="1:10" x14ac:dyDescent="0.35">
      <c r="A962" s="92"/>
      <c r="F962" s="606"/>
      <c r="G962" s="616"/>
      <c r="H962" s="93"/>
      <c r="I962" s="41"/>
      <c r="J962" s="750"/>
    </row>
    <row r="963" spans="1:10" x14ac:dyDescent="0.35">
      <c r="A963" s="92"/>
      <c r="F963" s="606"/>
      <c r="G963" s="616"/>
      <c r="H963" s="93"/>
      <c r="I963" s="41"/>
      <c r="J963" s="750"/>
    </row>
    <row r="964" spans="1:10" x14ac:dyDescent="0.35">
      <c r="A964" s="92"/>
      <c r="F964" s="606"/>
      <c r="G964" s="616"/>
      <c r="H964" s="93"/>
      <c r="I964" s="41"/>
      <c r="J964" s="750"/>
    </row>
    <row r="965" spans="1:10" x14ac:dyDescent="0.35">
      <c r="A965" s="92"/>
      <c r="F965" s="606"/>
      <c r="G965" s="616"/>
      <c r="H965" s="93"/>
      <c r="I965" s="41"/>
      <c r="J965" s="750"/>
    </row>
    <row r="966" spans="1:10" x14ac:dyDescent="0.35">
      <c r="A966" s="92"/>
      <c r="F966" s="606"/>
      <c r="G966" s="616"/>
      <c r="H966" s="93"/>
      <c r="I966" s="41"/>
      <c r="J966" s="750"/>
    </row>
    <row r="967" spans="1:10" x14ac:dyDescent="0.35">
      <c r="A967" s="92"/>
      <c r="F967" s="606"/>
      <c r="G967" s="616"/>
      <c r="H967" s="93"/>
      <c r="I967" s="41"/>
      <c r="J967" s="750"/>
    </row>
    <row r="968" spans="1:10" x14ac:dyDescent="0.35">
      <c r="A968" s="92"/>
      <c r="F968" s="606"/>
      <c r="G968" s="616"/>
      <c r="H968" s="93"/>
      <c r="I968" s="41"/>
      <c r="J968" s="750"/>
    </row>
    <row r="969" spans="1:10" x14ac:dyDescent="0.35">
      <c r="A969" s="92"/>
      <c r="F969" s="606"/>
      <c r="G969" s="616"/>
      <c r="H969" s="93"/>
      <c r="I969" s="41"/>
      <c r="J969" s="750"/>
    </row>
    <row r="970" spans="1:10" x14ac:dyDescent="0.35">
      <c r="A970" s="92"/>
      <c r="F970" s="606"/>
      <c r="G970" s="616"/>
      <c r="H970" s="93"/>
      <c r="I970" s="41"/>
      <c r="J970" s="750"/>
    </row>
    <row r="971" spans="1:10" x14ac:dyDescent="0.35">
      <c r="A971" s="92"/>
      <c r="F971" s="606"/>
      <c r="G971" s="616"/>
      <c r="H971" s="93"/>
      <c r="I971" s="41"/>
      <c r="J971" s="750"/>
    </row>
    <row r="972" spans="1:10" x14ac:dyDescent="0.35">
      <c r="A972" s="92"/>
      <c r="F972" s="606"/>
      <c r="G972" s="616"/>
      <c r="H972" s="93"/>
      <c r="I972" s="41"/>
      <c r="J972" s="750"/>
    </row>
    <row r="973" spans="1:10" x14ac:dyDescent="0.35">
      <c r="A973" s="92"/>
      <c r="F973" s="606"/>
      <c r="G973" s="616"/>
      <c r="H973" s="93"/>
      <c r="I973" s="41"/>
      <c r="J973" s="750"/>
    </row>
    <row r="974" spans="1:10" x14ac:dyDescent="0.35">
      <c r="A974" s="92"/>
      <c r="F974" s="606"/>
      <c r="G974" s="616"/>
      <c r="H974" s="93"/>
      <c r="I974" s="41"/>
      <c r="J974" s="750"/>
    </row>
    <row r="975" spans="1:10" x14ac:dyDescent="0.35">
      <c r="A975" s="92"/>
      <c r="F975" s="606"/>
      <c r="G975" s="616"/>
      <c r="H975" s="93"/>
      <c r="I975" s="41"/>
      <c r="J975" s="750"/>
    </row>
    <row r="976" spans="1:10" x14ac:dyDescent="0.35">
      <c r="A976" s="92"/>
      <c r="F976" s="606"/>
      <c r="G976" s="616"/>
      <c r="H976" s="93"/>
      <c r="I976" s="41"/>
      <c r="J976" s="750"/>
    </row>
    <row r="977" spans="1:10" x14ac:dyDescent="0.35">
      <c r="A977" s="92"/>
      <c r="F977" s="606"/>
      <c r="G977" s="616"/>
      <c r="H977" s="93"/>
      <c r="I977" s="41"/>
      <c r="J977" s="750"/>
    </row>
    <row r="978" spans="1:10" x14ac:dyDescent="0.35">
      <c r="A978" s="92"/>
      <c r="F978" s="606"/>
      <c r="G978" s="616"/>
      <c r="H978" s="93"/>
      <c r="I978" s="41"/>
      <c r="J978" s="750"/>
    </row>
    <row r="979" spans="1:10" x14ac:dyDescent="0.35">
      <c r="A979" s="92"/>
      <c r="F979" s="606"/>
      <c r="G979" s="616"/>
      <c r="H979" s="93"/>
      <c r="I979" s="41"/>
      <c r="J979" s="750"/>
    </row>
    <row r="980" spans="1:10" x14ac:dyDescent="0.35">
      <c r="A980" s="92"/>
      <c r="F980" s="606"/>
      <c r="G980" s="616"/>
      <c r="H980" s="93"/>
      <c r="I980" s="41"/>
      <c r="J980" s="750"/>
    </row>
    <row r="981" spans="1:10" x14ac:dyDescent="0.35">
      <c r="A981" s="92"/>
      <c r="F981" s="606"/>
      <c r="G981" s="616"/>
      <c r="H981" s="93"/>
      <c r="I981" s="41"/>
      <c r="J981" s="750"/>
    </row>
    <row r="982" spans="1:10" x14ac:dyDescent="0.35">
      <c r="A982" s="92"/>
      <c r="F982" s="606"/>
      <c r="G982" s="616"/>
      <c r="H982" s="93"/>
      <c r="I982" s="41"/>
      <c r="J982" s="750"/>
    </row>
    <row r="983" spans="1:10" x14ac:dyDescent="0.35">
      <c r="A983" s="92"/>
      <c r="F983" s="606"/>
      <c r="G983" s="616"/>
      <c r="H983" s="93"/>
      <c r="I983" s="41"/>
      <c r="J983" s="750"/>
    </row>
    <row r="984" spans="1:10" x14ac:dyDescent="0.35">
      <c r="A984" s="92"/>
      <c r="F984" s="606"/>
      <c r="G984" s="616"/>
      <c r="H984" s="93"/>
      <c r="I984" s="41"/>
      <c r="J984" s="750"/>
    </row>
    <row r="985" spans="1:10" x14ac:dyDescent="0.35">
      <c r="A985" s="92"/>
      <c r="F985" s="606"/>
      <c r="G985" s="616"/>
      <c r="H985" s="93"/>
      <c r="I985" s="41"/>
      <c r="J985" s="750"/>
    </row>
    <row r="986" spans="1:10" x14ac:dyDescent="0.35">
      <c r="A986" s="92"/>
      <c r="F986" s="606"/>
      <c r="G986" s="616"/>
      <c r="H986" s="93"/>
      <c r="I986" s="41"/>
      <c r="J986" s="750"/>
    </row>
    <row r="987" spans="1:10" x14ac:dyDescent="0.35">
      <c r="A987" s="92"/>
      <c r="F987" s="606"/>
      <c r="G987" s="616"/>
      <c r="H987" s="93"/>
      <c r="I987" s="41"/>
      <c r="J987" s="750"/>
    </row>
    <row r="988" spans="1:10" x14ac:dyDescent="0.35">
      <c r="A988" s="92"/>
      <c r="F988" s="606"/>
      <c r="G988" s="616"/>
      <c r="H988" s="93"/>
      <c r="I988" s="41"/>
      <c r="J988" s="750"/>
    </row>
    <row r="989" spans="1:10" x14ac:dyDescent="0.35">
      <c r="A989" s="92"/>
      <c r="F989" s="606"/>
      <c r="G989" s="616"/>
      <c r="H989" s="93"/>
      <c r="I989" s="41"/>
      <c r="J989" s="750"/>
    </row>
    <row r="990" spans="1:10" x14ac:dyDescent="0.35">
      <c r="A990" s="92"/>
      <c r="F990" s="606"/>
      <c r="G990" s="616"/>
      <c r="H990" s="93"/>
      <c r="I990" s="41"/>
      <c r="J990" s="750"/>
    </row>
    <row r="991" spans="1:10" x14ac:dyDescent="0.35">
      <c r="A991" s="92"/>
      <c r="F991" s="606"/>
      <c r="G991" s="616"/>
      <c r="H991" s="93"/>
      <c r="I991" s="41"/>
      <c r="J991" s="750"/>
    </row>
    <row r="992" spans="1:10" x14ac:dyDescent="0.35">
      <c r="A992" s="92"/>
      <c r="F992" s="606"/>
      <c r="G992" s="616"/>
      <c r="H992" s="93"/>
      <c r="I992" s="41"/>
      <c r="J992" s="750"/>
    </row>
    <row r="993" spans="1:10" x14ac:dyDescent="0.35">
      <c r="A993" s="92"/>
      <c r="F993" s="606"/>
      <c r="G993" s="616"/>
      <c r="H993" s="93"/>
      <c r="I993" s="41"/>
      <c r="J993" s="750"/>
    </row>
    <row r="994" spans="1:10" x14ac:dyDescent="0.35">
      <c r="A994" s="92"/>
      <c r="F994" s="606"/>
      <c r="G994" s="616"/>
      <c r="H994" s="93"/>
      <c r="I994" s="41"/>
      <c r="J994" s="750"/>
    </row>
    <row r="995" spans="1:10" x14ac:dyDescent="0.35">
      <c r="A995" s="92"/>
      <c r="F995" s="606"/>
      <c r="G995" s="616"/>
      <c r="H995" s="93"/>
      <c r="I995" s="41"/>
      <c r="J995" s="750"/>
    </row>
    <row r="996" spans="1:10" x14ac:dyDescent="0.35">
      <c r="A996" s="92"/>
      <c r="F996" s="606"/>
      <c r="G996" s="616"/>
      <c r="H996" s="93"/>
      <c r="I996" s="41"/>
      <c r="J996" s="750"/>
    </row>
    <row r="997" spans="1:10" x14ac:dyDescent="0.35">
      <c r="A997" s="92"/>
      <c r="F997" s="606"/>
      <c r="G997" s="616"/>
      <c r="H997" s="93"/>
      <c r="I997" s="41"/>
      <c r="J997" s="750"/>
    </row>
    <row r="998" spans="1:10" x14ac:dyDescent="0.35">
      <c r="A998" s="92"/>
      <c r="F998" s="606"/>
      <c r="G998" s="616"/>
      <c r="H998" s="93"/>
      <c r="I998" s="41"/>
      <c r="J998" s="750"/>
    </row>
    <row r="999" spans="1:10" x14ac:dyDescent="0.35">
      <c r="A999" s="92"/>
      <c r="F999" s="606"/>
      <c r="G999" s="616"/>
      <c r="H999" s="93"/>
      <c r="I999" s="41"/>
      <c r="J999" s="750"/>
    </row>
    <row r="1000" spans="1:10" x14ac:dyDescent="0.35">
      <c r="A1000" s="92"/>
      <c r="F1000" s="606"/>
      <c r="G1000" s="616"/>
      <c r="H1000" s="93"/>
      <c r="I1000" s="41"/>
      <c r="J1000" s="750"/>
    </row>
    <row r="1001" spans="1:10" x14ac:dyDescent="0.35">
      <c r="A1001" s="92"/>
      <c r="F1001" s="606"/>
      <c r="G1001" s="616"/>
      <c r="H1001" s="93"/>
      <c r="I1001" s="41"/>
      <c r="J1001" s="750"/>
    </row>
    <row r="1002" spans="1:10" x14ac:dyDescent="0.35">
      <c r="A1002" s="92"/>
      <c r="F1002" s="606"/>
      <c r="G1002" s="616"/>
      <c r="H1002" s="93"/>
      <c r="I1002" s="41"/>
      <c r="J1002" s="750"/>
    </row>
    <row r="1003" spans="1:10" x14ac:dyDescent="0.35">
      <c r="A1003" s="92"/>
      <c r="F1003" s="606"/>
      <c r="G1003" s="616"/>
      <c r="H1003" s="93"/>
      <c r="I1003" s="41"/>
      <c r="J1003" s="750"/>
    </row>
    <row r="1004" spans="1:10" x14ac:dyDescent="0.35">
      <c r="A1004" s="92"/>
      <c r="F1004" s="606"/>
      <c r="G1004" s="616"/>
      <c r="H1004" s="93"/>
      <c r="I1004" s="41"/>
      <c r="J1004" s="750"/>
    </row>
    <row r="1005" spans="1:10" x14ac:dyDescent="0.35">
      <c r="A1005" s="92"/>
      <c r="F1005" s="606"/>
      <c r="G1005" s="616"/>
      <c r="H1005" s="93"/>
      <c r="I1005" s="41"/>
      <c r="J1005" s="750"/>
    </row>
    <row r="1006" spans="1:10" x14ac:dyDescent="0.35">
      <c r="A1006" s="92"/>
      <c r="F1006" s="606"/>
      <c r="G1006" s="616"/>
      <c r="H1006" s="93"/>
      <c r="I1006" s="41"/>
      <c r="J1006" s="750"/>
    </row>
    <row r="1007" spans="1:10" x14ac:dyDescent="0.35">
      <c r="A1007" s="92"/>
      <c r="F1007" s="606"/>
      <c r="G1007" s="616"/>
      <c r="H1007" s="93"/>
      <c r="I1007" s="41"/>
      <c r="J1007" s="750"/>
    </row>
    <row r="1008" spans="1:10" x14ac:dyDescent="0.35">
      <c r="A1008" s="92"/>
      <c r="F1008" s="606"/>
      <c r="G1008" s="616"/>
      <c r="H1008" s="93"/>
      <c r="I1008" s="41"/>
      <c r="J1008" s="750"/>
    </row>
    <row r="1009" spans="1:10" x14ac:dyDescent="0.35">
      <c r="A1009" s="92"/>
      <c r="F1009" s="606"/>
      <c r="G1009" s="616"/>
      <c r="H1009" s="93"/>
      <c r="I1009" s="41"/>
      <c r="J1009" s="750"/>
    </row>
    <row r="1010" spans="1:10" x14ac:dyDescent="0.35">
      <c r="A1010" s="92"/>
      <c r="F1010" s="606"/>
      <c r="G1010" s="616"/>
      <c r="H1010" s="93"/>
      <c r="I1010" s="41"/>
      <c r="J1010" s="750"/>
    </row>
    <row r="1011" spans="1:10" x14ac:dyDescent="0.35">
      <c r="A1011" s="92"/>
      <c r="F1011" s="606"/>
      <c r="G1011" s="616"/>
      <c r="H1011" s="93"/>
      <c r="I1011" s="41"/>
      <c r="J1011" s="750"/>
    </row>
    <row r="1012" spans="1:10" x14ac:dyDescent="0.35">
      <c r="A1012" s="92"/>
      <c r="F1012" s="606"/>
      <c r="G1012" s="616"/>
      <c r="H1012" s="93"/>
      <c r="I1012" s="41"/>
      <c r="J1012" s="750"/>
    </row>
    <row r="1013" spans="1:10" x14ac:dyDescent="0.35">
      <c r="A1013" s="92"/>
      <c r="F1013" s="606"/>
      <c r="G1013" s="616"/>
      <c r="H1013" s="93"/>
      <c r="I1013" s="41"/>
      <c r="J1013" s="750"/>
    </row>
    <row r="1014" spans="1:10" x14ac:dyDescent="0.35">
      <c r="A1014" s="92"/>
      <c r="F1014" s="606"/>
      <c r="G1014" s="616"/>
      <c r="H1014" s="93"/>
      <c r="I1014" s="41"/>
      <c r="J1014" s="750"/>
    </row>
    <row r="1015" spans="1:10" x14ac:dyDescent="0.35">
      <c r="A1015" s="92"/>
      <c r="F1015" s="606"/>
      <c r="G1015" s="616"/>
      <c r="H1015" s="93"/>
      <c r="I1015" s="41"/>
      <c r="J1015" s="750"/>
    </row>
    <row r="1016" spans="1:10" x14ac:dyDescent="0.35">
      <c r="A1016" s="92"/>
      <c r="F1016" s="606"/>
      <c r="G1016" s="616"/>
      <c r="H1016" s="93"/>
      <c r="I1016" s="41"/>
      <c r="J1016" s="750"/>
    </row>
    <row r="1017" spans="1:10" x14ac:dyDescent="0.35">
      <c r="A1017" s="92"/>
      <c r="F1017" s="606"/>
      <c r="G1017" s="616"/>
      <c r="H1017" s="93"/>
      <c r="I1017" s="41"/>
      <c r="J1017" s="750"/>
    </row>
    <row r="1018" spans="1:10" x14ac:dyDescent="0.35">
      <c r="A1018" s="92"/>
      <c r="F1018" s="606"/>
      <c r="G1018" s="616"/>
      <c r="H1018" s="93"/>
      <c r="I1018" s="41"/>
      <c r="J1018" s="750"/>
    </row>
    <row r="1019" spans="1:10" x14ac:dyDescent="0.35">
      <c r="A1019" s="92"/>
      <c r="F1019" s="606"/>
      <c r="G1019" s="616"/>
      <c r="H1019" s="93"/>
      <c r="I1019" s="41"/>
      <c r="J1019" s="750"/>
    </row>
    <row r="1020" spans="1:10" x14ac:dyDescent="0.35">
      <c r="A1020" s="92"/>
      <c r="F1020" s="606"/>
      <c r="G1020" s="616"/>
      <c r="H1020" s="93"/>
      <c r="I1020" s="41"/>
      <c r="J1020" s="750"/>
    </row>
    <row r="1021" spans="1:10" x14ac:dyDescent="0.35">
      <c r="A1021" s="92"/>
      <c r="F1021" s="606"/>
      <c r="G1021" s="616"/>
      <c r="H1021" s="93"/>
      <c r="I1021" s="41"/>
      <c r="J1021" s="750"/>
    </row>
    <row r="1022" spans="1:10" x14ac:dyDescent="0.35">
      <c r="A1022" s="92"/>
      <c r="F1022" s="606"/>
      <c r="G1022" s="616"/>
      <c r="H1022" s="93"/>
      <c r="I1022" s="41"/>
      <c r="J1022" s="750"/>
    </row>
    <row r="1023" spans="1:10" x14ac:dyDescent="0.35">
      <c r="A1023" s="92"/>
      <c r="F1023" s="606"/>
      <c r="G1023" s="616"/>
      <c r="H1023" s="93"/>
      <c r="I1023" s="41"/>
      <c r="J1023" s="750"/>
    </row>
    <row r="1024" spans="1:10" x14ac:dyDescent="0.35">
      <c r="A1024" s="92"/>
      <c r="F1024" s="606"/>
      <c r="G1024" s="616"/>
      <c r="H1024" s="93"/>
      <c r="I1024" s="41"/>
      <c r="J1024" s="750"/>
    </row>
    <row r="1025" spans="1:10" x14ac:dyDescent="0.35">
      <c r="A1025" s="92"/>
      <c r="F1025" s="606"/>
      <c r="G1025" s="616"/>
      <c r="H1025" s="93"/>
      <c r="I1025" s="41"/>
      <c r="J1025" s="750"/>
    </row>
    <row r="1026" spans="1:10" x14ac:dyDescent="0.35">
      <c r="A1026" s="92"/>
      <c r="F1026" s="606"/>
      <c r="G1026" s="616"/>
      <c r="H1026" s="93"/>
      <c r="I1026" s="41"/>
      <c r="J1026" s="750"/>
    </row>
    <row r="1027" spans="1:10" x14ac:dyDescent="0.35">
      <c r="A1027" s="92"/>
      <c r="F1027" s="606"/>
      <c r="G1027" s="616"/>
      <c r="H1027" s="93"/>
      <c r="I1027" s="41"/>
      <c r="J1027" s="750"/>
    </row>
    <row r="1028" spans="1:10" x14ac:dyDescent="0.35">
      <c r="A1028" s="92"/>
      <c r="F1028" s="606"/>
      <c r="G1028" s="616"/>
      <c r="H1028" s="93"/>
      <c r="I1028" s="41"/>
      <c r="J1028" s="750"/>
    </row>
    <row r="1029" spans="1:10" x14ac:dyDescent="0.35">
      <c r="A1029" s="92"/>
      <c r="F1029" s="606"/>
      <c r="G1029" s="616"/>
      <c r="H1029" s="93"/>
      <c r="I1029" s="41"/>
      <c r="J1029" s="750"/>
    </row>
    <row r="1030" spans="1:10" x14ac:dyDescent="0.35">
      <c r="A1030" s="92"/>
      <c r="F1030" s="606"/>
      <c r="G1030" s="616"/>
      <c r="H1030" s="93"/>
      <c r="I1030" s="41"/>
      <c r="J1030" s="750"/>
    </row>
    <row r="1031" spans="1:10" x14ac:dyDescent="0.35">
      <c r="A1031" s="92"/>
      <c r="F1031" s="606"/>
      <c r="G1031" s="616"/>
      <c r="H1031" s="93"/>
      <c r="I1031" s="41"/>
      <c r="J1031" s="750"/>
    </row>
    <row r="1032" spans="1:10" x14ac:dyDescent="0.35">
      <c r="A1032" s="92"/>
      <c r="F1032" s="606"/>
      <c r="G1032" s="616"/>
      <c r="H1032" s="93"/>
      <c r="I1032" s="41"/>
      <c r="J1032" s="750"/>
    </row>
    <row r="1033" spans="1:10" x14ac:dyDescent="0.35">
      <c r="A1033" s="92"/>
      <c r="F1033" s="606"/>
      <c r="G1033" s="616"/>
      <c r="H1033" s="93"/>
      <c r="I1033" s="41"/>
      <c r="J1033" s="750"/>
    </row>
    <row r="1034" spans="1:10" x14ac:dyDescent="0.35">
      <c r="A1034" s="92"/>
      <c r="F1034" s="606"/>
      <c r="G1034" s="616"/>
      <c r="H1034" s="93"/>
      <c r="I1034" s="41"/>
      <c r="J1034" s="750"/>
    </row>
    <row r="1035" spans="1:10" x14ac:dyDescent="0.35">
      <c r="A1035" s="92"/>
      <c r="F1035" s="606"/>
      <c r="G1035" s="616"/>
      <c r="H1035" s="93"/>
      <c r="I1035" s="41"/>
      <c r="J1035" s="750"/>
    </row>
    <row r="1036" spans="1:10" x14ac:dyDescent="0.35">
      <c r="A1036" s="92"/>
      <c r="F1036" s="606"/>
      <c r="G1036" s="616"/>
      <c r="H1036" s="93"/>
      <c r="I1036" s="41"/>
      <c r="J1036" s="750"/>
    </row>
    <row r="1037" spans="1:10" x14ac:dyDescent="0.35">
      <c r="A1037" s="92"/>
      <c r="F1037" s="606"/>
      <c r="G1037" s="616"/>
      <c r="H1037" s="93"/>
      <c r="I1037" s="41"/>
      <c r="J1037" s="750"/>
    </row>
    <row r="1038" spans="1:10" x14ac:dyDescent="0.35">
      <c r="A1038" s="92"/>
      <c r="F1038" s="606"/>
      <c r="G1038" s="616"/>
      <c r="H1038" s="93"/>
      <c r="I1038" s="41"/>
      <c r="J1038" s="750"/>
    </row>
    <row r="1039" spans="1:10" x14ac:dyDescent="0.35">
      <c r="A1039" s="92"/>
      <c r="F1039" s="606"/>
      <c r="G1039" s="616"/>
      <c r="H1039" s="93"/>
      <c r="I1039" s="41"/>
      <c r="J1039" s="750"/>
    </row>
    <row r="1040" spans="1:10" x14ac:dyDescent="0.35">
      <c r="A1040" s="92"/>
      <c r="F1040" s="606"/>
      <c r="G1040" s="616"/>
      <c r="H1040" s="93"/>
      <c r="I1040" s="41"/>
      <c r="J1040" s="750"/>
    </row>
    <row r="1041" spans="1:10" x14ac:dyDescent="0.35">
      <c r="A1041" s="92"/>
      <c r="F1041" s="606"/>
      <c r="G1041" s="616"/>
      <c r="H1041" s="93"/>
      <c r="I1041" s="41"/>
      <c r="J1041" s="750"/>
    </row>
    <row r="1042" spans="1:10" x14ac:dyDescent="0.35">
      <c r="A1042" s="92"/>
      <c r="F1042" s="606"/>
      <c r="G1042" s="616"/>
      <c r="H1042" s="93"/>
      <c r="I1042" s="41"/>
      <c r="J1042" s="750"/>
    </row>
    <row r="1043" spans="1:10" x14ac:dyDescent="0.35">
      <c r="A1043" s="92"/>
      <c r="F1043" s="606"/>
      <c r="G1043" s="616"/>
      <c r="H1043" s="93"/>
      <c r="I1043" s="41"/>
      <c r="J1043" s="750"/>
    </row>
    <row r="1044" spans="1:10" x14ac:dyDescent="0.35">
      <c r="A1044" s="92"/>
      <c r="F1044" s="606"/>
      <c r="G1044" s="616"/>
      <c r="H1044" s="93"/>
      <c r="I1044" s="41"/>
      <c r="J1044" s="750"/>
    </row>
    <row r="1045" spans="1:10" x14ac:dyDescent="0.35">
      <c r="A1045" s="92"/>
      <c r="F1045" s="606"/>
      <c r="G1045" s="616"/>
      <c r="H1045" s="93"/>
      <c r="I1045" s="41"/>
      <c r="J1045" s="750"/>
    </row>
    <row r="1046" spans="1:10" x14ac:dyDescent="0.35">
      <c r="A1046" s="92"/>
      <c r="F1046" s="606"/>
      <c r="G1046" s="616"/>
      <c r="H1046" s="93"/>
      <c r="I1046" s="41"/>
      <c r="J1046" s="750"/>
    </row>
    <row r="1047" spans="1:10" x14ac:dyDescent="0.35">
      <c r="A1047" s="92"/>
      <c r="F1047" s="606"/>
      <c r="G1047" s="616"/>
      <c r="H1047" s="93"/>
      <c r="I1047" s="41"/>
      <c r="J1047" s="750"/>
    </row>
    <row r="1048" spans="1:10" x14ac:dyDescent="0.35">
      <c r="A1048" s="92"/>
      <c r="F1048" s="606"/>
      <c r="G1048" s="616"/>
      <c r="H1048" s="93"/>
      <c r="I1048" s="41"/>
      <c r="J1048" s="750"/>
    </row>
    <row r="1049" spans="1:10" x14ac:dyDescent="0.35">
      <c r="A1049" s="92"/>
      <c r="F1049" s="606"/>
      <c r="G1049" s="616"/>
      <c r="H1049" s="93"/>
      <c r="I1049" s="41"/>
      <c r="J1049" s="750"/>
    </row>
    <row r="1050" spans="1:10" x14ac:dyDescent="0.35">
      <c r="A1050" s="92"/>
      <c r="F1050" s="606"/>
      <c r="G1050" s="616"/>
      <c r="H1050" s="93"/>
      <c r="I1050" s="41"/>
      <c r="J1050" s="750"/>
    </row>
    <row r="1051" spans="1:10" x14ac:dyDescent="0.35">
      <c r="A1051" s="92"/>
      <c r="F1051" s="606"/>
      <c r="G1051" s="616"/>
      <c r="H1051" s="93"/>
      <c r="I1051" s="41"/>
      <c r="J1051" s="750"/>
    </row>
    <row r="1052" spans="1:10" x14ac:dyDescent="0.35">
      <c r="A1052" s="92"/>
      <c r="F1052" s="606"/>
      <c r="G1052" s="616"/>
      <c r="H1052" s="93"/>
      <c r="I1052" s="41"/>
      <c r="J1052" s="750"/>
    </row>
    <row r="1053" spans="1:10" x14ac:dyDescent="0.35">
      <c r="A1053" s="92"/>
      <c r="F1053" s="606"/>
      <c r="G1053" s="616"/>
      <c r="H1053" s="93"/>
      <c r="I1053" s="41"/>
      <c r="J1053" s="750"/>
    </row>
    <row r="1054" spans="1:10" x14ac:dyDescent="0.35">
      <c r="A1054" s="92"/>
      <c r="F1054" s="606"/>
      <c r="G1054" s="616"/>
      <c r="H1054" s="93"/>
      <c r="I1054" s="41"/>
      <c r="J1054" s="750"/>
    </row>
    <row r="1055" spans="1:10" x14ac:dyDescent="0.35">
      <c r="A1055" s="92"/>
      <c r="F1055" s="606"/>
      <c r="G1055" s="616"/>
      <c r="H1055" s="93"/>
      <c r="I1055" s="41"/>
      <c r="J1055" s="750"/>
    </row>
    <row r="1056" spans="1:10" x14ac:dyDescent="0.35">
      <c r="A1056" s="92"/>
      <c r="F1056" s="606"/>
      <c r="G1056" s="616"/>
      <c r="H1056" s="93"/>
      <c r="I1056" s="41"/>
      <c r="J1056" s="750"/>
    </row>
    <row r="1057" spans="1:10" x14ac:dyDescent="0.35">
      <c r="A1057" s="92"/>
      <c r="F1057" s="606"/>
      <c r="G1057" s="616"/>
      <c r="H1057" s="93"/>
      <c r="I1057" s="41"/>
      <c r="J1057" s="750"/>
    </row>
    <row r="1058" spans="1:10" x14ac:dyDescent="0.35">
      <c r="A1058" s="92"/>
      <c r="F1058" s="606"/>
      <c r="G1058" s="616"/>
      <c r="H1058" s="93"/>
      <c r="I1058" s="41"/>
      <c r="J1058" s="750"/>
    </row>
    <row r="1059" spans="1:10" x14ac:dyDescent="0.35">
      <c r="A1059" s="92"/>
      <c r="F1059" s="606"/>
      <c r="G1059" s="616"/>
      <c r="H1059" s="93"/>
      <c r="I1059" s="41"/>
      <c r="J1059" s="750"/>
    </row>
    <row r="1060" spans="1:10" x14ac:dyDescent="0.35">
      <c r="A1060" s="92"/>
      <c r="F1060" s="606"/>
      <c r="G1060" s="616"/>
      <c r="H1060" s="93"/>
      <c r="I1060" s="41"/>
      <c r="J1060" s="750"/>
    </row>
    <row r="1061" spans="1:10" x14ac:dyDescent="0.35">
      <c r="A1061" s="92"/>
      <c r="F1061" s="606"/>
      <c r="G1061" s="616"/>
      <c r="H1061" s="93"/>
      <c r="I1061" s="41"/>
      <c r="J1061" s="750"/>
    </row>
    <row r="1062" spans="1:10" x14ac:dyDescent="0.35">
      <c r="A1062" s="92"/>
      <c r="F1062" s="606"/>
      <c r="G1062" s="616"/>
      <c r="H1062" s="93"/>
      <c r="I1062" s="41"/>
      <c r="J1062" s="750"/>
    </row>
    <row r="1063" spans="1:10" x14ac:dyDescent="0.35">
      <c r="A1063" s="92"/>
      <c r="F1063" s="606"/>
      <c r="G1063" s="616"/>
      <c r="H1063" s="93"/>
      <c r="I1063" s="41"/>
      <c r="J1063" s="750"/>
    </row>
    <row r="1064" spans="1:10" x14ac:dyDescent="0.35">
      <c r="A1064" s="92"/>
      <c r="F1064" s="606"/>
      <c r="G1064" s="616"/>
      <c r="H1064" s="93"/>
      <c r="I1064" s="41"/>
      <c r="J1064" s="750"/>
    </row>
    <row r="1065" spans="1:10" x14ac:dyDescent="0.35">
      <c r="A1065" s="92"/>
      <c r="F1065" s="606"/>
      <c r="G1065" s="616"/>
      <c r="H1065" s="93"/>
      <c r="I1065" s="41"/>
      <c r="J1065" s="750"/>
    </row>
    <row r="1066" spans="1:10" x14ac:dyDescent="0.35">
      <c r="A1066" s="92"/>
      <c r="F1066" s="606"/>
      <c r="G1066" s="616"/>
      <c r="H1066" s="93"/>
      <c r="I1066" s="41"/>
      <c r="J1066" s="750"/>
    </row>
    <row r="1067" spans="1:10" x14ac:dyDescent="0.35">
      <c r="A1067" s="92"/>
      <c r="F1067" s="606"/>
      <c r="G1067" s="616"/>
      <c r="H1067" s="93"/>
      <c r="I1067" s="41"/>
      <c r="J1067" s="750"/>
    </row>
    <row r="1068" spans="1:10" x14ac:dyDescent="0.35">
      <c r="A1068" s="92"/>
      <c r="F1068" s="606"/>
      <c r="G1068" s="616"/>
      <c r="H1068" s="93"/>
      <c r="I1068" s="41"/>
      <c r="J1068" s="750"/>
    </row>
    <row r="1069" spans="1:10" x14ac:dyDescent="0.35">
      <c r="A1069" s="92"/>
      <c r="F1069" s="606"/>
      <c r="G1069" s="616"/>
      <c r="H1069" s="93"/>
      <c r="I1069" s="41"/>
      <c r="J1069" s="750"/>
    </row>
    <row r="1070" spans="1:10" x14ac:dyDescent="0.35">
      <c r="A1070" s="92"/>
      <c r="F1070" s="606"/>
      <c r="G1070" s="616"/>
      <c r="H1070" s="93"/>
      <c r="I1070" s="41"/>
      <c r="J1070" s="750"/>
    </row>
    <row r="1071" spans="1:10" x14ac:dyDescent="0.35">
      <c r="A1071" s="92"/>
      <c r="F1071" s="606"/>
      <c r="G1071" s="616"/>
      <c r="H1071" s="93"/>
      <c r="I1071" s="41"/>
      <c r="J1071" s="750"/>
    </row>
    <row r="1072" spans="1:10" x14ac:dyDescent="0.35">
      <c r="A1072" s="92"/>
      <c r="F1072" s="606"/>
      <c r="G1072" s="616"/>
      <c r="H1072" s="93"/>
      <c r="I1072" s="41"/>
      <c r="J1072" s="750"/>
    </row>
    <row r="1073" spans="1:10" x14ac:dyDescent="0.35">
      <c r="A1073" s="92"/>
      <c r="F1073" s="606"/>
      <c r="G1073" s="616"/>
      <c r="H1073" s="93"/>
      <c r="I1073" s="41"/>
      <c r="J1073" s="750"/>
    </row>
    <row r="1074" spans="1:10" x14ac:dyDescent="0.35">
      <c r="A1074" s="92"/>
      <c r="F1074" s="606"/>
      <c r="G1074" s="616"/>
      <c r="H1074" s="93"/>
      <c r="I1074" s="41"/>
      <c r="J1074" s="750"/>
    </row>
    <row r="1075" spans="1:10" x14ac:dyDescent="0.35">
      <c r="A1075" s="92"/>
      <c r="F1075" s="606"/>
      <c r="G1075" s="616"/>
      <c r="H1075" s="93"/>
      <c r="I1075" s="41"/>
      <c r="J1075" s="750"/>
    </row>
    <row r="1076" spans="1:10" x14ac:dyDescent="0.35">
      <c r="A1076" s="92"/>
      <c r="F1076" s="606"/>
      <c r="G1076" s="616"/>
      <c r="H1076" s="93"/>
      <c r="I1076" s="41"/>
      <c r="J1076" s="750"/>
    </row>
    <row r="1077" spans="1:10" x14ac:dyDescent="0.35">
      <c r="A1077" s="92"/>
      <c r="F1077" s="606"/>
      <c r="G1077" s="616"/>
      <c r="H1077" s="93"/>
      <c r="I1077" s="41"/>
      <c r="J1077" s="750"/>
    </row>
    <row r="1078" spans="1:10" x14ac:dyDescent="0.35">
      <c r="A1078" s="92"/>
      <c r="F1078" s="606"/>
      <c r="G1078" s="616"/>
      <c r="H1078" s="93"/>
      <c r="I1078" s="41"/>
      <c r="J1078" s="750"/>
    </row>
    <row r="1079" spans="1:10" x14ac:dyDescent="0.35">
      <c r="A1079" s="92"/>
      <c r="F1079" s="606"/>
      <c r="G1079" s="616"/>
      <c r="H1079" s="93"/>
      <c r="I1079" s="41"/>
      <c r="J1079" s="750"/>
    </row>
    <row r="1080" spans="1:10" x14ac:dyDescent="0.35">
      <c r="A1080" s="92"/>
      <c r="F1080" s="606"/>
      <c r="G1080" s="616"/>
      <c r="H1080" s="93"/>
      <c r="I1080" s="41"/>
      <c r="J1080" s="750"/>
    </row>
    <row r="1081" spans="1:10" x14ac:dyDescent="0.35">
      <c r="A1081" s="92"/>
      <c r="F1081" s="606"/>
      <c r="G1081" s="616"/>
      <c r="H1081" s="93"/>
      <c r="I1081" s="41"/>
      <c r="J1081" s="750"/>
    </row>
    <row r="1082" spans="1:10" x14ac:dyDescent="0.35">
      <c r="A1082" s="92"/>
      <c r="F1082" s="606"/>
      <c r="G1082" s="616"/>
      <c r="H1082" s="93"/>
      <c r="I1082" s="41"/>
      <c r="J1082" s="750"/>
    </row>
    <row r="1083" spans="1:10" x14ac:dyDescent="0.35">
      <c r="A1083" s="92"/>
      <c r="F1083" s="606"/>
      <c r="G1083" s="616"/>
      <c r="H1083" s="93"/>
      <c r="I1083" s="41"/>
      <c r="J1083" s="750"/>
    </row>
    <row r="1084" spans="1:10" x14ac:dyDescent="0.35">
      <c r="A1084" s="92"/>
      <c r="F1084" s="606"/>
      <c r="G1084" s="616"/>
      <c r="H1084" s="93"/>
      <c r="I1084" s="41"/>
      <c r="J1084" s="750"/>
    </row>
    <row r="1085" spans="1:10" x14ac:dyDescent="0.35">
      <c r="A1085" s="92"/>
      <c r="F1085" s="606"/>
      <c r="G1085" s="616"/>
      <c r="H1085" s="93"/>
      <c r="I1085" s="41"/>
      <c r="J1085" s="750"/>
    </row>
    <row r="1086" spans="1:10" x14ac:dyDescent="0.35">
      <c r="A1086" s="92"/>
      <c r="F1086" s="606"/>
      <c r="G1086" s="616"/>
      <c r="H1086" s="93"/>
      <c r="I1086" s="41"/>
      <c r="J1086" s="750"/>
    </row>
    <row r="1087" spans="1:10" x14ac:dyDescent="0.35">
      <c r="A1087" s="92"/>
      <c r="F1087" s="606"/>
      <c r="G1087" s="616"/>
      <c r="H1087" s="93"/>
      <c r="I1087" s="41"/>
      <c r="J1087" s="750"/>
    </row>
    <row r="1088" spans="1:10" x14ac:dyDescent="0.35">
      <c r="A1088" s="92"/>
      <c r="F1088" s="606"/>
      <c r="G1088" s="616"/>
      <c r="H1088" s="93"/>
      <c r="I1088" s="41"/>
      <c r="J1088" s="750"/>
    </row>
    <row r="1089" spans="1:10" x14ac:dyDescent="0.35">
      <c r="A1089" s="92"/>
      <c r="F1089" s="606"/>
      <c r="G1089" s="616"/>
      <c r="H1089" s="93"/>
      <c r="I1089" s="41"/>
      <c r="J1089" s="750"/>
    </row>
    <row r="1090" spans="1:10" x14ac:dyDescent="0.35">
      <c r="A1090" s="92"/>
      <c r="F1090" s="606"/>
      <c r="G1090" s="616"/>
      <c r="H1090" s="93"/>
      <c r="I1090" s="41"/>
      <c r="J1090" s="750"/>
    </row>
    <row r="1091" spans="1:10" x14ac:dyDescent="0.35">
      <c r="A1091" s="92"/>
      <c r="F1091" s="606"/>
      <c r="G1091" s="616"/>
      <c r="H1091" s="93"/>
      <c r="I1091" s="41"/>
      <c r="J1091" s="750"/>
    </row>
    <row r="1092" spans="1:10" x14ac:dyDescent="0.35">
      <c r="A1092" s="92"/>
      <c r="F1092" s="606"/>
      <c r="G1092" s="616"/>
      <c r="H1092" s="93"/>
      <c r="I1092" s="41"/>
      <c r="J1092" s="750"/>
    </row>
    <row r="1093" spans="1:10" x14ac:dyDescent="0.35">
      <c r="A1093" s="92"/>
      <c r="F1093" s="606"/>
      <c r="G1093" s="616"/>
      <c r="H1093" s="93"/>
      <c r="I1093" s="41"/>
      <c r="J1093" s="750"/>
    </row>
    <row r="1094" spans="1:10" x14ac:dyDescent="0.35">
      <c r="A1094" s="92"/>
      <c r="F1094" s="606"/>
      <c r="G1094" s="616"/>
      <c r="H1094" s="93"/>
      <c r="I1094" s="41"/>
      <c r="J1094" s="750"/>
    </row>
    <row r="1095" spans="1:10" x14ac:dyDescent="0.35">
      <c r="A1095" s="92"/>
      <c r="F1095" s="606"/>
      <c r="G1095" s="616"/>
      <c r="H1095" s="93"/>
      <c r="I1095" s="41"/>
      <c r="J1095" s="750"/>
    </row>
    <row r="1096" spans="1:10" x14ac:dyDescent="0.35">
      <c r="A1096" s="92"/>
      <c r="F1096" s="606"/>
      <c r="G1096" s="616"/>
      <c r="H1096" s="93"/>
      <c r="I1096" s="41"/>
      <c r="J1096" s="750"/>
    </row>
    <row r="1097" spans="1:10" x14ac:dyDescent="0.35">
      <c r="A1097" s="92"/>
      <c r="F1097" s="606"/>
      <c r="G1097" s="616"/>
      <c r="H1097" s="93"/>
      <c r="I1097" s="41"/>
      <c r="J1097" s="750"/>
    </row>
    <row r="1098" spans="1:10" x14ac:dyDescent="0.35">
      <c r="A1098" s="92"/>
      <c r="F1098" s="606"/>
      <c r="G1098" s="616"/>
      <c r="H1098" s="93"/>
      <c r="I1098" s="41"/>
      <c r="J1098" s="750"/>
    </row>
    <row r="1099" spans="1:10" x14ac:dyDescent="0.35">
      <c r="A1099" s="92"/>
      <c r="F1099" s="606"/>
      <c r="G1099" s="616"/>
      <c r="H1099" s="93"/>
      <c r="I1099" s="41"/>
      <c r="J1099" s="750"/>
    </row>
    <row r="1100" spans="1:10" x14ac:dyDescent="0.35">
      <c r="A1100" s="92"/>
      <c r="F1100" s="606"/>
      <c r="G1100" s="616"/>
      <c r="H1100" s="93"/>
      <c r="I1100" s="41"/>
      <c r="J1100" s="750"/>
    </row>
    <row r="1101" spans="1:10" x14ac:dyDescent="0.35">
      <c r="A1101" s="92"/>
      <c r="F1101" s="606"/>
      <c r="G1101" s="616"/>
      <c r="H1101" s="93"/>
      <c r="I1101" s="41"/>
      <c r="J1101" s="750"/>
    </row>
    <row r="1102" spans="1:10" x14ac:dyDescent="0.35">
      <c r="A1102" s="92"/>
      <c r="F1102" s="606"/>
      <c r="G1102" s="616"/>
      <c r="H1102" s="93"/>
      <c r="I1102" s="41"/>
      <c r="J1102" s="750"/>
    </row>
    <row r="1103" spans="1:10" x14ac:dyDescent="0.35">
      <c r="A1103" s="92"/>
      <c r="F1103" s="606"/>
      <c r="G1103" s="616"/>
      <c r="H1103" s="93"/>
      <c r="I1103" s="41"/>
      <c r="J1103" s="750"/>
    </row>
    <row r="1104" spans="1:10" x14ac:dyDescent="0.35">
      <c r="A1104" s="92"/>
      <c r="F1104" s="606"/>
      <c r="G1104" s="616"/>
      <c r="H1104" s="93"/>
      <c r="I1104" s="41"/>
      <c r="J1104" s="750"/>
    </row>
    <row r="1105" spans="1:10" x14ac:dyDescent="0.35">
      <c r="A1105" s="92"/>
      <c r="F1105" s="606"/>
      <c r="G1105" s="616"/>
      <c r="H1105" s="93"/>
      <c r="I1105" s="41"/>
      <c r="J1105" s="750"/>
    </row>
    <row r="1106" spans="1:10" x14ac:dyDescent="0.35">
      <c r="A1106" s="92"/>
      <c r="F1106" s="606"/>
      <c r="G1106" s="616"/>
      <c r="H1106" s="93"/>
      <c r="I1106" s="41"/>
      <c r="J1106" s="750"/>
    </row>
    <row r="1107" spans="1:10" x14ac:dyDescent="0.35">
      <c r="A1107" s="92"/>
      <c r="F1107" s="606"/>
      <c r="G1107" s="616"/>
      <c r="H1107" s="93"/>
      <c r="I1107" s="41"/>
      <c r="J1107" s="750"/>
    </row>
    <row r="1108" spans="1:10" x14ac:dyDescent="0.35">
      <c r="A1108" s="92"/>
      <c r="F1108" s="606"/>
      <c r="G1108" s="616"/>
      <c r="H1108" s="93"/>
      <c r="I1108" s="41"/>
      <c r="J1108" s="750"/>
    </row>
    <row r="1109" spans="1:10" x14ac:dyDescent="0.35">
      <c r="A1109" s="92"/>
      <c r="F1109" s="606"/>
      <c r="G1109" s="616"/>
      <c r="H1109" s="93"/>
      <c r="I1109" s="41"/>
      <c r="J1109" s="750"/>
    </row>
    <row r="1110" spans="1:10" x14ac:dyDescent="0.35">
      <c r="A1110" s="92"/>
      <c r="F1110" s="606"/>
      <c r="G1110" s="616"/>
      <c r="H1110" s="93"/>
      <c r="I1110" s="41"/>
      <c r="J1110" s="750"/>
    </row>
    <row r="1111" spans="1:10" x14ac:dyDescent="0.35">
      <c r="A1111" s="92"/>
      <c r="F1111" s="606"/>
      <c r="G1111" s="616"/>
      <c r="H1111" s="93"/>
      <c r="I1111" s="41"/>
      <c r="J1111" s="750"/>
    </row>
    <row r="1112" spans="1:10" x14ac:dyDescent="0.35">
      <c r="A1112" s="92"/>
      <c r="F1112" s="606"/>
      <c r="G1112" s="616"/>
      <c r="H1112" s="93"/>
      <c r="I1112" s="41"/>
      <c r="J1112" s="750"/>
    </row>
    <row r="1113" spans="1:10" x14ac:dyDescent="0.35">
      <c r="A1113" s="92"/>
      <c r="F1113" s="606"/>
      <c r="G1113" s="616"/>
      <c r="H1113" s="93"/>
      <c r="I1113" s="41"/>
      <c r="J1113" s="750"/>
    </row>
    <row r="1114" spans="1:10" x14ac:dyDescent="0.35">
      <c r="A1114" s="92"/>
      <c r="F1114" s="606"/>
      <c r="G1114" s="616"/>
      <c r="H1114" s="93"/>
      <c r="I1114" s="41"/>
      <c r="J1114" s="750"/>
    </row>
    <row r="1115" spans="1:10" x14ac:dyDescent="0.35">
      <c r="A1115" s="92"/>
      <c r="F1115" s="606"/>
      <c r="G1115" s="616"/>
      <c r="H1115" s="93"/>
      <c r="I1115" s="41"/>
      <c r="J1115" s="750"/>
    </row>
    <row r="1116" spans="1:10" x14ac:dyDescent="0.35">
      <c r="A1116" s="92"/>
      <c r="F1116" s="606"/>
      <c r="G1116" s="616"/>
      <c r="H1116" s="93"/>
      <c r="I1116" s="41"/>
      <c r="J1116" s="750"/>
    </row>
    <row r="1117" spans="1:10" x14ac:dyDescent="0.35">
      <c r="A1117" s="92"/>
      <c r="F1117" s="606"/>
      <c r="G1117" s="616"/>
      <c r="H1117" s="93"/>
      <c r="I1117" s="41"/>
      <c r="J1117" s="750"/>
    </row>
    <row r="1118" spans="1:10" x14ac:dyDescent="0.35">
      <c r="A1118" s="92"/>
      <c r="F1118" s="606"/>
      <c r="G1118" s="616"/>
      <c r="H1118" s="93"/>
      <c r="I1118" s="41"/>
      <c r="J1118" s="750"/>
    </row>
    <row r="1119" spans="1:10" x14ac:dyDescent="0.35">
      <c r="A1119" s="92"/>
      <c r="F1119" s="606"/>
      <c r="G1119" s="616"/>
      <c r="H1119" s="93"/>
      <c r="I1119" s="41"/>
      <c r="J1119" s="750"/>
    </row>
    <row r="1120" spans="1:10" x14ac:dyDescent="0.35">
      <c r="A1120" s="92"/>
      <c r="F1120" s="606"/>
      <c r="G1120" s="616"/>
      <c r="H1120" s="93"/>
      <c r="I1120" s="41"/>
      <c r="J1120" s="750"/>
    </row>
    <row r="1121" spans="1:10" x14ac:dyDescent="0.35">
      <c r="A1121" s="92"/>
      <c r="F1121" s="606"/>
      <c r="G1121" s="616"/>
      <c r="H1121" s="93"/>
      <c r="I1121" s="41"/>
      <c r="J1121" s="750"/>
    </row>
    <row r="1122" spans="1:10" x14ac:dyDescent="0.35">
      <c r="A1122" s="92"/>
      <c r="F1122" s="606"/>
      <c r="G1122" s="616"/>
      <c r="H1122" s="93"/>
      <c r="I1122" s="41"/>
      <c r="J1122" s="750"/>
    </row>
    <row r="1123" spans="1:10" x14ac:dyDescent="0.35">
      <c r="A1123" s="92"/>
      <c r="F1123" s="606"/>
      <c r="G1123" s="616"/>
      <c r="H1123" s="93"/>
      <c r="I1123" s="41"/>
      <c r="J1123" s="750"/>
    </row>
    <row r="1124" spans="1:10" x14ac:dyDescent="0.35">
      <c r="A1124" s="92"/>
      <c r="F1124" s="606"/>
      <c r="G1124" s="616"/>
      <c r="H1124" s="93"/>
      <c r="I1124" s="41"/>
      <c r="J1124" s="750"/>
    </row>
    <row r="1125" spans="1:10" x14ac:dyDescent="0.35">
      <c r="A1125" s="92"/>
      <c r="F1125" s="606"/>
      <c r="G1125" s="616"/>
      <c r="H1125" s="93"/>
      <c r="I1125" s="41"/>
      <c r="J1125" s="750"/>
    </row>
    <row r="1126" spans="1:10" x14ac:dyDescent="0.35">
      <c r="A1126" s="92"/>
      <c r="F1126" s="606"/>
      <c r="G1126" s="616"/>
      <c r="H1126" s="93"/>
      <c r="I1126" s="41"/>
      <c r="J1126" s="750"/>
    </row>
    <row r="1127" spans="1:10" x14ac:dyDescent="0.35">
      <c r="A1127" s="92"/>
      <c r="F1127" s="606"/>
      <c r="G1127" s="616"/>
      <c r="H1127" s="93"/>
      <c r="I1127" s="41"/>
      <c r="J1127" s="750"/>
    </row>
    <row r="1128" spans="1:10" x14ac:dyDescent="0.35">
      <c r="A1128" s="92"/>
      <c r="F1128" s="606"/>
      <c r="G1128" s="616"/>
      <c r="H1128" s="93"/>
      <c r="I1128" s="41"/>
      <c r="J1128" s="750"/>
    </row>
    <row r="1129" spans="1:10" x14ac:dyDescent="0.35">
      <c r="A1129" s="92"/>
      <c r="F1129" s="606"/>
      <c r="G1129" s="616"/>
      <c r="H1129" s="93"/>
      <c r="I1129" s="41"/>
      <c r="J1129" s="750"/>
    </row>
    <row r="1130" spans="1:10" x14ac:dyDescent="0.35">
      <c r="A1130" s="92"/>
      <c r="F1130" s="606"/>
      <c r="G1130" s="616"/>
      <c r="H1130" s="93"/>
      <c r="I1130" s="41"/>
      <c r="J1130" s="750"/>
    </row>
    <row r="1131" spans="1:10" x14ac:dyDescent="0.35">
      <c r="A1131" s="92"/>
      <c r="F1131" s="606"/>
      <c r="G1131" s="616"/>
      <c r="H1131" s="93"/>
      <c r="I1131" s="41"/>
      <c r="J1131" s="750"/>
    </row>
    <row r="1132" spans="1:10" x14ac:dyDescent="0.35">
      <c r="A1132" s="92"/>
      <c r="F1132" s="606"/>
      <c r="G1132" s="616"/>
      <c r="H1132" s="93"/>
      <c r="I1132" s="41"/>
      <c r="J1132" s="750"/>
    </row>
    <row r="1133" spans="1:10" x14ac:dyDescent="0.35">
      <c r="A1133" s="92"/>
      <c r="F1133" s="606"/>
      <c r="G1133" s="616"/>
      <c r="H1133" s="93"/>
      <c r="I1133" s="41"/>
      <c r="J1133" s="750"/>
    </row>
    <row r="1134" spans="1:10" x14ac:dyDescent="0.35">
      <c r="A1134" s="92"/>
      <c r="F1134" s="606"/>
      <c r="G1134" s="616"/>
      <c r="H1134" s="93"/>
      <c r="I1134" s="41"/>
      <c r="J1134" s="750"/>
    </row>
    <row r="1135" spans="1:10" x14ac:dyDescent="0.35">
      <c r="A1135" s="92"/>
      <c r="F1135" s="606"/>
      <c r="G1135" s="616"/>
      <c r="H1135" s="93"/>
      <c r="I1135" s="41"/>
      <c r="J1135" s="750"/>
    </row>
    <row r="1136" spans="1:10" x14ac:dyDescent="0.35">
      <c r="A1136" s="92"/>
      <c r="F1136" s="606"/>
      <c r="G1136" s="616"/>
      <c r="H1136" s="93"/>
      <c r="I1136" s="41"/>
      <c r="J1136" s="750"/>
    </row>
    <row r="1137" spans="1:10" x14ac:dyDescent="0.35">
      <c r="A1137" s="92"/>
      <c r="F1137" s="606"/>
      <c r="G1137" s="616"/>
      <c r="H1137" s="93"/>
      <c r="I1137" s="41"/>
      <c r="J1137" s="750"/>
    </row>
    <row r="1138" spans="1:10" x14ac:dyDescent="0.35">
      <c r="A1138" s="92"/>
      <c r="F1138" s="606"/>
      <c r="G1138" s="616"/>
      <c r="H1138" s="93"/>
      <c r="I1138" s="41"/>
      <c r="J1138" s="750"/>
    </row>
    <row r="1139" spans="1:10" x14ac:dyDescent="0.35">
      <c r="A1139" s="92"/>
      <c r="F1139" s="606"/>
      <c r="G1139" s="616"/>
      <c r="H1139" s="93"/>
      <c r="I1139" s="41"/>
      <c r="J1139" s="750"/>
    </row>
    <row r="1140" spans="1:10" x14ac:dyDescent="0.35">
      <c r="A1140" s="92"/>
      <c r="F1140" s="606"/>
      <c r="G1140" s="616"/>
      <c r="H1140" s="93"/>
      <c r="I1140" s="41"/>
      <c r="J1140" s="750"/>
    </row>
    <row r="1141" spans="1:10" x14ac:dyDescent="0.35">
      <c r="A1141" s="92"/>
      <c r="F1141" s="606"/>
      <c r="G1141" s="616"/>
      <c r="H1141" s="93"/>
      <c r="I1141" s="41"/>
      <c r="J1141" s="750"/>
    </row>
    <row r="1142" spans="1:10" x14ac:dyDescent="0.35">
      <c r="A1142" s="92"/>
      <c r="F1142" s="606"/>
      <c r="G1142" s="616"/>
      <c r="H1142" s="93"/>
      <c r="I1142" s="41"/>
      <c r="J1142" s="750"/>
    </row>
    <row r="1143" spans="1:10" x14ac:dyDescent="0.35">
      <c r="A1143" s="92"/>
      <c r="F1143" s="606"/>
      <c r="G1143" s="616"/>
      <c r="H1143" s="93"/>
      <c r="I1143" s="41"/>
      <c r="J1143" s="750"/>
    </row>
    <row r="1144" spans="1:10" x14ac:dyDescent="0.35">
      <c r="A1144" s="92"/>
      <c r="F1144" s="606"/>
      <c r="G1144" s="616"/>
      <c r="H1144" s="93"/>
      <c r="I1144" s="41"/>
      <c r="J1144" s="750"/>
    </row>
    <row r="1145" spans="1:10" x14ac:dyDescent="0.35">
      <c r="A1145" s="92"/>
      <c r="F1145" s="606"/>
      <c r="G1145" s="616"/>
      <c r="H1145" s="93"/>
      <c r="I1145" s="41"/>
      <c r="J1145" s="750"/>
    </row>
    <row r="1146" spans="1:10" x14ac:dyDescent="0.35">
      <c r="A1146" s="92"/>
      <c r="F1146" s="606"/>
      <c r="G1146" s="616"/>
      <c r="H1146" s="93"/>
      <c r="I1146" s="41"/>
      <c r="J1146" s="750"/>
    </row>
    <row r="1147" spans="1:10" x14ac:dyDescent="0.35">
      <c r="A1147" s="92"/>
      <c r="F1147" s="606"/>
      <c r="G1147" s="616"/>
      <c r="H1147" s="93"/>
      <c r="I1147" s="41"/>
      <c r="J1147" s="750"/>
    </row>
    <row r="1148" spans="1:10" x14ac:dyDescent="0.35">
      <c r="A1148" s="92"/>
      <c r="F1148" s="606"/>
      <c r="G1148" s="616"/>
      <c r="H1148" s="93"/>
      <c r="I1148" s="41"/>
      <c r="J1148" s="750"/>
    </row>
    <row r="1149" spans="1:10" x14ac:dyDescent="0.35">
      <c r="A1149" s="92"/>
      <c r="F1149" s="606"/>
      <c r="G1149" s="616"/>
      <c r="H1149" s="93"/>
      <c r="I1149" s="41"/>
      <c r="J1149" s="750"/>
    </row>
    <row r="1150" spans="1:10" x14ac:dyDescent="0.35">
      <c r="A1150" s="92"/>
      <c r="F1150" s="606"/>
      <c r="G1150" s="616"/>
      <c r="H1150" s="93"/>
      <c r="I1150" s="41"/>
      <c r="J1150" s="750"/>
    </row>
    <row r="1151" spans="1:10" x14ac:dyDescent="0.35">
      <c r="A1151" s="92"/>
      <c r="F1151" s="606"/>
      <c r="G1151" s="616"/>
      <c r="H1151" s="93"/>
      <c r="I1151" s="41"/>
      <c r="J1151" s="750"/>
    </row>
    <row r="1152" spans="1:10" x14ac:dyDescent="0.35">
      <c r="A1152" s="92"/>
      <c r="F1152" s="606"/>
      <c r="G1152" s="616"/>
      <c r="H1152" s="93"/>
      <c r="I1152" s="41"/>
      <c r="J1152" s="750"/>
    </row>
    <row r="1153" spans="1:10" x14ac:dyDescent="0.35">
      <c r="A1153" s="92"/>
      <c r="F1153" s="606"/>
      <c r="G1153" s="616"/>
      <c r="H1153" s="93"/>
      <c r="I1153" s="41"/>
      <c r="J1153" s="750"/>
    </row>
    <row r="1154" spans="1:10" x14ac:dyDescent="0.35">
      <c r="A1154" s="92"/>
      <c r="F1154" s="606"/>
      <c r="G1154" s="616"/>
      <c r="H1154" s="93"/>
      <c r="I1154" s="41"/>
      <c r="J1154" s="750"/>
    </row>
    <row r="1155" spans="1:10" x14ac:dyDescent="0.35">
      <c r="A1155" s="92"/>
      <c r="F1155" s="606"/>
      <c r="G1155" s="616"/>
      <c r="H1155" s="93"/>
      <c r="I1155" s="41"/>
      <c r="J1155" s="750"/>
    </row>
    <row r="1156" spans="1:10" x14ac:dyDescent="0.35">
      <c r="A1156" s="92"/>
      <c r="F1156" s="606"/>
      <c r="G1156" s="616"/>
      <c r="H1156" s="93"/>
      <c r="I1156" s="41"/>
      <c r="J1156" s="750"/>
    </row>
    <row r="1157" spans="1:10" x14ac:dyDescent="0.35">
      <c r="A1157" s="92"/>
      <c r="F1157" s="606"/>
      <c r="G1157" s="616"/>
      <c r="H1157" s="93"/>
      <c r="I1157" s="41"/>
      <c r="J1157" s="750"/>
    </row>
    <row r="1158" spans="1:10" x14ac:dyDescent="0.35">
      <c r="A1158" s="92"/>
      <c r="F1158" s="606"/>
      <c r="G1158" s="616"/>
      <c r="H1158" s="93"/>
      <c r="I1158" s="41"/>
      <c r="J1158" s="750"/>
    </row>
    <row r="1159" spans="1:10" x14ac:dyDescent="0.35">
      <c r="A1159" s="92"/>
      <c r="F1159" s="606"/>
      <c r="G1159" s="616"/>
      <c r="H1159" s="93"/>
      <c r="I1159" s="41"/>
      <c r="J1159" s="750"/>
    </row>
    <row r="1160" spans="1:10" x14ac:dyDescent="0.35">
      <c r="A1160" s="92"/>
      <c r="F1160" s="606"/>
      <c r="G1160" s="616"/>
      <c r="H1160" s="93"/>
      <c r="I1160" s="41"/>
      <c r="J1160" s="750"/>
    </row>
    <row r="1161" spans="1:10" x14ac:dyDescent="0.35">
      <c r="A1161" s="92"/>
      <c r="F1161" s="606"/>
      <c r="G1161" s="616"/>
      <c r="H1161" s="93"/>
      <c r="I1161" s="41"/>
      <c r="J1161" s="750"/>
    </row>
    <row r="1162" spans="1:10" x14ac:dyDescent="0.35">
      <c r="A1162" s="92"/>
      <c r="F1162" s="606"/>
      <c r="G1162" s="616"/>
      <c r="H1162" s="93"/>
      <c r="I1162" s="41"/>
      <c r="J1162" s="750"/>
    </row>
    <row r="1163" spans="1:10" x14ac:dyDescent="0.35">
      <c r="A1163" s="92"/>
      <c r="F1163" s="606"/>
      <c r="G1163" s="616"/>
      <c r="H1163" s="93"/>
      <c r="I1163" s="41"/>
      <c r="J1163" s="750"/>
    </row>
    <row r="1164" spans="1:10" x14ac:dyDescent="0.35">
      <c r="A1164" s="92"/>
      <c r="F1164" s="606"/>
      <c r="G1164" s="616"/>
      <c r="H1164" s="93"/>
      <c r="I1164" s="41"/>
      <c r="J1164" s="750"/>
    </row>
    <row r="1165" spans="1:10" x14ac:dyDescent="0.35">
      <c r="A1165" s="92"/>
      <c r="F1165" s="606"/>
      <c r="G1165" s="616"/>
      <c r="H1165" s="93"/>
      <c r="I1165" s="41"/>
      <c r="J1165" s="750"/>
    </row>
    <row r="1166" spans="1:10" x14ac:dyDescent="0.35">
      <c r="A1166" s="92"/>
      <c r="F1166" s="606"/>
      <c r="G1166" s="616"/>
      <c r="H1166" s="93"/>
      <c r="I1166" s="41"/>
      <c r="J1166" s="750"/>
    </row>
    <row r="1167" spans="1:10" x14ac:dyDescent="0.35">
      <c r="A1167" s="92"/>
      <c r="F1167" s="606"/>
      <c r="G1167" s="616"/>
      <c r="H1167" s="93"/>
      <c r="I1167" s="41"/>
      <c r="J1167" s="750"/>
    </row>
    <row r="1168" spans="1:10" x14ac:dyDescent="0.35">
      <c r="A1168" s="92"/>
      <c r="F1168" s="606"/>
      <c r="G1168" s="616"/>
      <c r="H1168" s="93"/>
      <c r="I1168" s="41"/>
      <c r="J1168" s="750"/>
    </row>
    <row r="1169" spans="1:10" x14ac:dyDescent="0.35">
      <c r="A1169" s="92"/>
      <c r="F1169" s="606"/>
      <c r="G1169" s="616"/>
      <c r="H1169" s="93"/>
      <c r="I1169" s="41"/>
      <c r="J1169" s="750"/>
    </row>
    <row r="1170" spans="1:10" x14ac:dyDescent="0.35">
      <c r="A1170" s="92"/>
      <c r="F1170" s="606"/>
      <c r="G1170" s="616"/>
      <c r="H1170" s="93"/>
      <c r="I1170" s="41"/>
      <c r="J1170" s="750"/>
    </row>
    <row r="1171" spans="1:10" x14ac:dyDescent="0.35">
      <c r="A1171" s="92"/>
      <c r="F1171" s="606"/>
      <c r="G1171" s="616"/>
      <c r="H1171" s="93"/>
      <c r="I1171" s="41"/>
      <c r="J1171" s="750"/>
    </row>
    <row r="1172" spans="1:10" x14ac:dyDescent="0.35">
      <c r="A1172" s="92"/>
      <c r="F1172" s="606"/>
      <c r="G1172" s="616"/>
      <c r="H1172" s="93"/>
      <c r="I1172" s="41"/>
      <c r="J1172" s="750"/>
    </row>
    <row r="1173" spans="1:10" x14ac:dyDescent="0.35">
      <c r="A1173" s="92"/>
      <c r="F1173" s="606"/>
      <c r="G1173" s="616"/>
      <c r="H1173" s="93"/>
      <c r="I1173" s="41"/>
      <c r="J1173" s="750"/>
    </row>
    <row r="1174" spans="1:10" x14ac:dyDescent="0.35">
      <c r="A1174" s="92"/>
      <c r="F1174" s="606"/>
      <c r="G1174" s="616"/>
      <c r="H1174" s="93"/>
      <c r="I1174" s="41"/>
      <c r="J1174" s="750"/>
    </row>
    <row r="1175" spans="1:10" x14ac:dyDescent="0.35">
      <c r="A1175" s="92"/>
      <c r="F1175" s="606"/>
      <c r="G1175" s="616"/>
      <c r="H1175" s="93"/>
      <c r="I1175" s="41"/>
      <c r="J1175" s="750"/>
    </row>
    <row r="1176" spans="1:10" x14ac:dyDescent="0.35">
      <c r="A1176" s="92"/>
      <c r="F1176" s="606"/>
      <c r="G1176" s="616"/>
      <c r="H1176" s="93"/>
      <c r="I1176" s="41"/>
      <c r="J1176" s="750"/>
    </row>
    <row r="1177" spans="1:10" x14ac:dyDescent="0.35">
      <c r="A1177" s="92"/>
      <c r="F1177" s="606"/>
      <c r="G1177" s="616"/>
      <c r="H1177" s="93"/>
      <c r="I1177" s="41"/>
      <c r="J1177" s="750"/>
    </row>
    <row r="1178" spans="1:10" x14ac:dyDescent="0.35">
      <c r="A1178" s="92"/>
      <c r="F1178" s="606"/>
      <c r="G1178" s="616"/>
      <c r="H1178" s="93"/>
      <c r="I1178" s="41"/>
      <c r="J1178" s="750"/>
    </row>
    <row r="1179" spans="1:10" x14ac:dyDescent="0.35">
      <c r="A1179" s="92"/>
      <c r="F1179" s="606"/>
      <c r="G1179" s="616"/>
      <c r="H1179" s="93"/>
      <c r="I1179" s="41"/>
      <c r="J1179" s="750"/>
    </row>
    <row r="1180" spans="1:10" x14ac:dyDescent="0.35">
      <c r="A1180" s="92"/>
      <c r="F1180" s="606"/>
      <c r="G1180" s="616"/>
      <c r="H1180" s="93"/>
      <c r="I1180" s="41"/>
      <c r="J1180" s="750"/>
    </row>
    <row r="1181" spans="1:10" x14ac:dyDescent="0.35">
      <c r="A1181" s="92"/>
      <c r="F1181" s="606"/>
      <c r="G1181" s="616"/>
      <c r="H1181" s="93"/>
      <c r="I1181" s="41"/>
      <c r="J1181" s="750"/>
    </row>
    <row r="1182" spans="1:10" x14ac:dyDescent="0.35">
      <c r="A1182" s="92"/>
      <c r="F1182" s="606"/>
      <c r="G1182" s="616"/>
      <c r="H1182" s="93"/>
      <c r="I1182" s="41"/>
      <c r="J1182" s="750"/>
    </row>
    <row r="1183" spans="1:10" x14ac:dyDescent="0.35">
      <c r="A1183" s="92"/>
      <c r="F1183" s="606"/>
      <c r="G1183" s="616"/>
      <c r="H1183" s="93"/>
      <c r="I1183" s="41"/>
      <c r="J1183" s="750"/>
    </row>
    <row r="1184" spans="1:10" x14ac:dyDescent="0.35">
      <c r="A1184" s="92"/>
      <c r="F1184" s="606"/>
      <c r="G1184" s="616"/>
      <c r="H1184" s="93"/>
      <c r="I1184" s="41"/>
      <c r="J1184" s="750"/>
    </row>
    <row r="1185" spans="1:10" x14ac:dyDescent="0.35">
      <c r="A1185" s="92"/>
      <c r="F1185" s="606"/>
      <c r="G1185" s="616"/>
      <c r="H1185" s="93"/>
      <c r="I1185" s="41"/>
      <c r="J1185" s="750"/>
    </row>
    <row r="1186" spans="1:10" x14ac:dyDescent="0.35">
      <c r="A1186" s="92"/>
      <c r="F1186" s="606"/>
      <c r="G1186" s="616"/>
      <c r="H1186" s="93"/>
      <c r="I1186" s="41"/>
      <c r="J1186" s="750"/>
    </row>
    <row r="1187" spans="1:10" x14ac:dyDescent="0.35">
      <c r="A1187" s="92"/>
      <c r="F1187" s="606"/>
      <c r="G1187" s="616"/>
      <c r="H1187" s="93"/>
      <c r="I1187" s="41"/>
      <c r="J1187" s="750"/>
    </row>
    <row r="1188" spans="1:10" x14ac:dyDescent="0.35">
      <c r="A1188" s="92"/>
      <c r="F1188" s="606"/>
      <c r="G1188" s="616"/>
      <c r="H1188" s="93"/>
      <c r="I1188" s="41"/>
      <c r="J1188" s="750"/>
    </row>
    <row r="1189" spans="1:10" x14ac:dyDescent="0.35">
      <c r="A1189" s="92"/>
      <c r="F1189" s="606"/>
      <c r="G1189" s="616"/>
      <c r="H1189" s="93"/>
      <c r="I1189" s="41"/>
      <c r="J1189" s="750"/>
    </row>
    <row r="1190" spans="1:10" x14ac:dyDescent="0.35">
      <c r="A1190" s="92"/>
      <c r="F1190" s="606"/>
      <c r="G1190" s="616"/>
      <c r="H1190" s="93"/>
      <c r="I1190" s="41"/>
      <c r="J1190" s="750"/>
    </row>
    <row r="1191" spans="1:10" x14ac:dyDescent="0.35">
      <c r="A1191" s="92"/>
      <c r="F1191" s="606"/>
      <c r="G1191" s="616"/>
      <c r="H1191" s="93"/>
      <c r="I1191" s="41"/>
      <c r="J1191" s="750"/>
    </row>
    <row r="1192" spans="1:10" x14ac:dyDescent="0.35">
      <c r="A1192" s="92"/>
      <c r="F1192" s="606"/>
      <c r="G1192" s="616"/>
      <c r="H1192" s="93"/>
      <c r="I1192" s="41"/>
      <c r="J1192" s="750"/>
    </row>
    <row r="1193" spans="1:10" x14ac:dyDescent="0.35">
      <c r="A1193" s="92"/>
      <c r="F1193" s="606"/>
      <c r="G1193" s="616"/>
      <c r="H1193" s="93"/>
      <c r="I1193" s="41"/>
      <c r="J1193" s="750"/>
    </row>
    <row r="1194" spans="1:10" x14ac:dyDescent="0.35">
      <c r="A1194" s="92"/>
      <c r="F1194" s="606"/>
      <c r="G1194" s="616"/>
      <c r="H1194" s="93"/>
      <c r="I1194" s="41"/>
      <c r="J1194" s="750"/>
    </row>
    <row r="1195" spans="1:10" x14ac:dyDescent="0.35">
      <c r="A1195" s="92"/>
      <c r="F1195" s="606"/>
      <c r="G1195" s="616"/>
      <c r="H1195" s="93"/>
      <c r="I1195" s="41"/>
      <c r="J1195" s="750"/>
    </row>
    <row r="1196" spans="1:10" x14ac:dyDescent="0.35">
      <c r="A1196" s="92"/>
      <c r="F1196" s="606"/>
      <c r="G1196" s="616"/>
      <c r="H1196" s="93"/>
      <c r="I1196" s="41"/>
      <c r="J1196" s="750"/>
    </row>
    <row r="1197" spans="1:10" x14ac:dyDescent="0.35">
      <c r="A1197" s="92"/>
      <c r="F1197" s="606"/>
      <c r="G1197" s="616"/>
      <c r="H1197" s="93"/>
      <c r="I1197" s="41"/>
      <c r="J1197" s="750"/>
    </row>
    <row r="1198" spans="1:10" x14ac:dyDescent="0.35">
      <c r="A1198" s="92"/>
      <c r="F1198" s="606"/>
      <c r="G1198" s="616"/>
      <c r="H1198" s="93"/>
      <c r="I1198" s="41"/>
      <c r="J1198" s="750"/>
    </row>
    <row r="1199" spans="1:10" x14ac:dyDescent="0.35">
      <c r="A1199" s="92"/>
      <c r="F1199" s="606"/>
      <c r="G1199" s="616"/>
      <c r="H1199" s="93"/>
      <c r="I1199" s="41"/>
      <c r="J1199" s="750"/>
    </row>
    <row r="1200" spans="1:10" x14ac:dyDescent="0.35">
      <c r="A1200" s="92"/>
      <c r="F1200" s="606"/>
      <c r="G1200" s="616"/>
      <c r="H1200" s="93"/>
      <c r="I1200" s="41"/>
      <c r="J1200" s="750"/>
    </row>
    <row r="1201" spans="1:10" x14ac:dyDescent="0.35">
      <c r="A1201" s="92"/>
      <c r="F1201" s="606"/>
      <c r="G1201" s="616"/>
      <c r="H1201" s="93"/>
      <c r="I1201" s="41"/>
      <c r="J1201" s="750"/>
    </row>
    <row r="1202" spans="1:10" x14ac:dyDescent="0.35">
      <c r="A1202" s="92"/>
      <c r="F1202" s="606"/>
      <c r="G1202" s="616"/>
      <c r="H1202" s="93"/>
      <c r="I1202" s="41"/>
      <c r="J1202" s="750"/>
    </row>
    <row r="1203" spans="1:10" x14ac:dyDescent="0.35">
      <c r="A1203" s="92"/>
      <c r="F1203" s="606"/>
      <c r="G1203" s="616"/>
      <c r="H1203" s="93"/>
      <c r="I1203" s="41"/>
      <c r="J1203" s="750"/>
    </row>
    <row r="1204" spans="1:10" x14ac:dyDescent="0.35">
      <c r="A1204" s="92"/>
      <c r="F1204" s="606"/>
      <c r="G1204" s="616"/>
      <c r="H1204" s="93"/>
      <c r="I1204" s="41"/>
      <c r="J1204" s="750"/>
    </row>
    <row r="1205" spans="1:10" x14ac:dyDescent="0.35">
      <c r="A1205" s="92"/>
      <c r="F1205" s="606"/>
      <c r="G1205" s="616"/>
      <c r="H1205" s="93"/>
      <c r="I1205" s="41"/>
      <c r="J1205" s="750"/>
    </row>
    <row r="1206" spans="1:10" x14ac:dyDescent="0.35">
      <c r="A1206" s="92"/>
      <c r="F1206" s="606"/>
      <c r="G1206" s="616"/>
      <c r="H1206" s="93"/>
      <c r="I1206" s="41"/>
      <c r="J1206" s="750"/>
    </row>
    <row r="1207" spans="1:10" x14ac:dyDescent="0.35">
      <c r="A1207" s="92"/>
      <c r="F1207" s="606"/>
      <c r="G1207" s="616"/>
      <c r="H1207" s="93"/>
      <c r="I1207" s="41"/>
      <c r="J1207" s="750"/>
    </row>
    <row r="1208" spans="1:10" x14ac:dyDescent="0.35">
      <c r="A1208" s="92"/>
      <c r="F1208" s="606"/>
      <c r="G1208" s="616"/>
      <c r="H1208" s="93"/>
      <c r="I1208" s="41"/>
      <c r="J1208" s="750"/>
    </row>
    <row r="1209" spans="1:10" x14ac:dyDescent="0.35">
      <c r="A1209" s="92"/>
      <c r="F1209" s="606"/>
      <c r="G1209" s="616"/>
      <c r="H1209" s="93"/>
      <c r="I1209" s="41"/>
      <c r="J1209" s="750"/>
    </row>
    <row r="1210" spans="1:10" x14ac:dyDescent="0.35">
      <c r="A1210" s="92"/>
      <c r="F1210" s="606"/>
      <c r="G1210" s="616"/>
      <c r="H1210" s="93"/>
      <c r="I1210" s="41"/>
      <c r="J1210" s="750"/>
    </row>
    <row r="1211" spans="1:10" x14ac:dyDescent="0.35">
      <c r="A1211" s="92"/>
      <c r="F1211" s="606"/>
      <c r="G1211" s="616"/>
      <c r="H1211" s="93"/>
      <c r="I1211" s="41"/>
      <c r="J1211" s="750"/>
    </row>
    <row r="1212" spans="1:10" x14ac:dyDescent="0.35">
      <c r="A1212" s="92"/>
      <c r="F1212" s="606"/>
      <c r="G1212" s="616"/>
      <c r="H1212" s="93"/>
      <c r="I1212" s="41"/>
      <c r="J1212" s="750"/>
    </row>
    <row r="1213" spans="1:10" x14ac:dyDescent="0.35">
      <c r="A1213" s="92"/>
      <c r="F1213" s="606"/>
      <c r="G1213" s="616"/>
      <c r="H1213" s="93"/>
      <c r="I1213" s="41"/>
      <c r="J1213" s="750"/>
    </row>
    <row r="1214" spans="1:10" x14ac:dyDescent="0.35">
      <c r="A1214" s="92"/>
      <c r="F1214" s="606"/>
      <c r="G1214" s="616"/>
      <c r="H1214" s="93"/>
      <c r="I1214" s="41"/>
      <c r="J1214" s="750"/>
    </row>
    <row r="1215" spans="1:10" x14ac:dyDescent="0.35">
      <c r="A1215" s="92"/>
      <c r="F1215" s="606"/>
      <c r="G1215" s="616"/>
      <c r="H1215" s="93"/>
      <c r="I1215" s="41"/>
      <c r="J1215" s="750"/>
    </row>
    <row r="1216" spans="1:10" x14ac:dyDescent="0.35">
      <c r="A1216" s="92"/>
      <c r="F1216" s="606"/>
      <c r="G1216" s="616"/>
      <c r="H1216" s="93"/>
      <c r="I1216" s="41"/>
      <c r="J1216" s="750"/>
    </row>
    <row r="1217" spans="1:10" x14ac:dyDescent="0.35">
      <c r="A1217" s="92"/>
      <c r="F1217" s="606"/>
      <c r="G1217" s="616"/>
      <c r="H1217" s="93"/>
      <c r="I1217" s="41"/>
      <c r="J1217" s="750"/>
    </row>
    <row r="1218" spans="1:10" x14ac:dyDescent="0.35">
      <c r="A1218" s="92"/>
      <c r="F1218" s="606"/>
      <c r="G1218" s="616"/>
      <c r="H1218" s="93"/>
      <c r="I1218" s="41"/>
      <c r="J1218" s="750"/>
    </row>
    <row r="1219" spans="1:10" x14ac:dyDescent="0.35">
      <c r="A1219" s="92"/>
      <c r="F1219" s="606"/>
      <c r="G1219" s="616"/>
      <c r="H1219" s="93"/>
      <c r="I1219" s="41"/>
      <c r="J1219" s="750"/>
    </row>
    <row r="1220" spans="1:10" x14ac:dyDescent="0.35">
      <c r="A1220" s="92"/>
      <c r="F1220" s="606"/>
      <c r="G1220" s="616"/>
      <c r="H1220" s="93"/>
      <c r="I1220" s="41"/>
      <c r="J1220" s="750"/>
    </row>
    <row r="1221" spans="1:10" x14ac:dyDescent="0.35">
      <c r="A1221" s="92"/>
      <c r="F1221" s="606"/>
      <c r="G1221" s="616"/>
      <c r="H1221" s="93"/>
      <c r="I1221" s="41"/>
      <c r="J1221" s="750"/>
    </row>
    <row r="1222" spans="1:10" x14ac:dyDescent="0.35">
      <c r="A1222" s="92"/>
      <c r="F1222" s="606"/>
      <c r="G1222" s="616"/>
      <c r="H1222" s="93"/>
      <c r="I1222" s="41"/>
      <c r="J1222" s="750"/>
    </row>
    <row r="1223" spans="1:10" x14ac:dyDescent="0.35">
      <c r="A1223" s="92"/>
      <c r="F1223" s="606"/>
      <c r="G1223" s="616"/>
      <c r="H1223" s="93"/>
      <c r="I1223" s="41"/>
      <c r="J1223" s="750"/>
    </row>
    <row r="1224" spans="1:10" x14ac:dyDescent="0.35">
      <c r="A1224" s="92"/>
      <c r="F1224" s="606"/>
      <c r="G1224" s="616"/>
      <c r="H1224" s="93"/>
      <c r="I1224" s="41"/>
      <c r="J1224" s="750"/>
    </row>
    <row r="1225" spans="1:10" x14ac:dyDescent="0.35">
      <c r="A1225" s="92"/>
      <c r="F1225" s="606"/>
      <c r="G1225" s="616"/>
      <c r="H1225" s="93"/>
      <c r="I1225" s="41"/>
      <c r="J1225" s="750"/>
    </row>
    <row r="1226" spans="1:10" x14ac:dyDescent="0.35">
      <c r="A1226" s="92"/>
      <c r="F1226" s="606"/>
      <c r="G1226" s="616"/>
      <c r="H1226" s="93"/>
      <c r="I1226" s="41"/>
      <c r="J1226" s="750"/>
    </row>
    <row r="1227" spans="1:10" x14ac:dyDescent="0.35">
      <c r="A1227" s="92"/>
      <c r="F1227" s="606"/>
      <c r="G1227" s="616"/>
      <c r="H1227" s="93"/>
      <c r="I1227" s="41"/>
      <c r="J1227" s="750"/>
    </row>
    <row r="1228" spans="1:10" x14ac:dyDescent="0.35">
      <c r="A1228" s="92"/>
      <c r="F1228" s="606"/>
      <c r="G1228" s="616"/>
      <c r="H1228" s="93"/>
      <c r="I1228" s="41"/>
      <c r="J1228" s="750"/>
    </row>
    <row r="1229" spans="1:10" x14ac:dyDescent="0.35">
      <c r="A1229" s="92"/>
      <c r="F1229" s="606"/>
      <c r="G1229" s="616"/>
      <c r="H1229" s="93"/>
      <c r="I1229" s="41"/>
      <c r="J1229" s="750"/>
    </row>
    <row r="1230" spans="1:10" x14ac:dyDescent="0.35">
      <c r="A1230" s="92"/>
      <c r="F1230" s="606"/>
      <c r="G1230" s="616"/>
      <c r="H1230" s="93"/>
      <c r="I1230" s="41"/>
      <c r="J1230" s="750"/>
    </row>
    <row r="1231" spans="1:10" x14ac:dyDescent="0.35">
      <c r="A1231" s="92"/>
      <c r="F1231" s="606"/>
      <c r="G1231" s="616"/>
      <c r="H1231" s="93"/>
      <c r="I1231" s="41"/>
      <c r="J1231" s="750"/>
    </row>
    <row r="1232" spans="1:10" x14ac:dyDescent="0.35">
      <c r="A1232" s="92"/>
      <c r="F1232" s="606"/>
      <c r="G1232" s="616"/>
      <c r="H1232" s="93"/>
      <c r="I1232" s="41"/>
      <c r="J1232" s="750"/>
    </row>
    <row r="1233" spans="1:10" x14ac:dyDescent="0.35">
      <c r="A1233" s="92"/>
      <c r="F1233" s="606"/>
      <c r="G1233" s="616"/>
      <c r="H1233" s="93"/>
      <c r="I1233" s="41"/>
      <c r="J1233" s="750"/>
    </row>
    <row r="1234" spans="1:10" x14ac:dyDescent="0.35">
      <c r="A1234" s="92"/>
      <c r="F1234" s="606"/>
      <c r="G1234" s="616"/>
      <c r="H1234" s="93"/>
      <c r="I1234" s="41"/>
      <c r="J1234" s="750"/>
    </row>
    <row r="1235" spans="1:10" x14ac:dyDescent="0.35">
      <c r="A1235" s="92"/>
      <c r="F1235" s="606"/>
      <c r="G1235" s="616"/>
      <c r="H1235" s="93"/>
      <c r="I1235" s="41"/>
      <c r="J1235" s="750"/>
    </row>
    <row r="1236" spans="1:10" x14ac:dyDescent="0.35">
      <c r="A1236" s="92"/>
      <c r="F1236" s="606"/>
      <c r="G1236" s="616"/>
      <c r="H1236" s="93"/>
      <c r="I1236" s="41"/>
      <c r="J1236" s="750"/>
    </row>
    <row r="1237" spans="1:10" x14ac:dyDescent="0.35">
      <c r="A1237" s="92"/>
      <c r="F1237" s="606"/>
      <c r="G1237" s="616"/>
      <c r="H1237" s="93"/>
      <c r="I1237" s="41"/>
      <c r="J1237" s="750"/>
    </row>
    <row r="1238" spans="1:10" x14ac:dyDescent="0.35">
      <c r="A1238" s="92"/>
      <c r="F1238" s="606"/>
      <c r="G1238" s="616"/>
      <c r="H1238" s="93"/>
      <c r="I1238" s="41"/>
      <c r="J1238" s="750"/>
    </row>
    <row r="1239" spans="1:10" x14ac:dyDescent="0.35">
      <c r="A1239" s="92"/>
      <c r="F1239" s="606"/>
      <c r="G1239" s="616"/>
      <c r="H1239" s="93"/>
      <c r="I1239" s="41"/>
      <c r="J1239" s="750"/>
    </row>
    <row r="1240" spans="1:10" x14ac:dyDescent="0.35">
      <c r="A1240" s="92"/>
      <c r="F1240" s="606"/>
      <c r="G1240" s="616"/>
      <c r="H1240" s="93"/>
      <c r="I1240" s="41"/>
      <c r="J1240" s="750"/>
    </row>
    <row r="1241" spans="1:10" x14ac:dyDescent="0.35">
      <c r="A1241" s="92"/>
      <c r="F1241" s="606"/>
      <c r="G1241" s="616"/>
      <c r="H1241" s="93"/>
      <c r="I1241" s="41"/>
      <c r="J1241" s="750"/>
    </row>
    <row r="1242" spans="1:10" x14ac:dyDescent="0.35">
      <c r="A1242" s="92"/>
      <c r="F1242" s="606"/>
      <c r="G1242" s="616"/>
      <c r="H1242" s="93"/>
      <c r="I1242" s="41"/>
      <c r="J1242" s="750"/>
    </row>
    <row r="1243" spans="1:10" x14ac:dyDescent="0.35">
      <c r="A1243" s="92"/>
      <c r="F1243" s="606"/>
      <c r="G1243" s="616"/>
      <c r="H1243" s="93"/>
      <c r="I1243" s="41"/>
      <c r="J1243" s="750"/>
    </row>
    <row r="1244" spans="1:10" x14ac:dyDescent="0.35">
      <c r="A1244" s="92"/>
      <c r="F1244" s="606"/>
      <c r="G1244" s="616"/>
      <c r="H1244" s="93"/>
      <c r="I1244" s="41"/>
      <c r="J1244" s="750"/>
    </row>
    <row r="1245" spans="1:10" x14ac:dyDescent="0.35">
      <c r="A1245" s="92"/>
      <c r="F1245" s="606"/>
      <c r="G1245" s="616"/>
      <c r="H1245" s="93"/>
      <c r="I1245" s="41"/>
      <c r="J1245" s="750"/>
    </row>
    <row r="1246" spans="1:10" x14ac:dyDescent="0.35">
      <c r="A1246" s="92"/>
      <c r="F1246" s="606"/>
      <c r="G1246" s="616"/>
      <c r="H1246" s="93"/>
      <c r="I1246" s="41"/>
      <c r="J1246" s="750"/>
    </row>
    <row r="1247" spans="1:10" x14ac:dyDescent="0.35">
      <c r="A1247" s="92"/>
      <c r="F1247" s="606"/>
      <c r="G1247" s="616"/>
      <c r="H1247" s="93"/>
      <c r="I1247" s="41"/>
      <c r="J1247" s="750"/>
    </row>
    <row r="1248" spans="1:10" x14ac:dyDescent="0.35">
      <c r="A1248" s="92"/>
      <c r="F1248" s="606"/>
      <c r="G1248" s="616"/>
      <c r="H1248" s="93"/>
      <c r="I1248" s="41"/>
      <c r="J1248" s="750"/>
    </row>
    <row r="1249" spans="1:10" x14ac:dyDescent="0.35">
      <c r="A1249" s="92"/>
      <c r="F1249" s="606"/>
      <c r="G1249" s="616"/>
      <c r="H1249" s="93"/>
      <c r="I1249" s="41"/>
      <c r="J1249" s="750"/>
    </row>
    <row r="1250" spans="1:10" x14ac:dyDescent="0.35">
      <c r="A1250" s="92"/>
      <c r="F1250" s="606"/>
      <c r="G1250" s="616"/>
      <c r="H1250" s="93"/>
      <c r="I1250" s="41"/>
      <c r="J1250" s="750"/>
    </row>
    <row r="1251" spans="1:10" x14ac:dyDescent="0.35">
      <c r="A1251" s="92"/>
      <c r="F1251" s="606"/>
      <c r="G1251" s="616"/>
      <c r="H1251" s="93"/>
      <c r="I1251" s="41"/>
      <c r="J1251" s="750"/>
    </row>
    <row r="1252" spans="1:10" x14ac:dyDescent="0.35">
      <c r="A1252" s="92"/>
      <c r="F1252" s="606"/>
      <c r="G1252" s="616"/>
      <c r="H1252" s="93"/>
      <c r="I1252" s="41"/>
      <c r="J1252" s="750"/>
    </row>
    <row r="1253" spans="1:10" x14ac:dyDescent="0.35">
      <c r="A1253" s="92"/>
      <c r="F1253" s="606"/>
      <c r="G1253" s="616"/>
      <c r="H1253" s="93"/>
      <c r="I1253" s="41"/>
      <c r="J1253" s="750"/>
    </row>
    <row r="1254" spans="1:10" x14ac:dyDescent="0.35">
      <c r="A1254" s="92"/>
      <c r="F1254" s="606"/>
      <c r="G1254" s="616"/>
      <c r="H1254" s="93"/>
      <c r="I1254" s="41"/>
      <c r="J1254" s="750"/>
    </row>
    <row r="1255" spans="1:10" x14ac:dyDescent="0.35">
      <c r="A1255" s="92"/>
      <c r="F1255" s="606"/>
      <c r="G1255" s="616"/>
      <c r="H1255" s="93"/>
      <c r="I1255" s="41"/>
      <c r="J1255" s="750"/>
    </row>
    <row r="1256" spans="1:10" x14ac:dyDescent="0.35">
      <c r="A1256" s="92"/>
      <c r="F1256" s="606"/>
      <c r="G1256" s="616"/>
      <c r="H1256" s="93"/>
      <c r="I1256" s="41"/>
      <c r="J1256" s="750"/>
    </row>
    <row r="1257" spans="1:10" x14ac:dyDescent="0.35">
      <c r="A1257" s="92"/>
      <c r="F1257" s="606"/>
      <c r="G1257" s="616"/>
      <c r="H1257" s="93"/>
      <c r="I1257" s="41"/>
      <c r="J1257" s="750"/>
    </row>
    <row r="1258" spans="1:10" x14ac:dyDescent="0.35">
      <c r="A1258" s="92"/>
      <c r="F1258" s="606"/>
      <c r="G1258" s="616"/>
      <c r="H1258" s="93"/>
      <c r="I1258" s="41"/>
      <c r="J1258" s="750"/>
    </row>
    <row r="1259" spans="1:10" x14ac:dyDescent="0.35">
      <c r="A1259" s="92"/>
      <c r="F1259" s="606"/>
      <c r="G1259" s="616"/>
      <c r="H1259" s="93"/>
      <c r="I1259" s="41"/>
      <c r="J1259" s="750"/>
    </row>
    <row r="1260" spans="1:10" x14ac:dyDescent="0.35">
      <c r="A1260" s="92"/>
      <c r="F1260" s="606"/>
      <c r="G1260" s="616"/>
      <c r="H1260" s="93"/>
      <c r="I1260" s="41"/>
      <c r="J1260" s="750"/>
    </row>
    <row r="1261" spans="1:10" x14ac:dyDescent="0.35">
      <c r="A1261" s="92"/>
      <c r="F1261" s="606"/>
      <c r="G1261" s="616"/>
      <c r="H1261" s="93"/>
      <c r="I1261" s="41"/>
      <c r="J1261" s="750"/>
    </row>
    <row r="1262" spans="1:10" x14ac:dyDescent="0.35">
      <c r="A1262" s="92"/>
      <c r="F1262" s="606"/>
      <c r="G1262" s="616"/>
      <c r="H1262" s="93"/>
      <c r="I1262" s="41"/>
      <c r="J1262" s="750"/>
    </row>
    <row r="1263" spans="1:10" x14ac:dyDescent="0.35">
      <c r="A1263" s="92"/>
      <c r="F1263" s="606"/>
      <c r="G1263" s="616"/>
      <c r="H1263" s="93"/>
      <c r="I1263" s="41"/>
      <c r="J1263" s="750"/>
    </row>
    <row r="1264" spans="1:10" x14ac:dyDescent="0.35">
      <c r="A1264" s="92"/>
      <c r="F1264" s="606"/>
      <c r="G1264" s="616"/>
      <c r="H1264" s="93"/>
      <c r="I1264" s="41"/>
      <c r="J1264" s="750"/>
    </row>
    <row r="1265" spans="1:10" x14ac:dyDescent="0.35">
      <c r="A1265" s="92"/>
      <c r="F1265" s="606"/>
      <c r="G1265" s="616"/>
      <c r="H1265" s="93"/>
      <c r="I1265" s="41"/>
      <c r="J1265" s="750"/>
    </row>
    <row r="1266" spans="1:10" x14ac:dyDescent="0.35">
      <c r="A1266" s="92"/>
      <c r="F1266" s="606"/>
      <c r="G1266" s="616"/>
      <c r="H1266" s="93"/>
      <c r="I1266" s="41"/>
      <c r="J1266" s="750"/>
    </row>
    <row r="1267" spans="1:10" x14ac:dyDescent="0.35">
      <c r="A1267" s="92"/>
      <c r="F1267" s="606"/>
      <c r="G1267" s="616"/>
      <c r="H1267" s="93"/>
      <c r="I1267" s="41"/>
      <c r="J1267" s="750"/>
    </row>
    <row r="1268" spans="1:10" x14ac:dyDescent="0.35">
      <c r="A1268" s="92"/>
      <c r="F1268" s="606"/>
      <c r="G1268" s="616"/>
      <c r="H1268" s="93"/>
      <c r="I1268" s="41"/>
      <c r="J1268" s="750"/>
    </row>
    <row r="1269" spans="1:10" x14ac:dyDescent="0.35">
      <c r="A1269" s="92"/>
      <c r="F1269" s="606"/>
      <c r="G1269" s="616"/>
      <c r="H1269" s="93"/>
      <c r="I1269" s="41"/>
      <c r="J1269" s="750"/>
    </row>
    <row r="1270" spans="1:10" x14ac:dyDescent="0.35">
      <c r="A1270" s="92"/>
      <c r="F1270" s="606"/>
      <c r="G1270" s="616"/>
      <c r="H1270" s="93"/>
      <c r="I1270" s="41"/>
      <c r="J1270" s="750"/>
    </row>
    <row r="1271" spans="1:10" x14ac:dyDescent="0.35">
      <c r="A1271" s="92"/>
      <c r="F1271" s="606"/>
      <c r="G1271" s="616"/>
      <c r="H1271" s="93"/>
      <c r="I1271" s="41"/>
      <c r="J1271" s="750"/>
    </row>
    <row r="1272" spans="1:10" x14ac:dyDescent="0.35">
      <c r="A1272" s="92"/>
      <c r="F1272" s="606"/>
      <c r="G1272" s="616"/>
      <c r="H1272" s="93"/>
      <c r="I1272" s="41"/>
      <c r="J1272" s="750"/>
    </row>
    <row r="1273" spans="1:10" x14ac:dyDescent="0.35">
      <c r="A1273" s="92"/>
      <c r="F1273" s="606"/>
      <c r="G1273" s="616"/>
      <c r="H1273" s="93"/>
      <c r="I1273" s="41"/>
      <c r="J1273" s="750"/>
    </row>
    <row r="1274" spans="1:10" x14ac:dyDescent="0.35">
      <c r="A1274" s="92"/>
      <c r="F1274" s="606"/>
      <c r="G1274" s="616"/>
      <c r="H1274" s="93"/>
      <c r="I1274" s="41"/>
      <c r="J1274" s="750"/>
    </row>
    <row r="1275" spans="1:10" x14ac:dyDescent="0.35">
      <c r="A1275" s="92"/>
      <c r="F1275" s="606"/>
      <c r="G1275" s="616"/>
      <c r="H1275" s="93"/>
      <c r="I1275" s="41"/>
      <c r="J1275" s="750"/>
    </row>
    <row r="1276" spans="1:10" x14ac:dyDescent="0.35">
      <c r="A1276" s="92"/>
      <c r="F1276" s="606"/>
      <c r="G1276" s="616"/>
      <c r="H1276" s="93"/>
      <c r="I1276" s="41"/>
      <c r="J1276" s="750"/>
    </row>
    <row r="1277" spans="1:10" x14ac:dyDescent="0.35">
      <c r="A1277" s="92"/>
      <c r="F1277" s="606"/>
      <c r="G1277" s="616"/>
      <c r="H1277" s="93"/>
      <c r="I1277" s="41"/>
      <c r="J1277" s="750"/>
    </row>
    <row r="1278" spans="1:10" x14ac:dyDescent="0.35">
      <c r="A1278" s="92"/>
      <c r="F1278" s="606"/>
      <c r="G1278" s="616"/>
      <c r="H1278" s="93"/>
      <c r="I1278" s="41"/>
      <c r="J1278" s="750"/>
    </row>
    <row r="1279" spans="1:10" x14ac:dyDescent="0.35">
      <c r="A1279" s="92"/>
      <c r="F1279" s="606"/>
      <c r="G1279" s="616"/>
      <c r="H1279" s="93"/>
      <c r="I1279" s="41"/>
      <c r="J1279" s="750"/>
    </row>
    <row r="1280" spans="1:10" x14ac:dyDescent="0.35">
      <c r="A1280" s="92"/>
      <c r="F1280" s="606"/>
      <c r="G1280" s="616"/>
      <c r="H1280" s="93"/>
      <c r="I1280" s="41"/>
      <c r="J1280" s="750"/>
    </row>
    <row r="1281" spans="1:10" x14ac:dyDescent="0.35">
      <c r="A1281" s="92"/>
      <c r="F1281" s="606"/>
      <c r="G1281" s="616"/>
      <c r="H1281" s="93"/>
      <c r="I1281" s="41"/>
      <c r="J1281" s="750"/>
    </row>
    <row r="1282" spans="1:10" x14ac:dyDescent="0.35">
      <c r="A1282" s="92"/>
      <c r="F1282" s="606"/>
      <c r="G1282" s="616"/>
      <c r="H1282" s="93"/>
      <c r="I1282" s="41"/>
      <c r="J1282" s="750"/>
    </row>
    <row r="1283" spans="1:10" x14ac:dyDescent="0.35">
      <c r="A1283" s="92"/>
      <c r="F1283" s="606"/>
      <c r="G1283" s="616"/>
      <c r="H1283" s="93"/>
      <c r="I1283" s="41"/>
      <c r="J1283" s="750"/>
    </row>
    <row r="1284" spans="1:10" x14ac:dyDescent="0.35">
      <c r="A1284" s="92"/>
      <c r="F1284" s="606"/>
      <c r="G1284" s="616"/>
      <c r="H1284" s="93"/>
      <c r="I1284" s="41"/>
      <c r="J1284" s="750"/>
    </row>
    <row r="1285" spans="1:10" x14ac:dyDescent="0.35">
      <c r="A1285" s="92"/>
      <c r="F1285" s="606"/>
      <c r="G1285" s="616"/>
      <c r="H1285" s="93"/>
      <c r="I1285" s="41"/>
      <c r="J1285" s="750"/>
    </row>
    <row r="1286" spans="1:10" x14ac:dyDescent="0.35">
      <c r="A1286" s="92"/>
      <c r="F1286" s="606"/>
      <c r="G1286" s="616"/>
      <c r="H1286" s="93"/>
      <c r="I1286" s="41"/>
      <c r="J1286" s="750"/>
    </row>
    <row r="1287" spans="1:10" x14ac:dyDescent="0.35">
      <c r="A1287" s="92"/>
      <c r="F1287" s="606"/>
      <c r="G1287" s="616"/>
      <c r="H1287" s="93"/>
      <c r="I1287" s="41"/>
      <c r="J1287" s="750"/>
    </row>
    <row r="1288" spans="1:10" x14ac:dyDescent="0.35">
      <c r="A1288" s="92"/>
      <c r="F1288" s="606"/>
      <c r="G1288" s="616"/>
      <c r="H1288" s="93"/>
      <c r="I1288" s="41"/>
      <c r="J1288" s="750"/>
    </row>
    <row r="1289" spans="1:10" x14ac:dyDescent="0.35">
      <c r="A1289" s="92"/>
      <c r="F1289" s="606"/>
      <c r="G1289" s="616"/>
      <c r="H1289" s="93"/>
      <c r="I1289" s="41"/>
      <c r="J1289" s="750"/>
    </row>
    <row r="1290" spans="1:10" x14ac:dyDescent="0.35">
      <c r="A1290" s="92"/>
      <c r="F1290" s="606"/>
      <c r="G1290" s="616"/>
      <c r="H1290" s="93"/>
      <c r="I1290" s="41"/>
      <c r="J1290" s="750"/>
    </row>
    <row r="1291" spans="1:10" x14ac:dyDescent="0.35">
      <c r="A1291" s="92"/>
      <c r="F1291" s="606"/>
      <c r="G1291" s="616"/>
      <c r="H1291" s="93"/>
      <c r="I1291" s="41"/>
      <c r="J1291" s="750"/>
    </row>
    <row r="1292" spans="1:10" x14ac:dyDescent="0.35">
      <c r="A1292" s="92"/>
      <c r="F1292" s="606"/>
      <c r="G1292" s="616"/>
      <c r="H1292" s="93"/>
      <c r="I1292" s="41"/>
      <c r="J1292" s="750"/>
    </row>
    <row r="1293" spans="1:10" x14ac:dyDescent="0.35">
      <c r="A1293" s="92"/>
      <c r="F1293" s="606"/>
      <c r="G1293" s="616"/>
      <c r="H1293" s="93"/>
      <c r="I1293" s="41"/>
      <c r="J1293" s="750"/>
    </row>
    <row r="1294" spans="1:10" x14ac:dyDescent="0.35">
      <c r="A1294" s="92"/>
      <c r="F1294" s="606"/>
      <c r="G1294" s="616"/>
      <c r="H1294" s="93"/>
      <c r="I1294" s="41"/>
      <c r="J1294" s="750"/>
    </row>
    <row r="1295" spans="1:10" x14ac:dyDescent="0.35">
      <c r="A1295" s="92"/>
      <c r="F1295" s="606"/>
      <c r="G1295" s="616"/>
      <c r="H1295" s="93"/>
      <c r="I1295" s="41"/>
      <c r="J1295" s="750"/>
    </row>
    <row r="1296" spans="1:10" x14ac:dyDescent="0.35">
      <c r="A1296" s="92"/>
      <c r="F1296" s="606"/>
      <c r="G1296" s="616"/>
      <c r="H1296" s="93"/>
      <c r="I1296" s="41"/>
      <c r="J1296" s="750"/>
    </row>
    <row r="1297" spans="1:10" x14ac:dyDescent="0.35">
      <c r="A1297" s="92"/>
      <c r="F1297" s="606"/>
      <c r="G1297" s="616"/>
      <c r="H1297" s="93"/>
      <c r="I1297" s="41"/>
      <c r="J1297" s="750"/>
    </row>
    <row r="1298" spans="1:10" x14ac:dyDescent="0.35">
      <c r="A1298" s="92"/>
      <c r="F1298" s="606"/>
      <c r="G1298" s="616"/>
      <c r="H1298" s="93"/>
      <c r="I1298" s="41"/>
      <c r="J1298" s="750"/>
    </row>
    <row r="1299" spans="1:10" x14ac:dyDescent="0.35">
      <c r="A1299" s="92"/>
      <c r="F1299" s="606"/>
      <c r="G1299" s="616"/>
      <c r="H1299" s="93"/>
      <c r="I1299" s="41"/>
      <c r="J1299" s="750"/>
    </row>
    <row r="1300" spans="1:10" x14ac:dyDescent="0.35">
      <c r="A1300" s="92"/>
      <c r="F1300" s="606"/>
      <c r="G1300" s="616"/>
      <c r="H1300" s="93"/>
      <c r="I1300" s="41"/>
      <c r="J1300" s="750"/>
    </row>
    <row r="1301" spans="1:10" x14ac:dyDescent="0.35">
      <c r="A1301" s="92"/>
      <c r="F1301" s="606"/>
      <c r="G1301" s="616"/>
      <c r="H1301" s="93"/>
      <c r="I1301" s="41"/>
      <c r="J1301" s="750"/>
    </row>
    <row r="1302" spans="1:10" x14ac:dyDescent="0.35">
      <c r="A1302" s="92"/>
      <c r="F1302" s="606"/>
      <c r="G1302" s="616"/>
      <c r="H1302" s="93"/>
      <c r="I1302" s="41"/>
      <c r="J1302" s="750"/>
    </row>
    <row r="1303" spans="1:10" x14ac:dyDescent="0.35">
      <c r="A1303" s="92"/>
      <c r="F1303" s="606"/>
      <c r="G1303" s="616"/>
      <c r="H1303" s="93"/>
      <c r="I1303" s="41"/>
      <c r="J1303" s="750"/>
    </row>
    <row r="1304" spans="1:10" x14ac:dyDescent="0.35">
      <c r="A1304" s="92"/>
      <c r="F1304" s="606"/>
      <c r="G1304" s="616"/>
      <c r="H1304" s="93"/>
      <c r="I1304" s="41"/>
      <c r="J1304" s="750"/>
    </row>
    <row r="1305" spans="1:10" x14ac:dyDescent="0.35">
      <c r="A1305" s="92"/>
      <c r="F1305" s="606"/>
      <c r="G1305" s="616"/>
      <c r="H1305" s="93"/>
      <c r="I1305" s="41"/>
      <c r="J1305" s="750"/>
    </row>
    <row r="1306" spans="1:10" x14ac:dyDescent="0.35">
      <c r="A1306" s="92"/>
      <c r="F1306" s="606"/>
      <c r="G1306" s="616"/>
      <c r="H1306" s="93"/>
      <c r="I1306" s="41"/>
      <c r="J1306" s="750"/>
    </row>
    <row r="1307" spans="1:10" x14ac:dyDescent="0.35">
      <c r="A1307" s="92"/>
      <c r="F1307" s="606"/>
      <c r="G1307" s="616"/>
      <c r="H1307" s="93"/>
      <c r="I1307" s="41"/>
      <c r="J1307" s="750"/>
    </row>
    <row r="1308" spans="1:10" x14ac:dyDescent="0.35">
      <c r="A1308" s="92"/>
      <c r="F1308" s="606"/>
      <c r="G1308" s="616"/>
      <c r="H1308" s="93"/>
      <c r="I1308" s="41"/>
      <c r="J1308" s="750"/>
    </row>
    <row r="1309" spans="1:10" x14ac:dyDescent="0.35">
      <c r="A1309" s="92"/>
      <c r="F1309" s="606"/>
      <c r="G1309" s="616"/>
      <c r="H1309" s="93"/>
      <c r="I1309" s="41"/>
      <c r="J1309" s="750"/>
    </row>
    <row r="1310" spans="1:10" x14ac:dyDescent="0.35">
      <c r="A1310" s="92"/>
      <c r="F1310" s="606"/>
      <c r="G1310" s="616"/>
      <c r="H1310" s="93"/>
      <c r="I1310" s="41"/>
      <c r="J1310" s="750"/>
    </row>
    <row r="1311" spans="1:10" x14ac:dyDescent="0.35">
      <c r="A1311" s="92"/>
      <c r="F1311" s="606"/>
      <c r="G1311" s="616"/>
      <c r="H1311" s="93"/>
      <c r="I1311" s="41"/>
      <c r="J1311" s="750"/>
    </row>
    <row r="1312" spans="1:10" x14ac:dyDescent="0.35">
      <c r="A1312" s="92"/>
      <c r="F1312" s="606"/>
      <c r="G1312" s="616"/>
      <c r="H1312" s="93"/>
      <c r="I1312" s="41"/>
      <c r="J1312" s="750"/>
    </row>
    <row r="1313" spans="1:10" x14ac:dyDescent="0.35">
      <c r="A1313" s="92"/>
      <c r="F1313" s="606"/>
      <c r="G1313" s="616"/>
      <c r="H1313" s="93"/>
      <c r="I1313" s="41"/>
      <c r="J1313" s="750"/>
    </row>
    <row r="1314" spans="1:10" x14ac:dyDescent="0.35">
      <c r="A1314" s="92"/>
      <c r="F1314" s="606"/>
      <c r="G1314" s="616"/>
      <c r="H1314" s="93"/>
      <c r="I1314" s="41"/>
      <c r="J1314" s="750"/>
    </row>
    <row r="1315" spans="1:10" x14ac:dyDescent="0.35">
      <c r="A1315" s="92"/>
      <c r="F1315" s="606"/>
      <c r="G1315" s="616"/>
      <c r="H1315" s="93"/>
      <c r="I1315" s="41"/>
      <c r="J1315" s="750"/>
    </row>
    <row r="1316" spans="1:10" x14ac:dyDescent="0.35">
      <c r="A1316" s="92"/>
      <c r="F1316" s="606"/>
      <c r="G1316" s="616"/>
      <c r="H1316" s="93"/>
      <c r="I1316" s="41"/>
      <c r="J1316" s="750"/>
    </row>
    <row r="1317" spans="1:10" x14ac:dyDescent="0.35">
      <c r="A1317" s="92"/>
      <c r="F1317" s="606"/>
      <c r="G1317" s="616"/>
      <c r="H1317" s="93"/>
      <c r="I1317" s="41"/>
      <c r="J1317" s="750"/>
    </row>
    <row r="1318" spans="1:10" x14ac:dyDescent="0.35">
      <c r="A1318" s="92"/>
      <c r="F1318" s="606"/>
      <c r="G1318" s="616"/>
      <c r="H1318" s="93"/>
      <c r="I1318" s="41"/>
      <c r="J1318" s="750"/>
    </row>
    <row r="1319" spans="1:10" x14ac:dyDescent="0.35">
      <c r="A1319" s="92"/>
      <c r="F1319" s="606"/>
      <c r="G1319" s="616"/>
      <c r="H1319" s="93"/>
      <c r="I1319" s="41"/>
      <c r="J1319" s="750"/>
    </row>
    <row r="1320" spans="1:10" x14ac:dyDescent="0.35">
      <c r="A1320" s="92"/>
      <c r="F1320" s="606"/>
      <c r="G1320" s="616"/>
      <c r="H1320" s="93"/>
      <c r="I1320" s="41"/>
      <c r="J1320" s="750"/>
    </row>
    <row r="1321" spans="1:10" x14ac:dyDescent="0.35">
      <c r="A1321" s="92"/>
      <c r="F1321" s="606"/>
      <c r="G1321" s="616"/>
      <c r="H1321" s="93"/>
      <c r="I1321" s="41"/>
      <c r="J1321" s="750"/>
    </row>
    <row r="1322" spans="1:10" x14ac:dyDescent="0.35">
      <c r="A1322" s="92"/>
      <c r="F1322" s="606"/>
      <c r="G1322" s="616"/>
      <c r="H1322" s="93"/>
      <c r="I1322" s="41"/>
      <c r="J1322" s="750"/>
    </row>
    <row r="1323" spans="1:10" x14ac:dyDescent="0.35">
      <c r="A1323" s="92"/>
      <c r="F1323" s="606"/>
      <c r="G1323" s="616"/>
      <c r="H1323" s="93"/>
      <c r="I1323" s="41"/>
      <c r="J1323" s="750"/>
    </row>
    <row r="1324" spans="1:10" x14ac:dyDescent="0.35">
      <c r="A1324" s="92"/>
      <c r="F1324" s="606"/>
      <c r="G1324" s="616"/>
      <c r="H1324" s="93"/>
      <c r="I1324" s="41"/>
      <c r="J1324" s="750"/>
    </row>
    <row r="1325" spans="1:10" x14ac:dyDescent="0.35">
      <c r="A1325" s="92"/>
      <c r="F1325" s="606"/>
      <c r="G1325" s="616"/>
      <c r="H1325" s="93"/>
      <c r="I1325" s="41"/>
      <c r="J1325" s="750"/>
    </row>
    <row r="1326" spans="1:10" x14ac:dyDescent="0.35">
      <c r="A1326" s="92"/>
      <c r="F1326" s="606"/>
      <c r="G1326" s="616"/>
      <c r="H1326" s="93"/>
      <c r="I1326" s="41"/>
      <c r="J1326" s="750"/>
    </row>
    <row r="1327" spans="1:10" x14ac:dyDescent="0.35">
      <c r="A1327" s="92"/>
      <c r="F1327" s="606"/>
      <c r="G1327" s="616"/>
      <c r="H1327" s="93"/>
      <c r="I1327" s="41"/>
      <c r="J1327" s="750"/>
    </row>
    <row r="1328" spans="1:10" x14ac:dyDescent="0.35">
      <c r="A1328" s="92"/>
      <c r="F1328" s="606"/>
      <c r="G1328" s="616"/>
      <c r="H1328" s="93"/>
      <c r="I1328" s="41"/>
      <c r="J1328" s="750"/>
    </row>
    <row r="1329" spans="1:10" x14ac:dyDescent="0.35">
      <c r="A1329" s="92"/>
      <c r="F1329" s="606"/>
      <c r="G1329" s="616"/>
      <c r="H1329" s="93"/>
      <c r="I1329" s="41"/>
      <c r="J1329" s="750"/>
    </row>
    <row r="1330" spans="1:10" x14ac:dyDescent="0.35">
      <c r="A1330" s="92"/>
      <c r="F1330" s="606"/>
      <c r="G1330" s="616"/>
      <c r="H1330" s="93"/>
      <c r="I1330" s="41"/>
      <c r="J1330" s="750"/>
    </row>
    <row r="1331" spans="1:10" x14ac:dyDescent="0.35">
      <c r="A1331" s="92"/>
      <c r="F1331" s="606"/>
      <c r="G1331" s="616"/>
      <c r="H1331" s="93"/>
      <c r="I1331" s="41"/>
      <c r="J1331" s="750"/>
    </row>
    <row r="1332" spans="1:10" x14ac:dyDescent="0.35">
      <c r="A1332" s="92"/>
      <c r="F1332" s="606"/>
      <c r="G1332" s="616"/>
      <c r="H1332" s="93"/>
      <c r="I1332" s="41"/>
      <c r="J1332" s="750"/>
    </row>
    <row r="1333" spans="1:10" x14ac:dyDescent="0.35">
      <c r="A1333" s="92"/>
      <c r="F1333" s="606"/>
      <c r="G1333" s="616"/>
      <c r="H1333" s="93"/>
      <c r="I1333" s="41"/>
      <c r="J1333" s="750"/>
    </row>
    <row r="1334" spans="1:10" x14ac:dyDescent="0.35">
      <c r="A1334" s="92"/>
      <c r="F1334" s="606"/>
      <c r="G1334" s="616"/>
      <c r="H1334" s="93"/>
      <c r="I1334" s="41"/>
      <c r="J1334" s="750"/>
    </row>
    <row r="1335" spans="1:10" x14ac:dyDescent="0.35">
      <c r="A1335" s="92"/>
      <c r="F1335" s="606"/>
      <c r="G1335" s="616"/>
      <c r="H1335" s="93"/>
      <c r="I1335" s="41"/>
      <c r="J1335" s="750"/>
    </row>
    <row r="1336" spans="1:10" x14ac:dyDescent="0.35">
      <c r="A1336" s="92"/>
      <c r="F1336" s="606"/>
      <c r="G1336" s="616"/>
      <c r="H1336" s="93"/>
      <c r="I1336" s="41"/>
      <c r="J1336" s="750"/>
    </row>
    <row r="1337" spans="1:10" x14ac:dyDescent="0.35">
      <c r="A1337" s="92"/>
      <c r="F1337" s="606"/>
      <c r="G1337" s="616"/>
      <c r="H1337" s="93"/>
      <c r="I1337" s="41"/>
      <c r="J1337" s="750"/>
    </row>
    <row r="1338" spans="1:10" x14ac:dyDescent="0.35">
      <c r="A1338" s="92"/>
      <c r="F1338" s="606"/>
      <c r="G1338" s="616"/>
      <c r="H1338" s="93"/>
      <c r="I1338" s="41"/>
      <c r="J1338" s="750"/>
    </row>
    <row r="1339" spans="1:10" x14ac:dyDescent="0.35">
      <c r="A1339" s="92"/>
      <c r="F1339" s="606"/>
      <c r="G1339" s="616"/>
      <c r="H1339" s="93"/>
      <c r="I1339" s="41"/>
      <c r="J1339" s="750"/>
    </row>
    <row r="1340" spans="1:10" x14ac:dyDescent="0.35">
      <c r="A1340" s="92"/>
      <c r="F1340" s="606"/>
      <c r="G1340" s="616"/>
      <c r="H1340" s="93"/>
      <c r="I1340" s="41"/>
      <c r="J1340" s="750"/>
    </row>
    <row r="1341" spans="1:10" x14ac:dyDescent="0.35">
      <c r="A1341" s="92"/>
      <c r="F1341" s="606"/>
      <c r="G1341" s="616"/>
      <c r="H1341" s="93"/>
      <c r="I1341" s="41"/>
      <c r="J1341" s="750"/>
    </row>
    <row r="1342" spans="1:10" x14ac:dyDescent="0.35">
      <c r="A1342" s="92"/>
      <c r="F1342" s="606"/>
      <c r="G1342" s="616"/>
      <c r="H1342" s="93"/>
      <c r="I1342" s="41"/>
      <c r="J1342" s="750"/>
    </row>
    <row r="1343" spans="1:10" x14ac:dyDescent="0.35">
      <c r="A1343" s="92"/>
      <c r="F1343" s="606"/>
      <c r="G1343" s="616"/>
      <c r="H1343" s="93"/>
      <c r="I1343" s="41"/>
      <c r="J1343" s="750"/>
    </row>
    <row r="1344" spans="1:10" x14ac:dyDescent="0.35">
      <c r="A1344" s="92"/>
      <c r="F1344" s="606"/>
      <c r="G1344" s="616"/>
      <c r="H1344" s="93"/>
      <c r="I1344" s="41"/>
      <c r="J1344" s="750"/>
    </row>
    <row r="1345" spans="1:10" x14ac:dyDescent="0.35">
      <c r="A1345" s="92"/>
      <c r="F1345" s="606"/>
      <c r="G1345" s="616"/>
      <c r="H1345" s="93"/>
      <c r="I1345" s="41"/>
      <c r="J1345" s="750"/>
    </row>
    <row r="1346" spans="1:10" x14ac:dyDescent="0.35">
      <c r="A1346" s="92"/>
      <c r="F1346" s="606"/>
      <c r="G1346" s="616"/>
      <c r="H1346" s="93"/>
      <c r="I1346" s="41"/>
      <c r="J1346" s="750"/>
    </row>
    <row r="1347" spans="1:10" x14ac:dyDescent="0.35">
      <c r="A1347" s="92"/>
      <c r="F1347" s="606"/>
      <c r="G1347" s="616"/>
      <c r="H1347" s="93"/>
      <c r="I1347" s="41"/>
      <c r="J1347" s="750"/>
    </row>
    <row r="1348" spans="1:10" x14ac:dyDescent="0.35">
      <c r="A1348" s="92"/>
      <c r="F1348" s="606"/>
      <c r="G1348" s="616"/>
      <c r="H1348" s="93"/>
      <c r="I1348" s="41"/>
      <c r="J1348" s="750"/>
    </row>
    <row r="1349" spans="1:10" x14ac:dyDescent="0.35">
      <c r="A1349" s="92"/>
      <c r="F1349" s="606"/>
      <c r="G1349" s="616"/>
      <c r="H1349" s="93"/>
      <c r="I1349" s="41"/>
      <c r="J1349" s="750"/>
    </row>
    <row r="1350" spans="1:10" x14ac:dyDescent="0.35">
      <c r="A1350" s="92"/>
      <c r="F1350" s="606"/>
      <c r="G1350" s="616"/>
      <c r="H1350" s="93"/>
      <c r="I1350" s="41"/>
      <c r="J1350" s="750"/>
    </row>
    <row r="1351" spans="1:10" x14ac:dyDescent="0.35">
      <c r="A1351" s="92"/>
      <c r="F1351" s="606"/>
      <c r="G1351" s="616"/>
      <c r="H1351" s="93"/>
      <c r="I1351" s="41"/>
      <c r="J1351" s="750"/>
    </row>
    <row r="1352" spans="1:10" x14ac:dyDescent="0.35">
      <c r="A1352" s="92"/>
      <c r="F1352" s="606"/>
      <c r="G1352" s="616"/>
      <c r="H1352" s="93"/>
      <c r="I1352" s="41"/>
      <c r="J1352" s="750"/>
    </row>
    <row r="1353" spans="1:10" x14ac:dyDescent="0.35">
      <c r="A1353" s="92"/>
      <c r="F1353" s="606"/>
      <c r="G1353" s="616"/>
      <c r="H1353" s="93"/>
      <c r="I1353" s="41"/>
      <c r="J1353" s="750"/>
    </row>
    <row r="1354" spans="1:10" x14ac:dyDescent="0.35">
      <c r="A1354" s="92"/>
      <c r="F1354" s="606"/>
      <c r="G1354" s="616"/>
      <c r="H1354" s="93"/>
      <c r="I1354" s="41"/>
      <c r="J1354" s="750"/>
    </row>
    <row r="1355" spans="1:10" x14ac:dyDescent="0.35">
      <c r="A1355" s="92"/>
      <c r="F1355" s="606"/>
      <c r="G1355" s="616"/>
      <c r="H1355" s="93"/>
      <c r="I1355" s="41"/>
      <c r="J1355" s="750"/>
    </row>
    <row r="1356" spans="1:10" x14ac:dyDescent="0.35">
      <c r="A1356" s="92"/>
      <c r="F1356" s="606"/>
      <c r="G1356" s="616"/>
      <c r="H1356" s="93"/>
      <c r="I1356" s="41"/>
      <c r="J1356" s="750"/>
    </row>
    <row r="1357" spans="1:10" x14ac:dyDescent="0.35">
      <c r="A1357" s="92"/>
      <c r="F1357" s="606"/>
      <c r="G1357" s="616"/>
      <c r="H1357" s="93"/>
      <c r="I1357" s="41"/>
      <c r="J1357" s="750"/>
    </row>
    <row r="1358" spans="1:10" x14ac:dyDescent="0.35">
      <c r="A1358" s="92"/>
      <c r="F1358" s="606"/>
      <c r="G1358" s="616"/>
      <c r="H1358" s="93"/>
      <c r="I1358" s="41"/>
      <c r="J1358" s="750"/>
    </row>
    <row r="1359" spans="1:10" x14ac:dyDescent="0.35">
      <c r="A1359" s="92"/>
      <c r="F1359" s="606"/>
      <c r="G1359" s="616"/>
      <c r="H1359" s="93"/>
      <c r="I1359" s="41"/>
      <c r="J1359" s="750"/>
    </row>
    <row r="1360" spans="1:10" x14ac:dyDescent="0.35">
      <c r="A1360" s="92"/>
      <c r="F1360" s="606"/>
      <c r="G1360" s="616"/>
      <c r="H1360" s="93"/>
      <c r="I1360" s="41"/>
      <c r="J1360" s="750"/>
    </row>
    <row r="1361" spans="1:10" x14ac:dyDescent="0.35">
      <c r="A1361" s="92"/>
      <c r="F1361" s="606"/>
      <c r="G1361" s="616"/>
      <c r="H1361" s="93"/>
      <c r="I1361" s="41"/>
      <c r="J1361" s="750"/>
    </row>
    <row r="1362" spans="1:10" x14ac:dyDescent="0.35">
      <c r="A1362" s="92"/>
      <c r="F1362" s="606"/>
      <c r="G1362" s="616"/>
      <c r="H1362" s="93"/>
      <c r="I1362" s="41"/>
      <c r="J1362" s="750"/>
    </row>
    <row r="1363" spans="1:10" x14ac:dyDescent="0.35">
      <c r="A1363" s="92"/>
      <c r="F1363" s="606"/>
      <c r="G1363" s="616"/>
      <c r="H1363" s="93"/>
      <c r="I1363" s="41"/>
      <c r="J1363" s="750"/>
    </row>
    <row r="1364" spans="1:10" x14ac:dyDescent="0.35">
      <c r="A1364" s="92"/>
      <c r="F1364" s="606"/>
      <c r="G1364" s="616"/>
      <c r="H1364" s="93"/>
      <c r="I1364" s="41"/>
      <c r="J1364" s="750"/>
    </row>
    <row r="1365" spans="1:10" x14ac:dyDescent="0.35">
      <c r="A1365" s="92"/>
      <c r="F1365" s="606"/>
      <c r="G1365" s="616"/>
      <c r="H1365" s="93"/>
      <c r="I1365" s="41"/>
      <c r="J1365" s="750"/>
    </row>
    <row r="1366" spans="1:10" x14ac:dyDescent="0.35">
      <c r="A1366" s="92"/>
      <c r="F1366" s="606"/>
      <c r="G1366" s="616"/>
      <c r="H1366" s="93"/>
      <c r="I1366" s="41"/>
      <c r="J1366" s="750"/>
    </row>
    <row r="1367" spans="1:10" x14ac:dyDescent="0.35">
      <c r="A1367" s="92"/>
      <c r="F1367" s="606"/>
      <c r="G1367" s="616"/>
      <c r="H1367" s="93"/>
      <c r="I1367" s="41"/>
      <c r="J1367" s="750"/>
    </row>
    <row r="1368" spans="1:10" x14ac:dyDescent="0.35">
      <c r="A1368" s="92"/>
      <c r="F1368" s="606"/>
      <c r="G1368" s="616"/>
      <c r="H1368" s="93"/>
      <c r="I1368" s="41"/>
      <c r="J1368" s="750"/>
    </row>
    <row r="1369" spans="1:10" x14ac:dyDescent="0.35">
      <c r="A1369" s="92"/>
      <c r="F1369" s="606"/>
      <c r="G1369" s="616"/>
      <c r="H1369" s="93"/>
      <c r="I1369" s="41"/>
      <c r="J1369" s="750"/>
    </row>
    <row r="1370" spans="1:10" x14ac:dyDescent="0.35">
      <c r="A1370" s="92"/>
      <c r="F1370" s="606"/>
      <c r="G1370" s="616"/>
      <c r="H1370" s="93"/>
      <c r="I1370" s="41"/>
      <c r="J1370" s="750"/>
    </row>
    <row r="1371" spans="1:10" x14ac:dyDescent="0.35">
      <c r="A1371" s="92"/>
      <c r="F1371" s="606"/>
      <c r="G1371" s="616"/>
      <c r="H1371" s="93"/>
      <c r="I1371" s="41"/>
      <c r="J1371" s="750"/>
    </row>
    <row r="1372" spans="1:10" x14ac:dyDescent="0.35">
      <c r="A1372" s="92"/>
      <c r="F1372" s="606"/>
      <c r="G1372" s="616"/>
      <c r="H1372" s="93"/>
      <c r="I1372" s="41"/>
      <c r="J1372" s="750"/>
    </row>
    <row r="1373" spans="1:10" x14ac:dyDescent="0.35">
      <c r="A1373" s="92"/>
      <c r="F1373" s="606"/>
      <c r="G1373" s="616"/>
      <c r="H1373" s="93"/>
      <c r="I1373" s="41"/>
      <c r="J1373" s="750"/>
    </row>
    <row r="1374" spans="1:10" x14ac:dyDescent="0.35">
      <c r="A1374" s="92"/>
      <c r="F1374" s="606"/>
      <c r="G1374" s="616"/>
      <c r="H1374" s="93"/>
      <c r="I1374" s="41"/>
      <c r="J1374" s="750"/>
    </row>
    <row r="1375" spans="1:10" x14ac:dyDescent="0.35">
      <c r="A1375" s="92"/>
      <c r="F1375" s="606"/>
      <c r="G1375" s="616"/>
      <c r="H1375" s="93"/>
      <c r="I1375" s="41"/>
      <c r="J1375" s="750"/>
    </row>
    <row r="1376" spans="1:10" x14ac:dyDescent="0.35">
      <c r="A1376" s="92"/>
      <c r="F1376" s="606"/>
      <c r="G1376" s="616"/>
      <c r="H1376" s="93"/>
      <c r="I1376" s="41"/>
      <c r="J1376" s="750"/>
    </row>
    <row r="1377" spans="1:10" x14ac:dyDescent="0.35">
      <c r="A1377" s="92"/>
      <c r="F1377" s="606"/>
      <c r="G1377" s="616"/>
      <c r="H1377" s="93"/>
      <c r="I1377" s="41"/>
      <c r="J1377" s="750"/>
    </row>
    <row r="1378" spans="1:10" x14ac:dyDescent="0.35">
      <c r="A1378" s="92"/>
      <c r="F1378" s="606"/>
      <c r="G1378" s="616"/>
      <c r="H1378" s="93"/>
      <c r="I1378" s="41"/>
      <c r="J1378" s="750"/>
    </row>
    <row r="1379" spans="1:10" x14ac:dyDescent="0.35">
      <c r="A1379" s="92"/>
      <c r="F1379" s="606"/>
      <c r="G1379" s="616"/>
      <c r="H1379" s="93"/>
      <c r="I1379" s="41"/>
      <c r="J1379" s="750"/>
    </row>
    <row r="1380" spans="1:10" x14ac:dyDescent="0.35">
      <c r="A1380" s="92"/>
      <c r="F1380" s="606"/>
      <c r="G1380" s="616"/>
      <c r="H1380" s="93"/>
      <c r="I1380" s="41"/>
      <c r="J1380" s="750"/>
    </row>
    <row r="1381" spans="1:10" x14ac:dyDescent="0.35">
      <c r="A1381" s="92"/>
      <c r="F1381" s="606"/>
      <c r="G1381" s="616"/>
      <c r="H1381" s="93"/>
      <c r="I1381" s="41"/>
      <c r="J1381" s="750"/>
    </row>
    <row r="1382" spans="1:10" x14ac:dyDescent="0.35">
      <c r="A1382" s="92"/>
      <c r="F1382" s="606"/>
      <c r="G1382" s="616"/>
      <c r="H1382" s="93"/>
      <c r="I1382" s="41"/>
      <c r="J1382" s="750"/>
    </row>
    <row r="1383" spans="1:10" x14ac:dyDescent="0.35">
      <c r="A1383" s="92"/>
      <c r="F1383" s="606"/>
      <c r="G1383" s="616"/>
      <c r="H1383" s="93"/>
      <c r="I1383" s="41"/>
      <c r="J1383" s="750"/>
    </row>
    <row r="1384" spans="1:10" x14ac:dyDescent="0.35">
      <c r="A1384" s="92"/>
      <c r="F1384" s="606"/>
      <c r="G1384" s="616"/>
      <c r="H1384" s="93"/>
      <c r="I1384" s="41"/>
      <c r="J1384" s="750"/>
    </row>
    <row r="1385" spans="1:10" x14ac:dyDescent="0.35">
      <c r="A1385" s="92"/>
      <c r="F1385" s="606"/>
      <c r="G1385" s="616"/>
      <c r="H1385" s="93"/>
      <c r="I1385" s="41"/>
      <c r="J1385" s="750"/>
    </row>
    <row r="1386" spans="1:10" x14ac:dyDescent="0.35">
      <c r="A1386" s="92"/>
      <c r="F1386" s="606"/>
      <c r="G1386" s="616"/>
      <c r="H1386" s="93"/>
      <c r="I1386" s="41"/>
      <c r="J1386" s="750"/>
    </row>
    <row r="1387" spans="1:10" x14ac:dyDescent="0.35">
      <c r="A1387" s="92"/>
      <c r="F1387" s="606"/>
      <c r="G1387" s="616"/>
      <c r="H1387" s="93"/>
      <c r="I1387" s="41"/>
      <c r="J1387" s="750"/>
    </row>
    <row r="1388" spans="1:10" x14ac:dyDescent="0.35">
      <c r="A1388" s="92"/>
      <c r="F1388" s="606"/>
      <c r="G1388" s="616"/>
      <c r="H1388" s="93"/>
      <c r="I1388" s="41"/>
      <c r="J1388" s="750"/>
    </row>
    <row r="1389" spans="1:10" x14ac:dyDescent="0.35">
      <c r="A1389" s="92"/>
      <c r="F1389" s="606"/>
      <c r="G1389" s="616"/>
      <c r="H1389" s="93"/>
      <c r="I1389" s="41"/>
      <c r="J1389" s="750"/>
    </row>
    <row r="1390" spans="1:10" x14ac:dyDescent="0.35">
      <c r="A1390" s="92"/>
      <c r="F1390" s="606"/>
      <c r="G1390" s="616"/>
      <c r="H1390" s="93"/>
      <c r="I1390" s="41"/>
      <c r="J1390" s="750"/>
    </row>
    <row r="1391" spans="1:10" x14ac:dyDescent="0.35">
      <c r="A1391" s="92"/>
      <c r="F1391" s="606"/>
      <c r="G1391" s="616"/>
      <c r="H1391" s="93"/>
      <c r="I1391" s="41"/>
      <c r="J1391" s="750"/>
    </row>
    <row r="1392" spans="1:10" x14ac:dyDescent="0.35">
      <c r="A1392" s="92"/>
      <c r="F1392" s="606"/>
      <c r="G1392" s="616"/>
      <c r="H1392" s="93"/>
      <c r="I1392" s="41"/>
      <c r="J1392" s="750"/>
    </row>
    <row r="1393" spans="1:10" x14ac:dyDescent="0.35">
      <c r="A1393" s="92"/>
      <c r="F1393" s="606"/>
      <c r="G1393" s="616"/>
      <c r="H1393" s="93"/>
      <c r="I1393" s="41"/>
      <c r="J1393" s="750"/>
    </row>
    <row r="1394" spans="1:10" x14ac:dyDescent="0.35">
      <c r="A1394" s="92"/>
      <c r="F1394" s="606"/>
      <c r="G1394" s="616"/>
      <c r="H1394" s="93"/>
      <c r="I1394" s="41"/>
      <c r="J1394" s="750"/>
    </row>
    <row r="1395" spans="1:10" x14ac:dyDescent="0.35">
      <c r="A1395" s="92"/>
      <c r="F1395" s="606"/>
      <c r="G1395" s="616"/>
      <c r="H1395" s="93"/>
      <c r="I1395" s="41"/>
      <c r="J1395" s="750"/>
    </row>
    <row r="1396" spans="1:10" x14ac:dyDescent="0.35">
      <c r="A1396" s="92"/>
      <c r="F1396" s="606"/>
      <c r="G1396" s="616"/>
      <c r="H1396" s="93"/>
      <c r="I1396" s="41"/>
      <c r="J1396" s="750"/>
    </row>
    <row r="1397" spans="1:10" x14ac:dyDescent="0.35">
      <c r="A1397" s="92"/>
      <c r="F1397" s="606"/>
      <c r="G1397" s="616"/>
      <c r="H1397" s="93"/>
      <c r="I1397" s="41"/>
      <c r="J1397" s="750"/>
    </row>
    <row r="1398" spans="1:10" x14ac:dyDescent="0.35">
      <c r="A1398" s="92"/>
      <c r="F1398" s="606"/>
      <c r="G1398" s="616"/>
      <c r="H1398" s="93"/>
      <c r="I1398" s="41"/>
      <c r="J1398" s="750"/>
    </row>
    <row r="1399" spans="1:10" x14ac:dyDescent="0.35">
      <c r="A1399" s="92"/>
      <c r="F1399" s="606"/>
      <c r="G1399" s="616"/>
      <c r="H1399" s="93"/>
      <c r="I1399" s="41"/>
      <c r="J1399" s="750"/>
    </row>
    <row r="1400" spans="1:10" x14ac:dyDescent="0.35">
      <c r="A1400" s="92"/>
      <c r="F1400" s="606"/>
      <c r="G1400" s="616"/>
      <c r="H1400" s="93"/>
      <c r="I1400" s="41"/>
      <c r="J1400" s="750"/>
    </row>
    <row r="1401" spans="1:10" x14ac:dyDescent="0.35">
      <c r="A1401" s="92"/>
      <c r="F1401" s="606"/>
      <c r="G1401" s="616"/>
      <c r="H1401" s="93"/>
      <c r="I1401" s="41"/>
      <c r="J1401" s="750"/>
    </row>
    <row r="1402" spans="1:10" x14ac:dyDescent="0.35">
      <c r="A1402" s="92"/>
      <c r="F1402" s="606"/>
      <c r="G1402" s="616"/>
      <c r="H1402" s="93"/>
      <c r="I1402" s="41"/>
      <c r="J1402" s="750"/>
    </row>
    <row r="1403" spans="1:10" x14ac:dyDescent="0.35">
      <c r="A1403" s="92"/>
      <c r="F1403" s="606"/>
      <c r="G1403" s="616"/>
      <c r="H1403" s="93"/>
      <c r="I1403" s="41"/>
      <c r="J1403" s="750"/>
    </row>
    <row r="1404" spans="1:10" x14ac:dyDescent="0.35">
      <c r="A1404" s="92"/>
      <c r="F1404" s="606"/>
      <c r="G1404" s="616"/>
      <c r="H1404" s="93"/>
      <c r="I1404" s="41"/>
      <c r="J1404" s="750"/>
    </row>
    <row r="1405" spans="1:10" x14ac:dyDescent="0.35">
      <c r="A1405" s="92"/>
      <c r="F1405" s="606"/>
      <c r="G1405" s="616"/>
      <c r="H1405" s="93"/>
      <c r="I1405" s="41"/>
      <c r="J1405" s="750"/>
    </row>
    <row r="1406" spans="1:10" x14ac:dyDescent="0.35">
      <c r="A1406" s="92"/>
      <c r="F1406" s="606"/>
      <c r="G1406" s="616"/>
      <c r="H1406" s="93"/>
      <c r="I1406" s="41"/>
      <c r="J1406" s="750"/>
    </row>
    <row r="1407" spans="1:10" x14ac:dyDescent="0.35">
      <c r="A1407" s="92"/>
      <c r="F1407" s="606"/>
      <c r="G1407" s="616"/>
      <c r="H1407" s="93"/>
      <c r="I1407" s="41"/>
      <c r="J1407" s="750"/>
    </row>
    <row r="1408" spans="1:10" x14ac:dyDescent="0.35">
      <c r="A1408" s="92"/>
      <c r="F1408" s="606"/>
      <c r="G1408" s="616"/>
      <c r="H1408" s="93"/>
      <c r="I1408" s="41"/>
      <c r="J1408" s="750"/>
    </row>
    <row r="1409" spans="1:10" x14ac:dyDescent="0.35">
      <c r="A1409" s="92"/>
      <c r="F1409" s="606"/>
      <c r="G1409" s="616"/>
      <c r="H1409" s="93"/>
      <c r="I1409" s="41"/>
      <c r="J1409" s="750"/>
    </row>
    <row r="1410" spans="1:10" x14ac:dyDescent="0.35">
      <c r="A1410" s="92"/>
      <c r="F1410" s="606"/>
      <c r="G1410" s="616"/>
      <c r="H1410" s="93"/>
      <c r="I1410" s="41"/>
      <c r="J1410" s="750"/>
    </row>
    <row r="1411" spans="1:10" x14ac:dyDescent="0.35">
      <c r="A1411" s="92"/>
      <c r="F1411" s="606"/>
      <c r="G1411" s="616"/>
      <c r="H1411" s="93"/>
      <c r="I1411" s="41"/>
      <c r="J1411" s="750"/>
    </row>
    <row r="1412" spans="1:10" x14ac:dyDescent="0.35">
      <c r="A1412" s="92"/>
      <c r="F1412" s="606"/>
      <c r="G1412" s="616"/>
      <c r="H1412" s="93"/>
      <c r="I1412" s="41"/>
      <c r="J1412" s="750"/>
    </row>
    <row r="1413" spans="1:10" x14ac:dyDescent="0.35">
      <c r="A1413" s="92"/>
      <c r="F1413" s="606"/>
      <c r="G1413" s="616"/>
      <c r="H1413" s="93"/>
      <c r="I1413" s="41"/>
      <c r="J1413" s="750"/>
    </row>
    <row r="1414" spans="1:10" x14ac:dyDescent="0.35">
      <c r="A1414" s="92"/>
      <c r="F1414" s="606"/>
      <c r="G1414" s="616"/>
      <c r="H1414" s="93"/>
      <c r="I1414" s="41"/>
      <c r="J1414" s="750"/>
    </row>
    <row r="1415" spans="1:10" x14ac:dyDescent="0.35">
      <c r="A1415" s="92"/>
      <c r="F1415" s="606"/>
      <c r="G1415" s="616"/>
      <c r="H1415" s="93"/>
      <c r="I1415" s="41"/>
      <c r="J1415" s="750"/>
    </row>
    <row r="1416" spans="1:10" x14ac:dyDescent="0.35">
      <c r="A1416" s="92"/>
      <c r="F1416" s="606"/>
      <c r="G1416" s="616"/>
      <c r="H1416" s="93"/>
      <c r="I1416" s="41"/>
      <c r="J1416" s="750"/>
    </row>
    <row r="1417" spans="1:10" x14ac:dyDescent="0.35">
      <c r="A1417" s="92"/>
      <c r="F1417" s="606"/>
      <c r="G1417" s="616"/>
      <c r="H1417" s="93"/>
      <c r="I1417" s="41"/>
      <c r="J1417" s="750"/>
    </row>
    <row r="1418" spans="1:10" x14ac:dyDescent="0.35">
      <c r="A1418" s="92"/>
      <c r="F1418" s="606"/>
      <c r="G1418" s="616"/>
      <c r="H1418" s="93"/>
      <c r="I1418" s="41"/>
      <c r="J1418" s="750"/>
    </row>
    <row r="1419" spans="1:10" x14ac:dyDescent="0.35">
      <c r="A1419" s="92"/>
      <c r="F1419" s="606"/>
      <c r="G1419" s="616"/>
      <c r="H1419" s="93"/>
      <c r="I1419" s="41"/>
      <c r="J1419" s="750"/>
    </row>
    <row r="1420" spans="1:10" x14ac:dyDescent="0.35">
      <c r="A1420" s="92"/>
      <c r="F1420" s="606"/>
      <c r="G1420" s="616"/>
      <c r="H1420" s="93"/>
      <c r="I1420" s="41"/>
      <c r="J1420" s="750"/>
    </row>
    <row r="1421" spans="1:10" x14ac:dyDescent="0.35">
      <c r="A1421" s="92"/>
      <c r="F1421" s="606"/>
      <c r="G1421" s="616"/>
      <c r="H1421" s="93"/>
      <c r="I1421" s="41"/>
      <c r="J1421" s="750"/>
    </row>
    <row r="1422" spans="1:10" x14ac:dyDescent="0.35">
      <c r="A1422" s="92"/>
      <c r="F1422" s="606"/>
      <c r="G1422" s="616"/>
      <c r="H1422" s="93"/>
      <c r="I1422" s="41"/>
      <c r="J1422" s="750"/>
    </row>
    <row r="1423" spans="1:10" x14ac:dyDescent="0.35">
      <c r="A1423" s="92"/>
      <c r="F1423" s="606"/>
      <c r="G1423" s="616"/>
      <c r="H1423" s="93"/>
      <c r="I1423" s="41"/>
      <c r="J1423" s="750"/>
    </row>
    <row r="1424" spans="1:10" x14ac:dyDescent="0.35">
      <c r="A1424" s="92"/>
      <c r="F1424" s="606"/>
      <c r="G1424" s="616"/>
      <c r="H1424" s="93"/>
      <c r="I1424" s="41"/>
      <c r="J1424" s="750"/>
    </row>
    <row r="1425" spans="1:10" x14ac:dyDescent="0.35">
      <c r="A1425" s="92"/>
      <c r="F1425" s="606"/>
      <c r="G1425" s="616"/>
      <c r="H1425" s="93"/>
      <c r="I1425" s="41"/>
      <c r="J1425" s="750"/>
    </row>
    <row r="1426" spans="1:10" x14ac:dyDescent="0.35">
      <c r="A1426" s="92"/>
      <c r="F1426" s="606"/>
      <c r="G1426" s="616"/>
      <c r="H1426" s="93"/>
      <c r="I1426" s="41"/>
      <c r="J1426" s="750"/>
    </row>
    <row r="1427" spans="1:10" x14ac:dyDescent="0.35">
      <c r="A1427" s="92"/>
      <c r="F1427" s="606"/>
      <c r="G1427" s="616"/>
      <c r="H1427" s="93"/>
      <c r="I1427" s="41"/>
      <c r="J1427" s="750"/>
    </row>
    <row r="1428" spans="1:10" x14ac:dyDescent="0.35">
      <c r="A1428" s="92"/>
      <c r="F1428" s="606"/>
      <c r="G1428" s="616"/>
      <c r="H1428" s="93"/>
      <c r="I1428" s="41"/>
      <c r="J1428" s="750"/>
    </row>
    <row r="1429" spans="1:10" x14ac:dyDescent="0.35">
      <c r="A1429" s="92"/>
      <c r="F1429" s="606"/>
      <c r="G1429" s="616"/>
      <c r="H1429" s="93"/>
      <c r="I1429" s="41"/>
      <c r="J1429" s="750"/>
    </row>
    <row r="1430" spans="1:10" x14ac:dyDescent="0.35">
      <c r="A1430" s="92"/>
      <c r="F1430" s="606"/>
      <c r="G1430" s="616"/>
      <c r="H1430" s="93"/>
      <c r="I1430" s="41"/>
      <c r="J1430" s="750"/>
    </row>
    <row r="1431" spans="1:10" x14ac:dyDescent="0.35">
      <c r="A1431" s="92"/>
      <c r="F1431" s="606"/>
      <c r="G1431" s="616"/>
      <c r="H1431" s="93"/>
      <c r="I1431" s="41"/>
      <c r="J1431" s="750"/>
    </row>
    <row r="1432" spans="1:10" x14ac:dyDescent="0.35">
      <c r="A1432" s="92"/>
      <c r="F1432" s="606"/>
      <c r="G1432" s="616"/>
      <c r="H1432" s="93"/>
      <c r="I1432" s="41"/>
      <c r="J1432" s="750"/>
    </row>
    <row r="1433" spans="1:10" x14ac:dyDescent="0.35">
      <c r="A1433" s="92"/>
      <c r="F1433" s="606"/>
      <c r="G1433" s="616"/>
      <c r="H1433" s="93"/>
      <c r="I1433" s="41"/>
      <c r="J1433" s="750"/>
    </row>
    <row r="1434" spans="1:10" x14ac:dyDescent="0.35">
      <c r="A1434" s="92"/>
      <c r="F1434" s="606"/>
      <c r="G1434" s="616"/>
      <c r="H1434" s="93"/>
      <c r="I1434" s="41"/>
      <c r="J1434" s="750"/>
    </row>
    <row r="1435" spans="1:10" x14ac:dyDescent="0.35">
      <c r="A1435" s="92"/>
      <c r="F1435" s="606"/>
      <c r="G1435" s="616"/>
      <c r="H1435" s="93"/>
      <c r="I1435" s="41"/>
      <c r="J1435" s="750"/>
    </row>
    <row r="1436" spans="1:10" x14ac:dyDescent="0.35">
      <c r="A1436" s="92"/>
      <c r="F1436" s="606"/>
      <c r="G1436" s="616"/>
      <c r="H1436" s="93"/>
      <c r="I1436" s="41"/>
      <c r="J1436" s="750"/>
    </row>
    <row r="1437" spans="1:10" x14ac:dyDescent="0.35">
      <c r="A1437" s="92"/>
      <c r="F1437" s="606"/>
      <c r="G1437" s="616"/>
      <c r="H1437" s="93"/>
      <c r="I1437" s="41"/>
      <c r="J1437" s="750"/>
    </row>
    <row r="1438" spans="1:10" x14ac:dyDescent="0.35">
      <c r="A1438" s="92"/>
      <c r="F1438" s="606"/>
      <c r="G1438" s="616"/>
      <c r="H1438" s="93"/>
      <c r="I1438" s="41"/>
      <c r="J1438" s="750"/>
    </row>
    <row r="1439" spans="1:10" x14ac:dyDescent="0.35">
      <c r="A1439" s="92"/>
      <c r="F1439" s="606"/>
      <c r="G1439" s="616"/>
      <c r="H1439" s="93"/>
      <c r="I1439" s="41"/>
      <c r="J1439" s="750"/>
    </row>
    <row r="1440" spans="1:10" x14ac:dyDescent="0.35">
      <c r="A1440" s="92"/>
      <c r="F1440" s="606"/>
      <c r="G1440" s="616"/>
      <c r="H1440" s="93"/>
      <c r="I1440" s="41"/>
      <c r="J1440" s="750"/>
    </row>
    <row r="1441" spans="1:10" x14ac:dyDescent="0.35">
      <c r="A1441" s="92"/>
      <c r="F1441" s="606"/>
      <c r="G1441" s="616"/>
      <c r="H1441" s="93"/>
      <c r="I1441" s="41"/>
      <c r="J1441" s="750"/>
    </row>
    <row r="1442" spans="1:10" x14ac:dyDescent="0.35">
      <c r="A1442" s="92"/>
      <c r="F1442" s="606"/>
      <c r="G1442" s="616"/>
      <c r="H1442" s="93"/>
      <c r="I1442" s="41"/>
      <c r="J1442" s="750"/>
    </row>
    <row r="1443" spans="1:10" x14ac:dyDescent="0.35">
      <c r="A1443" s="92"/>
      <c r="F1443" s="606"/>
      <c r="G1443" s="616"/>
      <c r="H1443" s="93"/>
      <c r="I1443" s="41"/>
      <c r="J1443" s="750"/>
    </row>
    <row r="1444" spans="1:10" x14ac:dyDescent="0.35">
      <c r="A1444" s="92"/>
      <c r="F1444" s="606"/>
      <c r="G1444" s="616"/>
      <c r="H1444" s="93"/>
      <c r="I1444" s="41"/>
      <c r="J1444" s="750"/>
    </row>
    <row r="1445" spans="1:10" x14ac:dyDescent="0.35">
      <c r="A1445" s="92"/>
      <c r="F1445" s="606"/>
      <c r="G1445" s="616"/>
      <c r="H1445" s="93"/>
      <c r="I1445" s="41"/>
      <c r="J1445" s="750"/>
    </row>
    <row r="1446" spans="1:10" x14ac:dyDescent="0.35">
      <c r="A1446" s="92"/>
      <c r="F1446" s="606"/>
      <c r="G1446" s="616"/>
      <c r="H1446" s="93"/>
      <c r="I1446" s="41"/>
      <c r="J1446" s="750"/>
    </row>
    <row r="1447" spans="1:10" x14ac:dyDescent="0.35">
      <c r="A1447" s="92"/>
      <c r="F1447" s="606"/>
      <c r="G1447" s="616"/>
      <c r="H1447" s="93"/>
      <c r="I1447" s="41"/>
      <c r="J1447" s="750"/>
    </row>
    <row r="1448" spans="1:10" x14ac:dyDescent="0.35">
      <c r="A1448" s="92"/>
      <c r="F1448" s="606"/>
      <c r="G1448" s="616"/>
      <c r="H1448" s="93"/>
      <c r="I1448" s="41"/>
      <c r="J1448" s="750"/>
    </row>
    <row r="1449" spans="1:10" x14ac:dyDescent="0.35">
      <c r="A1449" s="92"/>
      <c r="F1449" s="606"/>
      <c r="G1449" s="616"/>
      <c r="H1449" s="93"/>
      <c r="I1449" s="41"/>
      <c r="J1449" s="750"/>
    </row>
    <row r="1450" spans="1:10" x14ac:dyDescent="0.35">
      <c r="A1450" s="92"/>
      <c r="F1450" s="606"/>
      <c r="G1450" s="616"/>
      <c r="H1450" s="93"/>
      <c r="I1450" s="41"/>
      <c r="J1450" s="750"/>
    </row>
    <row r="1451" spans="1:10" x14ac:dyDescent="0.35">
      <c r="A1451" s="92"/>
      <c r="F1451" s="606"/>
      <c r="G1451" s="616"/>
      <c r="H1451" s="93"/>
      <c r="I1451" s="41"/>
      <c r="J1451" s="750"/>
    </row>
    <row r="1452" spans="1:10" x14ac:dyDescent="0.35">
      <c r="A1452" s="92"/>
      <c r="F1452" s="606"/>
      <c r="G1452" s="616"/>
      <c r="H1452" s="93"/>
      <c r="I1452" s="41"/>
      <c r="J1452" s="750"/>
    </row>
    <row r="1453" spans="1:10" x14ac:dyDescent="0.35">
      <c r="A1453" s="92"/>
      <c r="F1453" s="606"/>
      <c r="G1453" s="616"/>
      <c r="H1453" s="93"/>
      <c r="I1453" s="41"/>
      <c r="J1453" s="750"/>
    </row>
    <row r="1454" spans="1:10" x14ac:dyDescent="0.35">
      <c r="A1454" s="92"/>
      <c r="F1454" s="606"/>
      <c r="G1454" s="616"/>
      <c r="H1454" s="93"/>
      <c r="I1454" s="41"/>
      <c r="J1454" s="750"/>
    </row>
    <row r="1455" spans="1:10" x14ac:dyDescent="0.35">
      <c r="A1455" s="92"/>
      <c r="F1455" s="606"/>
      <c r="G1455" s="616"/>
      <c r="H1455" s="93"/>
      <c r="I1455" s="41"/>
      <c r="J1455" s="750"/>
    </row>
    <row r="1456" spans="1:10" x14ac:dyDescent="0.35">
      <c r="A1456" s="92"/>
      <c r="F1456" s="606"/>
      <c r="G1456" s="616"/>
      <c r="H1456" s="93"/>
      <c r="I1456" s="41"/>
      <c r="J1456" s="750"/>
    </row>
    <row r="1457" spans="1:10" x14ac:dyDescent="0.35">
      <c r="A1457" s="92"/>
      <c r="F1457" s="606"/>
      <c r="G1457" s="616"/>
      <c r="H1457" s="93"/>
      <c r="I1457" s="41"/>
      <c r="J1457" s="750"/>
    </row>
    <row r="1458" spans="1:10" x14ac:dyDescent="0.35">
      <c r="A1458" s="92"/>
      <c r="F1458" s="606"/>
      <c r="G1458" s="616"/>
      <c r="H1458" s="93"/>
      <c r="I1458" s="41"/>
      <c r="J1458" s="750"/>
    </row>
    <row r="1459" spans="1:10" x14ac:dyDescent="0.35">
      <c r="A1459" s="92"/>
      <c r="F1459" s="606"/>
      <c r="G1459" s="616"/>
      <c r="H1459" s="93"/>
      <c r="I1459" s="41"/>
      <c r="J1459" s="750"/>
    </row>
    <row r="1460" spans="1:10" x14ac:dyDescent="0.35">
      <c r="A1460" s="92"/>
      <c r="F1460" s="606"/>
      <c r="G1460" s="616"/>
      <c r="H1460" s="93"/>
      <c r="I1460" s="41"/>
      <c r="J1460" s="750"/>
    </row>
    <row r="1461" spans="1:10" x14ac:dyDescent="0.35">
      <c r="A1461" s="92"/>
      <c r="F1461" s="606"/>
      <c r="G1461" s="616"/>
      <c r="H1461" s="93"/>
      <c r="I1461" s="41"/>
      <c r="J1461" s="750"/>
    </row>
    <row r="1462" spans="1:10" x14ac:dyDescent="0.35">
      <c r="A1462" s="92"/>
      <c r="F1462" s="606"/>
      <c r="G1462" s="616"/>
      <c r="H1462" s="93"/>
      <c r="I1462" s="41"/>
      <c r="J1462" s="750"/>
    </row>
    <row r="1463" spans="1:10" x14ac:dyDescent="0.35">
      <c r="A1463" s="92"/>
      <c r="F1463" s="606"/>
      <c r="G1463" s="616"/>
      <c r="H1463" s="93"/>
      <c r="I1463" s="41"/>
      <c r="J1463" s="750"/>
    </row>
    <row r="1464" spans="1:10" x14ac:dyDescent="0.35">
      <c r="A1464" s="92"/>
      <c r="F1464" s="606"/>
      <c r="G1464" s="616"/>
      <c r="H1464" s="93"/>
      <c r="I1464" s="41"/>
      <c r="J1464" s="750"/>
    </row>
    <row r="1465" spans="1:10" x14ac:dyDescent="0.35">
      <c r="A1465" s="92"/>
      <c r="F1465" s="606"/>
      <c r="G1465" s="616"/>
      <c r="H1465" s="93"/>
      <c r="I1465" s="41"/>
      <c r="J1465" s="750"/>
    </row>
    <row r="1466" spans="1:10" x14ac:dyDescent="0.35">
      <c r="A1466" s="92"/>
      <c r="F1466" s="606"/>
      <c r="G1466" s="616"/>
      <c r="H1466" s="93"/>
      <c r="I1466" s="41"/>
      <c r="J1466" s="750"/>
    </row>
    <row r="1467" spans="1:10" x14ac:dyDescent="0.35">
      <c r="A1467" s="92"/>
      <c r="F1467" s="606"/>
      <c r="G1467" s="616"/>
      <c r="H1467" s="93"/>
      <c r="I1467" s="41"/>
      <c r="J1467" s="750"/>
    </row>
    <row r="1468" spans="1:10" x14ac:dyDescent="0.35">
      <c r="A1468" s="92"/>
      <c r="F1468" s="606"/>
      <c r="G1468" s="616"/>
      <c r="H1468" s="93"/>
      <c r="I1468" s="41"/>
      <c r="J1468" s="750"/>
    </row>
    <row r="1469" spans="1:10" x14ac:dyDescent="0.35">
      <c r="A1469" s="92"/>
      <c r="F1469" s="606"/>
      <c r="G1469" s="616"/>
      <c r="H1469" s="93"/>
      <c r="I1469" s="41"/>
      <c r="J1469" s="750"/>
    </row>
    <row r="1470" spans="1:10" x14ac:dyDescent="0.35">
      <c r="A1470" s="92"/>
      <c r="F1470" s="606"/>
      <c r="G1470" s="616"/>
      <c r="H1470" s="93"/>
      <c r="I1470" s="41"/>
      <c r="J1470" s="750"/>
    </row>
    <row r="1471" spans="1:10" x14ac:dyDescent="0.35">
      <c r="A1471" s="92"/>
      <c r="F1471" s="606"/>
      <c r="G1471" s="616"/>
      <c r="H1471" s="93"/>
      <c r="I1471" s="41"/>
      <c r="J1471" s="750"/>
    </row>
    <row r="1472" spans="1:10" x14ac:dyDescent="0.35">
      <c r="A1472" s="92"/>
      <c r="F1472" s="606"/>
      <c r="G1472" s="616"/>
      <c r="H1472" s="93"/>
      <c r="I1472" s="41"/>
      <c r="J1472" s="750"/>
    </row>
    <row r="1473" spans="1:10" x14ac:dyDescent="0.35">
      <c r="A1473" s="92"/>
      <c r="F1473" s="606"/>
      <c r="G1473" s="616"/>
      <c r="H1473" s="93"/>
      <c r="I1473" s="41"/>
      <c r="J1473" s="750"/>
    </row>
    <row r="1474" spans="1:10" x14ac:dyDescent="0.35">
      <c r="A1474" s="92"/>
      <c r="F1474" s="606"/>
      <c r="G1474" s="616"/>
      <c r="H1474" s="93"/>
      <c r="I1474" s="41"/>
      <c r="J1474" s="750"/>
    </row>
    <row r="1475" spans="1:10" x14ac:dyDescent="0.35">
      <c r="A1475" s="92"/>
      <c r="F1475" s="606"/>
      <c r="G1475" s="616"/>
      <c r="H1475" s="93"/>
      <c r="I1475" s="41"/>
      <c r="J1475" s="750"/>
    </row>
    <row r="1476" spans="1:10" x14ac:dyDescent="0.35">
      <c r="A1476" s="92"/>
      <c r="F1476" s="606"/>
      <c r="G1476" s="616"/>
      <c r="H1476" s="93"/>
      <c r="I1476" s="41"/>
      <c r="J1476" s="750"/>
    </row>
    <row r="1477" spans="1:10" x14ac:dyDescent="0.35">
      <c r="A1477" s="92"/>
      <c r="F1477" s="606"/>
      <c r="G1477" s="616"/>
      <c r="H1477" s="93"/>
      <c r="I1477" s="41"/>
      <c r="J1477" s="750"/>
    </row>
    <row r="1478" spans="1:10" x14ac:dyDescent="0.35">
      <c r="A1478" s="92"/>
      <c r="F1478" s="606"/>
      <c r="G1478" s="616"/>
      <c r="H1478" s="93"/>
      <c r="I1478" s="41"/>
      <c r="J1478" s="750"/>
    </row>
    <row r="1479" spans="1:10" x14ac:dyDescent="0.35">
      <c r="A1479" s="92"/>
      <c r="F1479" s="606"/>
      <c r="G1479" s="616"/>
      <c r="H1479" s="93"/>
      <c r="I1479" s="41"/>
      <c r="J1479" s="750"/>
    </row>
    <row r="1480" spans="1:10" x14ac:dyDescent="0.35">
      <c r="A1480" s="92"/>
      <c r="F1480" s="606"/>
      <c r="G1480" s="616"/>
      <c r="H1480" s="93"/>
      <c r="I1480" s="41"/>
      <c r="J1480" s="750"/>
    </row>
    <row r="1481" spans="1:10" x14ac:dyDescent="0.35">
      <c r="A1481" s="92"/>
      <c r="F1481" s="606"/>
      <c r="G1481" s="616"/>
      <c r="H1481" s="93"/>
      <c r="I1481" s="41"/>
      <c r="J1481" s="750"/>
    </row>
    <row r="1482" spans="1:10" x14ac:dyDescent="0.35">
      <c r="A1482" s="92"/>
      <c r="F1482" s="606"/>
      <c r="G1482" s="616"/>
      <c r="H1482" s="93"/>
      <c r="I1482" s="41"/>
      <c r="J1482" s="750"/>
    </row>
    <row r="1483" spans="1:10" x14ac:dyDescent="0.35">
      <c r="A1483" s="92"/>
      <c r="F1483" s="606"/>
      <c r="G1483" s="616"/>
      <c r="H1483" s="93"/>
      <c r="I1483" s="41"/>
      <c r="J1483" s="750"/>
    </row>
    <row r="1484" spans="1:10" x14ac:dyDescent="0.35">
      <c r="A1484" s="92"/>
      <c r="F1484" s="606"/>
      <c r="G1484" s="616"/>
      <c r="H1484" s="93"/>
      <c r="I1484" s="41"/>
      <c r="J1484" s="750"/>
    </row>
    <row r="1485" spans="1:10" x14ac:dyDescent="0.35">
      <c r="A1485" s="92"/>
      <c r="F1485" s="606"/>
      <c r="G1485" s="616"/>
      <c r="H1485" s="93"/>
      <c r="I1485" s="41"/>
      <c r="J1485" s="750"/>
    </row>
    <row r="1486" spans="1:10" x14ac:dyDescent="0.35">
      <c r="A1486" s="92"/>
      <c r="F1486" s="606"/>
      <c r="G1486" s="616"/>
      <c r="H1486" s="93"/>
      <c r="I1486" s="41"/>
      <c r="J1486" s="750"/>
    </row>
    <row r="1487" spans="1:10" x14ac:dyDescent="0.35">
      <c r="A1487" s="92"/>
      <c r="F1487" s="606"/>
      <c r="G1487" s="616"/>
      <c r="H1487" s="93"/>
      <c r="I1487" s="41"/>
      <c r="J1487" s="750"/>
    </row>
    <row r="1488" spans="1:10" x14ac:dyDescent="0.35">
      <c r="A1488" s="92"/>
      <c r="F1488" s="606"/>
      <c r="G1488" s="616"/>
      <c r="H1488" s="93"/>
      <c r="I1488" s="41"/>
      <c r="J1488" s="750"/>
    </row>
    <row r="1489" spans="1:10" x14ac:dyDescent="0.35">
      <c r="A1489" s="92"/>
      <c r="F1489" s="606"/>
      <c r="G1489" s="616"/>
      <c r="H1489" s="93"/>
      <c r="I1489" s="41"/>
      <c r="J1489" s="750"/>
    </row>
    <row r="1490" spans="1:10" x14ac:dyDescent="0.35">
      <c r="A1490" s="92"/>
      <c r="F1490" s="606"/>
      <c r="G1490" s="616"/>
      <c r="H1490" s="93"/>
      <c r="I1490" s="41"/>
      <c r="J1490" s="750"/>
    </row>
    <row r="1491" spans="1:10" x14ac:dyDescent="0.35">
      <c r="A1491" s="92"/>
      <c r="F1491" s="606"/>
      <c r="G1491" s="616"/>
      <c r="H1491" s="93"/>
      <c r="I1491" s="41"/>
      <c r="J1491" s="750"/>
    </row>
    <row r="1492" spans="1:10" x14ac:dyDescent="0.35">
      <c r="A1492" s="92"/>
      <c r="F1492" s="606"/>
      <c r="G1492" s="616"/>
      <c r="H1492" s="93"/>
      <c r="I1492" s="41"/>
      <c r="J1492" s="750"/>
    </row>
    <row r="1493" spans="1:10" x14ac:dyDescent="0.35">
      <c r="A1493" s="92"/>
      <c r="F1493" s="606"/>
      <c r="G1493" s="616"/>
      <c r="H1493" s="93"/>
      <c r="I1493" s="41"/>
      <c r="J1493" s="750"/>
    </row>
    <row r="1494" spans="1:10" x14ac:dyDescent="0.35">
      <c r="A1494" s="92"/>
      <c r="F1494" s="606"/>
      <c r="G1494" s="616"/>
      <c r="H1494" s="93"/>
      <c r="I1494" s="41"/>
      <c r="J1494" s="750"/>
    </row>
    <row r="1495" spans="1:10" x14ac:dyDescent="0.35">
      <c r="A1495" s="92"/>
      <c r="F1495" s="606"/>
      <c r="G1495" s="616"/>
      <c r="H1495" s="93"/>
      <c r="I1495" s="41"/>
      <c r="J1495" s="750"/>
    </row>
    <row r="1496" spans="1:10" x14ac:dyDescent="0.35">
      <c r="A1496" s="92"/>
      <c r="F1496" s="606"/>
      <c r="G1496" s="616"/>
      <c r="H1496" s="93"/>
      <c r="I1496" s="41"/>
      <c r="J1496" s="750"/>
    </row>
    <row r="1497" spans="1:10" x14ac:dyDescent="0.35">
      <c r="A1497" s="92"/>
      <c r="F1497" s="606"/>
      <c r="G1497" s="616"/>
      <c r="H1497" s="93"/>
      <c r="I1497" s="41"/>
      <c r="J1497" s="750"/>
    </row>
    <row r="1498" spans="1:10" x14ac:dyDescent="0.35">
      <c r="A1498" s="92"/>
      <c r="F1498" s="606"/>
      <c r="G1498" s="616"/>
      <c r="H1498" s="93"/>
      <c r="I1498" s="41"/>
      <c r="J1498" s="750"/>
    </row>
    <row r="1499" spans="1:10" x14ac:dyDescent="0.35">
      <c r="A1499" s="92"/>
      <c r="F1499" s="606"/>
      <c r="G1499" s="616"/>
      <c r="H1499" s="93"/>
      <c r="I1499" s="41"/>
      <c r="J1499" s="750"/>
    </row>
    <row r="1500" spans="1:10" x14ac:dyDescent="0.35">
      <c r="A1500" s="92"/>
      <c r="F1500" s="606"/>
      <c r="G1500" s="616"/>
      <c r="H1500" s="93"/>
      <c r="I1500" s="41"/>
      <c r="J1500" s="750"/>
    </row>
    <row r="1501" spans="1:10" x14ac:dyDescent="0.35">
      <c r="A1501" s="92"/>
      <c r="F1501" s="606"/>
      <c r="G1501" s="616"/>
      <c r="H1501" s="93"/>
      <c r="I1501" s="41"/>
      <c r="J1501" s="750"/>
    </row>
    <row r="1502" spans="1:10" x14ac:dyDescent="0.35">
      <c r="A1502" s="92"/>
      <c r="F1502" s="606"/>
      <c r="G1502" s="616"/>
      <c r="H1502" s="93"/>
      <c r="I1502" s="41"/>
      <c r="J1502" s="750"/>
    </row>
    <row r="1503" spans="1:10" x14ac:dyDescent="0.35">
      <c r="A1503" s="92"/>
      <c r="F1503" s="606"/>
      <c r="G1503" s="616"/>
      <c r="H1503" s="93"/>
      <c r="I1503" s="41"/>
      <c r="J1503" s="750"/>
    </row>
    <row r="1504" spans="1:10" x14ac:dyDescent="0.35">
      <c r="A1504" s="92"/>
      <c r="F1504" s="606"/>
      <c r="G1504" s="616"/>
      <c r="H1504" s="93"/>
      <c r="I1504" s="41"/>
      <c r="J1504" s="750"/>
    </row>
    <row r="1505" spans="1:10" x14ac:dyDescent="0.35">
      <c r="A1505" s="92"/>
      <c r="F1505" s="606"/>
      <c r="G1505" s="616"/>
      <c r="H1505" s="93"/>
      <c r="I1505" s="41"/>
      <c r="J1505" s="750"/>
    </row>
    <row r="1506" spans="1:10" x14ac:dyDescent="0.35">
      <c r="A1506" s="92"/>
      <c r="F1506" s="606"/>
      <c r="G1506" s="616"/>
      <c r="H1506" s="93"/>
      <c r="I1506" s="41"/>
      <c r="J1506" s="750"/>
    </row>
    <row r="1507" spans="1:10" x14ac:dyDescent="0.35">
      <c r="A1507" s="92"/>
      <c r="F1507" s="606"/>
      <c r="G1507" s="616"/>
      <c r="H1507" s="93"/>
      <c r="I1507" s="41"/>
      <c r="J1507" s="750"/>
    </row>
    <row r="1508" spans="1:10" x14ac:dyDescent="0.35">
      <c r="A1508" s="92"/>
      <c r="F1508" s="606"/>
      <c r="G1508" s="616"/>
      <c r="H1508" s="93"/>
      <c r="I1508" s="41"/>
      <c r="J1508" s="750"/>
    </row>
    <row r="1509" spans="1:10" x14ac:dyDescent="0.35">
      <c r="A1509" s="92"/>
      <c r="F1509" s="606"/>
      <c r="G1509" s="616"/>
      <c r="H1509" s="93"/>
      <c r="I1509" s="41"/>
      <c r="J1509" s="750"/>
    </row>
    <row r="1510" spans="1:10" x14ac:dyDescent="0.35">
      <c r="A1510" s="92"/>
      <c r="F1510" s="606"/>
      <c r="G1510" s="616"/>
      <c r="H1510" s="93"/>
      <c r="I1510" s="41"/>
      <c r="J1510" s="750"/>
    </row>
    <row r="1511" spans="1:10" x14ac:dyDescent="0.35">
      <c r="A1511" s="92"/>
      <c r="F1511" s="606"/>
      <c r="G1511" s="616"/>
      <c r="H1511" s="93"/>
      <c r="I1511" s="41"/>
      <c r="J1511" s="750"/>
    </row>
    <row r="1512" spans="1:10" x14ac:dyDescent="0.35">
      <c r="A1512" s="92"/>
      <c r="F1512" s="606"/>
      <c r="G1512" s="616"/>
      <c r="H1512" s="93"/>
      <c r="I1512" s="41"/>
      <c r="J1512" s="750"/>
    </row>
    <row r="1513" spans="1:10" x14ac:dyDescent="0.35">
      <c r="A1513" s="92"/>
      <c r="F1513" s="606"/>
      <c r="G1513" s="616"/>
      <c r="H1513" s="93"/>
      <c r="I1513" s="41"/>
      <c r="J1513" s="750"/>
    </row>
    <row r="1514" spans="1:10" x14ac:dyDescent="0.35">
      <c r="A1514" s="92"/>
      <c r="F1514" s="606"/>
      <c r="G1514" s="616"/>
      <c r="H1514" s="93"/>
      <c r="I1514" s="41"/>
      <c r="J1514" s="750"/>
    </row>
    <row r="1515" spans="1:10" x14ac:dyDescent="0.35">
      <c r="A1515" s="92"/>
      <c r="F1515" s="606"/>
      <c r="G1515" s="616"/>
      <c r="H1515" s="93"/>
      <c r="I1515" s="41"/>
      <c r="J1515" s="750"/>
    </row>
    <row r="1516" spans="1:10" x14ac:dyDescent="0.35">
      <c r="A1516" s="92"/>
      <c r="F1516" s="606"/>
      <c r="G1516" s="616"/>
      <c r="H1516" s="93"/>
      <c r="I1516" s="41"/>
      <c r="J1516" s="750"/>
    </row>
    <row r="1517" spans="1:10" x14ac:dyDescent="0.35">
      <c r="A1517" s="92"/>
      <c r="F1517" s="606"/>
      <c r="G1517" s="616"/>
      <c r="H1517" s="93"/>
      <c r="I1517" s="41"/>
      <c r="J1517" s="750"/>
    </row>
    <row r="1518" spans="1:10" x14ac:dyDescent="0.35">
      <c r="A1518" s="92"/>
      <c r="F1518" s="606"/>
      <c r="G1518" s="616"/>
      <c r="H1518" s="93"/>
      <c r="I1518" s="41"/>
      <c r="J1518" s="750"/>
    </row>
    <row r="1519" spans="1:10" x14ac:dyDescent="0.35">
      <c r="A1519" s="92"/>
      <c r="F1519" s="606"/>
      <c r="G1519" s="616"/>
      <c r="H1519" s="93"/>
      <c r="I1519" s="41"/>
      <c r="J1519" s="750"/>
    </row>
    <row r="1520" spans="1:10" x14ac:dyDescent="0.35">
      <c r="A1520" s="92"/>
      <c r="F1520" s="606"/>
      <c r="G1520" s="616"/>
      <c r="H1520" s="93"/>
      <c r="I1520" s="41"/>
      <c r="J1520" s="750"/>
    </row>
    <row r="1521" spans="1:10" x14ac:dyDescent="0.35">
      <c r="A1521" s="92"/>
      <c r="F1521" s="606"/>
      <c r="G1521" s="616"/>
      <c r="H1521" s="93"/>
      <c r="I1521" s="41"/>
      <c r="J1521" s="750"/>
    </row>
    <row r="1522" spans="1:10" x14ac:dyDescent="0.35">
      <c r="A1522" s="92"/>
      <c r="F1522" s="606"/>
      <c r="G1522" s="616"/>
      <c r="H1522" s="93"/>
      <c r="I1522" s="41"/>
      <c r="J1522" s="750"/>
    </row>
    <row r="1523" spans="1:10" x14ac:dyDescent="0.35">
      <c r="A1523" s="92"/>
      <c r="F1523" s="606"/>
      <c r="G1523" s="616"/>
      <c r="H1523" s="93"/>
      <c r="I1523" s="41"/>
      <c r="J1523" s="750"/>
    </row>
    <row r="1524" spans="1:10" x14ac:dyDescent="0.35">
      <c r="A1524" s="92"/>
      <c r="F1524" s="606"/>
      <c r="G1524" s="616"/>
      <c r="H1524" s="93"/>
      <c r="I1524" s="41"/>
      <c r="J1524" s="750"/>
    </row>
    <row r="1525" spans="1:10" x14ac:dyDescent="0.35">
      <c r="A1525" s="92"/>
      <c r="F1525" s="606"/>
      <c r="G1525" s="616"/>
      <c r="H1525" s="93"/>
      <c r="I1525" s="41"/>
      <c r="J1525" s="750"/>
    </row>
    <row r="1526" spans="1:10" x14ac:dyDescent="0.35">
      <c r="A1526" s="92"/>
      <c r="F1526" s="606"/>
      <c r="G1526" s="616"/>
      <c r="H1526" s="93"/>
      <c r="I1526" s="41"/>
      <c r="J1526" s="750"/>
    </row>
    <row r="1527" spans="1:10" x14ac:dyDescent="0.35">
      <c r="A1527" s="92"/>
      <c r="F1527" s="606"/>
      <c r="G1527" s="616"/>
      <c r="H1527" s="93"/>
      <c r="I1527" s="41"/>
      <c r="J1527" s="750"/>
    </row>
    <row r="1528" spans="1:10" x14ac:dyDescent="0.35">
      <c r="A1528" s="92"/>
      <c r="F1528" s="606"/>
      <c r="G1528" s="616"/>
      <c r="H1528" s="93"/>
      <c r="I1528" s="41"/>
      <c r="J1528" s="750"/>
    </row>
    <row r="1529" spans="1:10" x14ac:dyDescent="0.35">
      <c r="A1529" s="92"/>
      <c r="F1529" s="606"/>
      <c r="G1529" s="616"/>
      <c r="H1529" s="93"/>
      <c r="I1529" s="41"/>
      <c r="J1529" s="750"/>
    </row>
    <row r="1530" spans="1:10" x14ac:dyDescent="0.35">
      <c r="A1530" s="92"/>
      <c r="F1530" s="606"/>
      <c r="G1530" s="616"/>
      <c r="H1530" s="93"/>
      <c r="I1530" s="41"/>
      <c r="J1530" s="750"/>
    </row>
    <row r="1531" spans="1:10" x14ac:dyDescent="0.35">
      <c r="A1531" s="92"/>
      <c r="F1531" s="606"/>
      <c r="G1531" s="616"/>
      <c r="H1531" s="93"/>
      <c r="I1531" s="41"/>
      <c r="J1531" s="750"/>
    </row>
    <row r="1532" spans="1:10" x14ac:dyDescent="0.35">
      <c r="A1532" s="92"/>
      <c r="F1532" s="606"/>
      <c r="G1532" s="616"/>
      <c r="H1532" s="93"/>
      <c r="I1532" s="41"/>
      <c r="J1532" s="750"/>
    </row>
    <row r="1533" spans="1:10" x14ac:dyDescent="0.35">
      <c r="A1533" s="92"/>
      <c r="F1533" s="606"/>
      <c r="G1533" s="616"/>
      <c r="H1533" s="93"/>
      <c r="I1533" s="41"/>
      <c r="J1533" s="750"/>
    </row>
    <row r="1534" spans="1:10" x14ac:dyDescent="0.35">
      <c r="A1534" s="92"/>
      <c r="F1534" s="606"/>
      <c r="G1534" s="616"/>
      <c r="H1534" s="93"/>
      <c r="I1534" s="41"/>
      <c r="J1534" s="750"/>
    </row>
    <row r="1535" spans="1:10" x14ac:dyDescent="0.35">
      <c r="A1535" s="92"/>
      <c r="F1535" s="606"/>
      <c r="G1535" s="616"/>
      <c r="H1535" s="93"/>
      <c r="I1535" s="41"/>
      <c r="J1535" s="750"/>
    </row>
    <row r="1536" spans="1:10" x14ac:dyDescent="0.35">
      <c r="A1536" s="92"/>
      <c r="F1536" s="606"/>
      <c r="G1536" s="616"/>
      <c r="H1536" s="93"/>
      <c r="I1536" s="41"/>
      <c r="J1536" s="750"/>
    </row>
    <row r="1537" spans="1:10" x14ac:dyDescent="0.35">
      <c r="A1537" s="92"/>
      <c r="F1537" s="606"/>
      <c r="G1537" s="616"/>
      <c r="H1537" s="93"/>
      <c r="I1537" s="41"/>
      <c r="J1537" s="750"/>
    </row>
    <row r="1538" spans="1:10" x14ac:dyDescent="0.35">
      <c r="A1538" s="92"/>
      <c r="F1538" s="606"/>
      <c r="G1538" s="616"/>
      <c r="H1538" s="93"/>
      <c r="I1538" s="41"/>
      <c r="J1538" s="750"/>
    </row>
    <row r="1539" spans="1:10" x14ac:dyDescent="0.35">
      <c r="A1539" s="92"/>
      <c r="F1539" s="606"/>
      <c r="G1539" s="616"/>
      <c r="H1539" s="93"/>
      <c r="I1539" s="41"/>
      <c r="J1539" s="750"/>
    </row>
    <row r="1540" spans="1:10" x14ac:dyDescent="0.35">
      <c r="A1540" s="92"/>
      <c r="F1540" s="606"/>
      <c r="G1540" s="616"/>
      <c r="H1540" s="93"/>
      <c r="I1540" s="41"/>
      <c r="J1540" s="750"/>
    </row>
    <row r="1541" spans="1:10" x14ac:dyDescent="0.35">
      <c r="A1541" s="92"/>
      <c r="F1541" s="606"/>
      <c r="G1541" s="616"/>
      <c r="H1541" s="93"/>
      <c r="I1541" s="41"/>
      <c r="J1541" s="750"/>
    </row>
    <row r="1542" spans="1:10" x14ac:dyDescent="0.35">
      <c r="A1542" s="92"/>
      <c r="F1542" s="606"/>
      <c r="G1542" s="616"/>
      <c r="H1542" s="93"/>
      <c r="I1542" s="41"/>
      <c r="J1542" s="750"/>
    </row>
    <row r="1543" spans="1:10" x14ac:dyDescent="0.35">
      <c r="A1543" s="92"/>
      <c r="F1543" s="606"/>
      <c r="G1543" s="616"/>
      <c r="H1543" s="93"/>
      <c r="I1543" s="41"/>
      <c r="J1543" s="750"/>
    </row>
    <row r="1544" spans="1:10" x14ac:dyDescent="0.35">
      <c r="A1544" s="92"/>
      <c r="F1544" s="606"/>
      <c r="G1544" s="616"/>
      <c r="H1544" s="93"/>
      <c r="I1544" s="41"/>
      <c r="J1544" s="750"/>
    </row>
    <row r="1545" spans="1:10" x14ac:dyDescent="0.35">
      <c r="A1545" s="92"/>
      <c r="F1545" s="606"/>
      <c r="G1545" s="616"/>
      <c r="H1545" s="93"/>
      <c r="I1545" s="41"/>
      <c r="J1545" s="750"/>
    </row>
    <row r="1546" spans="1:10" x14ac:dyDescent="0.35">
      <c r="A1546" s="92"/>
      <c r="F1546" s="606"/>
      <c r="G1546" s="616"/>
      <c r="H1546" s="93"/>
      <c r="I1546" s="41"/>
      <c r="J1546" s="750"/>
    </row>
    <row r="1547" spans="1:10" x14ac:dyDescent="0.35">
      <c r="A1547" s="92"/>
      <c r="F1547" s="606"/>
      <c r="G1547" s="616"/>
      <c r="H1547" s="93"/>
      <c r="I1547" s="41"/>
      <c r="J1547" s="750"/>
    </row>
    <row r="1548" spans="1:10" x14ac:dyDescent="0.35">
      <c r="A1548" s="92"/>
      <c r="F1548" s="606"/>
      <c r="G1548" s="616"/>
      <c r="H1548" s="93"/>
      <c r="I1548" s="41"/>
      <c r="J1548" s="750"/>
    </row>
    <row r="1549" spans="1:10" x14ac:dyDescent="0.35">
      <c r="A1549" s="92"/>
      <c r="F1549" s="606"/>
      <c r="G1549" s="616"/>
      <c r="H1549" s="93"/>
      <c r="I1549" s="41"/>
      <c r="J1549" s="750"/>
    </row>
    <row r="1550" spans="1:10" x14ac:dyDescent="0.35">
      <c r="A1550" s="92"/>
      <c r="F1550" s="606"/>
      <c r="G1550" s="616"/>
      <c r="H1550" s="93"/>
      <c r="I1550" s="41"/>
      <c r="J1550" s="750"/>
    </row>
    <row r="1551" spans="1:10" x14ac:dyDescent="0.35">
      <c r="A1551" s="92"/>
      <c r="F1551" s="606"/>
      <c r="G1551" s="616"/>
      <c r="H1551" s="93"/>
      <c r="I1551" s="41"/>
      <c r="J1551" s="750"/>
    </row>
    <row r="1552" spans="1:10" x14ac:dyDescent="0.35">
      <c r="A1552" s="92"/>
      <c r="F1552" s="606"/>
      <c r="G1552" s="616"/>
      <c r="H1552" s="93"/>
      <c r="I1552" s="41"/>
      <c r="J1552" s="750"/>
    </row>
    <row r="1553" spans="1:10" x14ac:dyDescent="0.35">
      <c r="A1553" s="92"/>
      <c r="F1553" s="606"/>
      <c r="G1553" s="616"/>
      <c r="H1553" s="93"/>
      <c r="I1553" s="41"/>
      <c r="J1553" s="750"/>
    </row>
    <row r="1554" spans="1:10" x14ac:dyDescent="0.35">
      <c r="A1554" s="92"/>
      <c r="F1554" s="606"/>
      <c r="G1554" s="616"/>
      <c r="H1554" s="93"/>
      <c r="I1554" s="41"/>
      <c r="J1554" s="750"/>
    </row>
    <row r="1555" spans="1:10" x14ac:dyDescent="0.35">
      <c r="A1555" s="92"/>
      <c r="F1555" s="606"/>
      <c r="G1555" s="616"/>
      <c r="H1555" s="93"/>
      <c r="I1555" s="41"/>
      <c r="J1555" s="750"/>
    </row>
    <row r="1556" spans="1:10" x14ac:dyDescent="0.35">
      <c r="A1556" s="92"/>
      <c r="F1556" s="606"/>
      <c r="G1556" s="616"/>
      <c r="H1556" s="93"/>
      <c r="I1556" s="41"/>
      <c r="J1556" s="750"/>
    </row>
    <row r="1557" spans="1:10" x14ac:dyDescent="0.35">
      <c r="A1557" s="92"/>
      <c r="F1557" s="606"/>
      <c r="G1557" s="616"/>
      <c r="H1557" s="93"/>
      <c r="I1557" s="41"/>
      <c r="J1557" s="750"/>
    </row>
    <row r="1558" spans="1:10" x14ac:dyDescent="0.35">
      <c r="A1558" s="92"/>
      <c r="F1558" s="606"/>
      <c r="G1558" s="616"/>
      <c r="H1558" s="93"/>
      <c r="I1558" s="41"/>
      <c r="J1558" s="750"/>
    </row>
    <row r="1559" spans="1:10" x14ac:dyDescent="0.35">
      <c r="A1559" s="92"/>
      <c r="F1559" s="606"/>
      <c r="G1559" s="616"/>
      <c r="H1559" s="93"/>
      <c r="I1559" s="41"/>
      <c r="J1559" s="750"/>
    </row>
    <row r="1560" spans="1:10" x14ac:dyDescent="0.35">
      <c r="A1560" s="92"/>
      <c r="F1560" s="606"/>
      <c r="G1560" s="616"/>
      <c r="H1560" s="93"/>
      <c r="I1560" s="41"/>
      <c r="J1560" s="750"/>
    </row>
    <row r="1561" spans="1:10" x14ac:dyDescent="0.35">
      <c r="A1561" s="92"/>
      <c r="F1561" s="606"/>
      <c r="G1561" s="616"/>
      <c r="H1561" s="93"/>
      <c r="I1561" s="41"/>
      <c r="J1561" s="750"/>
    </row>
    <row r="1562" spans="1:10" x14ac:dyDescent="0.35">
      <c r="A1562" s="92"/>
      <c r="F1562" s="606"/>
      <c r="G1562" s="616"/>
      <c r="H1562" s="93"/>
      <c r="I1562" s="41"/>
      <c r="J1562" s="750"/>
    </row>
    <row r="1563" spans="1:10" x14ac:dyDescent="0.35">
      <c r="A1563" s="92"/>
      <c r="F1563" s="606"/>
      <c r="G1563" s="616"/>
      <c r="H1563" s="93"/>
      <c r="I1563" s="41"/>
      <c r="J1563" s="750"/>
    </row>
    <row r="1564" spans="1:10" x14ac:dyDescent="0.35">
      <c r="A1564" s="92"/>
      <c r="F1564" s="606"/>
      <c r="G1564" s="616"/>
      <c r="H1564" s="93"/>
      <c r="I1564" s="41"/>
      <c r="J1564" s="750"/>
    </row>
    <row r="1565" spans="1:10" x14ac:dyDescent="0.35">
      <c r="A1565" s="92"/>
      <c r="F1565" s="606"/>
      <c r="G1565" s="616"/>
      <c r="H1565" s="93"/>
      <c r="I1565" s="41"/>
      <c r="J1565" s="750"/>
    </row>
    <row r="1566" spans="1:10" x14ac:dyDescent="0.35">
      <c r="A1566" s="92"/>
      <c r="F1566" s="606"/>
      <c r="G1566" s="616"/>
      <c r="H1566" s="93"/>
      <c r="I1566" s="41"/>
      <c r="J1566" s="750"/>
    </row>
    <row r="1567" spans="1:10" x14ac:dyDescent="0.35">
      <c r="A1567" s="92"/>
      <c r="F1567" s="606"/>
      <c r="G1567" s="616"/>
      <c r="H1567" s="93"/>
      <c r="I1567" s="41"/>
      <c r="J1567" s="750"/>
    </row>
    <row r="1568" spans="1:10" x14ac:dyDescent="0.35">
      <c r="A1568" s="92"/>
      <c r="F1568" s="606"/>
      <c r="G1568" s="616"/>
      <c r="H1568" s="93"/>
      <c r="I1568" s="41"/>
      <c r="J1568" s="750"/>
    </row>
    <row r="1569" spans="1:10" x14ac:dyDescent="0.35">
      <c r="A1569" s="92"/>
      <c r="F1569" s="606"/>
      <c r="G1569" s="616"/>
      <c r="H1569" s="93"/>
      <c r="I1569" s="41"/>
      <c r="J1569" s="750"/>
    </row>
    <row r="1570" spans="1:10" x14ac:dyDescent="0.35">
      <c r="A1570" s="92"/>
      <c r="F1570" s="606"/>
      <c r="G1570" s="616"/>
      <c r="H1570" s="93"/>
      <c r="I1570" s="41"/>
      <c r="J1570" s="750"/>
    </row>
    <row r="1571" spans="1:10" x14ac:dyDescent="0.35">
      <c r="A1571" s="92"/>
      <c r="F1571" s="606"/>
      <c r="G1571" s="616"/>
      <c r="H1571" s="93"/>
      <c r="I1571" s="41"/>
      <c r="J1571" s="750"/>
    </row>
    <row r="1572" spans="1:10" x14ac:dyDescent="0.35">
      <c r="A1572" s="92"/>
      <c r="F1572" s="606"/>
      <c r="G1572" s="616"/>
      <c r="H1572" s="93"/>
      <c r="I1572" s="41"/>
      <c r="J1572" s="750"/>
    </row>
    <row r="1573" spans="1:10" x14ac:dyDescent="0.35">
      <c r="A1573" s="92"/>
      <c r="F1573" s="606"/>
      <c r="G1573" s="616"/>
      <c r="H1573" s="93"/>
      <c r="I1573" s="41"/>
      <c r="J1573" s="750"/>
    </row>
    <row r="1574" spans="1:10" x14ac:dyDescent="0.35">
      <c r="A1574" s="92"/>
      <c r="F1574" s="606"/>
      <c r="G1574" s="616"/>
      <c r="H1574" s="93"/>
      <c r="I1574" s="41"/>
      <c r="J1574" s="750"/>
    </row>
    <row r="1575" spans="1:10" x14ac:dyDescent="0.35">
      <c r="A1575" s="92"/>
      <c r="F1575" s="606"/>
      <c r="G1575" s="616"/>
      <c r="H1575" s="93"/>
      <c r="I1575" s="41"/>
      <c r="J1575" s="750"/>
    </row>
    <row r="1576" spans="1:10" x14ac:dyDescent="0.35">
      <c r="A1576" s="92"/>
      <c r="F1576" s="606"/>
      <c r="G1576" s="616"/>
      <c r="H1576" s="93"/>
      <c r="I1576" s="41"/>
      <c r="J1576" s="750"/>
    </row>
    <row r="1577" spans="1:10" x14ac:dyDescent="0.35">
      <c r="A1577" s="92"/>
      <c r="F1577" s="606"/>
      <c r="G1577" s="616"/>
      <c r="H1577" s="93"/>
      <c r="I1577" s="41"/>
      <c r="J1577" s="750"/>
    </row>
    <row r="1578" spans="1:10" x14ac:dyDescent="0.35">
      <c r="A1578" s="92"/>
      <c r="F1578" s="606"/>
      <c r="G1578" s="616"/>
      <c r="H1578" s="93"/>
      <c r="I1578" s="41"/>
      <c r="J1578" s="750"/>
    </row>
    <row r="1579" spans="1:10" x14ac:dyDescent="0.35">
      <c r="A1579" s="92"/>
      <c r="F1579" s="606"/>
      <c r="G1579" s="616"/>
      <c r="H1579" s="93"/>
      <c r="I1579" s="41"/>
      <c r="J1579" s="750"/>
    </row>
    <row r="1580" spans="1:10" x14ac:dyDescent="0.35">
      <c r="A1580" s="92"/>
      <c r="F1580" s="606"/>
      <c r="G1580" s="616"/>
      <c r="H1580" s="93"/>
      <c r="I1580" s="41"/>
      <c r="J1580" s="750"/>
    </row>
    <row r="1581" spans="1:10" x14ac:dyDescent="0.35">
      <c r="A1581" s="92"/>
      <c r="F1581" s="606"/>
      <c r="G1581" s="616"/>
      <c r="H1581" s="93"/>
      <c r="I1581" s="41"/>
      <c r="J1581" s="750"/>
    </row>
    <row r="1582" spans="1:10" x14ac:dyDescent="0.35">
      <c r="A1582" s="92"/>
      <c r="F1582" s="606"/>
      <c r="G1582" s="616"/>
      <c r="H1582" s="93"/>
      <c r="I1582" s="41"/>
      <c r="J1582" s="750"/>
    </row>
    <row r="1583" spans="1:10" x14ac:dyDescent="0.35">
      <c r="A1583" s="92"/>
      <c r="F1583" s="606"/>
      <c r="G1583" s="616"/>
      <c r="H1583" s="93"/>
      <c r="I1583" s="41"/>
      <c r="J1583" s="750"/>
    </row>
    <row r="1584" spans="1:10" x14ac:dyDescent="0.35">
      <c r="A1584" s="92"/>
      <c r="F1584" s="606"/>
      <c r="G1584" s="616"/>
      <c r="H1584" s="93"/>
      <c r="I1584" s="41"/>
      <c r="J1584" s="750"/>
    </row>
    <row r="1585" spans="1:10" x14ac:dyDescent="0.35">
      <c r="A1585" s="92"/>
      <c r="F1585" s="606"/>
      <c r="G1585" s="616"/>
      <c r="H1585" s="93"/>
      <c r="I1585" s="41"/>
      <c r="J1585" s="750"/>
    </row>
    <row r="1586" spans="1:10" x14ac:dyDescent="0.35">
      <c r="A1586" s="92"/>
      <c r="F1586" s="606"/>
      <c r="G1586" s="616"/>
      <c r="H1586" s="93"/>
      <c r="I1586" s="41"/>
      <c r="J1586" s="750"/>
    </row>
    <row r="1587" spans="1:10" x14ac:dyDescent="0.35">
      <c r="A1587" s="92"/>
      <c r="F1587" s="606"/>
      <c r="G1587" s="616"/>
      <c r="H1587" s="93"/>
      <c r="I1587" s="41"/>
      <c r="J1587" s="750"/>
    </row>
    <row r="1588" spans="1:10" x14ac:dyDescent="0.35">
      <c r="A1588" s="92"/>
      <c r="F1588" s="606"/>
      <c r="G1588" s="616"/>
      <c r="H1588" s="93"/>
      <c r="I1588" s="41"/>
      <c r="J1588" s="750"/>
    </row>
    <row r="1589" spans="1:10" x14ac:dyDescent="0.35">
      <c r="A1589" s="92"/>
      <c r="F1589" s="606"/>
      <c r="G1589" s="616"/>
      <c r="H1589" s="93"/>
      <c r="I1589" s="41"/>
      <c r="J1589" s="750"/>
    </row>
    <row r="1590" spans="1:10" x14ac:dyDescent="0.35">
      <c r="A1590" s="92"/>
      <c r="F1590" s="606"/>
      <c r="G1590" s="616"/>
      <c r="H1590" s="93"/>
      <c r="I1590" s="41"/>
      <c r="J1590" s="750"/>
    </row>
    <row r="1591" spans="1:10" x14ac:dyDescent="0.35">
      <c r="A1591" s="92"/>
      <c r="F1591" s="606"/>
      <c r="G1591" s="616"/>
      <c r="H1591" s="93"/>
      <c r="I1591" s="41"/>
      <c r="J1591" s="750"/>
    </row>
    <row r="1592" spans="1:10" x14ac:dyDescent="0.35">
      <c r="A1592" s="92"/>
      <c r="F1592" s="606"/>
      <c r="G1592" s="616"/>
      <c r="H1592" s="93"/>
      <c r="I1592" s="41"/>
      <c r="J1592" s="750"/>
    </row>
    <row r="1593" spans="1:10" x14ac:dyDescent="0.35">
      <c r="A1593" s="92"/>
      <c r="F1593" s="606"/>
      <c r="G1593" s="616"/>
      <c r="H1593" s="93"/>
      <c r="I1593" s="41"/>
      <c r="J1593" s="750"/>
    </row>
    <row r="1594" spans="1:10" x14ac:dyDescent="0.35">
      <c r="A1594" s="92"/>
      <c r="F1594" s="606"/>
      <c r="G1594" s="616"/>
      <c r="H1594" s="93"/>
      <c r="I1594" s="41"/>
      <c r="J1594" s="750"/>
    </row>
    <row r="1595" spans="1:10" x14ac:dyDescent="0.35">
      <c r="A1595" s="92"/>
      <c r="F1595" s="606"/>
      <c r="G1595" s="616"/>
      <c r="H1595" s="93"/>
      <c r="I1595" s="41"/>
      <c r="J1595" s="750"/>
    </row>
    <row r="1596" spans="1:10" x14ac:dyDescent="0.35">
      <c r="A1596" s="92"/>
      <c r="F1596" s="606"/>
      <c r="G1596" s="616"/>
      <c r="H1596" s="93"/>
      <c r="I1596" s="41"/>
      <c r="J1596" s="750"/>
    </row>
    <row r="1597" spans="1:10" x14ac:dyDescent="0.35">
      <c r="A1597" s="92"/>
      <c r="F1597" s="606"/>
      <c r="G1597" s="616"/>
      <c r="H1597" s="93"/>
      <c r="I1597" s="41"/>
      <c r="J1597" s="750"/>
    </row>
    <row r="1598" spans="1:10" x14ac:dyDescent="0.35">
      <c r="A1598" s="92"/>
      <c r="F1598" s="606"/>
      <c r="G1598" s="616"/>
      <c r="H1598" s="93"/>
      <c r="I1598" s="41"/>
      <c r="J1598" s="750"/>
    </row>
    <row r="1599" spans="1:10" x14ac:dyDescent="0.35">
      <c r="A1599" s="92"/>
      <c r="F1599" s="606"/>
      <c r="G1599" s="616"/>
      <c r="H1599" s="93"/>
      <c r="I1599" s="41"/>
      <c r="J1599" s="750"/>
    </row>
    <row r="1600" spans="1:10" x14ac:dyDescent="0.35">
      <c r="A1600" s="92"/>
      <c r="F1600" s="606"/>
      <c r="G1600" s="616"/>
      <c r="H1600" s="93"/>
      <c r="I1600" s="41"/>
      <c r="J1600" s="750"/>
    </row>
    <row r="1601" spans="1:10" x14ac:dyDescent="0.35">
      <c r="A1601" s="92"/>
      <c r="F1601" s="606"/>
      <c r="G1601" s="616"/>
      <c r="H1601" s="93"/>
      <c r="I1601" s="41"/>
      <c r="J1601" s="750"/>
    </row>
    <row r="1602" spans="1:10" x14ac:dyDescent="0.35">
      <c r="A1602" s="92"/>
      <c r="F1602" s="606"/>
      <c r="G1602" s="616"/>
      <c r="H1602" s="93"/>
      <c r="I1602" s="41"/>
      <c r="J1602" s="750"/>
    </row>
    <row r="1603" spans="1:10" x14ac:dyDescent="0.35">
      <c r="A1603" s="92"/>
      <c r="F1603" s="606"/>
      <c r="G1603" s="616"/>
      <c r="H1603" s="93"/>
      <c r="I1603" s="41"/>
      <c r="J1603" s="750"/>
    </row>
    <row r="1604" spans="1:10" x14ac:dyDescent="0.35">
      <c r="A1604" s="92"/>
      <c r="F1604" s="606"/>
      <c r="G1604" s="616"/>
      <c r="H1604" s="93"/>
      <c r="I1604" s="41"/>
      <c r="J1604" s="750"/>
    </row>
    <row r="1605" spans="1:10" x14ac:dyDescent="0.35">
      <c r="A1605" s="92"/>
      <c r="F1605" s="606"/>
      <c r="G1605" s="616"/>
      <c r="H1605" s="93"/>
      <c r="I1605" s="41"/>
      <c r="J1605" s="750"/>
    </row>
    <row r="1606" spans="1:10" x14ac:dyDescent="0.35">
      <c r="A1606" s="92"/>
      <c r="F1606" s="606"/>
      <c r="G1606" s="616"/>
      <c r="H1606" s="93"/>
      <c r="I1606" s="41"/>
      <c r="J1606" s="750"/>
    </row>
    <row r="1607" spans="1:10" x14ac:dyDescent="0.35">
      <c r="A1607" s="92"/>
      <c r="F1607" s="606"/>
      <c r="G1607" s="616"/>
      <c r="H1607" s="93"/>
      <c r="I1607" s="41"/>
      <c r="J1607" s="750"/>
    </row>
    <row r="1608" spans="1:10" x14ac:dyDescent="0.35">
      <c r="A1608" s="92"/>
      <c r="F1608" s="606"/>
      <c r="G1608" s="616"/>
      <c r="H1608" s="93"/>
      <c r="I1608" s="41"/>
      <c r="J1608" s="750"/>
    </row>
    <row r="1609" spans="1:10" x14ac:dyDescent="0.35">
      <c r="A1609" s="92"/>
      <c r="F1609" s="606"/>
      <c r="G1609" s="616"/>
      <c r="H1609" s="93"/>
      <c r="I1609" s="41"/>
      <c r="J1609" s="750"/>
    </row>
    <row r="1610" spans="1:10" x14ac:dyDescent="0.35">
      <c r="A1610" s="92"/>
      <c r="F1610" s="606"/>
      <c r="G1610" s="616"/>
      <c r="H1610" s="93"/>
      <c r="I1610" s="41"/>
      <c r="J1610" s="750"/>
    </row>
    <row r="1611" spans="1:10" x14ac:dyDescent="0.35">
      <c r="A1611" s="92"/>
      <c r="F1611" s="606"/>
      <c r="G1611" s="616"/>
      <c r="H1611" s="93"/>
      <c r="I1611" s="41"/>
      <c r="J1611" s="750"/>
    </row>
    <row r="1612" spans="1:10" x14ac:dyDescent="0.35">
      <c r="A1612" s="92"/>
      <c r="F1612" s="606"/>
      <c r="G1612" s="616"/>
      <c r="H1612" s="93"/>
      <c r="I1612" s="41"/>
      <c r="J1612" s="750"/>
    </row>
    <row r="1613" spans="1:10" x14ac:dyDescent="0.35">
      <c r="A1613" s="92"/>
      <c r="F1613" s="606"/>
      <c r="G1613" s="616"/>
      <c r="H1613" s="93"/>
      <c r="I1613" s="41"/>
      <c r="J1613" s="750"/>
    </row>
    <row r="1614" spans="1:10" x14ac:dyDescent="0.35">
      <c r="A1614" s="92"/>
      <c r="F1614" s="606"/>
      <c r="G1614" s="616"/>
      <c r="H1614" s="93"/>
      <c r="I1614" s="41"/>
      <c r="J1614" s="750"/>
    </row>
    <row r="1615" spans="1:10" x14ac:dyDescent="0.35">
      <c r="A1615" s="92"/>
      <c r="F1615" s="606"/>
      <c r="G1615" s="616"/>
      <c r="H1615" s="93"/>
      <c r="I1615" s="41"/>
      <c r="J1615" s="750"/>
    </row>
    <row r="1616" spans="1:10" x14ac:dyDescent="0.35">
      <c r="A1616" s="92"/>
      <c r="F1616" s="606"/>
      <c r="G1616" s="616"/>
      <c r="H1616" s="93"/>
      <c r="I1616" s="41"/>
      <c r="J1616" s="750"/>
    </row>
    <row r="1617" spans="1:10" x14ac:dyDescent="0.35">
      <c r="A1617" s="92"/>
      <c r="F1617" s="606"/>
      <c r="G1617" s="616"/>
      <c r="H1617" s="93"/>
      <c r="I1617" s="41"/>
      <c r="J1617" s="750"/>
    </row>
    <row r="1618" spans="1:10" x14ac:dyDescent="0.35">
      <c r="A1618" s="92"/>
      <c r="F1618" s="606"/>
      <c r="G1618" s="616"/>
      <c r="H1618" s="93"/>
      <c r="I1618" s="41"/>
      <c r="J1618" s="750"/>
    </row>
    <row r="1619" spans="1:10" x14ac:dyDescent="0.35">
      <c r="A1619" s="92"/>
      <c r="F1619" s="606"/>
      <c r="G1619" s="616"/>
      <c r="H1619" s="93"/>
      <c r="I1619" s="41"/>
      <c r="J1619" s="750"/>
    </row>
    <row r="1620" spans="1:10" x14ac:dyDescent="0.35">
      <c r="A1620" s="92"/>
      <c r="F1620" s="606"/>
      <c r="G1620" s="616"/>
      <c r="H1620" s="93"/>
      <c r="I1620" s="41"/>
      <c r="J1620" s="750"/>
    </row>
    <row r="1621" spans="1:10" x14ac:dyDescent="0.35">
      <c r="A1621" s="92"/>
      <c r="F1621" s="606"/>
      <c r="G1621" s="616"/>
      <c r="H1621" s="93"/>
      <c r="I1621" s="41"/>
      <c r="J1621" s="750"/>
    </row>
    <row r="1622" spans="1:10" x14ac:dyDescent="0.35">
      <c r="A1622" s="92"/>
      <c r="F1622" s="606"/>
      <c r="G1622" s="616"/>
      <c r="H1622" s="93"/>
      <c r="I1622" s="41"/>
      <c r="J1622" s="750"/>
    </row>
    <row r="1623" spans="1:10" x14ac:dyDescent="0.35">
      <c r="A1623" s="92"/>
      <c r="F1623" s="606"/>
      <c r="G1623" s="616"/>
      <c r="H1623" s="93"/>
      <c r="I1623" s="41"/>
      <c r="J1623" s="750"/>
    </row>
    <row r="1624" spans="1:10" x14ac:dyDescent="0.35">
      <c r="A1624" s="92"/>
      <c r="F1624" s="606"/>
      <c r="G1624" s="616"/>
      <c r="H1624" s="93"/>
      <c r="I1624" s="41"/>
      <c r="J1624" s="750"/>
    </row>
    <row r="1625" spans="1:10" x14ac:dyDescent="0.35">
      <c r="A1625" s="92"/>
      <c r="F1625" s="606"/>
      <c r="G1625" s="616"/>
      <c r="H1625" s="93"/>
      <c r="I1625" s="41"/>
      <c r="J1625" s="750"/>
    </row>
    <row r="1626" spans="1:10" x14ac:dyDescent="0.35">
      <c r="A1626" s="92"/>
      <c r="F1626" s="606"/>
      <c r="G1626" s="616"/>
      <c r="H1626" s="93"/>
      <c r="I1626" s="41"/>
      <c r="J1626" s="750"/>
    </row>
    <row r="1627" spans="1:10" x14ac:dyDescent="0.35">
      <c r="A1627" s="92"/>
      <c r="F1627" s="606"/>
      <c r="G1627" s="616"/>
      <c r="H1627" s="93"/>
      <c r="I1627" s="41"/>
      <c r="J1627" s="750"/>
    </row>
    <row r="1628" spans="1:10" x14ac:dyDescent="0.35">
      <c r="A1628" s="92"/>
      <c r="F1628" s="606"/>
      <c r="G1628" s="616"/>
      <c r="H1628" s="93"/>
      <c r="I1628" s="41"/>
      <c r="J1628" s="750"/>
    </row>
    <row r="1629" spans="1:10" x14ac:dyDescent="0.35">
      <c r="A1629" s="92"/>
      <c r="F1629" s="606"/>
      <c r="G1629" s="616"/>
      <c r="H1629" s="93"/>
      <c r="I1629" s="41"/>
      <c r="J1629" s="750"/>
    </row>
    <row r="1630" spans="1:10" x14ac:dyDescent="0.35">
      <c r="A1630" s="92"/>
      <c r="F1630" s="606"/>
      <c r="G1630" s="616"/>
      <c r="H1630" s="93"/>
      <c r="I1630" s="41"/>
      <c r="J1630" s="750"/>
    </row>
    <row r="1631" spans="1:10" x14ac:dyDescent="0.35">
      <c r="A1631" s="92"/>
      <c r="F1631" s="606"/>
      <c r="G1631" s="616"/>
      <c r="H1631" s="93"/>
      <c r="I1631" s="41"/>
      <c r="J1631" s="750"/>
    </row>
    <row r="1632" spans="1:10" x14ac:dyDescent="0.35">
      <c r="A1632" s="92"/>
      <c r="F1632" s="606"/>
      <c r="G1632" s="616"/>
      <c r="H1632" s="93"/>
      <c r="I1632" s="41"/>
      <c r="J1632" s="750"/>
    </row>
    <row r="1633" spans="1:10" x14ac:dyDescent="0.35">
      <c r="A1633" s="92"/>
      <c r="F1633" s="606"/>
      <c r="G1633" s="616"/>
      <c r="H1633" s="93"/>
      <c r="I1633" s="41"/>
      <c r="J1633" s="750"/>
    </row>
    <row r="1634" spans="1:10" x14ac:dyDescent="0.35">
      <c r="A1634" s="92"/>
      <c r="F1634" s="606"/>
      <c r="G1634" s="616"/>
      <c r="H1634" s="93"/>
      <c r="I1634" s="41"/>
      <c r="J1634" s="750"/>
    </row>
    <row r="1635" spans="1:10" x14ac:dyDescent="0.35">
      <c r="A1635" s="92"/>
      <c r="F1635" s="606"/>
      <c r="G1635" s="616"/>
      <c r="H1635" s="93"/>
      <c r="I1635" s="41"/>
      <c r="J1635" s="750"/>
    </row>
    <row r="1636" spans="1:10" x14ac:dyDescent="0.35">
      <c r="A1636" s="92"/>
      <c r="F1636" s="606"/>
      <c r="G1636" s="616"/>
      <c r="H1636" s="93"/>
      <c r="I1636" s="41"/>
      <c r="J1636" s="750"/>
    </row>
    <row r="1637" spans="1:10" x14ac:dyDescent="0.35">
      <c r="A1637" s="92"/>
      <c r="F1637" s="606"/>
      <c r="G1637" s="616"/>
      <c r="H1637" s="93"/>
      <c r="I1637" s="41"/>
      <c r="J1637" s="750"/>
    </row>
    <row r="1638" spans="1:10" x14ac:dyDescent="0.35">
      <c r="A1638" s="92"/>
      <c r="F1638" s="606"/>
      <c r="G1638" s="616"/>
      <c r="H1638" s="93"/>
      <c r="I1638" s="41"/>
      <c r="J1638" s="750"/>
    </row>
    <row r="1639" spans="1:10" x14ac:dyDescent="0.35">
      <c r="A1639" s="92"/>
      <c r="F1639" s="606"/>
      <c r="G1639" s="616"/>
      <c r="H1639" s="93"/>
      <c r="I1639" s="41"/>
      <c r="J1639" s="750"/>
    </row>
    <row r="1640" spans="1:10" x14ac:dyDescent="0.35">
      <c r="A1640" s="92"/>
      <c r="F1640" s="606"/>
      <c r="G1640" s="616"/>
      <c r="H1640" s="93"/>
      <c r="I1640" s="41"/>
      <c r="J1640" s="750"/>
    </row>
    <row r="1641" spans="1:10" x14ac:dyDescent="0.35">
      <c r="A1641" s="92"/>
      <c r="F1641" s="606"/>
      <c r="G1641" s="616"/>
      <c r="H1641" s="93"/>
      <c r="I1641" s="41"/>
      <c r="J1641" s="750"/>
    </row>
    <row r="1642" spans="1:10" x14ac:dyDescent="0.35">
      <c r="A1642" s="92"/>
      <c r="F1642" s="606"/>
      <c r="G1642" s="616"/>
      <c r="H1642" s="93"/>
      <c r="I1642" s="41"/>
      <c r="J1642" s="750"/>
    </row>
    <row r="1643" spans="1:10" x14ac:dyDescent="0.35">
      <c r="A1643" s="92"/>
      <c r="F1643" s="606"/>
      <c r="G1643" s="616"/>
      <c r="H1643" s="93"/>
      <c r="I1643" s="41"/>
      <c r="J1643" s="750"/>
    </row>
    <row r="1644" spans="1:10" x14ac:dyDescent="0.35">
      <c r="A1644" s="92"/>
      <c r="F1644" s="606"/>
      <c r="G1644" s="616"/>
      <c r="H1644" s="93"/>
      <c r="I1644" s="41"/>
      <c r="J1644" s="750"/>
    </row>
    <row r="1645" spans="1:10" x14ac:dyDescent="0.35">
      <c r="A1645" s="92"/>
      <c r="F1645" s="606"/>
      <c r="G1645" s="616"/>
      <c r="H1645" s="93"/>
      <c r="I1645" s="41"/>
      <c r="J1645" s="750"/>
    </row>
    <row r="1646" spans="1:10" x14ac:dyDescent="0.35">
      <c r="A1646" s="92"/>
      <c r="F1646" s="606"/>
      <c r="G1646" s="616"/>
      <c r="H1646" s="93"/>
      <c r="I1646" s="41"/>
      <c r="J1646" s="750"/>
    </row>
    <row r="1647" spans="1:10" x14ac:dyDescent="0.35">
      <c r="A1647" s="92"/>
      <c r="F1647" s="606"/>
      <c r="G1647" s="616"/>
      <c r="H1647" s="93"/>
      <c r="I1647" s="41"/>
      <c r="J1647" s="750"/>
    </row>
    <row r="1648" spans="1:10" x14ac:dyDescent="0.35">
      <c r="A1648" s="92"/>
      <c r="F1648" s="606"/>
      <c r="G1648" s="616"/>
      <c r="H1648" s="93"/>
      <c r="I1648" s="41"/>
      <c r="J1648" s="750"/>
    </row>
    <row r="1649" spans="1:10" x14ac:dyDescent="0.35">
      <c r="A1649" s="92"/>
      <c r="F1649" s="606"/>
      <c r="G1649" s="616"/>
      <c r="H1649" s="93"/>
      <c r="I1649" s="41"/>
      <c r="J1649" s="750"/>
    </row>
    <row r="1650" spans="1:10" x14ac:dyDescent="0.35">
      <c r="A1650" s="92"/>
      <c r="F1650" s="606"/>
      <c r="G1650" s="616"/>
      <c r="H1650" s="93"/>
      <c r="I1650" s="41"/>
      <c r="J1650" s="750"/>
    </row>
    <row r="1651" spans="1:10" x14ac:dyDescent="0.35">
      <c r="A1651" s="92"/>
      <c r="F1651" s="606"/>
      <c r="G1651" s="616"/>
      <c r="H1651" s="93"/>
      <c r="I1651" s="41"/>
      <c r="J1651" s="750"/>
    </row>
    <row r="1652" spans="1:10" x14ac:dyDescent="0.35">
      <c r="A1652" s="92"/>
      <c r="F1652" s="606"/>
      <c r="G1652" s="616"/>
      <c r="H1652" s="93"/>
      <c r="I1652" s="41"/>
      <c r="J1652" s="750"/>
    </row>
    <row r="1653" spans="1:10" x14ac:dyDescent="0.35">
      <c r="A1653" s="92"/>
      <c r="F1653" s="606"/>
      <c r="G1653" s="616"/>
      <c r="H1653" s="93"/>
      <c r="I1653" s="41"/>
      <c r="J1653" s="750"/>
    </row>
    <row r="1654" spans="1:10" x14ac:dyDescent="0.35">
      <c r="A1654" s="92"/>
      <c r="F1654" s="606"/>
      <c r="G1654" s="616"/>
      <c r="H1654" s="93"/>
      <c r="I1654" s="41"/>
      <c r="J1654" s="750"/>
    </row>
    <row r="1655" spans="1:10" x14ac:dyDescent="0.35">
      <c r="A1655" s="92"/>
      <c r="F1655" s="606"/>
      <c r="G1655" s="616"/>
      <c r="H1655" s="93"/>
      <c r="I1655" s="41"/>
      <c r="J1655" s="750"/>
    </row>
    <row r="1656" spans="1:10" x14ac:dyDescent="0.35">
      <c r="A1656" s="92"/>
      <c r="F1656" s="606"/>
      <c r="G1656" s="616"/>
      <c r="H1656" s="93"/>
      <c r="I1656" s="41"/>
      <c r="J1656" s="750"/>
    </row>
    <row r="1657" spans="1:10" x14ac:dyDescent="0.35">
      <c r="A1657" s="92"/>
      <c r="F1657" s="606"/>
      <c r="G1657" s="616"/>
      <c r="H1657" s="93"/>
      <c r="I1657" s="41"/>
      <c r="J1657" s="750"/>
    </row>
    <row r="1658" spans="1:10" x14ac:dyDescent="0.35">
      <c r="A1658" s="92"/>
      <c r="F1658" s="606"/>
      <c r="G1658" s="616"/>
      <c r="H1658" s="93"/>
      <c r="I1658" s="41"/>
      <c r="J1658" s="750"/>
    </row>
    <row r="1659" spans="1:10" x14ac:dyDescent="0.35">
      <c r="A1659" s="92"/>
      <c r="F1659" s="606"/>
      <c r="G1659" s="616"/>
      <c r="H1659" s="93"/>
      <c r="I1659" s="41"/>
      <c r="J1659" s="750"/>
    </row>
    <row r="1660" spans="1:10" x14ac:dyDescent="0.35">
      <c r="A1660" s="92"/>
      <c r="F1660" s="606"/>
      <c r="G1660" s="616"/>
      <c r="H1660" s="93"/>
      <c r="I1660" s="41"/>
      <c r="J1660" s="750"/>
    </row>
    <row r="1661" spans="1:10" x14ac:dyDescent="0.35">
      <c r="A1661" s="92"/>
      <c r="F1661" s="606"/>
      <c r="G1661" s="616"/>
      <c r="H1661" s="93"/>
      <c r="I1661" s="41"/>
      <c r="J1661" s="750"/>
    </row>
    <row r="1662" spans="1:10" x14ac:dyDescent="0.35">
      <c r="A1662" s="92"/>
      <c r="F1662" s="606"/>
      <c r="G1662" s="616"/>
      <c r="H1662" s="93"/>
      <c r="I1662" s="41"/>
      <c r="J1662" s="750"/>
    </row>
    <row r="1663" spans="1:10" x14ac:dyDescent="0.35">
      <c r="A1663" s="92"/>
      <c r="F1663" s="606"/>
      <c r="G1663" s="616"/>
      <c r="H1663" s="93"/>
      <c r="I1663" s="41"/>
      <c r="J1663" s="750"/>
    </row>
    <row r="1664" spans="1:10" x14ac:dyDescent="0.35">
      <c r="A1664" s="92"/>
      <c r="F1664" s="606"/>
      <c r="G1664" s="616"/>
      <c r="H1664" s="93"/>
      <c r="I1664" s="41"/>
      <c r="J1664" s="750"/>
    </row>
    <row r="1665" spans="1:10" x14ac:dyDescent="0.35">
      <c r="A1665" s="92"/>
      <c r="F1665" s="606"/>
      <c r="G1665" s="616"/>
      <c r="H1665" s="93"/>
      <c r="I1665" s="41"/>
      <c r="J1665" s="750"/>
    </row>
    <row r="1666" spans="1:10" x14ac:dyDescent="0.35">
      <c r="A1666" s="92"/>
      <c r="F1666" s="606"/>
      <c r="G1666" s="616"/>
      <c r="H1666" s="93"/>
      <c r="I1666" s="41"/>
      <c r="J1666" s="750"/>
    </row>
    <row r="1667" spans="1:10" x14ac:dyDescent="0.35">
      <c r="A1667" s="92"/>
      <c r="F1667" s="606"/>
      <c r="G1667" s="616"/>
      <c r="H1667" s="93"/>
      <c r="I1667" s="41"/>
      <c r="J1667" s="750"/>
    </row>
    <row r="1668" spans="1:10" x14ac:dyDescent="0.35">
      <c r="A1668" s="92"/>
      <c r="F1668" s="606"/>
      <c r="G1668" s="616"/>
      <c r="H1668" s="93"/>
      <c r="I1668" s="41"/>
      <c r="J1668" s="750"/>
    </row>
    <row r="1669" spans="1:10" x14ac:dyDescent="0.35">
      <c r="A1669" s="92"/>
      <c r="F1669" s="606"/>
      <c r="G1669" s="616"/>
      <c r="H1669" s="93"/>
      <c r="I1669" s="41"/>
      <c r="J1669" s="750"/>
    </row>
    <row r="1670" spans="1:10" x14ac:dyDescent="0.35">
      <c r="A1670" s="92"/>
      <c r="F1670" s="606"/>
      <c r="G1670" s="616"/>
      <c r="H1670" s="93"/>
      <c r="I1670" s="41"/>
      <c r="J1670" s="750"/>
    </row>
    <row r="1671" spans="1:10" x14ac:dyDescent="0.35">
      <c r="A1671" s="92"/>
      <c r="F1671" s="606"/>
      <c r="G1671" s="616"/>
      <c r="H1671" s="93"/>
      <c r="I1671" s="41"/>
      <c r="J1671" s="750"/>
    </row>
    <row r="1672" spans="1:10" x14ac:dyDescent="0.35">
      <c r="A1672" s="92"/>
      <c r="F1672" s="606"/>
      <c r="G1672" s="616"/>
      <c r="H1672" s="93"/>
      <c r="I1672" s="41"/>
      <c r="J1672" s="750"/>
    </row>
    <row r="1673" spans="1:10" x14ac:dyDescent="0.35">
      <c r="A1673" s="92"/>
      <c r="F1673" s="606"/>
      <c r="G1673" s="616"/>
      <c r="H1673" s="93"/>
      <c r="I1673" s="41"/>
      <c r="J1673" s="750"/>
    </row>
    <row r="1674" spans="1:10" x14ac:dyDescent="0.35">
      <c r="A1674" s="92"/>
      <c r="F1674" s="606"/>
      <c r="G1674" s="616"/>
      <c r="H1674" s="93"/>
      <c r="I1674" s="41"/>
      <c r="J1674" s="750"/>
    </row>
    <row r="1675" spans="1:10" x14ac:dyDescent="0.35">
      <c r="A1675" s="92"/>
      <c r="F1675" s="606"/>
      <c r="G1675" s="616"/>
      <c r="H1675" s="93"/>
      <c r="I1675" s="41"/>
      <c r="J1675" s="750"/>
    </row>
    <row r="1676" spans="1:10" x14ac:dyDescent="0.35">
      <c r="A1676" s="92"/>
      <c r="F1676" s="606"/>
      <c r="G1676" s="616"/>
      <c r="H1676" s="93"/>
      <c r="I1676" s="41"/>
      <c r="J1676" s="750"/>
    </row>
    <row r="1677" spans="1:10" x14ac:dyDescent="0.35">
      <c r="A1677" s="92"/>
      <c r="F1677" s="606"/>
      <c r="G1677" s="616"/>
      <c r="H1677" s="93"/>
      <c r="I1677" s="41"/>
      <c r="J1677" s="750"/>
    </row>
    <row r="1678" spans="1:10" x14ac:dyDescent="0.35">
      <c r="A1678" s="92"/>
      <c r="F1678" s="606"/>
      <c r="G1678" s="616"/>
      <c r="H1678" s="93"/>
      <c r="I1678" s="41"/>
      <c r="J1678" s="750"/>
    </row>
    <row r="1679" spans="1:10" x14ac:dyDescent="0.35">
      <c r="A1679" s="92"/>
      <c r="F1679" s="606"/>
      <c r="G1679" s="616"/>
      <c r="H1679" s="93"/>
      <c r="I1679" s="41"/>
      <c r="J1679" s="750"/>
    </row>
    <row r="1680" spans="1:10" x14ac:dyDescent="0.35">
      <c r="A1680" s="92"/>
      <c r="F1680" s="606"/>
      <c r="G1680" s="616"/>
      <c r="H1680" s="93"/>
      <c r="I1680" s="41"/>
      <c r="J1680" s="750"/>
    </row>
    <row r="1681" spans="1:10" x14ac:dyDescent="0.35">
      <c r="A1681" s="92"/>
      <c r="F1681" s="606"/>
      <c r="G1681" s="616"/>
      <c r="H1681" s="93"/>
      <c r="I1681" s="41"/>
      <c r="J1681" s="750"/>
    </row>
    <row r="1682" spans="1:10" x14ac:dyDescent="0.35">
      <c r="A1682" s="92"/>
      <c r="F1682" s="606"/>
      <c r="G1682" s="616"/>
      <c r="H1682" s="93"/>
      <c r="I1682" s="41"/>
      <c r="J1682" s="750"/>
    </row>
    <row r="1683" spans="1:10" x14ac:dyDescent="0.35">
      <c r="A1683" s="92"/>
      <c r="F1683" s="606"/>
      <c r="G1683" s="616"/>
      <c r="H1683" s="93"/>
      <c r="I1683" s="41"/>
      <c r="J1683" s="750"/>
    </row>
    <row r="1684" spans="1:10" x14ac:dyDescent="0.35">
      <c r="A1684" s="92"/>
      <c r="F1684" s="606"/>
      <c r="G1684" s="616"/>
      <c r="H1684" s="93"/>
      <c r="I1684" s="41"/>
      <c r="J1684" s="750"/>
    </row>
    <row r="1685" spans="1:10" x14ac:dyDescent="0.35">
      <c r="A1685" s="92"/>
      <c r="F1685" s="606"/>
      <c r="G1685" s="616"/>
      <c r="H1685" s="93"/>
      <c r="I1685" s="41"/>
      <c r="J1685" s="750"/>
    </row>
    <row r="1686" spans="1:10" x14ac:dyDescent="0.35">
      <c r="A1686" s="92"/>
      <c r="F1686" s="606"/>
      <c r="G1686" s="616"/>
      <c r="H1686" s="93"/>
      <c r="I1686" s="41"/>
      <c r="J1686" s="750"/>
    </row>
    <row r="1687" spans="1:10" x14ac:dyDescent="0.35">
      <c r="A1687" s="92"/>
      <c r="F1687" s="606"/>
      <c r="G1687" s="616"/>
      <c r="H1687" s="93"/>
      <c r="I1687" s="41"/>
      <c r="J1687" s="750"/>
    </row>
    <row r="1688" spans="1:10" x14ac:dyDescent="0.35">
      <c r="A1688" s="92"/>
      <c r="F1688" s="606"/>
      <c r="G1688" s="616"/>
      <c r="H1688" s="93"/>
      <c r="I1688" s="41"/>
      <c r="J1688" s="750"/>
    </row>
    <row r="1689" spans="1:10" x14ac:dyDescent="0.35">
      <c r="A1689" s="92"/>
      <c r="F1689" s="606"/>
      <c r="G1689" s="616"/>
      <c r="H1689" s="93"/>
      <c r="I1689" s="41"/>
      <c r="J1689" s="750"/>
    </row>
    <row r="1690" spans="1:10" x14ac:dyDescent="0.35">
      <c r="A1690" s="92"/>
      <c r="F1690" s="606"/>
      <c r="G1690" s="616"/>
      <c r="H1690" s="93"/>
      <c r="I1690" s="41"/>
      <c r="J1690" s="750"/>
    </row>
    <row r="1691" spans="1:10" x14ac:dyDescent="0.35">
      <c r="A1691" s="92"/>
      <c r="F1691" s="606"/>
      <c r="G1691" s="616"/>
      <c r="H1691" s="93"/>
      <c r="I1691" s="41"/>
      <c r="J1691" s="750"/>
    </row>
    <row r="1692" spans="1:10" x14ac:dyDescent="0.35">
      <c r="A1692" s="92"/>
      <c r="F1692" s="606"/>
      <c r="G1692" s="616"/>
      <c r="H1692" s="93"/>
      <c r="I1692" s="41"/>
      <c r="J1692" s="750"/>
    </row>
    <row r="1693" spans="1:10" x14ac:dyDescent="0.35">
      <c r="A1693" s="92"/>
      <c r="F1693" s="606"/>
      <c r="G1693" s="616"/>
      <c r="H1693" s="93"/>
      <c r="I1693" s="41"/>
      <c r="J1693" s="750"/>
    </row>
    <row r="1694" spans="1:10" x14ac:dyDescent="0.35">
      <c r="A1694" s="92"/>
      <c r="F1694" s="606"/>
      <c r="G1694" s="616"/>
      <c r="H1694" s="93"/>
      <c r="I1694" s="41"/>
      <c r="J1694" s="750"/>
    </row>
    <row r="1695" spans="1:10" x14ac:dyDescent="0.35">
      <c r="A1695" s="92"/>
      <c r="F1695" s="606"/>
      <c r="G1695" s="616"/>
      <c r="H1695" s="93"/>
      <c r="I1695" s="41"/>
      <c r="J1695" s="750"/>
    </row>
    <row r="1696" spans="1:10" x14ac:dyDescent="0.35">
      <c r="A1696" s="92"/>
      <c r="F1696" s="606"/>
      <c r="G1696" s="616"/>
      <c r="H1696" s="93"/>
      <c r="I1696" s="41"/>
      <c r="J1696" s="750"/>
    </row>
    <row r="1697" spans="1:10" x14ac:dyDescent="0.35">
      <c r="A1697" s="92"/>
      <c r="F1697" s="606"/>
      <c r="G1697" s="616"/>
      <c r="H1697" s="93"/>
      <c r="I1697" s="41"/>
      <c r="J1697" s="750"/>
    </row>
    <row r="1698" spans="1:10" x14ac:dyDescent="0.35">
      <c r="A1698" s="92"/>
      <c r="F1698" s="606"/>
      <c r="G1698" s="616"/>
      <c r="H1698" s="93"/>
      <c r="I1698" s="41"/>
      <c r="J1698" s="750"/>
    </row>
    <row r="1699" spans="1:10" x14ac:dyDescent="0.35">
      <c r="A1699" s="92"/>
      <c r="F1699" s="606"/>
      <c r="G1699" s="616"/>
      <c r="H1699" s="93"/>
      <c r="I1699" s="41"/>
      <c r="J1699" s="750"/>
    </row>
    <row r="1700" spans="1:10" x14ac:dyDescent="0.35">
      <c r="A1700" s="92"/>
      <c r="F1700" s="606"/>
      <c r="G1700" s="616"/>
      <c r="H1700" s="93"/>
      <c r="I1700" s="41"/>
      <c r="J1700" s="750"/>
    </row>
    <row r="1701" spans="1:10" x14ac:dyDescent="0.35">
      <c r="A1701" s="92"/>
      <c r="F1701" s="606"/>
      <c r="G1701" s="616"/>
      <c r="H1701" s="93"/>
      <c r="I1701" s="41"/>
      <c r="J1701" s="750"/>
    </row>
    <row r="1702" spans="1:10" x14ac:dyDescent="0.35">
      <c r="A1702" s="92"/>
      <c r="F1702" s="606"/>
      <c r="G1702" s="616"/>
      <c r="H1702" s="93"/>
      <c r="I1702" s="41"/>
      <c r="J1702" s="750"/>
    </row>
    <row r="1703" spans="1:10" x14ac:dyDescent="0.35">
      <c r="A1703" s="92"/>
      <c r="F1703" s="606"/>
      <c r="G1703" s="616"/>
      <c r="H1703" s="93"/>
      <c r="I1703" s="41"/>
      <c r="J1703" s="750"/>
    </row>
    <row r="1704" spans="1:10" x14ac:dyDescent="0.35">
      <c r="A1704" s="92"/>
      <c r="F1704" s="606"/>
      <c r="G1704" s="616"/>
      <c r="H1704" s="93"/>
      <c r="I1704" s="41"/>
      <c r="J1704" s="750"/>
    </row>
    <row r="1705" spans="1:10" x14ac:dyDescent="0.35">
      <c r="A1705" s="92"/>
      <c r="F1705" s="606"/>
      <c r="G1705" s="616"/>
      <c r="H1705" s="93"/>
      <c r="I1705" s="41"/>
      <c r="J1705" s="750"/>
    </row>
    <row r="1706" spans="1:10" x14ac:dyDescent="0.35">
      <c r="A1706" s="92"/>
      <c r="F1706" s="606"/>
      <c r="G1706" s="616"/>
      <c r="H1706" s="93"/>
      <c r="I1706" s="41"/>
      <c r="J1706" s="750"/>
    </row>
    <row r="1707" spans="1:10" x14ac:dyDescent="0.35">
      <c r="A1707" s="92"/>
      <c r="F1707" s="606"/>
      <c r="G1707" s="616"/>
      <c r="H1707" s="93"/>
      <c r="I1707" s="41"/>
      <c r="J1707" s="750"/>
    </row>
    <row r="1708" spans="1:10" x14ac:dyDescent="0.35">
      <c r="A1708" s="92"/>
      <c r="F1708" s="606"/>
      <c r="G1708" s="616"/>
      <c r="H1708" s="93"/>
      <c r="I1708" s="41"/>
      <c r="J1708" s="750"/>
    </row>
    <row r="1709" spans="1:10" x14ac:dyDescent="0.35">
      <c r="A1709" s="92"/>
      <c r="F1709" s="606"/>
      <c r="G1709" s="616"/>
      <c r="H1709" s="93"/>
      <c r="I1709" s="41"/>
      <c r="J1709" s="750"/>
    </row>
    <row r="1710" spans="1:10" x14ac:dyDescent="0.35">
      <c r="A1710" s="92"/>
      <c r="F1710" s="606"/>
      <c r="G1710" s="616"/>
      <c r="H1710" s="93"/>
      <c r="I1710" s="41"/>
      <c r="J1710" s="750"/>
    </row>
    <row r="1711" spans="1:10" x14ac:dyDescent="0.35">
      <c r="A1711" s="92"/>
      <c r="F1711" s="606"/>
      <c r="G1711" s="616"/>
      <c r="H1711" s="93"/>
      <c r="I1711" s="41"/>
      <c r="J1711" s="750"/>
    </row>
    <row r="1712" spans="1:10" x14ac:dyDescent="0.35">
      <c r="A1712" s="92"/>
      <c r="F1712" s="606"/>
      <c r="G1712" s="616"/>
      <c r="H1712" s="93"/>
      <c r="I1712" s="41"/>
      <c r="J1712" s="750"/>
    </row>
    <row r="1713" spans="1:10" x14ac:dyDescent="0.35">
      <c r="A1713" s="92"/>
      <c r="F1713" s="606"/>
      <c r="G1713" s="616"/>
      <c r="H1713" s="93"/>
      <c r="I1713" s="41"/>
      <c r="J1713" s="750"/>
    </row>
    <row r="1714" spans="1:10" x14ac:dyDescent="0.35">
      <c r="A1714" s="92"/>
      <c r="F1714" s="606"/>
      <c r="G1714" s="616"/>
      <c r="H1714" s="93"/>
      <c r="I1714" s="41"/>
      <c r="J1714" s="750"/>
    </row>
    <row r="1715" spans="1:10" x14ac:dyDescent="0.35">
      <c r="A1715" s="92"/>
      <c r="F1715" s="606"/>
      <c r="G1715" s="616"/>
      <c r="H1715" s="93"/>
      <c r="I1715" s="41"/>
      <c r="J1715" s="750"/>
    </row>
    <row r="1716" spans="1:10" x14ac:dyDescent="0.35">
      <c r="A1716" s="92"/>
      <c r="F1716" s="606"/>
      <c r="G1716" s="616"/>
      <c r="H1716" s="93"/>
      <c r="I1716" s="41"/>
      <c r="J1716" s="750"/>
    </row>
    <row r="1717" spans="1:10" x14ac:dyDescent="0.35">
      <c r="A1717" s="92"/>
      <c r="F1717" s="606"/>
      <c r="G1717" s="616"/>
      <c r="H1717" s="93"/>
      <c r="I1717" s="41"/>
      <c r="J1717" s="750"/>
    </row>
    <row r="1718" spans="1:10" x14ac:dyDescent="0.35">
      <c r="A1718" s="92"/>
      <c r="F1718" s="606"/>
      <c r="G1718" s="616"/>
      <c r="H1718" s="93"/>
      <c r="I1718" s="41"/>
      <c r="J1718" s="750"/>
    </row>
    <row r="1719" spans="1:10" x14ac:dyDescent="0.35">
      <c r="A1719" s="92"/>
      <c r="F1719" s="606"/>
      <c r="G1719" s="616"/>
      <c r="H1719" s="93"/>
      <c r="I1719" s="41"/>
      <c r="J1719" s="750"/>
    </row>
    <row r="1720" spans="1:10" x14ac:dyDescent="0.35">
      <c r="A1720" s="92"/>
      <c r="F1720" s="606"/>
      <c r="G1720" s="616"/>
      <c r="H1720" s="93"/>
      <c r="I1720" s="41"/>
      <c r="J1720" s="750"/>
    </row>
    <row r="1721" spans="1:10" x14ac:dyDescent="0.35">
      <c r="A1721" s="92"/>
      <c r="F1721" s="606"/>
      <c r="G1721" s="616"/>
      <c r="H1721" s="93"/>
      <c r="I1721" s="41"/>
      <c r="J1721" s="750"/>
    </row>
    <row r="1722" spans="1:10" x14ac:dyDescent="0.35">
      <c r="A1722" s="92"/>
      <c r="F1722" s="606"/>
      <c r="G1722" s="616"/>
      <c r="H1722" s="93"/>
      <c r="I1722" s="41"/>
      <c r="J1722" s="750"/>
    </row>
    <row r="1723" spans="1:10" x14ac:dyDescent="0.35">
      <c r="A1723" s="92"/>
      <c r="F1723" s="606"/>
      <c r="G1723" s="616"/>
      <c r="H1723" s="93"/>
      <c r="I1723" s="41"/>
      <c r="J1723" s="750"/>
    </row>
    <row r="1724" spans="1:10" x14ac:dyDescent="0.35">
      <c r="A1724" s="92"/>
      <c r="F1724" s="606"/>
      <c r="G1724" s="616"/>
      <c r="H1724" s="93"/>
      <c r="I1724" s="41"/>
      <c r="J1724" s="750"/>
    </row>
    <row r="1725" spans="1:10" x14ac:dyDescent="0.35">
      <c r="A1725" s="92"/>
      <c r="F1725" s="606"/>
      <c r="G1725" s="616"/>
      <c r="H1725" s="93"/>
      <c r="I1725" s="41"/>
      <c r="J1725" s="750"/>
    </row>
    <row r="1726" spans="1:10" x14ac:dyDescent="0.35">
      <c r="A1726" s="92"/>
      <c r="F1726" s="606"/>
      <c r="G1726" s="616"/>
      <c r="H1726" s="93"/>
      <c r="I1726" s="41"/>
      <c r="J1726" s="750"/>
    </row>
    <row r="1727" spans="1:10" x14ac:dyDescent="0.35">
      <c r="A1727" s="92"/>
      <c r="F1727" s="606"/>
      <c r="G1727" s="616"/>
      <c r="H1727" s="93"/>
      <c r="I1727" s="41"/>
      <c r="J1727" s="750"/>
    </row>
    <row r="1728" spans="1:10" x14ac:dyDescent="0.35">
      <c r="A1728" s="92"/>
      <c r="F1728" s="606"/>
      <c r="G1728" s="616"/>
      <c r="H1728" s="93"/>
      <c r="I1728" s="41"/>
      <c r="J1728" s="750"/>
    </row>
    <row r="1729" spans="1:10" x14ac:dyDescent="0.35">
      <c r="A1729" s="92"/>
      <c r="F1729" s="606"/>
      <c r="G1729" s="616"/>
      <c r="H1729" s="93"/>
      <c r="I1729" s="41"/>
      <c r="J1729" s="750"/>
    </row>
    <row r="1730" spans="1:10" x14ac:dyDescent="0.35">
      <c r="A1730" s="92"/>
      <c r="F1730" s="606"/>
      <c r="G1730" s="616"/>
      <c r="H1730" s="93"/>
      <c r="I1730" s="41"/>
      <c r="J1730" s="750"/>
    </row>
    <row r="1731" spans="1:10" x14ac:dyDescent="0.35">
      <c r="A1731" s="92"/>
      <c r="F1731" s="606"/>
      <c r="G1731" s="616"/>
      <c r="H1731" s="93"/>
      <c r="I1731" s="41"/>
      <c r="J1731" s="750"/>
    </row>
    <row r="1732" spans="1:10" x14ac:dyDescent="0.35">
      <c r="A1732" s="92"/>
      <c r="F1732" s="606"/>
      <c r="G1732" s="616"/>
      <c r="H1732" s="93"/>
      <c r="I1732" s="41"/>
      <c r="J1732" s="750"/>
    </row>
    <row r="1733" spans="1:10" x14ac:dyDescent="0.35">
      <c r="A1733" s="92"/>
      <c r="F1733" s="606"/>
      <c r="G1733" s="616"/>
      <c r="H1733" s="93"/>
      <c r="I1733" s="41"/>
      <c r="J1733" s="750"/>
    </row>
    <row r="1734" spans="1:10" x14ac:dyDescent="0.35">
      <c r="A1734" s="92"/>
      <c r="F1734" s="606"/>
      <c r="G1734" s="616"/>
      <c r="H1734" s="93"/>
      <c r="I1734" s="41"/>
      <c r="J1734" s="750"/>
    </row>
    <row r="1735" spans="1:10" x14ac:dyDescent="0.35">
      <c r="A1735" s="92"/>
      <c r="F1735" s="606"/>
      <c r="G1735" s="616"/>
      <c r="H1735" s="93"/>
      <c r="I1735" s="41"/>
      <c r="J1735" s="750"/>
    </row>
    <row r="1736" spans="1:10" x14ac:dyDescent="0.35">
      <c r="A1736" s="92"/>
      <c r="F1736" s="606"/>
      <c r="G1736" s="616"/>
      <c r="H1736" s="93"/>
      <c r="I1736" s="41"/>
      <c r="J1736" s="750"/>
    </row>
    <row r="1737" spans="1:10" x14ac:dyDescent="0.35">
      <c r="A1737" s="92"/>
      <c r="F1737" s="606"/>
      <c r="G1737" s="616"/>
      <c r="H1737" s="93"/>
      <c r="I1737" s="41"/>
      <c r="J1737" s="750"/>
    </row>
    <row r="1738" spans="1:10" x14ac:dyDescent="0.35">
      <c r="A1738" s="92"/>
      <c r="F1738" s="606"/>
      <c r="G1738" s="616"/>
      <c r="H1738" s="93"/>
      <c r="I1738" s="41"/>
      <c r="J1738" s="750"/>
    </row>
    <row r="1739" spans="1:10" x14ac:dyDescent="0.35">
      <c r="A1739" s="92"/>
      <c r="F1739" s="606"/>
      <c r="G1739" s="616"/>
      <c r="H1739" s="93"/>
      <c r="I1739" s="41"/>
      <c r="J1739" s="750"/>
    </row>
    <row r="1740" spans="1:10" x14ac:dyDescent="0.35">
      <c r="A1740" s="92"/>
      <c r="F1740" s="606"/>
      <c r="G1740" s="616"/>
      <c r="H1740" s="93"/>
      <c r="I1740" s="41"/>
      <c r="J1740" s="750"/>
    </row>
    <row r="1741" spans="1:10" x14ac:dyDescent="0.35">
      <c r="A1741" s="92"/>
      <c r="F1741" s="606"/>
      <c r="G1741" s="616"/>
      <c r="H1741" s="93"/>
      <c r="I1741" s="41"/>
      <c r="J1741" s="750"/>
    </row>
    <row r="1742" spans="1:10" x14ac:dyDescent="0.35">
      <c r="A1742" s="92"/>
      <c r="F1742" s="606"/>
      <c r="G1742" s="616"/>
      <c r="H1742" s="93"/>
      <c r="I1742" s="41"/>
      <c r="J1742" s="750"/>
    </row>
    <row r="1743" spans="1:10" x14ac:dyDescent="0.35">
      <c r="A1743" s="92"/>
      <c r="F1743" s="606"/>
      <c r="G1743" s="616"/>
      <c r="H1743" s="93"/>
      <c r="I1743" s="41"/>
      <c r="J1743" s="750"/>
    </row>
    <row r="1744" spans="1:10" x14ac:dyDescent="0.35">
      <c r="A1744" s="92"/>
      <c r="F1744" s="606"/>
      <c r="G1744" s="616"/>
      <c r="H1744" s="93"/>
      <c r="I1744" s="41"/>
      <c r="J1744" s="750"/>
    </row>
    <row r="1745" spans="1:10" x14ac:dyDescent="0.35">
      <c r="A1745" s="92"/>
      <c r="F1745" s="606"/>
      <c r="G1745" s="616"/>
      <c r="H1745" s="93"/>
      <c r="I1745" s="41"/>
      <c r="J1745" s="750"/>
    </row>
    <row r="1746" spans="1:10" x14ac:dyDescent="0.35">
      <c r="A1746" s="92"/>
      <c r="F1746" s="606"/>
      <c r="G1746" s="616"/>
      <c r="H1746" s="93"/>
      <c r="I1746" s="41"/>
      <c r="J1746" s="750"/>
    </row>
    <row r="1747" spans="1:10" x14ac:dyDescent="0.35">
      <c r="A1747" s="92"/>
      <c r="F1747" s="606"/>
      <c r="G1747" s="616"/>
      <c r="H1747" s="93"/>
      <c r="I1747" s="41"/>
      <c r="J1747" s="750"/>
    </row>
    <row r="1748" spans="1:10" x14ac:dyDescent="0.35">
      <c r="A1748" s="92"/>
      <c r="F1748" s="606"/>
      <c r="G1748" s="616"/>
      <c r="H1748" s="93"/>
      <c r="I1748" s="41"/>
      <c r="J1748" s="750"/>
    </row>
    <row r="1749" spans="1:10" x14ac:dyDescent="0.35">
      <c r="A1749" s="92"/>
      <c r="F1749" s="606"/>
      <c r="G1749" s="616"/>
      <c r="H1749" s="93"/>
      <c r="I1749" s="41"/>
      <c r="J1749" s="750"/>
    </row>
    <row r="1750" spans="1:10" x14ac:dyDescent="0.35">
      <c r="A1750" s="92"/>
      <c r="F1750" s="606"/>
      <c r="G1750" s="616"/>
      <c r="H1750" s="93"/>
      <c r="I1750" s="41"/>
      <c r="J1750" s="750"/>
    </row>
    <row r="1751" spans="1:10" x14ac:dyDescent="0.35">
      <c r="A1751" s="92"/>
      <c r="F1751" s="606"/>
      <c r="G1751" s="616"/>
      <c r="H1751" s="93"/>
      <c r="I1751" s="41"/>
      <c r="J1751" s="750"/>
    </row>
    <row r="1752" spans="1:10" x14ac:dyDescent="0.35">
      <c r="A1752" s="92"/>
      <c r="F1752" s="606"/>
      <c r="G1752" s="616"/>
      <c r="H1752" s="93"/>
      <c r="I1752" s="41"/>
      <c r="J1752" s="750"/>
    </row>
    <row r="1753" spans="1:10" x14ac:dyDescent="0.35">
      <c r="A1753" s="92"/>
      <c r="F1753" s="606"/>
      <c r="G1753" s="616"/>
      <c r="H1753" s="93"/>
      <c r="I1753" s="41"/>
      <c r="J1753" s="750"/>
    </row>
    <row r="1754" spans="1:10" x14ac:dyDescent="0.35">
      <c r="A1754" s="92"/>
      <c r="F1754" s="606"/>
      <c r="G1754" s="616"/>
      <c r="H1754" s="93"/>
      <c r="I1754" s="41"/>
      <c r="J1754" s="750"/>
    </row>
    <row r="1755" spans="1:10" x14ac:dyDescent="0.35">
      <c r="A1755" s="92"/>
      <c r="F1755" s="606"/>
      <c r="G1755" s="616"/>
      <c r="H1755" s="93"/>
      <c r="I1755" s="41"/>
      <c r="J1755" s="750"/>
    </row>
    <row r="1756" spans="1:10" x14ac:dyDescent="0.35">
      <c r="A1756" s="92"/>
      <c r="F1756" s="606"/>
      <c r="G1756" s="616"/>
      <c r="H1756" s="93"/>
      <c r="I1756" s="41"/>
      <c r="J1756" s="750"/>
    </row>
    <row r="1757" spans="1:10" x14ac:dyDescent="0.35">
      <c r="A1757" s="92"/>
      <c r="F1757" s="606"/>
      <c r="G1757" s="616"/>
      <c r="H1757" s="93"/>
      <c r="I1757" s="41"/>
      <c r="J1757" s="750"/>
    </row>
    <row r="1758" spans="1:10" x14ac:dyDescent="0.35">
      <c r="A1758" s="92"/>
      <c r="F1758" s="606"/>
      <c r="G1758" s="616"/>
      <c r="H1758" s="93"/>
      <c r="I1758" s="41"/>
      <c r="J1758" s="750"/>
    </row>
    <row r="1759" spans="1:10" x14ac:dyDescent="0.35">
      <c r="A1759" s="92"/>
      <c r="F1759" s="606"/>
      <c r="G1759" s="616"/>
      <c r="H1759" s="93"/>
      <c r="I1759" s="41"/>
      <c r="J1759" s="750"/>
    </row>
    <row r="1760" spans="1:10" x14ac:dyDescent="0.35">
      <c r="A1760" s="92"/>
      <c r="F1760" s="606"/>
      <c r="G1760" s="616"/>
      <c r="H1760" s="93"/>
      <c r="I1760" s="41"/>
      <c r="J1760" s="750"/>
    </row>
    <row r="1761" spans="1:10" x14ac:dyDescent="0.35">
      <c r="A1761" s="92"/>
      <c r="F1761" s="606"/>
      <c r="G1761" s="616"/>
      <c r="H1761" s="93"/>
      <c r="I1761" s="41"/>
      <c r="J1761" s="750"/>
    </row>
    <row r="1762" spans="1:10" x14ac:dyDescent="0.35">
      <c r="A1762" s="92"/>
      <c r="F1762" s="606"/>
      <c r="G1762" s="616"/>
      <c r="H1762" s="93"/>
      <c r="I1762" s="41"/>
      <c r="J1762" s="750"/>
    </row>
    <row r="1763" spans="1:10" x14ac:dyDescent="0.35">
      <c r="A1763" s="92"/>
      <c r="F1763" s="606"/>
      <c r="G1763" s="616"/>
      <c r="H1763" s="93"/>
      <c r="I1763" s="41"/>
      <c r="J1763" s="750"/>
    </row>
    <row r="1764" spans="1:10" x14ac:dyDescent="0.35">
      <c r="A1764" s="92"/>
      <c r="F1764" s="606"/>
      <c r="G1764" s="616"/>
      <c r="H1764" s="93"/>
      <c r="I1764" s="41"/>
      <c r="J1764" s="750"/>
    </row>
    <row r="1765" spans="1:10" x14ac:dyDescent="0.35">
      <c r="A1765" s="92"/>
      <c r="F1765" s="606"/>
      <c r="G1765" s="616"/>
      <c r="H1765" s="93"/>
      <c r="I1765" s="41"/>
      <c r="J1765" s="750"/>
    </row>
    <row r="1766" spans="1:10" x14ac:dyDescent="0.35">
      <c r="A1766" s="92"/>
      <c r="F1766" s="606"/>
      <c r="G1766" s="616"/>
      <c r="H1766" s="93"/>
      <c r="I1766" s="41"/>
      <c r="J1766" s="750"/>
    </row>
    <row r="1767" spans="1:10" x14ac:dyDescent="0.35">
      <c r="A1767" s="92"/>
      <c r="F1767" s="606"/>
      <c r="G1767" s="616"/>
      <c r="H1767" s="93"/>
      <c r="I1767" s="41"/>
      <c r="J1767" s="750"/>
    </row>
    <row r="1768" spans="1:10" x14ac:dyDescent="0.35">
      <c r="A1768" s="92"/>
      <c r="F1768" s="606"/>
      <c r="G1768" s="616"/>
      <c r="H1768" s="93"/>
      <c r="I1768" s="41"/>
      <c r="J1768" s="750"/>
    </row>
    <row r="1769" spans="1:10" x14ac:dyDescent="0.35">
      <c r="A1769" s="92"/>
      <c r="F1769" s="606"/>
      <c r="G1769" s="616"/>
      <c r="H1769" s="93"/>
      <c r="I1769" s="41"/>
      <c r="J1769" s="750"/>
    </row>
    <row r="1770" spans="1:10" x14ac:dyDescent="0.35">
      <c r="A1770" s="92"/>
      <c r="F1770" s="606"/>
      <c r="G1770" s="616"/>
      <c r="H1770" s="93"/>
      <c r="I1770" s="41"/>
      <c r="J1770" s="750"/>
    </row>
    <row r="1771" spans="1:10" x14ac:dyDescent="0.35">
      <c r="A1771" s="92"/>
      <c r="F1771" s="606"/>
      <c r="G1771" s="616"/>
      <c r="H1771" s="93"/>
      <c r="I1771" s="41"/>
      <c r="J1771" s="750"/>
    </row>
    <row r="1772" spans="1:10" x14ac:dyDescent="0.35">
      <c r="A1772" s="92"/>
      <c r="F1772" s="606"/>
      <c r="G1772" s="616"/>
      <c r="H1772" s="93"/>
      <c r="I1772" s="41"/>
      <c r="J1772" s="750"/>
    </row>
    <row r="1773" spans="1:10" x14ac:dyDescent="0.35">
      <c r="A1773" s="92"/>
      <c r="F1773" s="606"/>
      <c r="G1773" s="616"/>
      <c r="H1773" s="93"/>
      <c r="I1773" s="41"/>
      <c r="J1773" s="750"/>
    </row>
    <row r="1774" spans="1:10" x14ac:dyDescent="0.35">
      <c r="A1774" s="92"/>
      <c r="F1774" s="606"/>
      <c r="G1774" s="616"/>
      <c r="H1774" s="93"/>
      <c r="I1774" s="41"/>
      <c r="J1774" s="750"/>
    </row>
    <row r="1775" spans="1:10" x14ac:dyDescent="0.35">
      <c r="A1775" s="92"/>
      <c r="F1775" s="606"/>
      <c r="G1775" s="616"/>
      <c r="H1775" s="93"/>
      <c r="I1775" s="41"/>
      <c r="J1775" s="750"/>
    </row>
    <row r="1776" spans="1:10" x14ac:dyDescent="0.35">
      <c r="A1776" s="92"/>
      <c r="F1776" s="606"/>
      <c r="G1776" s="616"/>
      <c r="H1776" s="93"/>
      <c r="I1776" s="41"/>
      <c r="J1776" s="750"/>
    </row>
    <row r="1777" spans="1:10" x14ac:dyDescent="0.35">
      <c r="A1777" s="92"/>
      <c r="F1777" s="606"/>
      <c r="G1777" s="616"/>
      <c r="H1777" s="93"/>
      <c r="I1777" s="41"/>
      <c r="J1777" s="750"/>
    </row>
    <row r="1778" spans="1:10" x14ac:dyDescent="0.35">
      <c r="A1778" s="92"/>
      <c r="F1778" s="606"/>
      <c r="G1778" s="616"/>
      <c r="H1778" s="93"/>
      <c r="I1778" s="41"/>
      <c r="J1778" s="750"/>
    </row>
    <row r="1779" spans="1:10" x14ac:dyDescent="0.35">
      <c r="A1779" s="92"/>
      <c r="F1779" s="606"/>
      <c r="G1779" s="616"/>
      <c r="H1779" s="93"/>
      <c r="I1779" s="41"/>
      <c r="J1779" s="750"/>
    </row>
    <row r="1780" spans="1:10" x14ac:dyDescent="0.35">
      <c r="A1780" s="92"/>
      <c r="F1780" s="606"/>
      <c r="G1780" s="616"/>
      <c r="H1780" s="93"/>
      <c r="I1780" s="41"/>
      <c r="J1780" s="750"/>
    </row>
    <row r="1781" spans="1:10" x14ac:dyDescent="0.35">
      <c r="A1781" s="92"/>
      <c r="F1781" s="606"/>
      <c r="G1781" s="616"/>
      <c r="H1781" s="93"/>
      <c r="I1781" s="41"/>
      <c r="J1781" s="750"/>
    </row>
    <row r="1782" spans="1:10" x14ac:dyDescent="0.35">
      <c r="A1782" s="92"/>
      <c r="F1782" s="606"/>
      <c r="G1782" s="616"/>
      <c r="H1782" s="93"/>
      <c r="I1782" s="41"/>
      <c r="J1782" s="750"/>
    </row>
    <row r="1783" spans="1:10" x14ac:dyDescent="0.35">
      <c r="A1783" s="92"/>
      <c r="F1783" s="606"/>
      <c r="G1783" s="616"/>
      <c r="H1783" s="93"/>
      <c r="I1783" s="41"/>
      <c r="J1783" s="750"/>
    </row>
    <row r="1784" spans="1:10" x14ac:dyDescent="0.35">
      <c r="A1784" s="92"/>
      <c r="F1784" s="606"/>
      <c r="G1784" s="616"/>
      <c r="H1784" s="93"/>
      <c r="I1784" s="41"/>
      <c r="J1784" s="750"/>
    </row>
    <row r="1785" spans="1:10" x14ac:dyDescent="0.35">
      <c r="A1785" s="92"/>
      <c r="F1785" s="606"/>
      <c r="G1785" s="616"/>
      <c r="H1785" s="93"/>
      <c r="I1785" s="41"/>
      <c r="J1785" s="750"/>
    </row>
    <row r="1786" spans="1:10" x14ac:dyDescent="0.35">
      <c r="A1786" s="92"/>
      <c r="F1786" s="606"/>
      <c r="G1786" s="616"/>
      <c r="H1786" s="93"/>
      <c r="I1786" s="41"/>
      <c r="J1786" s="750"/>
    </row>
    <row r="1787" spans="1:10" x14ac:dyDescent="0.35">
      <c r="A1787" s="92"/>
      <c r="F1787" s="606"/>
      <c r="G1787" s="616"/>
      <c r="H1787" s="93"/>
      <c r="I1787" s="41"/>
      <c r="J1787" s="750"/>
    </row>
    <row r="1788" spans="1:10" x14ac:dyDescent="0.35">
      <c r="A1788" s="92"/>
      <c r="F1788" s="606"/>
      <c r="G1788" s="616"/>
      <c r="H1788" s="93"/>
      <c r="I1788" s="41"/>
      <c r="J1788" s="750"/>
    </row>
    <row r="1789" spans="1:10" x14ac:dyDescent="0.35">
      <c r="A1789" s="92"/>
      <c r="F1789" s="606"/>
      <c r="G1789" s="616"/>
      <c r="H1789" s="93"/>
      <c r="I1789" s="41"/>
      <c r="J1789" s="750"/>
    </row>
    <row r="1790" spans="1:10" x14ac:dyDescent="0.35">
      <c r="A1790" s="92"/>
      <c r="F1790" s="606"/>
      <c r="G1790" s="616"/>
      <c r="H1790" s="93"/>
      <c r="I1790" s="41"/>
      <c r="J1790" s="750"/>
    </row>
    <row r="1791" spans="1:10" x14ac:dyDescent="0.35">
      <c r="A1791" s="92"/>
      <c r="F1791" s="606"/>
      <c r="G1791" s="616"/>
      <c r="H1791" s="93"/>
      <c r="I1791" s="41"/>
      <c r="J1791" s="750"/>
    </row>
    <row r="1792" spans="1:10" x14ac:dyDescent="0.35">
      <c r="A1792" s="92"/>
      <c r="F1792" s="606"/>
      <c r="G1792" s="616"/>
      <c r="H1792" s="93"/>
      <c r="I1792" s="41"/>
      <c r="J1792" s="750"/>
    </row>
    <row r="1793" spans="1:10" x14ac:dyDescent="0.35">
      <c r="A1793" s="92"/>
      <c r="F1793" s="606"/>
      <c r="G1793" s="616"/>
      <c r="H1793" s="93"/>
      <c r="I1793" s="41"/>
      <c r="J1793" s="750"/>
    </row>
    <row r="1794" spans="1:10" x14ac:dyDescent="0.35">
      <c r="A1794" s="92"/>
      <c r="F1794" s="606"/>
      <c r="G1794" s="616"/>
      <c r="H1794" s="93"/>
      <c r="I1794" s="41"/>
      <c r="J1794" s="750"/>
    </row>
    <row r="1795" spans="1:10" x14ac:dyDescent="0.35">
      <c r="A1795" s="92"/>
      <c r="F1795" s="606"/>
      <c r="G1795" s="616"/>
      <c r="H1795" s="93"/>
      <c r="I1795" s="41"/>
      <c r="J1795" s="750"/>
    </row>
    <row r="1796" spans="1:10" x14ac:dyDescent="0.35">
      <c r="A1796" s="92"/>
      <c r="F1796" s="606"/>
      <c r="G1796" s="616"/>
      <c r="H1796" s="93"/>
      <c r="I1796" s="41"/>
      <c r="J1796" s="750"/>
    </row>
    <row r="1797" spans="1:10" x14ac:dyDescent="0.35">
      <c r="A1797" s="92"/>
      <c r="F1797" s="606"/>
      <c r="G1797" s="616"/>
      <c r="H1797" s="93"/>
      <c r="I1797" s="41"/>
      <c r="J1797" s="750"/>
    </row>
    <row r="1798" spans="1:10" x14ac:dyDescent="0.35">
      <c r="A1798" s="92"/>
      <c r="F1798" s="606"/>
      <c r="G1798" s="616"/>
      <c r="H1798" s="93"/>
      <c r="I1798" s="41"/>
      <c r="J1798" s="750"/>
    </row>
    <row r="1799" spans="1:10" x14ac:dyDescent="0.35">
      <c r="A1799" s="92"/>
      <c r="F1799" s="606"/>
      <c r="G1799" s="616"/>
      <c r="H1799" s="93"/>
      <c r="I1799" s="41"/>
      <c r="J1799" s="750"/>
    </row>
    <row r="1800" spans="1:10" x14ac:dyDescent="0.35">
      <c r="A1800" s="92"/>
      <c r="F1800" s="606"/>
      <c r="G1800" s="616"/>
      <c r="H1800" s="93"/>
      <c r="I1800" s="41"/>
      <c r="J1800" s="750"/>
    </row>
    <row r="1801" spans="1:10" x14ac:dyDescent="0.35">
      <c r="A1801" s="92"/>
      <c r="F1801" s="606"/>
      <c r="G1801" s="616"/>
      <c r="H1801" s="93"/>
      <c r="I1801" s="41"/>
      <c r="J1801" s="750"/>
    </row>
    <row r="1802" spans="1:10" x14ac:dyDescent="0.35">
      <c r="A1802" s="92"/>
      <c r="F1802" s="606"/>
      <c r="G1802" s="616"/>
      <c r="H1802" s="93"/>
      <c r="I1802" s="41"/>
      <c r="J1802" s="750"/>
    </row>
    <row r="1803" spans="1:10" x14ac:dyDescent="0.35">
      <c r="A1803" s="92"/>
      <c r="F1803" s="606"/>
      <c r="G1803" s="616"/>
      <c r="H1803" s="93"/>
      <c r="I1803" s="41"/>
      <c r="J1803" s="750"/>
    </row>
    <row r="1804" spans="1:10" x14ac:dyDescent="0.35">
      <c r="A1804" s="92"/>
      <c r="F1804" s="606"/>
      <c r="G1804" s="616"/>
      <c r="H1804" s="93"/>
      <c r="I1804" s="41"/>
      <c r="J1804" s="750"/>
    </row>
    <row r="1805" spans="1:10" x14ac:dyDescent="0.35">
      <c r="A1805" s="92"/>
      <c r="F1805" s="606"/>
      <c r="G1805" s="616"/>
      <c r="H1805" s="93"/>
      <c r="I1805" s="41"/>
      <c r="J1805" s="750"/>
    </row>
    <row r="1806" spans="1:10" x14ac:dyDescent="0.35">
      <c r="A1806" s="92"/>
      <c r="F1806" s="606"/>
      <c r="G1806" s="616"/>
      <c r="H1806" s="93"/>
      <c r="I1806" s="41"/>
      <c r="J1806" s="750"/>
    </row>
    <row r="1807" spans="1:10" x14ac:dyDescent="0.35">
      <c r="A1807" s="92"/>
      <c r="F1807" s="606"/>
      <c r="G1807" s="616"/>
      <c r="H1807" s="93"/>
      <c r="I1807" s="41"/>
      <c r="J1807" s="750"/>
    </row>
    <row r="1808" spans="1:10" x14ac:dyDescent="0.35">
      <c r="A1808" s="92"/>
      <c r="F1808" s="606"/>
      <c r="G1808" s="616"/>
      <c r="H1808" s="93"/>
      <c r="I1808" s="41"/>
      <c r="J1808" s="750"/>
    </row>
    <row r="1809" spans="1:10" x14ac:dyDescent="0.35">
      <c r="A1809" s="92"/>
      <c r="F1809" s="606"/>
      <c r="G1809" s="616"/>
      <c r="H1809" s="93"/>
      <c r="I1809" s="41"/>
      <c r="J1809" s="750"/>
    </row>
    <row r="1810" spans="1:10" x14ac:dyDescent="0.35">
      <c r="A1810" s="92"/>
      <c r="F1810" s="606"/>
      <c r="G1810" s="616"/>
      <c r="H1810" s="93"/>
      <c r="I1810" s="41"/>
      <c r="J1810" s="750"/>
    </row>
    <row r="1811" spans="1:10" x14ac:dyDescent="0.35">
      <c r="A1811" s="92"/>
      <c r="F1811" s="606"/>
      <c r="G1811" s="616"/>
      <c r="H1811" s="93"/>
      <c r="I1811" s="41"/>
      <c r="J1811" s="750"/>
    </row>
    <row r="1812" spans="1:10" x14ac:dyDescent="0.35">
      <c r="A1812" s="92"/>
      <c r="F1812" s="606"/>
      <c r="G1812" s="616"/>
      <c r="H1812" s="93"/>
      <c r="I1812" s="41"/>
      <c r="J1812" s="750"/>
    </row>
    <row r="1813" spans="1:10" x14ac:dyDescent="0.35">
      <c r="A1813" s="92"/>
      <c r="F1813" s="606"/>
      <c r="G1813" s="616"/>
      <c r="H1813" s="93"/>
      <c r="I1813" s="41"/>
      <c r="J1813" s="750"/>
    </row>
    <row r="1814" spans="1:10" x14ac:dyDescent="0.35">
      <c r="A1814" s="92"/>
      <c r="F1814" s="606"/>
      <c r="G1814" s="616"/>
      <c r="H1814" s="93"/>
      <c r="I1814" s="41"/>
      <c r="J1814" s="750"/>
    </row>
    <row r="1815" spans="1:10" x14ac:dyDescent="0.35">
      <c r="A1815" s="92"/>
      <c r="F1815" s="606"/>
      <c r="G1815" s="616"/>
      <c r="H1815" s="93"/>
      <c r="I1815" s="41"/>
      <c r="J1815" s="750"/>
    </row>
    <row r="1816" spans="1:10" x14ac:dyDescent="0.35">
      <c r="A1816" s="92"/>
      <c r="F1816" s="606"/>
      <c r="G1816" s="616"/>
      <c r="H1816" s="93"/>
      <c r="I1816" s="41"/>
      <c r="J1816" s="750"/>
    </row>
    <row r="1817" spans="1:10" x14ac:dyDescent="0.35">
      <c r="A1817" s="92"/>
      <c r="F1817" s="606"/>
      <c r="G1817" s="616"/>
      <c r="H1817" s="93"/>
      <c r="I1817" s="41"/>
      <c r="J1817" s="750"/>
    </row>
    <row r="1818" spans="1:10" x14ac:dyDescent="0.35">
      <c r="A1818" s="92"/>
      <c r="F1818" s="606"/>
      <c r="G1818" s="616"/>
      <c r="H1818" s="93"/>
      <c r="I1818" s="41"/>
      <c r="J1818" s="750"/>
    </row>
    <row r="1819" spans="1:10" x14ac:dyDescent="0.35">
      <c r="A1819" s="92"/>
      <c r="F1819" s="606"/>
      <c r="G1819" s="616"/>
      <c r="H1819" s="93"/>
      <c r="I1819" s="41"/>
      <c r="J1819" s="750"/>
    </row>
    <row r="1820" spans="1:10" x14ac:dyDescent="0.35">
      <c r="A1820" s="92"/>
      <c r="F1820" s="606"/>
      <c r="G1820" s="616"/>
      <c r="H1820" s="93"/>
      <c r="I1820" s="41"/>
      <c r="J1820" s="750"/>
    </row>
    <row r="1821" spans="1:10" x14ac:dyDescent="0.35">
      <c r="A1821" s="92"/>
      <c r="F1821" s="606"/>
      <c r="G1821" s="616"/>
      <c r="H1821" s="93"/>
      <c r="I1821" s="41"/>
      <c r="J1821" s="750"/>
    </row>
    <row r="1822" spans="1:10" x14ac:dyDescent="0.35">
      <c r="A1822" s="92"/>
      <c r="F1822" s="606"/>
      <c r="G1822" s="616"/>
      <c r="H1822" s="93"/>
      <c r="I1822" s="41"/>
      <c r="J1822" s="750"/>
    </row>
    <row r="1823" spans="1:10" x14ac:dyDescent="0.35">
      <c r="A1823" s="92"/>
      <c r="F1823" s="606"/>
      <c r="G1823" s="616"/>
      <c r="H1823" s="93"/>
      <c r="I1823" s="41"/>
      <c r="J1823" s="750"/>
    </row>
    <row r="1824" spans="1:10" x14ac:dyDescent="0.35">
      <c r="A1824" s="92"/>
      <c r="F1824" s="606"/>
      <c r="G1824" s="616"/>
      <c r="H1824" s="93"/>
      <c r="I1824" s="41"/>
      <c r="J1824" s="750"/>
    </row>
    <row r="1825" spans="1:10" x14ac:dyDescent="0.35">
      <c r="A1825" s="92"/>
      <c r="F1825" s="606"/>
      <c r="G1825" s="616"/>
      <c r="H1825" s="93"/>
      <c r="I1825" s="41"/>
      <c r="J1825" s="750"/>
    </row>
    <row r="1826" spans="1:10" x14ac:dyDescent="0.35">
      <c r="A1826" s="92"/>
      <c r="F1826" s="606"/>
      <c r="G1826" s="616"/>
      <c r="H1826" s="93"/>
      <c r="I1826" s="41"/>
      <c r="J1826" s="750"/>
    </row>
    <row r="1827" spans="1:10" x14ac:dyDescent="0.35">
      <c r="A1827" s="92"/>
      <c r="F1827" s="606"/>
      <c r="G1827" s="616"/>
      <c r="H1827" s="93"/>
      <c r="I1827" s="41"/>
      <c r="J1827" s="750"/>
    </row>
    <row r="1828" spans="1:10" x14ac:dyDescent="0.35">
      <c r="A1828" s="92"/>
      <c r="F1828" s="606"/>
      <c r="G1828" s="616"/>
      <c r="H1828" s="93"/>
      <c r="I1828" s="41"/>
      <c r="J1828" s="750"/>
    </row>
    <row r="1829" spans="1:10" x14ac:dyDescent="0.35">
      <c r="A1829" s="92"/>
      <c r="F1829" s="606"/>
      <c r="G1829" s="616"/>
      <c r="H1829" s="93"/>
      <c r="I1829" s="41"/>
      <c r="J1829" s="750"/>
    </row>
    <row r="1830" spans="1:10" x14ac:dyDescent="0.35">
      <c r="A1830" s="92"/>
      <c r="F1830" s="606"/>
      <c r="G1830" s="616"/>
      <c r="H1830" s="93"/>
      <c r="I1830" s="41"/>
      <c r="J1830" s="750"/>
    </row>
    <row r="1831" spans="1:10" x14ac:dyDescent="0.35">
      <c r="A1831" s="92"/>
      <c r="F1831" s="606"/>
      <c r="G1831" s="616"/>
      <c r="H1831" s="93"/>
      <c r="I1831" s="41"/>
      <c r="J1831" s="750"/>
    </row>
    <row r="1832" spans="1:10" x14ac:dyDescent="0.35">
      <c r="A1832" s="92"/>
      <c r="F1832" s="606"/>
      <c r="G1832" s="616"/>
      <c r="H1832" s="93"/>
      <c r="I1832" s="41"/>
      <c r="J1832" s="750"/>
    </row>
    <row r="1833" spans="1:10" x14ac:dyDescent="0.35">
      <c r="A1833" s="92"/>
      <c r="F1833" s="606"/>
      <c r="G1833" s="616"/>
      <c r="H1833" s="93"/>
      <c r="I1833" s="41"/>
      <c r="J1833" s="750"/>
    </row>
    <row r="1834" spans="1:10" x14ac:dyDescent="0.35">
      <c r="A1834" s="92"/>
      <c r="F1834" s="606"/>
      <c r="G1834" s="616"/>
      <c r="H1834" s="93"/>
      <c r="I1834" s="41"/>
      <c r="J1834" s="750"/>
    </row>
    <row r="1835" spans="1:10" x14ac:dyDescent="0.35">
      <c r="A1835" s="92"/>
      <c r="F1835" s="606"/>
      <c r="G1835" s="616"/>
      <c r="H1835" s="93"/>
      <c r="I1835" s="41"/>
      <c r="J1835" s="750"/>
    </row>
    <row r="1836" spans="1:10" x14ac:dyDescent="0.35">
      <c r="A1836" s="92"/>
      <c r="F1836" s="606"/>
      <c r="G1836" s="616"/>
      <c r="H1836" s="93"/>
      <c r="I1836" s="41"/>
      <c r="J1836" s="750"/>
    </row>
    <row r="1837" spans="1:10" x14ac:dyDescent="0.35">
      <c r="A1837" s="92"/>
      <c r="F1837" s="606"/>
      <c r="G1837" s="616"/>
      <c r="H1837" s="93"/>
      <c r="I1837" s="41"/>
      <c r="J1837" s="750"/>
    </row>
    <row r="1838" spans="1:10" x14ac:dyDescent="0.35">
      <c r="A1838" s="92"/>
      <c r="F1838" s="606"/>
      <c r="G1838" s="616"/>
      <c r="H1838" s="93"/>
      <c r="I1838" s="41"/>
      <c r="J1838" s="750"/>
    </row>
    <row r="1839" spans="1:10" x14ac:dyDescent="0.35">
      <c r="A1839" s="92"/>
      <c r="F1839" s="606"/>
      <c r="G1839" s="616"/>
      <c r="H1839" s="93"/>
      <c r="I1839" s="41"/>
      <c r="J1839" s="750"/>
    </row>
    <row r="1840" spans="1:10" x14ac:dyDescent="0.35">
      <c r="A1840" s="92"/>
      <c r="F1840" s="606"/>
      <c r="G1840" s="616"/>
      <c r="H1840" s="93"/>
      <c r="I1840" s="41"/>
      <c r="J1840" s="750"/>
    </row>
    <row r="1841" spans="1:10" x14ac:dyDescent="0.35">
      <c r="A1841" s="92"/>
      <c r="F1841" s="606"/>
      <c r="G1841" s="616"/>
      <c r="H1841" s="93"/>
      <c r="I1841" s="41"/>
      <c r="J1841" s="750"/>
    </row>
    <row r="1842" spans="1:10" x14ac:dyDescent="0.35">
      <c r="A1842" s="92"/>
      <c r="F1842" s="606"/>
      <c r="G1842" s="616"/>
      <c r="H1842" s="93"/>
      <c r="I1842" s="41"/>
      <c r="J1842" s="750"/>
    </row>
    <row r="1843" spans="1:10" x14ac:dyDescent="0.35">
      <c r="A1843" s="92"/>
      <c r="F1843" s="606"/>
      <c r="G1843" s="616"/>
      <c r="H1843" s="93"/>
      <c r="I1843" s="41"/>
      <c r="J1843" s="750"/>
    </row>
    <row r="1844" spans="1:10" x14ac:dyDescent="0.35">
      <c r="A1844" s="92"/>
      <c r="F1844" s="606"/>
      <c r="G1844" s="616"/>
      <c r="H1844" s="93"/>
      <c r="I1844" s="41"/>
      <c r="J1844" s="750"/>
    </row>
    <row r="1845" spans="1:10" x14ac:dyDescent="0.35">
      <c r="H1845" s="93"/>
      <c r="I1845" s="41"/>
      <c r="J1845" s="750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5" x14ac:dyDescent="0.35"/>
  <cols>
    <col min="1" max="1" width="12.36328125" style="29" customWidth="1"/>
    <col min="2" max="2" width="19.08984375" style="20" customWidth="1"/>
    <col min="3" max="3" width="20.7265625" style="21" customWidth="1"/>
    <col min="4" max="4" width="15.08984375" style="122" customWidth="1"/>
    <col min="5" max="5" width="16.08984375" style="122" customWidth="1"/>
    <col min="6" max="6" width="17.36328125" style="165" customWidth="1"/>
    <col min="7" max="7" width="16.08984375" style="115" customWidth="1"/>
    <col min="8" max="8" width="12.7265625" style="10" customWidth="1"/>
    <col min="9" max="9" width="17.7265625" customWidth="1"/>
    <col min="10" max="10" width="16.26953125" style="131" customWidth="1"/>
    <col min="11" max="11" width="13.26953125" customWidth="1"/>
    <col min="12" max="12" width="15.0898437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x14ac:dyDescent="0.35">
      <c r="A1" s="183"/>
      <c r="B1" s="1176"/>
      <c r="C1" s="1177"/>
      <c r="D1" s="184" t="s">
        <v>0</v>
      </c>
      <c r="E1" s="253">
        <f>COUNTA(B7:B162)</f>
        <v>144</v>
      </c>
      <c r="F1" s="185" t="s">
        <v>1</v>
      </c>
      <c r="G1" s="186" t="s">
        <v>196</v>
      </c>
      <c r="H1" s="187"/>
      <c r="I1" s="188"/>
      <c r="J1" s="127"/>
    </row>
    <row r="2" spans="1:12" s="3" customFormat="1" x14ac:dyDescent="0.3">
      <c r="A2" s="189"/>
      <c r="B2" s="190"/>
      <c r="C2" s="191"/>
      <c r="D2" s="192"/>
      <c r="E2" s="193"/>
      <c r="F2" s="194" t="s">
        <v>152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3">
      <c r="A3" s="189"/>
      <c r="B3" s="190"/>
      <c r="C3" s="191"/>
      <c r="D3" s="231"/>
      <c r="E3" s="230"/>
      <c r="F3" s="248" t="s">
        <v>225</v>
      </c>
      <c r="G3" s="249">
        <v>0</v>
      </c>
      <c r="H3" s="247">
        <v>-52000</v>
      </c>
      <c r="I3" s="196"/>
      <c r="J3" s="128"/>
      <c r="K3" s="42"/>
      <c r="L3" s="42"/>
    </row>
    <row r="4" spans="1:12" s="3" customFormat="1" x14ac:dyDescent="0.35">
      <c r="A4" s="183"/>
      <c r="B4" s="198"/>
      <c r="C4" s="232"/>
      <c r="D4" s="197"/>
      <c r="E4" s="193"/>
      <c r="F4" s="194" t="s">
        <v>224</v>
      </c>
      <c r="G4" s="199">
        <v>200275.49</v>
      </c>
      <c r="H4" s="200"/>
      <c r="I4" s="201"/>
      <c r="J4" s="590"/>
      <c r="K4" s="81"/>
      <c r="L4" s="42"/>
    </row>
    <row r="5" spans="1:12" s="3" customFormat="1" x14ac:dyDescent="0.35">
      <c r="A5" s="183"/>
      <c r="B5" s="202" t="s">
        <v>7</v>
      </c>
      <c r="C5" s="203" t="s">
        <v>8</v>
      </c>
      <c r="D5" s="204" t="s">
        <v>9</v>
      </c>
      <c r="E5" s="205" t="s">
        <v>63</v>
      </c>
      <c r="F5" s="206"/>
      <c r="G5" s="199">
        <f>+G2+G4+G3</f>
        <v>214775.49</v>
      </c>
      <c r="H5" s="200">
        <f>+H4+H3+H2</f>
        <v>-52000</v>
      </c>
      <c r="I5" s="233">
        <f>+G5+H5</f>
        <v>162775.49</v>
      </c>
      <c r="J5" s="590"/>
      <c r="K5" s="42"/>
      <c r="L5" s="42"/>
    </row>
    <row r="6" spans="1:12" x14ac:dyDescent="0.35">
      <c r="A6" s="235" t="s">
        <v>11</v>
      </c>
      <c r="B6" s="236">
        <v>43101</v>
      </c>
      <c r="C6" s="235" t="s">
        <v>12</v>
      </c>
      <c r="D6" s="237">
        <v>3800</v>
      </c>
      <c r="E6" s="237"/>
      <c r="F6" s="238"/>
      <c r="G6" s="113"/>
    </row>
    <row r="7" spans="1:12" x14ac:dyDescent="0.35">
      <c r="A7" s="235"/>
      <c r="B7" s="236">
        <v>43103</v>
      </c>
      <c r="C7" s="235" t="s">
        <v>13</v>
      </c>
      <c r="D7" s="237">
        <v>20000</v>
      </c>
      <c r="E7" s="237"/>
      <c r="F7" s="238"/>
      <c r="G7" s="114"/>
      <c r="H7" s="11"/>
      <c r="I7" s="12"/>
    </row>
    <row r="8" spans="1:12" x14ac:dyDescent="0.35">
      <c r="A8" s="235"/>
      <c r="B8" s="236">
        <v>43117</v>
      </c>
      <c r="C8" s="235" t="s">
        <v>198</v>
      </c>
      <c r="D8" s="237">
        <f>20400</f>
        <v>20400</v>
      </c>
      <c r="E8" s="237"/>
      <c r="F8" s="238"/>
      <c r="G8" s="114"/>
      <c r="H8" s="11"/>
      <c r="I8" s="12"/>
    </row>
    <row r="9" spans="1:12" x14ac:dyDescent="0.35">
      <c r="A9" s="235"/>
      <c r="B9" s="236">
        <v>43119</v>
      </c>
      <c r="C9" s="235" t="s">
        <v>201</v>
      </c>
      <c r="D9" s="237"/>
      <c r="E9" s="237">
        <v>3000</v>
      </c>
      <c r="F9" s="238"/>
      <c r="G9" s="114"/>
      <c r="H9" s="149"/>
      <c r="I9" s="12"/>
    </row>
    <row r="10" spans="1:12" x14ac:dyDescent="0.35">
      <c r="A10" s="235"/>
      <c r="B10" s="236">
        <v>43102</v>
      </c>
      <c r="C10" s="235" t="s">
        <v>172</v>
      </c>
      <c r="D10" s="237"/>
      <c r="E10" s="237">
        <v>1700</v>
      </c>
      <c r="F10" s="238"/>
      <c r="G10" s="114"/>
      <c r="H10" s="11"/>
      <c r="I10" s="12"/>
    </row>
    <row r="11" spans="1:12" x14ac:dyDescent="0.35">
      <c r="A11" s="235"/>
      <c r="B11" s="236">
        <v>43104</v>
      </c>
      <c r="C11" s="235" t="s">
        <v>197</v>
      </c>
      <c r="D11" s="237"/>
      <c r="E11" s="237">
        <f>5000+2900+1200-600</f>
        <v>8500</v>
      </c>
      <c r="F11" s="238"/>
      <c r="G11" s="114"/>
      <c r="H11" s="11"/>
      <c r="I11" s="12"/>
    </row>
    <row r="12" spans="1:12" x14ac:dyDescent="0.35">
      <c r="A12" s="235"/>
      <c r="B12" s="236">
        <v>43104</v>
      </c>
      <c r="C12" s="235" t="s">
        <v>163</v>
      </c>
      <c r="D12" s="237"/>
      <c r="E12" s="237">
        <f>2650+300+50</f>
        <v>3000</v>
      </c>
      <c r="F12" s="238"/>
      <c r="G12" s="114"/>
      <c r="H12" s="11"/>
      <c r="I12" s="12"/>
    </row>
    <row r="13" spans="1:12" x14ac:dyDescent="0.35">
      <c r="A13" s="235"/>
      <c r="B13" s="236">
        <v>43104</v>
      </c>
      <c r="C13" s="235" t="s">
        <v>190</v>
      </c>
      <c r="D13" s="237"/>
      <c r="E13" s="237">
        <f>4950+50</f>
        <v>5000</v>
      </c>
      <c r="F13" s="238"/>
      <c r="G13" s="114"/>
      <c r="H13" s="11"/>
      <c r="I13" s="12"/>
    </row>
    <row r="14" spans="1:12" x14ac:dyDescent="0.35">
      <c r="A14" s="235"/>
      <c r="B14" s="236">
        <v>43131</v>
      </c>
      <c r="C14" s="235" t="s">
        <v>54</v>
      </c>
      <c r="D14" s="237"/>
      <c r="E14" s="237">
        <v>500</v>
      </c>
      <c r="F14" s="238"/>
      <c r="G14" s="114"/>
      <c r="H14" s="11"/>
      <c r="I14" s="12"/>
    </row>
    <row r="15" spans="1:12" x14ac:dyDescent="0.35">
      <c r="A15" s="235"/>
      <c r="B15" s="236">
        <v>43127</v>
      </c>
      <c r="C15" s="235" t="s">
        <v>199</v>
      </c>
      <c r="D15" s="237"/>
      <c r="E15" s="237">
        <v>500</v>
      </c>
      <c r="F15" s="238"/>
      <c r="G15" s="114"/>
      <c r="H15" s="11"/>
      <c r="I15" s="12"/>
    </row>
    <row r="16" spans="1:12" x14ac:dyDescent="0.35">
      <c r="A16" s="235"/>
      <c r="B16" s="236">
        <v>43101</v>
      </c>
      <c r="C16" s="235" t="s">
        <v>38</v>
      </c>
      <c r="D16" s="237"/>
      <c r="E16" s="237">
        <v>500</v>
      </c>
      <c r="F16" s="238"/>
      <c r="G16" s="114"/>
      <c r="H16" s="11"/>
      <c r="I16" s="12"/>
    </row>
    <row r="17" spans="1:9" x14ac:dyDescent="0.35">
      <c r="A17" s="235"/>
      <c r="B17" s="236">
        <v>43122</v>
      </c>
      <c r="C17" s="235" t="s">
        <v>200</v>
      </c>
      <c r="D17" s="237"/>
      <c r="E17" s="237">
        <v>3000</v>
      </c>
      <c r="F17" s="238"/>
      <c r="G17" s="114"/>
      <c r="H17" s="11"/>
      <c r="I17" s="12"/>
    </row>
    <row r="18" spans="1:9" x14ac:dyDescent="0.35">
      <c r="A18" s="235"/>
      <c r="B18" s="236">
        <v>43131</v>
      </c>
      <c r="C18" s="235" t="s">
        <v>15</v>
      </c>
      <c r="D18" s="237"/>
      <c r="E18" s="237">
        <v>8000</v>
      </c>
      <c r="F18" s="238"/>
      <c r="G18" s="114"/>
      <c r="H18" s="98"/>
      <c r="I18" s="12"/>
    </row>
    <row r="19" spans="1:9" x14ac:dyDescent="0.35">
      <c r="A19" s="235"/>
      <c r="B19" s="236"/>
      <c r="C19" s="235"/>
      <c r="D19" s="237"/>
      <c r="E19" s="237"/>
      <c r="F19" s="238">
        <f>SUM(D6:D19)-SUM(E6:E19)</f>
        <v>10500</v>
      </c>
      <c r="G19" s="207">
        <v>160483.16</v>
      </c>
      <c r="H19" s="98"/>
      <c r="I19" s="12"/>
    </row>
    <row r="20" spans="1:9" x14ac:dyDescent="0.35">
      <c r="A20" s="235" t="s">
        <v>16</v>
      </c>
      <c r="B20" s="236">
        <v>43136</v>
      </c>
      <c r="C20" s="235" t="s">
        <v>13</v>
      </c>
      <c r="D20" s="237">
        <v>20000</v>
      </c>
      <c r="E20" s="237"/>
      <c r="F20" s="238"/>
      <c r="G20" s="207"/>
      <c r="H20" s="11"/>
      <c r="I20" s="90"/>
    </row>
    <row r="21" spans="1:9" x14ac:dyDescent="0.35">
      <c r="A21" s="235"/>
      <c r="B21" s="236">
        <v>43150</v>
      </c>
      <c r="C21" s="235" t="s">
        <v>198</v>
      </c>
      <c r="D21" s="237">
        <v>26000</v>
      </c>
      <c r="E21" s="237"/>
      <c r="F21" s="238"/>
      <c r="G21" s="207"/>
      <c r="H21" s="11"/>
      <c r="I21" s="90"/>
    </row>
    <row r="22" spans="1:9" x14ac:dyDescent="0.35">
      <c r="A22" s="235"/>
      <c r="B22" s="236">
        <v>43159</v>
      </c>
      <c r="C22" s="235" t="s">
        <v>207</v>
      </c>
      <c r="D22" s="237"/>
      <c r="E22" s="237">
        <v>500</v>
      </c>
      <c r="F22" s="238"/>
      <c r="G22" s="207"/>
      <c r="H22" s="11"/>
      <c r="I22" s="90"/>
    </row>
    <row r="23" spans="1:9" x14ac:dyDescent="0.35">
      <c r="A23" s="235"/>
      <c r="B23" s="236">
        <v>43157</v>
      </c>
      <c r="C23" s="235" t="s">
        <v>206</v>
      </c>
      <c r="D23" s="237"/>
      <c r="E23" s="237">
        <v>4000</v>
      </c>
      <c r="F23" s="238"/>
      <c r="G23" s="207"/>
      <c r="H23" s="11"/>
      <c r="I23" s="90"/>
    </row>
    <row r="24" spans="1:9" x14ac:dyDescent="0.35">
      <c r="A24" s="235"/>
      <c r="B24" s="236">
        <v>43150</v>
      </c>
      <c r="C24" s="235" t="s">
        <v>205</v>
      </c>
      <c r="D24" s="237"/>
      <c r="E24" s="237">
        <v>1000</v>
      </c>
      <c r="F24" s="238"/>
      <c r="G24" s="207"/>
      <c r="H24" s="11"/>
      <c r="I24" s="90"/>
    </row>
    <row r="25" spans="1:9" x14ac:dyDescent="0.35">
      <c r="A25" s="235"/>
      <c r="B25" s="236">
        <v>43150</v>
      </c>
      <c r="C25" s="235" t="s">
        <v>204</v>
      </c>
      <c r="D25" s="237"/>
      <c r="E25" s="237">
        <f>3300+1000+300+400</f>
        <v>5000</v>
      </c>
      <c r="F25" s="238"/>
      <c r="G25" s="207"/>
      <c r="H25" s="11"/>
      <c r="I25" s="90"/>
    </row>
    <row r="26" spans="1:9" x14ac:dyDescent="0.35">
      <c r="A26" s="235"/>
      <c r="B26" s="236">
        <v>43133</v>
      </c>
      <c r="C26" s="235" t="s">
        <v>203</v>
      </c>
      <c r="D26" s="237"/>
      <c r="E26" s="237">
        <v>1000</v>
      </c>
      <c r="F26" s="238"/>
      <c r="G26" s="207"/>
      <c r="H26" s="11"/>
      <c r="I26" s="90"/>
    </row>
    <row r="27" spans="1:9" x14ac:dyDescent="0.35">
      <c r="A27" s="235"/>
      <c r="B27" s="236">
        <v>43133</v>
      </c>
      <c r="C27" s="235" t="s">
        <v>36</v>
      </c>
      <c r="D27" s="237"/>
      <c r="E27" s="237">
        <v>700</v>
      </c>
      <c r="F27" s="238"/>
      <c r="G27" s="207"/>
      <c r="H27" s="11"/>
      <c r="I27" s="90"/>
    </row>
    <row r="28" spans="1:9" x14ac:dyDescent="0.35">
      <c r="A28" s="235"/>
      <c r="B28" s="236">
        <v>43132</v>
      </c>
      <c r="C28" s="235" t="s">
        <v>172</v>
      </c>
      <c r="D28" s="237"/>
      <c r="E28" s="237">
        <v>1700</v>
      </c>
      <c r="F28" s="238"/>
      <c r="G28" s="207"/>
      <c r="H28" s="149"/>
      <c r="I28" s="90"/>
    </row>
    <row r="29" spans="1:9" x14ac:dyDescent="0.35">
      <c r="A29" s="235"/>
      <c r="B29" s="236">
        <v>43137</v>
      </c>
      <c r="C29" s="235" t="s">
        <v>197</v>
      </c>
      <c r="D29" s="237"/>
      <c r="E29" s="237">
        <f>4000+900+1200+1500+300+900</f>
        <v>8800</v>
      </c>
      <c r="F29" s="238"/>
      <c r="G29" s="207"/>
      <c r="H29" s="11"/>
      <c r="I29" s="99"/>
    </row>
    <row r="30" spans="1:9" x14ac:dyDescent="0.35">
      <c r="A30" s="235"/>
      <c r="B30" s="236">
        <v>43136</v>
      </c>
      <c r="C30" s="235" t="s">
        <v>163</v>
      </c>
      <c r="D30" s="237"/>
      <c r="E30" s="237">
        <v>2600</v>
      </c>
      <c r="F30" s="238"/>
      <c r="G30" s="207"/>
      <c r="H30" s="11"/>
      <c r="I30" s="90"/>
    </row>
    <row r="31" spans="1:9" x14ac:dyDescent="0.35">
      <c r="A31" s="235"/>
      <c r="B31" s="236">
        <v>43136</v>
      </c>
      <c r="C31" s="235" t="s">
        <v>199</v>
      </c>
      <c r="D31" s="237"/>
      <c r="E31" s="237">
        <v>1500</v>
      </c>
      <c r="F31" s="238"/>
      <c r="G31" s="207"/>
      <c r="H31" s="98"/>
      <c r="I31" s="75"/>
    </row>
    <row r="32" spans="1:9" x14ac:dyDescent="0.35">
      <c r="A32" s="235"/>
      <c r="B32" s="236">
        <v>43136</v>
      </c>
      <c r="C32" s="235" t="s">
        <v>190</v>
      </c>
      <c r="D32" s="237"/>
      <c r="E32" s="237">
        <v>5000</v>
      </c>
      <c r="F32" s="238"/>
      <c r="G32" s="207"/>
      <c r="H32" s="98"/>
      <c r="I32" s="35"/>
    </row>
    <row r="33" spans="1:11" x14ac:dyDescent="0.35">
      <c r="A33" s="235"/>
      <c r="B33" s="236">
        <v>43133</v>
      </c>
      <c r="C33" s="235" t="s">
        <v>38</v>
      </c>
      <c r="D33" s="237"/>
      <c r="E33" s="237">
        <v>400</v>
      </c>
      <c r="F33" s="238"/>
      <c r="G33" s="207"/>
      <c r="H33" s="98"/>
      <c r="I33" s="75"/>
    </row>
    <row r="34" spans="1:11" x14ac:dyDescent="0.35">
      <c r="A34" s="235"/>
      <c r="B34" s="236">
        <v>43159</v>
      </c>
      <c r="C34" s="235" t="s">
        <v>54</v>
      </c>
      <c r="D34" s="237"/>
      <c r="E34" s="237">
        <v>500</v>
      </c>
      <c r="F34" s="238"/>
      <c r="G34" s="207"/>
      <c r="H34" s="98"/>
      <c r="I34" s="75"/>
    </row>
    <row r="35" spans="1:11" x14ac:dyDescent="0.35">
      <c r="A35" s="235"/>
      <c r="B35" s="236">
        <v>43159</v>
      </c>
      <c r="C35" s="235" t="s">
        <v>15</v>
      </c>
      <c r="D35" s="237"/>
      <c r="E35" s="237">
        <v>7500</v>
      </c>
      <c r="F35" s="238"/>
      <c r="G35" s="207"/>
      <c r="H35" s="98"/>
      <c r="I35" s="75"/>
      <c r="K35" s="107"/>
    </row>
    <row r="36" spans="1:11" x14ac:dyDescent="0.35">
      <c r="A36" s="235"/>
      <c r="B36" s="236"/>
      <c r="C36" s="235"/>
      <c r="D36" s="237"/>
      <c r="E36" s="237"/>
      <c r="F36" s="238">
        <f>SUM(D19:D36)-SUM(E19:E36)</f>
        <v>5800</v>
      </c>
      <c r="G36" s="207">
        <v>164817.97</v>
      </c>
      <c r="H36" s="98"/>
      <c r="I36" s="12"/>
      <c r="K36" s="107"/>
    </row>
    <row r="37" spans="1:11" x14ac:dyDescent="0.35">
      <c r="A37" s="235" t="s">
        <v>17</v>
      </c>
      <c r="B37" s="236">
        <v>43168</v>
      </c>
      <c r="C37" s="235" t="s">
        <v>13</v>
      </c>
      <c r="D37" s="237">
        <v>20000</v>
      </c>
      <c r="E37" s="237"/>
      <c r="F37" s="238"/>
      <c r="G37" s="207"/>
      <c r="H37" s="11"/>
      <c r="I37" s="12"/>
    </row>
    <row r="38" spans="1:11" x14ac:dyDescent="0.35">
      <c r="A38" s="235"/>
      <c r="B38" s="236">
        <v>43168</v>
      </c>
      <c r="C38" s="235" t="s">
        <v>19</v>
      </c>
      <c r="D38" s="237">
        <v>10000</v>
      </c>
      <c r="E38" s="237"/>
      <c r="F38" s="238"/>
      <c r="G38" s="207"/>
      <c r="H38" s="11"/>
      <c r="I38" s="12"/>
    </row>
    <row r="39" spans="1:11" x14ac:dyDescent="0.35">
      <c r="A39" s="235"/>
      <c r="B39" s="236">
        <v>43184</v>
      </c>
      <c r="C39" s="235" t="s">
        <v>217</v>
      </c>
      <c r="D39" s="237"/>
      <c r="E39" s="237">
        <v>1500</v>
      </c>
      <c r="F39" s="238"/>
      <c r="G39" s="207"/>
      <c r="H39" s="11"/>
      <c r="I39" s="12"/>
    </row>
    <row r="40" spans="1:11" x14ac:dyDescent="0.35">
      <c r="A40" s="235"/>
      <c r="B40" s="236">
        <v>43177</v>
      </c>
      <c r="C40" s="235" t="s">
        <v>213</v>
      </c>
      <c r="D40" s="237"/>
      <c r="E40" s="237">
        <v>1500</v>
      </c>
      <c r="F40" s="238"/>
      <c r="G40" s="207"/>
      <c r="H40" s="11"/>
      <c r="I40" s="12"/>
    </row>
    <row r="41" spans="1:11" x14ac:dyDescent="0.35">
      <c r="A41" s="235"/>
      <c r="B41" s="236">
        <v>43176</v>
      </c>
      <c r="C41" s="235" t="s">
        <v>212</v>
      </c>
      <c r="D41" s="237"/>
      <c r="E41" s="237">
        <v>500</v>
      </c>
      <c r="F41" s="238"/>
      <c r="G41" s="207"/>
      <c r="H41" s="11"/>
      <c r="I41" s="12"/>
    </row>
    <row r="42" spans="1:11" x14ac:dyDescent="0.35">
      <c r="A42" s="235"/>
      <c r="B42" s="236">
        <v>43170</v>
      </c>
      <c r="C42" s="235" t="s">
        <v>211</v>
      </c>
      <c r="D42" s="237"/>
      <c r="E42" s="237">
        <v>2500</v>
      </c>
      <c r="F42" s="238"/>
      <c r="G42" s="207"/>
      <c r="H42" s="11"/>
      <c r="I42" s="12"/>
    </row>
    <row r="43" spans="1:11" x14ac:dyDescent="0.35">
      <c r="A43" s="235"/>
      <c r="B43" s="236">
        <v>43168</v>
      </c>
      <c r="C43" s="235" t="s">
        <v>198</v>
      </c>
      <c r="D43" s="237"/>
      <c r="E43" s="237">
        <v>5300</v>
      </c>
      <c r="F43" s="238"/>
      <c r="G43" s="207"/>
      <c r="H43" s="11"/>
      <c r="I43" s="12"/>
    </row>
    <row r="44" spans="1:11" x14ac:dyDescent="0.35">
      <c r="A44" s="235"/>
      <c r="B44" s="236">
        <v>43168</v>
      </c>
      <c r="C44" s="235" t="s">
        <v>197</v>
      </c>
      <c r="D44" s="237"/>
      <c r="E44" s="237">
        <v>3400</v>
      </c>
      <c r="F44" s="238"/>
      <c r="G44" s="207"/>
      <c r="H44" s="11"/>
      <c r="I44" s="12"/>
    </row>
    <row r="45" spans="1:11" x14ac:dyDescent="0.35">
      <c r="A45" s="235"/>
      <c r="B45" s="236">
        <v>43164</v>
      </c>
      <c r="C45" s="235" t="s">
        <v>210</v>
      </c>
      <c r="D45" s="237"/>
      <c r="E45" s="237">
        <v>1600</v>
      </c>
      <c r="F45" s="238"/>
      <c r="G45" s="207"/>
      <c r="H45" s="11"/>
      <c r="I45" s="132"/>
    </row>
    <row r="46" spans="1:11" x14ac:dyDescent="0.35">
      <c r="A46" s="235"/>
      <c r="B46" s="236">
        <v>43164</v>
      </c>
      <c r="C46" s="235" t="s">
        <v>208</v>
      </c>
      <c r="D46" s="237"/>
      <c r="E46" s="237">
        <v>1000</v>
      </c>
      <c r="F46" s="238"/>
      <c r="G46" s="207"/>
      <c r="H46" s="11"/>
      <c r="I46" s="132"/>
    </row>
    <row r="47" spans="1:11" x14ac:dyDescent="0.35">
      <c r="A47" s="235"/>
      <c r="B47" s="236">
        <v>43160</v>
      </c>
      <c r="C47" s="235" t="s">
        <v>172</v>
      </c>
      <c r="D47" s="237"/>
      <c r="E47" s="237">
        <v>1700</v>
      </c>
      <c r="F47" s="238"/>
      <c r="G47" s="207"/>
      <c r="H47" s="11"/>
      <c r="I47" s="132"/>
    </row>
    <row r="48" spans="1:11" x14ac:dyDescent="0.35">
      <c r="A48" s="235"/>
      <c r="B48" s="236">
        <v>43161</v>
      </c>
      <c r="C48" s="235" t="s">
        <v>177</v>
      </c>
      <c r="D48" s="237"/>
      <c r="E48" s="237">
        <v>1200</v>
      </c>
      <c r="F48" s="238"/>
      <c r="G48" s="207"/>
      <c r="H48" s="11"/>
      <c r="I48" s="132"/>
    </row>
    <row r="49" spans="1:16" x14ac:dyDescent="0.35">
      <c r="A49" s="235"/>
      <c r="B49" s="236">
        <v>43160</v>
      </c>
      <c r="C49" s="235" t="s">
        <v>163</v>
      </c>
      <c r="D49" s="237"/>
      <c r="E49" s="237">
        <f>2600</f>
        <v>2600</v>
      </c>
      <c r="F49" s="238"/>
      <c r="G49" s="207"/>
      <c r="H49" s="11"/>
      <c r="I49" s="132"/>
    </row>
    <row r="50" spans="1:16" x14ac:dyDescent="0.35">
      <c r="A50" s="235"/>
      <c r="B50" s="236">
        <v>43168</v>
      </c>
      <c r="C50" s="235" t="s">
        <v>190</v>
      </c>
      <c r="D50" s="237"/>
      <c r="E50" s="237">
        <v>5000</v>
      </c>
      <c r="F50" s="238"/>
      <c r="G50" s="207"/>
      <c r="H50" s="11"/>
      <c r="I50" s="132"/>
    </row>
    <row r="51" spans="1:16" x14ac:dyDescent="0.35">
      <c r="A51" s="235"/>
      <c r="B51" s="236">
        <v>43160</v>
      </c>
      <c r="C51" s="235" t="s">
        <v>54</v>
      </c>
      <c r="D51" s="237"/>
      <c r="E51" s="237">
        <v>500</v>
      </c>
      <c r="F51" s="238"/>
      <c r="G51" s="207"/>
      <c r="H51" s="98"/>
      <c r="I51" s="12"/>
      <c r="K51" s="28"/>
    </row>
    <row r="52" spans="1:16" x14ac:dyDescent="0.35">
      <c r="A52" s="235"/>
      <c r="B52" s="236">
        <v>43190</v>
      </c>
      <c r="C52" s="235" t="s">
        <v>15</v>
      </c>
      <c r="D52" s="237"/>
      <c r="E52" s="237">
        <v>7000</v>
      </c>
      <c r="F52" s="238"/>
      <c r="G52" s="207"/>
      <c r="H52" s="98"/>
      <c r="I52" s="12"/>
      <c r="K52" s="28"/>
    </row>
    <row r="53" spans="1:16" x14ac:dyDescent="0.35">
      <c r="A53" s="235"/>
      <c r="B53" s="236"/>
      <c r="C53" s="235"/>
      <c r="D53" s="237"/>
      <c r="E53" s="237"/>
      <c r="F53" s="238">
        <f>SUM(D36:D53)-SUM(E36:E53)</f>
        <v>-5300</v>
      </c>
      <c r="G53" s="207">
        <v>169318.76</v>
      </c>
      <c r="H53" s="98"/>
      <c r="I53" s="12"/>
      <c r="K53" s="28"/>
    </row>
    <row r="54" spans="1:16" x14ac:dyDescent="0.35">
      <c r="A54" s="235" t="s">
        <v>18</v>
      </c>
      <c r="B54" s="236">
        <v>43200</v>
      </c>
      <c r="C54" s="235" t="s">
        <v>13</v>
      </c>
      <c r="D54" s="237">
        <v>20000</v>
      </c>
      <c r="E54" s="237"/>
      <c r="F54" s="238"/>
      <c r="G54" s="207"/>
      <c r="H54" s="98"/>
      <c r="I54" s="12"/>
      <c r="K54" s="28"/>
    </row>
    <row r="55" spans="1:16" x14ac:dyDescent="0.35">
      <c r="A55" s="235"/>
      <c r="B55" s="236">
        <v>43191</v>
      </c>
      <c r="C55" s="235" t="s">
        <v>172</v>
      </c>
      <c r="D55" s="237"/>
      <c r="E55" s="237">
        <v>1700</v>
      </c>
      <c r="F55" s="238"/>
      <c r="G55" s="207"/>
      <c r="H55" s="98"/>
      <c r="I55" s="12"/>
      <c r="K55" s="28"/>
    </row>
    <row r="56" spans="1:16" x14ac:dyDescent="0.35">
      <c r="A56" s="235"/>
      <c r="B56" s="236">
        <v>43202</v>
      </c>
      <c r="C56" s="235" t="s">
        <v>177</v>
      </c>
      <c r="D56" s="237"/>
      <c r="E56" s="237">
        <v>2200</v>
      </c>
      <c r="F56" s="238"/>
      <c r="G56" s="207"/>
      <c r="H56" s="98"/>
      <c r="I56" s="12"/>
      <c r="K56" s="28"/>
    </row>
    <row r="57" spans="1:16" x14ac:dyDescent="0.35">
      <c r="A57" s="235"/>
      <c r="B57" s="236">
        <v>43200</v>
      </c>
      <c r="C57" s="235" t="s">
        <v>163</v>
      </c>
      <c r="D57" s="237"/>
      <c r="E57" s="237">
        <f>1250+2100+1350</f>
        <v>4700</v>
      </c>
      <c r="F57" s="238"/>
      <c r="G57" s="207"/>
      <c r="H57" s="98"/>
      <c r="I57" s="12"/>
      <c r="K57" s="28"/>
      <c r="L57" s="28"/>
    </row>
    <row r="58" spans="1:16" x14ac:dyDescent="0.35">
      <c r="A58" s="235"/>
      <c r="B58" s="236">
        <v>43199</v>
      </c>
      <c r="C58" s="235" t="s">
        <v>198</v>
      </c>
      <c r="D58" s="237"/>
      <c r="E58" s="237">
        <v>2000</v>
      </c>
      <c r="F58" s="238"/>
      <c r="G58" s="207"/>
      <c r="H58" s="98"/>
      <c r="I58" s="12"/>
    </row>
    <row r="59" spans="1:16" x14ac:dyDescent="0.35">
      <c r="A59" s="235"/>
      <c r="B59" s="236">
        <v>43200</v>
      </c>
      <c r="C59" s="235" t="s">
        <v>190</v>
      </c>
      <c r="D59" s="237"/>
      <c r="E59" s="237">
        <v>5200</v>
      </c>
      <c r="F59" s="238"/>
      <c r="G59" s="207"/>
      <c r="H59" s="98"/>
      <c r="I59" s="12"/>
    </row>
    <row r="60" spans="1:16" x14ac:dyDescent="0.35">
      <c r="A60" s="235"/>
      <c r="B60" s="236">
        <v>43200</v>
      </c>
      <c r="C60" s="235" t="s">
        <v>38</v>
      </c>
      <c r="D60" s="237"/>
      <c r="E60" s="237">
        <v>400</v>
      </c>
      <c r="F60" s="238"/>
      <c r="G60" s="207"/>
      <c r="H60" s="98"/>
      <c r="I60" s="12"/>
    </row>
    <row r="61" spans="1:16" x14ac:dyDescent="0.35">
      <c r="A61" s="235"/>
      <c r="B61" s="236">
        <v>43186</v>
      </c>
      <c r="C61" s="235" t="s">
        <v>54</v>
      </c>
      <c r="D61" s="237"/>
      <c r="E61" s="237">
        <v>500</v>
      </c>
      <c r="F61" s="238"/>
      <c r="G61" s="207"/>
      <c r="H61" s="98"/>
      <c r="I61" s="12"/>
    </row>
    <row r="62" spans="1:16" x14ac:dyDescent="0.35">
      <c r="A62" s="235"/>
      <c r="B62" s="236">
        <v>43220</v>
      </c>
      <c r="C62" s="235" t="s">
        <v>15</v>
      </c>
      <c r="D62" s="237"/>
      <c r="E62" s="237">
        <v>2800</v>
      </c>
      <c r="F62" s="238"/>
      <c r="G62" s="207"/>
      <c r="H62" s="98"/>
      <c r="I62" s="12"/>
    </row>
    <row r="63" spans="1:16" x14ac:dyDescent="0.35">
      <c r="A63" s="235"/>
      <c r="B63" s="236"/>
      <c r="C63" s="235"/>
      <c r="D63" s="237"/>
      <c r="E63" s="237"/>
      <c r="F63" s="23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35">
      <c r="A64" s="235" t="s">
        <v>20</v>
      </c>
      <c r="B64" s="236">
        <v>43224</v>
      </c>
      <c r="C64" s="235" t="s">
        <v>13</v>
      </c>
      <c r="D64" s="237">
        <v>20000</v>
      </c>
      <c r="E64" s="237"/>
      <c r="F64" s="238"/>
      <c r="G64" s="207"/>
      <c r="H64" s="149"/>
      <c r="I64" s="12"/>
      <c r="N64" s="77"/>
      <c r="O64" s="77"/>
      <c r="P64" s="77"/>
    </row>
    <row r="65" spans="1:16" x14ac:dyDescent="0.35">
      <c r="A65" s="235"/>
      <c r="B65" s="236">
        <v>43235</v>
      </c>
      <c r="C65" s="235" t="s">
        <v>198</v>
      </c>
      <c r="D65" s="237"/>
      <c r="E65" s="237">
        <v>4500</v>
      </c>
      <c r="F65" s="238"/>
      <c r="G65" s="207"/>
      <c r="H65" s="149"/>
      <c r="I65" s="12"/>
      <c r="N65" s="77"/>
      <c r="O65" s="77"/>
      <c r="P65" s="77"/>
    </row>
    <row r="66" spans="1:16" x14ac:dyDescent="0.35">
      <c r="A66" s="235"/>
      <c r="B66" s="236">
        <v>43207</v>
      </c>
      <c r="C66" s="235" t="s">
        <v>172</v>
      </c>
      <c r="D66" s="237"/>
      <c r="E66" s="237">
        <v>1700</v>
      </c>
      <c r="F66" s="238"/>
      <c r="G66" s="207"/>
      <c r="H66" s="76"/>
      <c r="I66" s="12"/>
      <c r="N66" s="77"/>
      <c r="O66" s="77"/>
      <c r="P66" s="77"/>
    </row>
    <row r="67" spans="1:16" x14ac:dyDescent="0.35">
      <c r="A67" s="235"/>
      <c r="B67" s="236">
        <v>43227</v>
      </c>
      <c r="C67" s="235" t="s">
        <v>177</v>
      </c>
      <c r="D67" s="237"/>
      <c r="E67" s="237">
        <v>6000</v>
      </c>
      <c r="F67" s="238"/>
      <c r="G67" s="207"/>
      <c r="H67" s="76"/>
      <c r="I67" s="102"/>
      <c r="N67" s="77"/>
      <c r="O67" s="77"/>
      <c r="P67" s="77"/>
    </row>
    <row r="68" spans="1:16" x14ac:dyDescent="0.35">
      <c r="A68" s="235"/>
      <c r="B68" s="236">
        <v>43222</v>
      </c>
      <c r="C68" s="235" t="s">
        <v>163</v>
      </c>
      <c r="D68" s="237"/>
      <c r="E68" s="237">
        <f>1250+1350</f>
        <v>2600</v>
      </c>
      <c r="F68" s="238"/>
      <c r="G68" s="207"/>
      <c r="H68" s="76"/>
      <c r="I68" s="12"/>
      <c r="N68" s="77"/>
      <c r="O68" s="77"/>
      <c r="P68" s="77"/>
    </row>
    <row r="69" spans="1:16" x14ac:dyDescent="0.35">
      <c r="A69" s="235"/>
      <c r="B69" s="236">
        <v>43224</v>
      </c>
      <c r="C69" s="235" t="s">
        <v>190</v>
      </c>
      <c r="D69" s="237"/>
      <c r="E69" s="237">
        <v>5200</v>
      </c>
      <c r="F69" s="238"/>
      <c r="G69" s="207"/>
      <c r="H69" s="76"/>
      <c r="I69" s="12"/>
      <c r="N69" s="77"/>
      <c r="O69" s="77"/>
      <c r="P69" s="77"/>
    </row>
    <row r="70" spans="1:16" x14ac:dyDescent="0.35">
      <c r="A70" s="235"/>
      <c r="B70" s="236">
        <v>43224</v>
      </c>
      <c r="C70" s="235" t="s">
        <v>38</v>
      </c>
      <c r="D70" s="237"/>
      <c r="E70" s="237">
        <v>500</v>
      </c>
      <c r="F70" s="238"/>
      <c r="G70" s="207"/>
      <c r="H70" s="76"/>
      <c r="I70" s="12"/>
      <c r="N70" s="77"/>
      <c r="O70" s="77"/>
      <c r="P70" s="77"/>
    </row>
    <row r="71" spans="1:16" x14ac:dyDescent="0.35">
      <c r="A71" s="235"/>
      <c r="B71" s="236">
        <v>43222</v>
      </c>
      <c r="C71" s="235" t="s">
        <v>54</v>
      </c>
      <c r="D71" s="237"/>
      <c r="E71" s="237">
        <v>500</v>
      </c>
      <c r="F71" s="238"/>
      <c r="G71" s="207"/>
      <c r="H71" s="76"/>
      <c r="I71" s="12"/>
    </row>
    <row r="72" spans="1:16" x14ac:dyDescent="0.35">
      <c r="A72" s="235"/>
      <c r="B72" s="236">
        <v>43251</v>
      </c>
      <c r="C72" s="235" t="s">
        <v>15</v>
      </c>
      <c r="D72" s="237"/>
      <c r="E72" s="237">
        <v>5500</v>
      </c>
      <c r="F72" s="238"/>
      <c r="G72" s="207"/>
      <c r="H72" s="76"/>
      <c r="I72" s="12"/>
    </row>
    <row r="73" spans="1:16" x14ac:dyDescent="0.35">
      <c r="A73" s="235"/>
      <c r="B73" s="236"/>
      <c r="C73" s="235"/>
      <c r="D73" s="237"/>
      <c r="E73" s="237"/>
      <c r="F73" s="238">
        <f>SUM(D63:D73)-SUM(E63:E73)</f>
        <v>-6500</v>
      </c>
      <c r="G73" s="207">
        <v>173726.11</v>
      </c>
      <c r="H73" s="76"/>
      <c r="I73" s="12"/>
    </row>
    <row r="74" spans="1:16" x14ac:dyDescent="0.35">
      <c r="A74" s="235" t="s">
        <v>21</v>
      </c>
      <c r="B74" s="236">
        <v>43252</v>
      </c>
      <c r="C74" s="235" t="s">
        <v>13</v>
      </c>
      <c r="D74" s="237">
        <v>25000</v>
      </c>
      <c r="E74" s="237"/>
      <c r="F74" s="238"/>
      <c r="G74" s="207"/>
      <c r="H74" s="98"/>
      <c r="I74" s="102"/>
    </row>
    <row r="75" spans="1:16" x14ac:dyDescent="0.35">
      <c r="A75" s="235"/>
      <c r="B75" s="236">
        <v>43248</v>
      </c>
      <c r="C75" s="235" t="s">
        <v>172</v>
      </c>
      <c r="D75" s="237"/>
      <c r="E75" s="237">
        <v>1700</v>
      </c>
      <c r="F75" s="238"/>
      <c r="G75" s="207"/>
      <c r="H75" s="98"/>
      <c r="I75" s="102"/>
      <c r="J75" s="132"/>
      <c r="K75" s="103"/>
      <c r="L75" s="103"/>
    </row>
    <row r="76" spans="1:16" x14ac:dyDescent="0.35">
      <c r="A76" s="235"/>
      <c r="B76" s="236">
        <v>43262</v>
      </c>
      <c r="C76" s="235" t="s">
        <v>219</v>
      </c>
      <c r="D76" s="237"/>
      <c r="E76" s="237">
        <v>3000</v>
      </c>
      <c r="F76" s="238"/>
      <c r="G76" s="207"/>
      <c r="H76" s="98"/>
      <c r="I76" s="102"/>
      <c r="J76" s="132"/>
      <c r="K76" s="104"/>
      <c r="L76" s="104"/>
    </row>
    <row r="77" spans="1:16" x14ac:dyDescent="0.35">
      <c r="A77" s="235"/>
      <c r="B77" s="236">
        <v>43252</v>
      </c>
      <c r="C77" s="235" t="s">
        <v>177</v>
      </c>
      <c r="D77" s="237"/>
      <c r="E77" s="237">
        <v>5500</v>
      </c>
      <c r="F77" s="238"/>
      <c r="G77" s="207"/>
      <c r="H77" s="98"/>
      <c r="I77" s="102"/>
      <c r="J77" s="132"/>
      <c r="L77" s="103"/>
    </row>
    <row r="78" spans="1:16" x14ac:dyDescent="0.35">
      <c r="A78" s="235"/>
      <c r="B78" s="236">
        <v>43252</v>
      </c>
      <c r="C78" s="235" t="s">
        <v>163</v>
      </c>
      <c r="D78" s="237"/>
      <c r="E78" s="237">
        <f>2600+600</f>
        <v>3200</v>
      </c>
      <c r="F78" s="238"/>
      <c r="G78" s="207"/>
      <c r="H78" s="98"/>
      <c r="I78" s="102"/>
      <c r="J78" s="132"/>
      <c r="K78" s="103"/>
      <c r="L78" s="103"/>
    </row>
    <row r="79" spans="1:16" x14ac:dyDescent="0.35">
      <c r="A79" s="235"/>
      <c r="B79" s="236">
        <v>43252</v>
      </c>
      <c r="C79" s="235" t="s">
        <v>198</v>
      </c>
      <c r="D79" s="237"/>
      <c r="E79" s="237">
        <v>4000</v>
      </c>
      <c r="F79" s="238"/>
      <c r="G79" s="207"/>
      <c r="H79" s="98"/>
      <c r="I79" s="102"/>
      <c r="J79" s="132"/>
      <c r="K79" s="103"/>
    </row>
    <row r="80" spans="1:16" x14ac:dyDescent="0.35">
      <c r="A80" s="235"/>
      <c r="B80" s="236">
        <v>43255</v>
      </c>
      <c r="C80" s="235" t="s">
        <v>190</v>
      </c>
      <c r="D80" s="237"/>
      <c r="E80" s="237">
        <v>5800</v>
      </c>
      <c r="F80" s="238"/>
      <c r="G80" s="207"/>
      <c r="H80" s="98"/>
      <c r="I80" s="102"/>
      <c r="J80" s="132"/>
    </row>
    <row r="81" spans="1:11" x14ac:dyDescent="0.35">
      <c r="A81" s="235"/>
      <c r="B81" s="236">
        <v>43252</v>
      </c>
      <c r="C81" s="235" t="s">
        <v>38</v>
      </c>
      <c r="D81" s="237"/>
      <c r="E81" s="237">
        <v>500</v>
      </c>
      <c r="F81" s="238"/>
      <c r="G81" s="207"/>
      <c r="H81" s="98"/>
      <c r="I81" s="102"/>
      <c r="J81" s="132"/>
    </row>
    <row r="82" spans="1:11" x14ac:dyDescent="0.35">
      <c r="A82" s="235"/>
      <c r="B82" s="236">
        <v>43245</v>
      </c>
      <c r="C82" s="235" t="s">
        <v>54</v>
      </c>
      <c r="D82" s="237"/>
      <c r="E82" s="237">
        <v>500</v>
      </c>
      <c r="F82" s="238"/>
      <c r="G82" s="207"/>
      <c r="H82" s="98"/>
      <c r="I82" s="102"/>
      <c r="J82" s="132"/>
    </row>
    <row r="83" spans="1:11" x14ac:dyDescent="0.35">
      <c r="A83" s="235"/>
      <c r="B83" s="236">
        <v>43281</v>
      </c>
      <c r="C83" s="235" t="s">
        <v>15</v>
      </c>
      <c r="D83" s="237"/>
      <c r="E83" s="237">
        <v>600</v>
      </c>
      <c r="F83" s="238"/>
      <c r="G83" s="207"/>
      <c r="H83" s="11"/>
      <c r="I83" s="102"/>
      <c r="J83" s="132"/>
    </row>
    <row r="84" spans="1:11" x14ac:dyDescent="0.35">
      <c r="A84" s="239"/>
      <c r="B84" s="240"/>
      <c r="C84" s="239"/>
      <c r="D84" s="241"/>
      <c r="E84" s="241"/>
      <c r="F84" s="242">
        <f>SUM(D73:D84)-SUM(E73:E84)</f>
        <v>200</v>
      </c>
      <c r="G84" s="207">
        <v>172042.79</v>
      </c>
      <c r="H84" s="11"/>
      <c r="I84" s="102"/>
      <c r="J84" s="132"/>
    </row>
    <row r="85" spans="1:11" x14ac:dyDescent="0.35">
      <c r="A85" s="243" t="s">
        <v>22</v>
      </c>
      <c r="B85" s="244">
        <v>43287</v>
      </c>
      <c r="C85" s="243" t="s">
        <v>13</v>
      </c>
      <c r="D85" s="245">
        <v>25000</v>
      </c>
      <c r="E85" s="245"/>
      <c r="F85" s="246"/>
      <c r="G85" s="207"/>
      <c r="H85" s="98"/>
      <c r="I85" s="102"/>
      <c r="J85" s="132"/>
    </row>
    <row r="86" spans="1:11" x14ac:dyDescent="0.35">
      <c r="A86" s="243"/>
      <c r="B86" s="244">
        <v>43284</v>
      </c>
      <c r="C86" s="243" t="s">
        <v>172</v>
      </c>
      <c r="D86" s="245"/>
      <c r="E86" s="245">
        <v>2500</v>
      </c>
      <c r="F86" s="246"/>
      <c r="G86" s="207"/>
      <c r="H86" s="98"/>
      <c r="I86" s="12"/>
      <c r="J86" s="132"/>
    </row>
    <row r="87" spans="1:11" x14ac:dyDescent="0.35">
      <c r="A87" s="243"/>
      <c r="B87" s="244">
        <v>43287</v>
      </c>
      <c r="C87" s="243" t="s">
        <v>177</v>
      </c>
      <c r="D87" s="245"/>
      <c r="E87" s="245">
        <f>2000</f>
        <v>2000</v>
      </c>
      <c r="F87" s="246"/>
      <c r="G87" s="207"/>
      <c r="H87" s="98"/>
      <c r="I87" s="12"/>
    </row>
    <row r="88" spans="1:11" x14ac:dyDescent="0.35">
      <c r="A88" s="243"/>
      <c r="B88" s="244">
        <v>43292</v>
      </c>
      <c r="C88" s="243" t="s">
        <v>220</v>
      </c>
      <c r="D88" s="245"/>
      <c r="E88" s="245">
        <f>2600+1500+5100</f>
        <v>9200</v>
      </c>
      <c r="F88" s="246"/>
      <c r="G88" s="207"/>
      <c r="H88" s="98"/>
      <c r="I88" s="12"/>
    </row>
    <row r="89" spans="1:11" x14ac:dyDescent="0.35">
      <c r="A89" s="243"/>
      <c r="B89" s="244">
        <v>43287</v>
      </c>
      <c r="C89" s="243" t="s">
        <v>190</v>
      </c>
      <c r="D89" s="245"/>
      <c r="E89" s="245">
        <v>6000</v>
      </c>
      <c r="F89" s="246"/>
      <c r="G89" s="207"/>
      <c r="H89" s="98"/>
      <c r="I89" s="12"/>
    </row>
    <row r="90" spans="1:11" x14ac:dyDescent="0.35">
      <c r="A90" s="243"/>
      <c r="B90" s="244">
        <v>43273</v>
      </c>
      <c r="C90" s="243" t="s">
        <v>54</v>
      </c>
      <c r="D90" s="245"/>
      <c r="E90" s="245">
        <v>500</v>
      </c>
      <c r="F90" s="246"/>
      <c r="G90" s="207"/>
      <c r="H90" s="11"/>
      <c r="I90" s="102"/>
      <c r="K90" s="36"/>
    </row>
    <row r="91" spans="1:11" x14ac:dyDescent="0.35">
      <c r="A91" s="243"/>
      <c r="B91" s="244">
        <v>43312</v>
      </c>
      <c r="C91" s="243" t="s">
        <v>15</v>
      </c>
      <c r="D91" s="245"/>
      <c r="E91" s="245">
        <v>1500</v>
      </c>
      <c r="F91" s="246"/>
      <c r="G91" s="207"/>
      <c r="H91" s="11"/>
      <c r="I91" s="102"/>
      <c r="J91" s="133"/>
      <c r="K91" s="36"/>
    </row>
    <row r="92" spans="1:11" x14ac:dyDescent="0.35">
      <c r="A92" s="243"/>
      <c r="B92" s="244"/>
      <c r="C92" s="243"/>
      <c r="D92" s="245"/>
      <c r="E92" s="245"/>
      <c r="F92" s="24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35">
      <c r="A93" s="235" t="s">
        <v>23</v>
      </c>
      <c r="B93" s="236">
        <v>43322</v>
      </c>
      <c r="C93" s="235" t="s">
        <v>13</v>
      </c>
      <c r="D93" s="237">
        <v>25000</v>
      </c>
      <c r="E93" s="237"/>
      <c r="F93" s="238"/>
      <c r="G93" s="207"/>
      <c r="H93" s="149"/>
      <c r="I93" s="12"/>
      <c r="J93" s="133"/>
      <c r="K93" s="36"/>
    </row>
    <row r="94" spans="1:11" x14ac:dyDescent="0.35">
      <c r="A94" s="235"/>
      <c r="B94" s="236">
        <v>43311</v>
      </c>
      <c r="C94" s="235" t="s">
        <v>19</v>
      </c>
      <c r="D94" s="237">
        <v>12500</v>
      </c>
      <c r="E94" s="237"/>
      <c r="F94" s="238"/>
      <c r="G94" s="207"/>
      <c r="H94" s="149"/>
      <c r="I94" s="12"/>
      <c r="J94" s="133"/>
      <c r="K94" s="105"/>
    </row>
    <row r="95" spans="1:11" x14ac:dyDescent="0.35">
      <c r="A95" s="235"/>
      <c r="B95" s="236">
        <v>43308</v>
      </c>
      <c r="C95" s="235" t="s">
        <v>172</v>
      </c>
      <c r="D95" s="237"/>
      <c r="E95" s="237">
        <v>2500</v>
      </c>
      <c r="F95" s="238"/>
      <c r="G95" s="207"/>
      <c r="H95" s="11"/>
      <c r="I95" s="12"/>
      <c r="J95" s="133"/>
      <c r="K95" s="36"/>
    </row>
    <row r="96" spans="1:11" x14ac:dyDescent="0.35">
      <c r="A96" s="235"/>
      <c r="B96" s="236">
        <v>43322</v>
      </c>
      <c r="C96" s="235" t="s">
        <v>193</v>
      </c>
      <c r="D96" s="237"/>
      <c r="E96" s="237">
        <v>6000</v>
      </c>
      <c r="F96" s="238"/>
      <c r="G96" s="207"/>
      <c r="H96" s="11"/>
      <c r="I96" s="12"/>
      <c r="J96" s="133"/>
      <c r="K96" s="36"/>
    </row>
    <row r="97" spans="1:12" x14ac:dyDescent="0.35">
      <c r="A97" s="235"/>
      <c r="B97" s="236">
        <v>43322</v>
      </c>
      <c r="C97" s="235" t="s">
        <v>192</v>
      </c>
      <c r="D97" s="237"/>
      <c r="E97" s="237">
        <v>6500</v>
      </c>
      <c r="F97" s="238"/>
      <c r="G97" s="207"/>
      <c r="H97" s="11"/>
      <c r="I97" s="12"/>
      <c r="J97" s="133"/>
      <c r="K97" s="105"/>
    </row>
    <row r="98" spans="1:12" x14ac:dyDescent="0.35">
      <c r="A98" s="235"/>
      <c r="B98" s="236">
        <v>43319</v>
      </c>
      <c r="C98" s="235" t="s">
        <v>220</v>
      </c>
      <c r="D98" s="237"/>
      <c r="E98" s="237">
        <v>2600</v>
      </c>
      <c r="F98" s="238"/>
      <c r="G98" s="207"/>
      <c r="H98" s="11"/>
      <c r="I98" s="12"/>
      <c r="J98" s="133"/>
      <c r="K98" s="36"/>
    </row>
    <row r="99" spans="1:12" x14ac:dyDescent="0.35">
      <c r="A99" s="235"/>
      <c r="B99" s="236">
        <v>43321</v>
      </c>
      <c r="C99" s="235" t="s">
        <v>198</v>
      </c>
      <c r="D99" s="237"/>
      <c r="E99" s="237">
        <v>1700</v>
      </c>
      <c r="F99" s="238"/>
      <c r="G99" s="207"/>
      <c r="H99" s="11"/>
      <c r="I99" s="12"/>
      <c r="J99" s="133"/>
      <c r="K99" s="105"/>
    </row>
    <row r="100" spans="1:12" x14ac:dyDescent="0.35">
      <c r="A100" s="235"/>
      <c r="B100" s="236">
        <v>43314</v>
      </c>
      <c r="C100" s="235" t="s">
        <v>198</v>
      </c>
      <c r="D100" s="237"/>
      <c r="E100" s="237">
        <v>7100</v>
      </c>
      <c r="F100" s="238"/>
      <c r="G100" s="207"/>
      <c r="H100" s="11"/>
      <c r="I100" s="12"/>
      <c r="J100" s="133"/>
      <c r="K100" s="105"/>
    </row>
    <row r="101" spans="1:12" x14ac:dyDescent="0.35">
      <c r="A101" s="235"/>
      <c r="B101" s="236">
        <v>43308</v>
      </c>
      <c r="C101" s="235" t="s">
        <v>198</v>
      </c>
      <c r="D101" s="237"/>
      <c r="E101" s="237">
        <v>1700</v>
      </c>
      <c r="F101" s="238"/>
      <c r="G101" s="207"/>
      <c r="H101" s="11"/>
      <c r="I101" s="12"/>
      <c r="J101" s="133"/>
      <c r="K101" s="36"/>
    </row>
    <row r="102" spans="1:12" x14ac:dyDescent="0.35">
      <c r="A102" s="235"/>
      <c r="B102" s="236">
        <v>43322</v>
      </c>
      <c r="C102" s="235" t="s">
        <v>190</v>
      </c>
      <c r="D102" s="237"/>
      <c r="E102" s="237">
        <v>6400</v>
      </c>
      <c r="F102" s="238"/>
      <c r="G102" s="207"/>
      <c r="H102" s="11"/>
      <c r="I102" s="12"/>
      <c r="J102" s="133"/>
      <c r="K102" s="36"/>
    </row>
    <row r="103" spans="1:12" x14ac:dyDescent="0.35">
      <c r="A103" s="235"/>
      <c r="B103" s="236">
        <v>43300</v>
      </c>
      <c r="C103" s="235" t="s">
        <v>54</v>
      </c>
      <c r="D103" s="237"/>
      <c r="E103" s="237">
        <v>1000</v>
      </c>
      <c r="F103" s="238"/>
      <c r="G103" s="207"/>
      <c r="H103" s="11"/>
      <c r="I103" s="12"/>
      <c r="J103" s="133"/>
      <c r="K103" s="36"/>
    </row>
    <row r="104" spans="1:12" x14ac:dyDescent="0.35">
      <c r="A104" s="235"/>
      <c r="B104" s="236">
        <v>43343</v>
      </c>
      <c r="C104" s="235" t="s">
        <v>15</v>
      </c>
      <c r="D104" s="237"/>
      <c r="E104" s="237">
        <v>4500</v>
      </c>
      <c r="F104" s="238"/>
      <c r="G104" s="207"/>
      <c r="H104" s="11"/>
      <c r="I104" s="82"/>
      <c r="J104" s="133"/>
      <c r="K104" s="36"/>
    </row>
    <row r="105" spans="1:12" x14ac:dyDescent="0.35">
      <c r="A105" s="235"/>
      <c r="B105" s="236"/>
      <c r="C105" s="235"/>
      <c r="D105" s="237"/>
      <c r="E105" s="237"/>
      <c r="F105" s="23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35">
      <c r="A106" s="225" t="s">
        <v>24</v>
      </c>
      <c r="B106" s="226">
        <v>43348</v>
      </c>
      <c r="C106" s="225" t="s">
        <v>13</v>
      </c>
      <c r="D106" s="227">
        <v>25000</v>
      </c>
      <c r="E106" s="227"/>
      <c r="F106" s="228"/>
      <c r="G106" s="207"/>
      <c r="H106" s="11"/>
      <c r="I106" s="12"/>
      <c r="J106" s="133"/>
      <c r="K106" s="15"/>
    </row>
    <row r="107" spans="1:12" x14ac:dyDescent="0.35">
      <c r="A107" s="225"/>
      <c r="B107" s="226">
        <v>43341</v>
      </c>
      <c r="C107" s="225" t="s">
        <v>223</v>
      </c>
      <c r="D107" s="227"/>
      <c r="E107" s="227">
        <v>2500</v>
      </c>
      <c r="F107" s="228"/>
      <c r="G107" s="207"/>
      <c r="H107" s="11"/>
      <c r="I107" s="12"/>
      <c r="J107" s="133"/>
      <c r="K107" s="15"/>
    </row>
    <row r="108" spans="1:12" x14ac:dyDescent="0.35">
      <c r="A108" s="225"/>
      <c r="B108" s="226">
        <v>43349</v>
      </c>
      <c r="C108" s="225" t="s">
        <v>222</v>
      </c>
      <c r="D108" s="227"/>
      <c r="E108" s="227">
        <f>8000+2500</f>
        <v>10500</v>
      </c>
      <c r="F108" s="228"/>
      <c r="G108" s="207"/>
      <c r="H108" s="11"/>
      <c r="I108" s="12"/>
      <c r="J108" s="133"/>
      <c r="K108" s="15"/>
    </row>
    <row r="109" spans="1:12" x14ac:dyDescent="0.35">
      <c r="A109" s="225"/>
      <c r="B109" s="226">
        <v>43353</v>
      </c>
      <c r="C109" s="225" t="s">
        <v>220</v>
      </c>
      <c r="D109" s="227"/>
      <c r="E109" s="227">
        <v>1400</v>
      </c>
      <c r="F109" s="228"/>
      <c r="G109" s="207"/>
      <c r="H109" s="11"/>
      <c r="I109" s="12"/>
      <c r="J109" s="133"/>
      <c r="K109" s="15"/>
    </row>
    <row r="110" spans="1:12" x14ac:dyDescent="0.35">
      <c r="A110" s="225"/>
      <c r="B110" s="226">
        <v>43349</v>
      </c>
      <c r="C110" s="225" t="s">
        <v>221</v>
      </c>
      <c r="D110" s="227"/>
      <c r="E110" s="227">
        <v>2500</v>
      </c>
      <c r="F110" s="228"/>
      <c r="G110" s="207"/>
      <c r="H110" s="11"/>
      <c r="I110" s="12"/>
      <c r="J110" s="133"/>
      <c r="K110" s="15"/>
      <c r="L110" s="103"/>
    </row>
    <row r="111" spans="1:12" x14ac:dyDescent="0.35">
      <c r="A111" s="225"/>
      <c r="B111" s="226">
        <v>43349</v>
      </c>
      <c r="C111" s="225" t="s">
        <v>190</v>
      </c>
      <c r="D111" s="227"/>
      <c r="E111" s="227">
        <v>6400</v>
      </c>
      <c r="F111" s="228"/>
      <c r="G111" s="207"/>
      <c r="H111" s="11"/>
      <c r="I111" s="12"/>
      <c r="J111" s="133"/>
      <c r="K111" s="15"/>
      <c r="L111" s="103"/>
    </row>
    <row r="112" spans="1:12" x14ac:dyDescent="0.35">
      <c r="A112" s="225"/>
      <c r="B112" s="226">
        <v>43354</v>
      </c>
      <c r="C112" s="225" t="s">
        <v>54</v>
      </c>
      <c r="D112" s="227"/>
      <c r="E112" s="227">
        <v>500</v>
      </c>
      <c r="F112" s="228"/>
      <c r="G112" s="207"/>
      <c r="H112" s="11"/>
      <c r="I112" s="12"/>
      <c r="J112" s="133"/>
      <c r="K112" s="15"/>
      <c r="L112" s="104"/>
    </row>
    <row r="113" spans="1:13" x14ac:dyDescent="0.35">
      <c r="A113" s="225"/>
      <c r="B113" s="226">
        <v>43373</v>
      </c>
      <c r="C113" s="225" t="s">
        <v>15</v>
      </c>
      <c r="D113" s="227"/>
      <c r="E113" s="227">
        <v>1600</v>
      </c>
      <c r="F113" s="228"/>
      <c r="G113" s="207"/>
      <c r="H113" s="11"/>
      <c r="I113" s="12"/>
      <c r="J113" s="133"/>
      <c r="K113" s="15"/>
      <c r="L113" s="103"/>
    </row>
    <row r="114" spans="1:13" x14ac:dyDescent="0.35">
      <c r="A114" s="225"/>
      <c r="B114" s="226"/>
      <c r="C114" s="225"/>
      <c r="D114" s="227"/>
      <c r="E114" s="227"/>
      <c r="F114" s="22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35">
      <c r="A115" s="225" t="s">
        <v>25</v>
      </c>
      <c r="B115" s="226">
        <v>43382</v>
      </c>
      <c r="C115" s="225" t="s">
        <v>13</v>
      </c>
      <c r="D115" s="227">
        <v>25000</v>
      </c>
      <c r="E115" s="227"/>
      <c r="F115" s="228"/>
      <c r="G115" s="208"/>
      <c r="H115" s="98"/>
      <c r="I115" s="12"/>
      <c r="J115" s="133"/>
      <c r="K115" s="105"/>
      <c r="L115" s="103"/>
    </row>
    <row r="116" spans="1:13" x14ac:dyDescent="0.35">
      <c r="A116" s="225"/>
      <c r="B116" s="226">
        <v>43380</v>
      </c>
      <c r="C116" s="225" t="s">
        <v>223</v>
      </c>
      <c r="D116" s="227"/>
      <c r="E116" s="227">
        <v>2500</v>
      </c>
      <c r="F116" s="228"/>
      <c r="G116" s="208"/>
      <c r="H116" s="98"/>
      <c r="I116" s="12"/>
      <c r="J116" s="133"/>
      <c r="K116" s="106"/>
      <c r="L116" s="103"/>
    </row>
    <row r="117" spans="1:13" x14ac:dyDescent="0.35">
      <c r="A117" s="225"/>
      <c r="B117" s="226">
        <v>43383</v>
      </c>
      <c r="C117" s="225" t="s">
        <v>222</v>
      </c>
      <c r="D117" s="227"/>
      <c r="E117" s="227">
        <v>7000</v>
      </c>
      <c r="F117" s="228"/>
      <c r="G117" s="208"/>
      <c r="H117" s="98"/>
      <c r="I117" s="12"/>
      <c r="J117" s="133"/>
      <c r="K117" s="105"/>
      <c r="L117" s="103"/>
    </row>
    <row r="118" spans="1:13" x14ac:dyDescent="0.35">
      <c r="A118" s="225"/>
      <c r="B118" s="226">
        <v>43385</v>
      </c>
      <c r="C118" s="225" t="s">
        <v>220</v>
      </c>
      <c r="D118" s="227"/>
      <c r="E118" s="227">
        <v>1300</v>
      </c>
      <c r="F118" s="228"/>
      <c r="G118" s="208"/>
      <c r="H118" s="98"/>
      <c r="I118" s="12"/>
      <c r="J118" s="133"/>
      <c r="K118" s="106"/>
      <c r="L118" s="103"/>
    </row>
    <row r="119" spans="1:13" x14ac:dyDescent="0.35">
      <c r="A119" s="225"/>
      <c r="B119" s="226">
        <v>43363</v>
      </c>
      <c r="C119" s="225" t="s">
        <v>174</v>
      </c>
      <c r="D119" s="227"/>
      <c r="E119" s="227">
        <v>1000</v>
      </c>
      <c r="F119" s="228"/>
      <c r="G119" s="208"/>
      <c r="H119" s="72"/>
      <c r="I119" s="102"/>
      <c r="J119" s="133"/>
      <c r="K119" s="48"/>
      <c r="L119" s="103"/>
      <c r="M119" s="103"/>
    </row>
    <row r="120" spans="1:13" x14ac:dyDescent="0.35">
      <c r="A120" s="225"/>
      <c r="B120" s="226">
        <v>43378</v>
      </c>
      <c r="C120" s="225" t="s">
        <v>208</v>
      </c>
      <c r="D120" s="227"/>
      <c r="E120" s="227">
        <v>2100</v>
      </c>
      <c r="F120" s="228"/>
      <c r="G120" s="208"/>
      <c r="H120" s="72"/>
      <c r="I120" s="102"/>
      <c r="K120" s="48"/>
      <c r="L120" s="103"/>
      <c r="M120" s="103"/>
    </row>
    <row r="121" spans="1:13" x14ac:dyDescent="0.35">
      <c r="A121" s="225"/>
      <c r="B121" s="226">
        <v>43382</v>
      </c>
      <c r="C121" s="225" t="s">
        <v>54</v>
      </c>
      <c r="D121" s="227"/>
      <c r="E121" s="227">
        <v>1000</v>
      </c>
      <c r="F121" s="228"/>
      <c r="G121" s="208"/>
      <c r="H121" s="72"/>
      <c r="I121" s="102"/>
      <c r="K121" s="104"/>
      <c r="L121" s="103"/>
      <c r="M121" s="103"/>
    </row>
    <row r="122" spans="1:13" x14ac:dyDescent="0.35">
      <c r="A122" s="225"/>
      <c r="B122" s="226">
        <v>43378</v>
      </c>
      <c r="C122" s="225" t="s">
        <v>226</v>
      </c>
      <c r="D122" s="227"/>
      <c r="E122" s="227">
        <v>2300</v>
      </c>
      <c r="F122" s="228"/>
      <c r="G122" s="208"/>
      <c r="H122" s="72"/>
      <c r="I122" s="102"/>
      <c r="K122" s="104"/>
      <c r="L122" s="104"/>
      <c r="M122" s="104"/>
    </row>
    <row r="123" spans="1:13" x14ac:dyDescent="0.35">
      <c r="A123" s="225"/>
      <c r="B123" s="226">
        <v>43370</v>
      </c>
      <c r="C123" s="225" t="s">
        <v>227</v>
      </c>
      <c r="D123" s="227"/>
      <c r="E123" s="227">
        <v>400</v>
      </c>
      <c r="F123" s="228"/>
      <c r="G123" s="208"/>
      <c r="H123" s="72"/>
      <c r="I123" s="102"/>
      <c r="K123" s="104"/>
      <c r="L123" s="104"/>
      <c r="M123" s="104"/>
    </row>
    <row r="124" spans="1:13" x14ac:dyDescent="0.35">
      <c r="A124" s="225"/>
      <c r="B124" s="226">
        <v>43385</v>
      </c>
      <c r="C124" s="225" t="s">
        <v>174</v>
      </c>
      <c r="D124" s="227"/>
      <c r="E124" s="227">
        <v>1000</v>
      </c>
      <c r="F124" s="228"/>
      <c r="G124" s="208"/>
      <c r="H124" s="72"/>
      <c r="I124" s="102"/>
      <c r="K124" s="104"/>
      <c r="L124" s="104"/>
      <c r="M124" s="104"/>
    </row>
    <row r="125" spans="1:13" x14ac:dyDescent="0.35">
      <c r="A125" s="225"/>
      <c r="B125" s="226">
        <v>43382</v>
      </c>
      <c r="C125" s="225" t="s">
        <v>228</v>
      </c>
      <c r="D125" s="227"/>
      <c r="E125" s="227">
        <v>1000</v>
      </c>
      <c r="F125" s="228"/>
      <c r="G125" s="208"/>
      <c r="H125" s="72"/>
      <c r="I125" s="102"/>
      <c r="K125" s="104"/>
      <c r="L125" s="104"/>
      <c r="M125" s="104"/>
    </row>
    <row r="126" spans="1:13" x14ac:dyDescent="0.35">
      <c r="A126" s="225"/>
      <c r="B126" s="226">
        <v>43404</v>
      </c>
      <c r="C126" s="225" t="s">
        <v>15</v>
      </c>
      <c r="D126" s="227"/>
      <c r="E126" s="227">
        <v>100</v>
      </c>
      <c r="F126" s="228"/>
      <c r="G126" s="207"/>
      <c r="H126" s="72"/>
      <c r="I126" s="102"/>
      <c r="K126" s="104"/>
      <c r="L126" s="103"/>
      <c r="M126" s="103"/>
    </row>
    <row r="127" spans="1:13" x14ac:dyDescent="0.35">
      <c r="A127" s="225"/>
      <c r="B127" s="226"/>
      <c r="C127" s="225"/>
      <c r="D127" s="227"/>
      <c r="E127" s="227"/>
      <c r="F127" s="22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35">
      <c r="A128" s="225" t="s">
        <v>26</v>
      </c>
      <c r="B128" s="226">
        <v>43406</v>
      </c>
      <c r="C128" s="225" t="s">
        <v>13</v>
      </c>
      <c r="D128" s="227">
        <v>25000</v>
      </c>
      <c r="E128" s="227"/>
      <c r="F128" s="228"/>
      <c r="G128" s="207"/>
      <c r="H128" s="98"/>
      <c r="I128" s="12"/>
      <c r="J128" s="133"/>
      <c r="K128" s="88"/>
      <c r="L128" s="88"/>
      <c r="M128" s="103"/>
    </row>
    <row r="129" spans="1:13" x14ac:dyDescent="0.35">
      <c r="A129" s="225"/>
      <c r="B129" s="226">
        <v>43407</v>
      </c>
      <c r="C129" s="225" t="s">
        <v>223</v>
      </c>
      <c r="D129" s="227"/>
      <c r="E129" s="227">
        <v>2500</v>
      </c>
      <c r="F129" s="228"/>
      <c r="G129" s="207"/>
      <c r="H129" s="98"/>
      <c r="I129" s="12"/>
      <c r="J129" s="133"/>
      <c r="K129" s="88"/>
      <c r="L129" s="88"/>
      <c r="M129" s="103"/>
    </row>
    <row r="130" spans="1:13" x14ac:dyDescent="0.35">
      <c r="A130" s="225"/>
      <c r="B130" s="226">
        <v>43412</v>
      </c>
      <c r="C130" s="225" t="s">
        <v>193</v>
      </c>
      <c r="D130" s="227"/>
      <c r="E130" s="227">
        <v>6000</v>
      </c>
      <c r="F130" s="228"/>
      <c r="G130" s="207"/>
      <c r="H130" s="98"/>
      <c r="I130" s="12"/>
      <c r="J130" s="133"/>
      <c r="K130" s="88"/>
      <c r="L130" s="88"/>
      <c r="M130" s="104"/>
    </row>
    <row r="131" spans="1:13" x14ac:dyDescent="0.35">
      <c r="A131" s="225"/>
      <c r="B131" s="226">
        <v>43413</v>
      </c>
      <c r="C131" s="225" t="s">
        <v>222</v>
      </c>
      <c r="D131" s="227"/>
      <c r="E131" s="227">
        <f>4200+2700</f>
        <v>6900</v>
      </c>
      <c r="F131" s="228"/>
      <c r="G131" s="207"/>
      <c r="H131" s="98"/>
      <c r="I131" s="12"/>
      <c r="J131" s="133"/>
      <c r="K131" s="88"/>
      <c r="L131" s="88"/>
      <c r="M131" s="103"/>
    </row>
    <row r="132" spans="1:13" x14ac:dyDescent="0.35">
      <c r="A132" s="225"/>
      <c r="B132" s="226">
        <v>43412</v>
      </c>
      <c r="C132" s="225" t="s">
        <v>220</v>
      </c>
      <c r="D132" s="227"/>
      <c r="E132" s="227">
        <v>1200</v>
      </c>
      <c r="F132" s="228"/>
      <c r="G132" s="207"/>
      <c r="H132" s="98"/>
      <c r="I132" s="12"/>
      <c r="J132" s="133"/>
      <c r="K132" s="88"/>
      <c r="L132" s="88"/>
    </row>
    <row r="133" spans="1:13" x14ac:dyDescent="0.35">
      <c r="A133" s="225"/>
      <c r="B133" s="226">
        <v>43412</v>
      </c>
      <c r="C133" s="225" t="s">
        <v>174</v>
      </c>
      <c r="D133" s="227"/>
      <c r="E133" s="227">
        <v>400</v>
      </c>
      <c r="F133" s="228"/>
      <c r="G133" s="207"/>
      <c r="H133" s="98"/>
      <c r="I133" s="12"/>
      <c r="M133" s="103"/>
    </row>
    <row r="134" spans="1:13" x14ac:dyDescent="0.35">
      <c r="A134" s="225"/>
      <c r="B134" s="226">
        <v>43405</v>
      </c>
      <c r="C134" s="225" t="s">
        <v>208</v>
      </c>
      <c r="D134" s="227"/>
      <c r="E134" s="227">
        <v>2200</v>
      </c>
      <c r="F134" s="228"/>
      <c r="G134" s="207"/>
      <c r="H134" s="98"/>
      <c r="I134" s="12"/>
      <c r="M134" s="103"/>
    </row>
    <row r="135" spans="1:13" x14ac:dyDescent="0.35">
      <c r="A135" s="225"/>
      <c r="B135" s="226">
        <v>43392</v>
      </c>
      <c r="C135" s="225" t="s">
        <v>38</v>
      </c>
      <c r="D135" s="227"/>
      <c r="E135" s="227">
        <v>300</v>
      </c>
      <c r="F135" s="228"/>
      <c r="G135" s="207"/>
      <c r="H135" s="98"/>
      <c r="I135" s="12"/>
      <c r="M135" s="104"/>
    </row>
    <row r="136" spans="1:13" x14ac:dyDescent="0.35">
      <c r="A136" s="225"/>
      <c r="B136" s="226">
        <v>43417</v>
      </c>
      <c r="C136" s="225" t="s">
        <v>38</v>
      </c>
      <c r="D136" s="227"/>
      <c r="E136" s="227">
        <v>400</v>
      </c>
      <c r="F136" s="228"/>
      <c r="G136" s="207"/>
      <c r="H136" s="98"/>
      <c r="I136" s="12"/>
      <c r="M136" s="103"/>
    </row>
    <row r="137" spans="1:13" x14ac:dyDescent="0.35">
      <c r="A137" s="225"/>
      <c r="B137" s="226">
        <v>43412</v>
      </c>
      <c r="C137" s="225" t="s">
        <v>54</v>
      </c>
      <c r="D137" s="227"/>
      <c r="E137" s="227">
        <v>600</v>
      </c>
      <c r="F137" s="228"/>
      <c r="G137" s="207"/>
      <c r="H137" s="98"/>
      <c r="I137" s="12"/>
    </row>
    <row r="138" spans="1:13" x14ac:dyDescent="0.35">
      <c r="A138" s="225"/>
      <c r="B138" s="226">
        <v>43406</v>
      </c>
      <c r="C138" s="225" t="s">
        <v>226</v>
      </c>
      <c r="D138" s="227"/>
      <c r="E138" s="227">
        <f>2000+600</f>
        <v>2600</v>
      </c>
      <c r="F138" s="228"/>
      <c r="G138" s="207"/>
      <c r="H138" s="98"/>
    </row>
    <row r="139" spans="1:13" x14ac:dyDescent="0.35">
      <c r="A139" s="225"/>
      <c r="B139" s="226">
        <v>43434</v>
      </c>
      <c r="C139" s="225" t="s">
        <v>15</v>
      </c>
      <c r="D139" s="227"/>
      <c r="E139" s="227">
        <v>800</v>
      </c>
      <c r="F139" s="228"/>
      <c r="G139" s="207"/>
      <c r="H139" s="98"/>
    </row>
    <row r="140" spans="1:13" x14ac:dyDescent="0.35">
      <c r="A140" s="225"/>
      <c r="B140" s="226"/>
      <c r="C140" s="225"/>
      <c r="D140" s="227"/>
      <c r="E140" s="227"/>
      <c r="F140" s="228">
        <f>SUM(D127:D140)-SUM(E127:E140)</f>
        <v>1100</v>
      </c>
      <c r="G140" s="928">
        <v>222714.42</v>
      </c>
      <c r="H140" s="98"/>
    </row>
    <row r="141" spans="1:13" x14ac:dyDescent="0.35">
      <c r="A141" s="225" t="s">
        <v>27</v>
      </c>
      <c r="B141" s="226">
        <v>43441</v>
      </c>
      <c r="C141" s="225" t="s">
        <v>13</v>
      </c>
      <c r="D141" s="927">
        <v>25000</v>
      </c>
      <c r="E141" s="227"/>
      <c r="F141" s="228"/>
      <c r="G141" s="207"/>
      <c r="H141" s="11"/>
      <c r="L141" s="40"/>
      <c r="M141" s="131"/>
    </row>
    <row r="142" spans="1:13" x14ac:dyDescent="0.35">
      <c r="A142" s="225"/>
      <c r="B142" s="226">
        <v>43452</v>
      </c>
      <c r="C142" s="225" t="s">
        <v>198</v>
      </c>
      <c r="D142" s="927">
        <v>42000</v>
      </c>
      <c r="E142" s="227"/>
      <c r="F142" s="228"/>
      <c r="G142" s="207"/>
      <c r="H142" s="11"/>
      <c r="J142"/>
      <c r="M142" s="131"/>
    </row>
    <row r="143" spans="1:13" x14ac:dyDescent="0.35">
      <c r="A143" s="225"/>
      <c r="B143" s="226">
        <v>43452</v>
      </c>
      <c r="C143" s="225" t="s">
        <v>174</v>
      </c>
      <c r="D143" s="227"/>
      <c r="E143" s="227">
        <v>9000</v>
      </c>
      <c r="F143" s="228"/>
      <c r="G143" s="207"/>
      <c r="H143" s="11"/>
      <c r="M143" s="131"/>
    </row>
    <row r="144" spans="1:13" x14ac:dyDescent="0.35">
      <c r="A144" s="225"/>
      <c r="B144" s="226">
        <v>43452</v>
      </c>
      <c r="C144" s="225" t="s">
        <v>235</v>
      </c>
      <c r="D144" s="227"/>
      <c r="E144" s="227">
        <v>3500</v>
      </c>
      <c r="F144" s="228"/>
      <c r="G144" s="207"/>
      <c r="M144" s="131"/>
    </row>
    <row r="145" spans="1:13" x14ac:dyDescent="0.35">
      <c r="A145" s="225"/>
      <c r="B145" s="226">
        <v>43452</v>
      </c>
      <c r="C145" s="225" t="s">
        <v>52</v>
      </c>
      <c r="D145" s="227"/>
      <c r="E145" s="227">
        <v>7000</v>
      </c>
      <c r="F145" s="228"/>
      <c r="G145" s="207"/>
      <c r="H145" s="11"/>
      <c r="M145" s="131"/>
    </row>
    <row r="146" spans="1:13" x14ac:dyDescent="0.35">
      <c r="A146" s="225"/>
      <c r="B146" s="226">
        <v>43452</v>
      </c>
      <c r="C146" s="225" t="s">
        <v>204</v>
      </c>
      <c r="D146" s="227"/>
      <c r="E146" s="227">
        <v>17500</v>
      </c>
      <c r="F146" s="228"/>
      <c r="G146" s="207"/>
      <c r="H146" s="11"/>
      <c r="M146" s="131"/>
    </row>
    <row r="147" spans="1:13" x14ac:dyDescent="0.35">
      <c r="A147" s="225"/>
      <c r="B147" s="226">
        <v>43456</v>
      </c>
      <c r="C147" s="225" t="s">
        <v>234</v>
      </c>
      <c r="D147" s="227"/>
      <c r="E147" s="227">
        <v>1500</v>
      </c>
      <c r="F147" s="228"/>
      <c r="G147" s="207"/>
      <c r="H147" s="11"/>
      <c r="M147" s="131"/>
    </row>
    <row r="148" spans="1:13" x14ac:dyDescent="0.35">
      <c r="A148" s="225"/>
      <c r="B148" s="226">
        <v>43441</v>
      </c>
      <c r="C148" s="225" t="s">
        <v>223</v>
      </c>
      <c r="D148" s="227"/>
      <c r="E148" s="227">
        <v>2500</v>
      </c>
      <c r="F148" s="228"/>
      <c r="G148" s="207"/>
      <c r="H148" s="98"/>
      <c r="K148" s="254"/>
      <c r="M148" s="131"/>
    </row>
    <row r="149" spans="1:13" x14ac:dyDescent="0.35">
      <c r="A149" s="225"/>
      <c r="B149" s="226">
        <v>43444</v>
      </c>
      <c r="C149" s="225" t="s">
        <v>192</v>
      </c>
      <c r="D149" s="227"/>
      <c r="E149" s="227">
        <v>2500</v>
      </c>
      <c r="F149" s="228"/>
      <c r="G149" s="207"/>
      <c r="H149" s="98"/>
      <c r="K149" s="131"/>
    </row>
    <row r="150" spans="1:13" x14ac:dyDescent="0.35">
      <c r="A150" s="225"/>
      <c r="B150" s="226">
        <v>43444</v>
      </c>
      <c r="C150" s="225" t="s">
        <v>193</v>
      </c>
      <c r="D150" s="227"/>
      <c r="E150" s="227">
        <v>6600</v>
      </c>
      <c r="F150" s="228"/>
      <c r="G150" s="207"/>
      <c r="K150" s="131"/>
    </row>
    <row r="151" spans="1:13" x14ac:dyDescent="0.35">
      <c r="A151" s="225"/>
      <c r="B151" s="226">
        <v>43434</v>
      </c>
      <c r="C151" s="225" t="s">
        <v>208</v>
      </c>
      <c r="D151" s="227"/>
      <c r="E151" s="227">
        <v>1600</v>
      </c>
      <c r="F151" s="228"/>
      <c r="G151" s="207"/>
      <c r="M151" s="103"/>
    </row>
    <row r="152" spans="1:13" x14ac:dyDescent="0.35">
      <c r="A152" s="225"/>
      <c r="B152" s="226">
        <v>43437</v>
      </c>
      <c r="C152" s="225" t="s">
        <v>38</v>
      </c>
      <c r="D152" s="227"/>
      <c r="E152" s="227">
        <f>800</f>
        <v>800</v>
      </c>
      <c r="F152" s="228"/>
      <c r="G152" s="207"/>
      <c r="H152" s="98"/>
      <c r="M152" s="103"/>
    </row>
    <row r="153" spans="1:13" x14ac:dyDescent="0.35">
      <c r="A153" s="225"/>
      <c r="B153" s="226">
        <v>43436</v>
      </c>
      <c r="C153" s="225" t="s">
        <v>236</v>
      </c>
      <c r="D153" s="227"/>
      <c r="E153" s="227">
        <v>2300</v>
      </c>
      <c r="F153" s="228"/>
      <c r="G153" s="207"/>
      <c r="H153" s="98"/>
      <c r="M153" s="104"/>
    </row>
    <row r="154" spans="1:13" x14ac:dyDescent="0.35">
      <c r="A154" s="225"/>
      <c r="B154" s="226">
        <v>43441</v>
      </c>
      <c r="C154" s="225" t="s">
        <v>231</v>
      </c>
      <c r="D154" s="227"/>
      <c r="E154" s="227">
        <v>600</v>
      </c>
      <c r="F154" s="228"/>
      <c r="G154" s="207"/>
      <c r="H154" s="98"/>
    </row>
    <row r="155" spans="1:13" x14ac:dyDescent="0.35">
      <c r="A155" s="225"/>
      <c r="B155" s="226">
        <v>43438</v>
      </c>
      <c r="C155" s="225" t="s">
        <v>233</v>
      </c>
      <c r="D155" s="227"/>
      <c r="E155" s="227">
        <v>1200</v>
      </c>
      <c r="F155" s="228"/>
      <c r="G155" s="207"/>
      <c r="H155" s="98"/>
    </row>
    <row r="156" spans="1:13" x14ac:dyDescent="0.35">
      <c r="A156" s="225"/>
      <c r="B156" s="226">
        <v>43442</v>
      </c>
      <c r="C156" s="225" t="s">
        <v>238</v>
      </c>
      <c r="D156" s="227"/>
      <c r="E156" s="227">
        <v>1000</v>
      </c>
      <c r="F156" s="228"/>
      <c r="G156" s="207"/>
      <c r="H156" s="98"/>
    </row>
    <row r="157" spans="1:13" x14ac:dyDescent="0.35">
      <c r="A157" s="225"/>
      <c r="B157" s="226">
        <v>43441</v>
      </c>
      <c r="C157" s="225" t="s">
        <v>237</v>
      </c>
      <c r="D157" s="227"/>
      <c r="E157" s="227">
        <v>1000</v>
      </c>
      <c r="F157" s="228"/>
      <c r="G157" s="207"/>
    </row>
    <row r="158" spans="1:13" x14ac:dyDescent="0.35">
      <c r="A158" s="225"/>
      <c r="B158" s="226">
        <v>43452</v>
      </c>
      <c r="C158" s="225" t="s">
        <v>54</v>
      </c>
      <c r="D158" s="227"/>
      <c r="E158" s="227">
        <v>1200</v>
      </c>
      <c r="F158" s="228"/>
      <c r="G158" s="207"/>
    </row>
    <row r="159" spans="1:13" x14ac:dyDescent="0.35">
      <c r="A159" s="225"/>
      <c r="B159" s="226">
        <v>43452</v>
      </c>
      <c r="C159" s="225" t="s">
        <v>239</v>
      </c>
      <c r="D159" s="227">
        <v>1500</v>
      </c>
      <c r="E159" s="227"/>
      <c r="F159" s="228"/>
      <c r="G159" s="207"/>
    </row>
    <row r="160" spans="1:13" x14ac:dyDescent="0.35">
      <c r="A160" s="225"/>
      <c r="B160" s="226">
        <v>43458</v>
      </c>
      <c r="C160" s="225" t="s">
        <v>194</v>
      </c>
      <c r="D160" s="227"/>
      <c r="E160" s="227">
        <v>4500</v>
      </c>
      <c r="F160" s="228"/>
      <c r="G160" s="207"/>
    </row>
    <row r="161" spans="1:12" x14ac:dyDescent="0.35">
      <c r="A161" s="225"/>
      <c r="B161" s="226">
        <v>43465</v>
      </c>
      <c r="C161" s="225" t="s">
        <v>15</v>
      </c>
      <c r="D161" s="227"/>
      <c r="E161" s="227">
        <v>1700</v>
      </c>
      <c r="F161" s="228"/>
      <c r="G161" s="207"/>
      <c r="H161" s="98"/>
    </row>
    <row r="162" spans="1:12" x14ac:dyDescent="0.35">
      <c r="A162" s="225"/>
      <c r="B162" s="226"/>
      <c r="C162" s="225"/>
      <c r="D162" s="227"/>
      <c r="E162" s="227"/>
      <c r="F162" s="228">
        <f>SUM(D140:D162)-SUM(E140:E162)</f>
        <v>2500</v>
      </c>
      <c r="G162" s="928">
        <v>214775.49</v>
      </c>
      <c r="H162" s="98"/>
      <c r="I162" s="212"/>
      <c r="J162" s="219"/>
      <c r="K162" s="212"/>
      <c r="L162" s="211"/>
    </row>
    <row r="163" spans="1:12" x14ac:dyDescent="0.35">
      <c r="A163" s="19"/>
      <c r="D163" s="121"/>
      <c r="E163" s="121"/>
      <c r="H163" s="98"/>
      <c r="I163" s="12"/>
    </row>
    <row r="164" spans="1:12" x14ac:dyDescent="0.35">
      <c r="A164" s="19"/>
      <c r="D164" s="121"/>
      <c r="E164" s="121"/>
    </row>
    <row r="165" spans="1:12" x14ac:dyDescent="0.35">
      <c r="A165" s="19"/>
      <c r="D165" s="121"/>
      <c r="E165" s="121"/>
    </row>
    <row r="166" spans="1:12" x14ac:dyDescent="0.35">
      <c r="A166" s="19"/>
      <c r="D166" s="121"/>
      <c r="E166" s="121"/>
    </row>
    <row r="167" spans="1:12" x14ac:dyDescent="0.35">
      <c r="A167" s="19"/>
      <c r="D167" s="121"/>
      <c r="E167" s="121"/>
      <c r="I167" s="587" t="s">
        <v>28</v>
      </c>
      <c r="J167" s="586">
        <f>+J168/36</f>
        <v>4647.2241670000003</v>
      </c>
      <c r="K167" s="587"/>
    </row>
    <row r="168" spans="1:12" x14ac:dyDescent="0.35">
      <c r="A168" s="19"/>
      <c r="D168" s="121"/>
      <c r="E168" s="121"/>
      <c r="I168" s="587"/>
      <c r="J168" s="586">
        <v>167300.07</v>
      </c>
      <c r="K168" s="587"/>
    </row>
    <row r="169" spans="1:12" x14ac:dyDescent="0.35">
      <c r="A169" s="19"/>
      <c r="D169" s="121"/>
      <c r="E169" s="121"/>
      <c r="I169" s="587" t="s">
        <v>137</v>
      </c>
      <c r="J169" s="586" t="s">
        <v>138</v>
      </c>
      <c r="K169" s="587" t="s">
        <v>139</v>
      </c>
    </row>
    <row r="170" spans="1:12" x14ac:dyDescent="0.35">
      <c r="A170" s="19"/>
      <c r="D170" s="121"/>
      <c r="E170" s="121"/>
      <c r="I170" s="588">
        <f>_ENE18v</f>
        <v>160483.16</v>
      </c>
      <c r="J170" s="586">
        <f>+I170-J168</f>
        <v>-6816.91</v>
      </c>
      <c r="K170" s="589">
        <f>(+J170*100/J168)/100</f>
        <v>-4.07E-2</v>
      </c>
    </row>
    <row r="171" spans="1:12" x14ac:dyDescent="0.35">
      <c r="A171" s="19"/>
      <c r="D171" s="121"/>
      <c r="E171" s="121"/>
      <c r="I171" s="588">
        <f>_FEB18v</f>
        <v>164817.97</v>
      </c>
      <c r="J171" s="586">
        <f t="shared" ref="J171:J179" si="0">+I171-I170</f>
        <v>4334.8100000000004</v>
      </c>
      <c r="K171" s="589">
        <f t="shared" ref="K171:K179" si="1">(+J171*100/I170)/100</f>
        <v>2.7E-2</v>
      </c>
    </row>
    <row r="172" spans="1:12" x14ac:dyDescent="0.35">
      <c r="A172" s="19"/>
      <c r="D172" s="121"/>
      <c r="E172" s="121"/>
      <c r="I172" s="588">
        <f>_MAR18v</f>
        <v>169318.76</v>
      </c>
      <c r="J172" s="586">
        <f t="shared" si="0"/>
        <v>4500.79</v>
      </c>
      <c r="K172" s="589">
        <f t="shared" si="1"/>
        <v>2.7300000000000001E-2</v>
      </c>
    </row>
    <row r="173" spans="1:12" x14ac:dyDescent="0.35">
      <c r="A173" s="19"/>
      <c r="D173" s="121"/>
      <c r="E173" s="121"/>
      <c r="I173" s="588">
        <f>_ABR18v</f>
        <v>176743.38</v>
      </c>
      <c r="J173" s="586">
        <f t="shared" si="0"/>
        <v>7424.62</v>
      </c>
      <c r="K173" s="589">
        <f t="shared" si="1"/>
        <v>4.3799999999999999E-2</v>
      </c>
    </row>
    <row r="174" spans="1:12" x14ac:dyDescent="0.35">
      <c r="A174" s="19"/>
      <c r="D174" s="121"/>
      <c r="E174" s="121"/>
      <c r="I174" s="588">
        <f>_MAY18v</f>
        <v>173726.11</v>
      </c>
      <c r="J174" s="586">
        <f t="shared" si="0"/>
        <v>-3017.27</v>
      </c>
      <c r="K174" s="589">
        <f t="shared" si="1"/>
        <v>-1.7100000000000001E-2</v>
      </c>
    </row>
    <row r="175" spans="1:12" x14ac:dyDescent="0.35">
      <c r="A175" s="19"/>
      <c r="D175" s="121"/>
      <c r="E175" s="121"/>
      <c r="I175" s="588">
        <f>_JUN18v</f>
        <v>172042.79</v>
      </c>
      <c r="J175" s="586">
        <f t="shared" si="0"/>
        <v>-1683.32</v>
      </c>
      <c r="K175" s="589">
        <f t="shared" si="1"/>
        <v>-9.7000000000000003E-3</v>
      </c>
    </row>
    <row r="176" spans="1:12" x14ac:dyDescent="0.35">
      <c r="A176" s="19"/>
      <c r="D176" s="121"/>
      <c r="E176" s="121"/>
      <c r="I176" s="588">
        <f>_JUL18v</f>
        <v>191421.62</v>
      </c>
      <c r="J176" s="586">
        <f t="shared" si="0"/>
        <v>19378.830000000002</v>
      </c>
      <c r="K176" s="589">
        <f t="shared" si="1"/>
        <v>0.11260000000000001</v>
      </c>
    </row>
    <row r="177" spans="1:15" x14ac:dyDescent="0.35">
      <c r="A177" s="19"/>
      <c r="D177" s="121"/>
      <c r="E177" s="121"/>
      <c r="I177" s="588">
        <f>_AGO18v</f>
        <v>210404.29</v>
      </c>
      <c r="J177" s="586">
        <f t="shared" si="0"/>
        <v>18982.669999999998</v>
      </c>
      <c r="K177" s="589">
        <f t="shared" si="1"/>
        <v>9.9199999999999997E-2</v>
      </c>
    </row>
    <row r="178" spans="1:15" x14ac:dyDescent="0.35">
      <c r="A178" s="19"/>
      <c r="D178" s="121"/>
      <c r="E178" s="121"/>
      <c r="I178" s="588">
        <f>_SEP18v</f>
        <v>221158.59</v>
      </c>
      <c r="J178" s="586">
        <f t="shared" si="0"/>
        <v>10754.3</v>
      </c>
      <c r="K178" s="589">
        <f t="shared" si="1"/>
        <v>5.11E-2</v>
      </c>
    </row>
    <row r="179" spans="1:15" x14ac:dyDescent="0.35">
      <c r="A179" s="19"/>
      <c r="D179" s="121"/>
      <c r="E179" s="121"/>
      <c r="I179" s="588">
        <f>_OCT18v</f>
        <v>226772.68</v>
      </c>
      <c r="J179" s="586">
        <f t="shared" si="0"/>
        <v>5614.09</v>
      </c>
      <c r="K179" s="589">
        <f t="shared" si="1"/>
        <v>2.5399999999999999E-2</v>
      </c>
    </row>
    <row r="180" spans="1:15" x14ac:dyDescent="0.35">
      <c r="A180" s="19"/>
      <c r="D180" s="121"/>
      <c r="E180" s="121"/>
      <c r="I180" s="588">
        <f>_NOV18v</f>
        <v>222714.42</v>
      </c>
      <c r="J180" s="586">
        <f>+I180-I179</f>
        <v>-4058.26</v>
      </c>
      <c r="K180" s="589">
        <f>(+J180*100/I179)/100</f>
        <v>-1.7899999999999999E-2</v>
      </c>
    </row>
    <row r="181" spans="1:15" x14ac:dyDescent="0.35">
      <c r="A181" s="19"/>
      <c r="D181" s="121"/>
      <c r="E181" s="121"/>
      <c r="I181" s="588">
        <f>_DIC18v</f>
        <v>214775.49</v>
      </c>
      <c r="J181" s="586">
        <f>+I181-I180</f>
        <v>-7938.93</v>
      </c>
      <c r="K181" s="589">
        <f>(+J181*100/I180)/100</f>
        <v>-3.56E-2</v>
      </c>
    </row>
    <row r="182" spans="1:15" x14ac:dyDescent="0.35">
      <c r="A182" s="19"/>
      <c r="D182" s="121"/>
      <c r="E182" s="121"/>
      <c r="I182" s="588"/>
      <c r="J182" s="586">
        <f>SUM(J170:J181)</f>
        <v>47475.42</v>
      </c>
      <c r="K182" s="589">
        <f>SUM(K170:K181)</f>
        <v>0.26540000000000002</v>
      </c>
      <c r="L182" s="28"/>
    </row>
    <row r="183" spans="1:15" x14ac:dyDescent="0.35">
      <c r="A183" s="19"/>
      <c r="D183" s="121"/>
      <c r="E183" s="121"/>
      <c r="G183" s="116"/>
      <c r="I183" s="588" t="s">
        <v>871</v>
      </c>
      <c r="J183" s="675">
        <f>SUM(D6:D213)-SUM(E6:E213)</f>
        <v>14500</v>
      </c>
      <c r="K183" s="589"/>
      <c r="M183" s="103"/>
    </row>
    <row r="184" spans="1:15" x14ac:dyDescent="0.35">
      <c r="A184" s="92"/>
      <c r="F184" s="177"/>
      <c r="G184" s="116"/>
      <c r="I184" s="588" t="s">
        <v>872</v>
      </c>
      <c r="J184" s="675">
        <f>+J182-J183</f>
        <v>32975.42</v>
      </c>
      <c r="K184" s="589"/>
      <c r="L184" s="32"/>
      <c r="M184" s="33"/>
      <c r="N184" s="33"/>
    </row>
    <row r="185" spans="1:15" x14ac:dyDescent="0.3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3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35">
      <c r="A187" s="92"/>
      <c r="F187" s="177"/>
      <c r="G187" s="117"/>
      <c r="H187" s="34"/>
      <c r="I187" s="35"/>
      <c r="J187" s="132"/>
    </row>
    <row r="188" spans="1:15" x14ac:dyDescent="0.3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3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3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3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35">
      <c r="A192" s="92"/>
      <c r="F192" s="177"/>
      <c r="G192" s="117"/>
      <c r="H192" s="93"/>
      <c r="I192" s="38"/>
      <c r="J192" s="135"/>
    </row>
    <row r="193" spans="1:10" x14ac:dyDescent="0.35">
      <c r="A193" s="92"/>
      <c r="F193" s="177"/>
      <c r="G193" s="117"/>
      <c r="H193" s="93"/>
      <c r="I193" s="41"/>
      <c r="J193" s="136"/>
    </row>
    <row r="194" spans="1:10" x14ac:dyDescent="0.35">
      <c r="A194" s="92"/>
      <c r="F194" s="177"/>
      <c r="G194" s="117"/>
      <c r="H194" s="93"/>
      <c r="I194" s="41"/>
      <c r="J194" s="136"/>
    </row>
    <row r="195" spans="1:10" x14ac:dyDescent="0.35">
      <c r="A195" s="92"/>
      <c r="F195" s="177"/>
      <c r="G195" s="117"/>
      <c r="H195" s="93"/>
      <c r="I195" s="41"/>
      <c r="J195" s="136"/>
    </row>
    <row r="196" spans="1:10" x14ac:dyDescent="0.35">
      <c r="A196" s="92"/>
      <c r="F196" s="177"/>
      <c r="G196" s="117"/>
      <c r="H196" s="93"/>
      <c r="I196" s="41"/>
      <c r="J196" s="136"/>
    </row>
    <row r="197" spans="1:10" x14ac:dyDescent="0.35">
      <c r="A197" s="92"/>
      <c r="F197" s="177"/>
      <c r="G197" s="117"/>
      <c r="H197" s="93"/>
      <c r="I197" s="41"/>
      <c r="J197" s="136"/>
    </row>
    <row r="198" spans="1:10" x14ac:dyDescent="0.35">
      <c r="A198" s="92"/>
      <c r="F198" s="177"/>
      <c r="G198" s="117"/>
      <c r="H198" s="93"/>
      <c r="I198" s="41"/>
      <c r="J198" s="136"/>
    </row>
    <row r="199" spans="1:10" x14ac:dyDescent="0.35">
      <c r="A199" s="92"/>
      <c r="F199" s="177"/>
      <c r="G199" s="117"/>
      <c r="H199" s="93"/>
      <c r="I199" s="41"/>
      <c r="J199" s="136"/>
    </row>
    <row r="200" spans="1:10" x14ac:dyDescent="0.35">
      <c r="A200" s="92"/>
      <c r="F200" s="177"/>
      <c r="G200" s="117"/>
      <c r="H200" s="93"/>
      <c r="I200" s="41"/>
      <c r="J200" s="136"/>
    </row>
    <row r="201" spans="1:10" x14ac:dyDescent="0.35">
      <c r="A201" s="92"/>
      <c r="F201" s="177"/>
      <c r="G201" s="117"/>
      <c r="H201" s="93"/>
      <c r="I201" s="41"/>
      <c r="J201" s="136"/>
    </row>
    <row r="202" spans="1:10" x14ac:dyDescent="0.35">
      <c r="A202" s="92"/>
      <c r="F202" s="177"/>
      <c r="G202" s="117"/>
      <c r="H202" s="93"/>
      <c r="I202" s="41"/>
      <c r="J202" s="136"/>
    </row>
    <row r="203" spans="1:10" x14ac:dyDescent="0.35">
      <c r="A203" s="92"/>
      <c r="F203" s="177"/>
      <c r="G203" s="117"/>
      <c r="H203" s="93"/>
      <c r="I203" s="41"/>
      <c r="J203" s="136"/>
    </row>
    <row r="204" spans="1:10" x14ac:dyDescent="0.35">
      <c r="A204" s="92"/>
      <c r="F204" s="177"/>
      <c r="G204" s="117"/>
      <c r="H204" s="93"/>
      <c r="I204" s="41"/>
      <c r="J204" s="136"/>
    </row>
    <row r="205" spans="1:10" x14ac:dyDescent="0.35">
      <c r="A205" s="92"/>
      <c r="F205" s="177"/>
      <c r="G205" s="117"/>
      <c r="H205" s="93"/>
      <c r="I205" s="41"/>
      <c r="J205" s="136"/>
    </row>
    <row r="206" spans="1:10" x14ac:dyDescent="0.3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3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3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35">
      <c r="A209" s="92"/>
      <c r="F209" s="177"/>
      <c r="G209" s="117"/>
      <c r="H209" s="93"/>
      <c r="I209" s="41"/>
      <c r="J209" s="136"/>
    </row>
    <row r="210" spans="1:10" x14ac:dyDescent="0.35">
      <c r="A210" s="92"/>
      <c r="F210" s="177"/>
      <c r="G210" s="117"/>
      <c r="H210" s="93"/>
      <c r="I210" s="41"/>
      <c r="J210" s="136"/>
    </row>
    <row r="211" spans="1:10" x14ac:dyDescent="0.35">
      <c r="A211" s="92"/>
      <c r="F211" s="177"/>
      <c r="G211" s="117"/>
      <c r="H211" s="93"/>
      <c r="I211" s="41"/>
      <c r="J211" s="136"/>
    </row>
    <row r="212" spans="1:10" x14ac:dyDescent="0.35">
      <c r="A212" s="92"/>
      <c r="F212" s="177"/>
      <c r="G212" s="117"/>
      <c r="H212" s="93"/>
      <c r="I212" s="41"/>
      <c r="J212" s="136"/>
    </row>
    <row r="213" spans="1:10" x14ac:dyDescent="0.35">
      <c r="A213" s="92"/>
      <c r="F213" s="177"/>
      <c r="G213" s="117"/>
      <c r="H213" s="93"/>
      <c r="I213" s="41"/>
      <c r="J213" s="136"/>
    </row>
    <row r="214" spans="1:10" x14ac:dyDescent="0.35">
      <c r="A214" s="92"/>
      <c r="F214" s="177"/>
      <c r="G214" s="117"/>
      <c r="H214" s="93"/>
      <c r="I214" s="41"/>
      <c r="J214" s="136"/>
    </row>
    <row r="215" spans="1:10" x14ac:dyDescent="0.35">
      <c r="A215" s="92"/>
      <c r="F215" s="177"/>
      <c r="G215" s="117"/>
      <c r="H215" s="93"/>
      <c r="I215" s="41"/>
      <c r="J215" s="136"/>
    </row>
    <row r="216" spans="1:10" x14ac:dyDescent="0.35">
      <c r="A216" s="92"/>
      <c r="F216" s="177"/>
      <c r="G216" s="117"/>
      <c r="H216" s="93"/>
      <c r="I216" s="41"/>
      <c r="J216" s="136"/>
    </row>
    <row r="217" spans="1:10" x14ac:dyDescent="0.35">
      <c r="A217" s="92"/>
      <c r="F217" s="177"/>
      <c r="G217" s="117"/>
      <c r="H217" s="93"/>
      <c r="I217" s="41"/>
      <c r="J217" s="136"/>
    </row>
    <row r="218" spans="1:10" x14ac:dyDescent="0.35">
      <c r="A218" s="92"/>
      <c r="F218" s="177"/>
      <c r="G218" s="117"/>
      <c r="H218" s="93"/>
      <c r="I218" s="41"/>
      <c r="J218" s="136"/>
    </row>
    <row r="219" spans="1:10" x14ac:dyDescent="0.35">
      <c r="A219" s="92"/>
      <c r="F219" s="177"/>
      <c r="G219" s="117"/>
      <c r="H219" s="93"/>
      <c r="I219" s="41"/>
      <c r="J219" s="136"/>
    </row>
    <row r="220" spans="1:10" x14ac:dyDescent="0.35">
      <c r="A220" s="92"/>
      <c r="F220" s="177"/>
      <c r="G220" s="117"/>
      <c r="H220" s="93"/>
      <c r="I220" s="41"/>
      <c r="J220" s="136"/>
    </row>
    <row r="221" spans="1:10" x14ac:dyDescent="0.35">
      <c r="A221" s="92"/>
      <c r="F221" s="177"/>
      <c r="G221" s="117"/>
      <c r="H221" s="93"/>
      <c r="I221" s="41"/>
      <c r="J221" s="136"/>
    </row>
    <row r="222" spans="1:10" x14ac:dyDescent="0.35">
      <c r="A222" s="92"/>
      <c r="F222" s="177"/>
      <c r="G222" s="117"/>
      <c r="H222" s="93"/>
      <c r="I222" s="41"/>
      <c r="J222" s="136"/>
    </row>
    <row r="223" spans="1:10" x14ac:dyDescent="0.35">
      <c r="A223" s="92"/>
      <c r="F223" s="177"/>
      <c r="G223" s="117"/>
      <c r="H223" s="93"/>
      <c r="I223" s="41"/>
      <c r="J223" s="136"/>
    </row>
    <row r="224" spans="1:10" x14ac:dyDescent="0.35">
      <c r="A224" s="92"/>
      <c r="F224" s="177"/>
      <c r="G224" s="117"/>
      <c r="H224" s="93"/>
      <c r="I224" s="41"/>
      <c r="J224" s="136"/>
    </row>
    <row r="225" spans="1:10" x14ac:dyDescent="0.35">
      <c r="A225" s="92"/>
      <c r="F225" s="177"/>
      <c r="G225" s="117"/>
      <c r="H225" s="93"/>
      <c r="I225" s="41"/>
      <c r="J225" s="136"/>
    </row>
    <row r="226" spans="1:10" x14ac:dyDescent="0.35">
      <c r="A226" s="92"/>
      <c r="F226" s="177"/>
      <c r="G226" s="117"/>
      <c r="H226" s="93"/>
      <c r="I226" s="41"/>
      <c r="J226" s="136"/>
    </row>
    <row r="227" spans="1:10" x14ac:dyDescent="0.35">
      <c r="A227" s="92"/>
      <c r="F227" s="177"/>
      <c r="G227" s="117"/>
      <c r="H227" s="93"/>
      <c r="I227" s="41"/>
      <c r="J227" s="136"/>
    </row>
    <row r="228" spans="1:10" x14ac:dyDescent="0.35">
      <c r="A228" s="92"/>
      <c r="F228" s="177"/>
      <c r="G228" s="117"/>
      <c r="H228" s="93"/>
      <c r="I228" s="41"/>
      <c r="J228" s="136"/>
    </row>
    <row r="229" spans="1:10" x14ac:dyDescent="0.35">
      <c r="A229" s="92"/>
      <c r="F229" s="177"/>
      <c r="G229" s="117"/>
      <c r="H229" s="93"/>
      <c r="I229" s="41"/>
      <c r="J229" s="136"/>
    </row>
    <row r="230" spans="1:10" x14ac:dyDescent="0.35">
      <c r="A230" s="92"/>
      <c r="F230" s="177"/>
      <c r="G230" s="117"/>
      <c r="H230" s="93"/>
      <c r="I230" s="41"/>
      <c r="J230" s="136"/>
    </row>
    <row r="231" spans="1:10" x14ac:dyDescent="0.35">
      <c r="A231" s="92"/>
      <c r="F231" s="177"/>
      <c r="G231" s="117"/>
      <c r="H231" s="93"/>
      <c r="I231" s="41"/>
      <c r="J231" s="136"/>
    </row>
    <row r="232" spans="1:10" x14ac:dyDescent="0.35">
      <c r="A232" s="92"/>
      <c r="F232" s="177"/>
      <c r="G232" s="117"/>
      <c r="H232" s="93"/>
      <c r="I232" s="41"/>
      <c r="J232" s="136"/>
    </row>
    <row r="233" spans="1:10" x14ac:dyDescent="0.35">
      <c r="A233" s="92"/>
      <c r="F233" s="177"/>
      <c r="G233" s="117"/>
      <c r="H233" s="93"/>
      <c r="I233" s="41"/>
      <c r="J233" s="136"/>
    </row>
    <row r="234" spans="1:10" x14ac:dyDescent="0.35">
      <c r="A234" s="92"/>
      <c r="F234" s="177"/>
      <c r="G234" s="117"/>
      <c r="H234" s="93"/>
      <c r="I234" s="41"/>
      <c r="J234" s="136"/>
    </row>
    <row r="235" spans="1:10" x14ac:dyDescent="0.35">
      <c r="A235" s="92"/>
      <c r="F235" s="177"/>
      <c r="G235" s="117"/>
      <c r="H235" s="93"/>
      <c r="I235" s="41"/>
      <c r="J235" s="136"/>
    </row>
    <row r="236" spans="1:10" x14ac:dyDescent="0.35">
      <c r="A236" s="92"/>
      <c r="F236" s="177"/>
      <c r="G236" s="117"/>
      <c r="H236" s="93"/>
      <c r="I236" s="41"/>
      <c r="J236" s="136"/>
    </row>
    <row r="237" spans="1:10" x14ac:dyDescent="0.35">
      <c r="A237" s="92"/>
      <c r="F237" s="177"/>
      <c r="G237" s="117"/>
      <c r="H237" s="93"/>
      <c r="I237" s="41"/>
      <c r="J237" s="136"/>
    </row>
    <row r="238" spans="1:10" x14ac:dyDescent="0.35">
      <c r="A238" s="92"/>
      <c r="F238" s="177"/>
      <c r="G238" s="117"/>
      <c r="H238" s="93"/>
      <c r="I238" s="41"/>
      <c r="J238" s="136"/>
    </row>
    <row r="239" spans="1:10" x14ac:dyDescent="0.35">
      <c r="A239" s="92"/>
      <c r="F239" s="177"/>
      <c r="G239" s="117"/>
      <c r="H239" s="93"/>
      <c r="I239" s="41"/>
      <c r="J239" s="136"/>
    </row>
    <row r="240" spans="1:10" x14ac:dyDescent="0.35">
      <c r="A240" s="92"/>
      <c r="F240" s="177"/>
      <c r="G240" s="117"/>
      <c r="H240" s="93"/>
      <c r="I240" s="41"/>
      <c r="J240" s="136"/>
    </row>
    <row r="241" spans="1:10" x14ac:dyDescent="0.35">
      <c r="A241" s="92"/>
      <c r="F241" s="177"/>
      <c r="G241" s="117"/>
      <c r="H241" s="93"/>
      <c r="I241" s="41"/>
      <c r="J241" s="136"/>
    </row>
    <row r="242" spans="1:10" x14ac:dyDescent="0.35">
      <c r="A242" s="92"/>
      <c r="F242" s="177"/>
      <c r="G242" s="117"/>
      <c r="H242" s="93"/>
      <c r="I242" s="41"/>
      <c r="J242" s="136"/>
    </row>
    <row r="243" spans="1:10" x14ac:dyDescent="0.35">
      <c r="A243" s="92"/>
      <c r="F243" s="177"/>
      <c r="G243" s="117"/>
      <c r="H243" s="93"/>
      <c r="I243" s="41"/>
      <c r="J243" s="136"/>
    </row>
    <row r="244" spans="1:10" x14ac:dyDescent="0.35">
      <c r="A244" s="92"/>
      <c r="F244" s="177"/>
      <c r="G244" s="117"/>
      <c r="H244" s="93"/>
      <c r="I244" s="41"/>
      <c r="J244" s="136"/>
    </row>
    <row r="245" spans="1:10" x14ac:dyDescent="0.35">
      <c r="A245" s="92"/>
      <c r="F245" s="177"/>
      <c r="G245" s="117"/>
      <c r="H245" s="93"/>
      <c r="I245" s="41"/>
      <c r="J245" s="136"/>
    </row>
    <row r="246" spans="1:10" x14ac:dyDescent="0.35">
      <c r="A246" s="92"/>
      <c r="F246" s="177"/>
      <c r="G246" s="117"/>
      <c r="H246" s="93"/>
      <c r="I246" s="41"/>
      <c r="J246" s="136"/>
    </row>
    <row r="247" spans="1:10" x14ac:dyDescent="0.35">
      <c r="A247" s="92"/>
      <c r="F247" s="177"/>
      <c r="G247" s="117"/>
      <c r="H247" s="93"/>
      <c r="I247" s="41"/>
      <c r="J247" s="136"/>
    </row>
    <row r="248" spans="1:10" x14ac:dyDescent="0.35">
      <c r="A248" s="92"/>
      <c r="F248" s="177"/>
      <c r="G248" s="117"/>
      <c r="H248" s="93"/>
      <c r="I248" s="41"/>
      <c r="J248" s="136"/>
    </row>
    <row r="249" spans="1:10" x14ac:dyDescent="0.35">
      <c r="A249" s="92"/>
      <c r="F249" s="177"/>
      <c r="G249" s="117"/>
      <c r="H249" s="93"/>
      <c r="I249" s="41"/>
      <c r="J249" s="136"/>
    </row>
    <row r="250" spans="1:10" x14ac:dyDescent="0.35">
      <c r="A250" s="92"/>
      <c r="F250" s="177"/>
      <c r="G250" s="117"/>
      <c r="H250" s="93"/>
      <c r="I250" s="41"/>
      <c r="J250" s="136"/>
    </row>
    <row r="251" spans="1:10" x14ac:dyDescent="0.35">
      <c r="A251" s="92"/>
      <c r="F251" s="177"/>
      <c r="G251" s="117"/>
      <c r="H251" s="93"/>
      <c r="I251" s="41"/>
      <c r="J251" s="136"/>
    </row>
    <row r="252" spans="1:10" x14ac:dyDescent="0.35">
      <c r="A252" s="92"/>
      <c r="F252" s="177"/>
      <c r="G252" s="117"/>
      <c r="H252" s="93"/>
      <c r="I252" s="41"/>
      <c r="J252" s="136"/>
    </row>
    <row r="253" spans="1:10" x14ac:dyDescent="0.35">
      <c r="A253" s="92"/>
      <c r="F253" s="177"/>
      <c r="G253" s="117"/>
      <c r="H253" s="93"/>
      <c r="I253" s="41"/>
      <c r="J253" s="136"/>
    </row>
    <row r="254" spans="1:10" x14ac:dyDescent="0.35">
      <c r="A254" s="92"/>
      <c r="F254" s="177"/>
      <c r="G254" s="117"/>
      <c r="H254" s="93"/>
      <c r="I254" s="41"/>
      <c r="J254" s="136"/>
    </row>
    <row r="255" spans="1:10" x14ac:dyDescent="0.35">
      <c r="A255" s="92"/>
      <c r="F255" s="177"/>
      <c r="G255" s="117"/>
      <c r="H255" s="93"/>
      <c r="I255" s="41"/>
      <c r="J255" s="136"/>
    </row>
    <row r="256" spans="1:10" x14ac:dyDescent="0.35">
      <c r="A256" s="92"/>
      <c r="F256" s="177"/>
      <c r="G256" s="117"/>
      <c r="H256" s="93"/>
      <c r="I256" s="41"/>
      <c r="J256" s="136"/>
    </row>
    <row r="257" spans="1:10" x14ac:dyDescent="0.35">
      <c r="A257" s="92"/>
      <c r="F257" s="177"/>
      <c r="G257" s="117"/>
      <c r="H257" s="93"/>
      <c r="I257" s="41"/>
      <c r="J257" s="136"/>
    </row>
    <row r="258" spans="1:10" x14ac:dyDescent="0.35">
      <c r="A258" s="92"/>
      <c r="F258" s="177"/>
      <c r="G258" s="117"/>
      <c r="H258" s="93"/>
      <c r="I258" s="41"/>
      <c r="J258" s="136"/>
    </row>
    <row r="259" spans="1:10" x14ac:dyDescent="0.35">
      <c r="A259" s="92"/>
      <c r="F259" s="177"/>
      <c r="G259" s="117"/>
      <c r="H259" s="93"/>
      <c r="I259" s="41"/>
      <c r="J259" s="136"/>
    </row>
    <row r="260" spans="1:10" x14ac:dyDescent="0.35">
      <c r="A260" s="92"/>
      <c r="F260" s="177"/>
      <c r="G260" s="117"/>
      <c r="H260" s="93"/>
      <c r="I260" s="41"/>
      <c r="J260" s="136"/>
    </row>
    <row r="261" spans="1:10" x14ac:dyDescent="0.35">
      <c r="A261" s="92"/>
      <c r="F261" s="177"/>
      <c r="G261" s="117"/>
      <c r="H261" s="93"/>
      <c r="I261" s="41"/>
      <c r="J261" s="136"/>
    </row>
    <row r="262" spans="1:10" x14ac:dyDescent="0.35">
      <c r="A262" s="92"/>
      <c r="F262" s="177"/>
      <c r="G262" s="117"/>
      <c r="H262" s="93"/>
      <c r="I262" s="41"/>
      <c r="J262" s="136"/>
    </row>
    <row r="263" spans="1:10" x14ac:dyDescent="0.35">
      <c r="A263" s="92"/>
      <c r="F263" s="177"/>
      <c r="G263" s="117"/>
      <c r="H263" s="93"/>
      <c r="I263" s="41"/>
      <c r="J263" s="136"/>
    </row>
    <row r="264" spans="1:10" x14ac:dyDescent="0.35">
      <c r="A264" s="92"/>
      <c r="F264" s="177"/>
      <c r="G264" s="117"/>
      <c r="H264" s="93"/>
      <c r="I264" s="41"/>
      <c r="J264" s="136"/>
    </row>
    <row r="265" spans="1:10" x14ac:dyDescent="0.35">
      <c r="A265" s="92"/>
      <c r="F265" s="177"/>
      <c r="G265" s="117"/>
      <c r="H265" s="93"/>
      <c r="I265" s="41"/>
      <c r="J265" s="136"/>
    </row>
    <row r="266" spans="1:10" x14ac:dyDescent="0.35">
      <c r="A266" s="92"/>
      <c r="F266" s="177"/>
      <c r="G266" s="117"/>
      <c r="H266" s="93"/>
      <c r="I266" s="41"/>
      <c r="J266" s="136"/>
    </row>
    <row r="267" spans="1:10" x14ac:dyDescent="0.35">
      <c r="A267" s="92"/>
      <c r="F267" s="177"/>
      <c r="G267" s="117"/>
      <c r="H267" s="93"/>
      <c r="I267" s="41"/>
      <c r="J267" s="136"/>
    </row>
    <row r="268" spans="1:10" x14ac:dyDescent="0.35">
      <c r="A268" s="92"/>
      <c r="F268" s="177"/>
      <c r="G268" s="117"/>
      <c r="H268" s="93"/>
      <c r="I268" s="41"/>
      <c r="J268" s="136"/>
    </row>
    <row r="269" spans="1:10" x14ac:dyDescent="0.35">
      <c r="A269" s="92"/>
      <c r="F269" s="177"/>
      <c r="G269" s="117"/>
      <c r="H269" s="93"/>
      <c r="I269" s="41"/>
      <c r="J269" s="136"/>
    </row>
    <row r="270" spans="1:10" x14ac:dyDescent="0.35">
      <c r="A270" s="92"/>
      <c r="F270" s="177"/>
      <c r="G270" s="117"/>
      <c r="H270" s="93"/>
      <c r="I270" s="41"/>
      <c r="J270" s="136"/>
    </row>
    <row r="271" spans="1:10" x14ac:dyDescent="0.35">
      <c r="A271" s="92"/>
      <c r="F271" s="177"/>
      <c r="G271" s="117"/>
      <c r="H271" s="93"/>
      <c r="I271" s="41"/>
      <c r="J271" s="136"/>
    </row>
    <row r="272" spans="1:10" x14ac:dyDescent="0.35">
      <c r="A272" s="92"/>
      <c r="F272" s="177"/>
      <c r="G272" s="117"/>
      <c r="H272" s="93"/>
      <c r="I272" s="41"/>
      <c r="J272" s="136"/>
    </row>
    <row r="273" spans="1:10" x14ac:dyDescent="0.35">
      <c r="A273" s="92"/>
      <c r="F273" s="177"/>
      <c r="G273" s="117"/>
      <c r="H273" s="93"/>
      <c r="I273" s="41"/>
      <c r="J273" s="136"/>
    </row>
    <row r="274" spans="1:10" x14ac:dyDescent="0.35">
      <c r="A274" s="92"/>
      <c r="F274" s="177"/>
      <c r="G274" s="117"/>
      <c r="H274" s="93"/>
      <c r="I274" s="41"/>
      <c r="J274" s="136"/>
    </row>
    <row r="275" spans="1:10" x14ac:dyDescent="0.35">
      <c r="A275" s="92"/>
      <c r="F275" s="177"/>
      <c r="G275" s="117"/>
      <c r="H275" s="93"/>
      <c r="I275" s="41"/>
      <c r="J275" s="136"/>
    </row>
    <row r="276" spans="1:10" x14ac:dyDescent="0.35">
      <c r="A276" s="92"/>
      <c r="F276" s="177"/>
      <c r="G276" s="117"/>
      <c r="H276" s="93"/>
      <c r="I276" s="41"/>
      <c r="J276" s="136"/>
    </row>
    <row r="277" spans="1:10" x14ac:dyDescent="0.35">
      <c r="A277" s="92"/>
      <c r="F277" s="177"/>
      <c r="G277" s="117"/>
      <c r="H277" s="93"/>
      <c r="I277" s="41"/>
      <c r="J277" s="136"/>
    </row>
    <row r="278" spans="1:10" x14ac:dyDescent="0.35">
      <c r="A278" s="92"/>
      <c r="F278" s="177"/>
      <c r="G278" s="117"/>
      <c r="H278" s="93"/>
      <c r="I278" s="41"/>
      <c r="J278" s="136"/>
    </row>
    <row r="279" spans="1:10" x14ac:dyDescent="0.35">
      <c r="A279" s="92"/>
      <c r="F279" s="177"/>
      <c r="G279" s="117"/>
      <c r="H279" s="93"/>
      <c r="I279" s="41"/>
      <c r="J279" s="136"/>
    </row>
    <row r="280" spans="1:10" x14ac:dyDescent="0.35">
      <c r="A280" s="92"/>
      <c r="F280" s="177"/>
      <c r="G280" s="117"/>
      <c r="H280" s="93"/>
      <c r="I280" s="41"/>
      <c r="J280" s="136"/>
    </row>
    <row r="281" spans="1:10" x14ac:dyDescent="0.35">
      <c r="A281" s="92"/>
      <c r="F281" s="177"/>
      <c r="G281" s="117"/>
      <c r="H281" s="93"/>
      <c r="I281" s="41"/>
      <c r="J281" s="136"/>
    </row>
    <row r="282" spans="1:10" x14ac:dyDescent="0.35">
      <c r="A282" s="92"/>
      <c r="F282" s="177"/>
      <c r="G282" s="117"/>
      <c r="H282" s="93"/>
      <c r="I282" s="41"/>
      <c r="J282" s="136"/>
    </row>
    <row r="283" spans="1:10" x14ac:dyDescent="0.35">
      <c r="A283" s="92"/>
      <c r="F283" s="177"/>
      <c r="G283" s="117"/>
      <c r="H283" s="93"/>
      <c r="I283" s="41"/>
      <c r="J283" s="136"/>
    </row>
    <row r="284" spans="1:10" x14ac:dyDescent="0.35">
      <c r="A284" s="92"/>
      <c r="F284" s="177"/>
      <c r="G284" s="117"/>
      <c r="H284" s="93"/>
      <c r="I284" s="41"/>
      <c r="J284" s="136"/>
    </row>
    <row r="285" spans="1:10" x14ac:dyDescent="0.35">
      <c r="A285" s="92"/>
      <c r="F285" s="177"/>
      <c r="G285" s="117"/>
      <c r="H285" s="93"/>
      <c r="I285" s="41"/>
      <c r="J285" s="136"/>
    </row>
    <row r="286" spans="1:10" x14ac:dyDescent="0.35">
      <c r="A286" s="92"/>
      <c r="F286" s="177"/>
      <c r="G286" s="117"/>
      <c r="H286" s="93"/>
      <c r="I286" s="41"/>
      <c r="J286" s="136"/>
    </row>
    <row r="287" spans="1:10" x14ac:dyDescent="0.35">
      <c r="A287" s="92"/>
      <c r="F287" s="177"/>
      <c r="G287" s="117"/>
      <c r="H287" s="93"/>
      <c r="I287" s="41"/>
      <c r="J287" s="136"/>
    </row>
    <row r="288" spans="1:10" x14ac:dyDescent="0.35">
      <c r="A288" s="92"/>
      <c r="F288" s="177"/>
      <c r="G288" s="117"/>
      <c r="H288" s="93"/>
      <c r="I288" s="41"/>
      <c r="J288" s="136"/>
    </row>
    <row r="289" spans="1:10" x14ac:dyDescent="0.35">
      <c r="A289" s="92"/>
      <c r="F289" s="177"/>
      <c r="G289" s="117"/>
      <c r="H289" s="93"/>
      <c r="I289" s="41"/>
      <c r="J289" s="136"/>
    </row>
    <row r="290" spans="1:10" x14ac:dyDescent="0.35">
      <c r="A290" s="92"/>
      <c r="F290" s="177"/>
      <c r="G290" s="117"/>
      <c r="H290" s="93"/>
      <c r="I290" s="41"/>
      <c r="J290" s="136"/>
    </row>
    <row r="291" spans="1:10" x14ac:dyDescent="0.35">
      <c r="A291" s="92"/>
      <c r="F291" s="177"/>
      <c r="G291" s="117"/>
      <c r="H291" s="93"/>
      <c r="I291" s="41"/>
      <c r="J291" s="136"/>
    </row>
    <row r="292" spans="1:10" x14ac:dyDescent="0.35">
      <c r="A292" s="92"/>
      <c r="F292" s="177"/>
      <c r="G292" s="117"/>
      <c r="H292" s="93"/>
      <c r="I292" s="41"/>
      <c r="J292" s="136"/>
    </row>
    <row r="293" spans="1:10" x14ac:dyDescent="0.35">
      <c r="A293" s="92"/>
      <c r="F293" s="177"/>
      <c r="G293" s="117"/>
      <c r="H293" s="93"/>
      <c r="I293" s="41"/>
      <c r="J293" s="136"/>
    </row>
    <row r="294" spans="1:10" x14ac:dyDescent="0.35">
      <c r="A294" s="92"/>
      <c r="F294" s="177"/>
      <c r="G294" s="117"/>
      <c r="H294" s="93"/>
      <c r="I294" s="41"/>
      <c r="J294" s="136"/>
    </row>
    <row r="295" spans="1:10" x14ac:dyDescent="0.35">
      <c r="A295" s="92"/>
      <c r="F295" s="177"/>
      <c r="G295" s="117"/>
      <c r="H295" s="93"/>
      <c r="I295" s="41"/>
      <c r="J295" s="136"/>
    </row>
    <row r="296" spans="1:10" x14ac:dyDescent="0.35">
      <c r="A296" s="92"/>
      <c r="F296" s="177"/>
      <c r="G296" s="117"/>
      <c r="H296" s="93"/>
      <c r="I296" s="41"/>
      <c r="J296" s="136"/>
    </row>
    <row r="297" spans="1:10" x14ac:dyDescent="0.35">
      <c r="A297" s="92"/>
      <c r="F297" s="177"/>
      <c r="G297" s="117"/>
      <c r="H297" s="93"/>
      <c r="I297" s="41"/>
      <c r="J297" s="136"/>
    </row>
    <row r="298" spans="1:10" x14ac:dyDescent="0.35">
      <c r="A298" s="92"/>
      <c r="F298" s="177"/>
      <c r="G298" s="117"/>
      <c r="H298" s="93"/>
      <c r="I298" s="41"/>
      <c r="J298" s="136"/>
    </row>
    <row r="299" spans="1:10" x14ac:dyDescent="0.35">
      <c r="A299" s="92"/>
      <c r="F299" s="177"/>
      <c r="G299" s="117"/>
      <c r="H299" s="93"/>
      <c r="I299" s="41"/>
      <c r="J299" s="136"/>
    </row>
    <row r="300" spans="1:10" x14ac:dyDescent="0.35">
      <c r="A300" s="92"/>
      <c r="F300" s="177"/>
      <c r="G300" s="117"/>
      <c r="H300" s="93"/>
      <c r="I300" s="41"/>
      <c r="J300" s="136"/>
    </row>
    <row r="301" spans="1:10" x14ac:dyDescent="0.35">
      <c r="A301" s="92"/>
      <c r="F301" s="177"/>
      <c r="G301" s="117"/>
      <c r="H301" s="93"/>
      <c r="I301" s="41"/>
      <c r="J301" s="136"/>
    </row>
    <row r="302" spans="1:10" x14ac:dyDescent="0.35">
      <c r="A302" s="92"/>
      <c r="F302" s="177"/>
      <c r="G302" s="117"/>
      <c r="H302" s="93"/>
      <c r="I302" s="41"/>
      <c r="J302" s="136"/>
    </row>
    <row r="303" spans="1:10" x14ac:dyDescent="0.35">
      <c r="A303" s="92"/>
      <c r="F303" s="177"/>
      <c r="G303" s="117"/>
      <c r="H303" s="93"/>
      <c r="I303" s="41"/>
      <c r="J303" s="136"/>
    </row>
    <row r="304" spans="1:10" x14ac:dyDescent="0.35">
      <c r="A304" s="92"/>
      <c r="F304" s="177"/>
      <c r="G304" s="117"/>
      <c r="H304" s="93"/>
      <c r="I304" s="41"/>
      <c r="J304" s="136"/>
    </row>
    <row r="305" spans="1:10" x14ac:dyDescent="0.35">
      <c r="A305" s="92"/>
      <c r="F305" s="177"/>
      <c r="G305" s="117"/>
      <c r="H305" s="93"/>
      <c r="I305" s="41"/>
      <c r="J305" s="136"/>
    </row>
    <row r="306" spans="1:10" x14ac:dyDescent="0.35">
      <c r="A306" s="92"/>
      <c r="F306" s="177"/>
      <c r="G306" s="117"/>
      <c r="H306" s="93"/>
      <c r="I306" s="41"/>
      <c r="J306" s="136"/>
    </row>
    <row r="307" spans="1:10" x14ac:dyDescent="0.35">
      <c r="A307" s="92"/>
      <c r="F307" s="177"/>
      <c r="G307" s="117"/>
      <c r="H307" s="93"/>
      <c r="I307" s="41"/>
      <c r="J307" s="136"/>
    </row>
    <row r="308" spans="1:10" x14ac:dyDescent="0.35">
      <c r="A308" s="92"/>
      <c r="F308" s="177"/>
      <c r="G308" s="117"/>
      <c r="H308" s="93"/>
      <c r="I308" s="41"/>
      <c r="J308" s="136"/>
    </row>
    <row r="309" spans="1:10" x14ac:dyDescent="0.35">
      <c r="A309" s="92"/>
      <c r="F309" s="177"/>
      <c r="G309" s="117"/>
      <c r="H309" s="93"/>
      <c r="I309" s="41"/>
      <c r="J309" s="136"/>
    </row>
    <row r="310" spans="1:10" x14ac:dyDescent="0.35">
      <c r="A310" s="92"/>
      <c r="F310" s="177"/>
      <c r="G310" s="117"/>
      <c r="H310" s="93"/>
      <c r="I310" s="41"/>
      <c r="J310" s="136"/>
    </row>
    <row r="311" spans="1:10" x14ac:dyDescent="0.35">
      <c r="A311" s="92"/>
      <c r="F311" s="177"/>
      <c r="G311" s="117"/>
      <c r="H311" s="93"/>
      <c r="I311" s="41"/>
      <c r="J311" s="136"/>
    </row>
    <row r="312" spans="1:10" x14ac:dyDescent="0.35">
      <c r="A312" s="92"/>
      <c r="F312" s="177"/>
      <c r="G312" s="117"/>
      <c r="H312" s="93"/>
      <c r="I312" s="41"/>
      <c r="J312" s="136"/>
    </row>
    <row r="313" spans="1:10" x14ac:dyDescent="0.35">
      <c r="A313" s="92"/>
      <c r="F313" s="177"/>
      <c r="G313" s="117"/>
      <c r="H313" s="93"/>
      <c r="I313" s="41"/>
      <c r="J313" s="136"/>
    </row>
    <row r="314" spans="1:10" x14ac:dyDescent="0.35">
      <c r="A314" s="92"/>
      <c r="F314" s="177"/>
      <c r="G314" s="117"/>
      <c r="H314" s="93"/>
      <c r="I314" s="41"/>
      <c r="J314" s="136"/>
    </row>
    <row r="315" spans="1:10" x14ac:dyDescent="0.35">
      <c r="A315" s="92"/>
      <c r="F315" s="177"/>
      <c r="G315" s="117"/>
      <c r="H315" s="93"/>
      <c r="I315" s="41"/>
      <c r="J315" s="136"/>
    </row>
    <row r="316" spans="1:10" x14ac:dyDescent="0.35">
      <c r="A316" s="92"/>
      <c r="F316" s="177"/>
      <c r="G316" s="117"/>
      <c r="H316" s="93"/>
      <c r="I316" s="41"/>
      <c r="J316" s="136"/>
    </row>
    <row r="317" spans="1:10" x14ac:dyDescent="0.35">
      <c r="A317" s="92"/>
      <c r="F317" s="177"/>
      <c r="G317" s="117"/>
      <c r="H317" s="93"/>
      <c r="I317" s="41"/>
      <c r="J317" s="136"/>
    </row>
    <row r="318" spans="1:10" x14ac:dyDescent="0.35">
      <c r="A318" s="92"/>
      <c r="F318" s="177"/>
      <c r="G318" s="117"/>
      <c r="H318" s="93"/>
      <c r="I318" s="41"/>
      <c r="J318" s="136"/>
    </row>
    <row r="319" spans="1:10" x14ac:dyDescent="0.35">
      <c r="A319" s="92"/>
      <c r="F319" s="177"/>
      <c r="G319" s="117"/>
      <c r="H319" s="93"/>
      <c r="I319" s="41"/>
      <c r="J319" s="136"/>
    </row>
    <row r="320" spans="1:10" x14ac:dyDescent="0.35">
      <c r="A320" s="92"/>
      <c r="F320" s="177"/>
      <c r="G320" s="117"/>
      <c r="H320" s="93"/>
      <c r="I320" s="41"/>
      <c r="J320" s="136"/>
    </row>
    <row r="321" spans="1:10" x14ac:dyDescent="0.35">
      <c r="A321" s="92"/>
      <c r="F321" s="177"/>
      <c r="G321" s="117"/>
      <c r="H321" s="93"/>
      <c r="I321" s="41"/>
      <c r="J321" s="136"/>
    </row>
    <row r="322" spans="1:10" x14ac:dyDescent="0.35">
      <c r="A322" s="92"/>
      <c r="F322" s="177"/>
      <c r="G322" s="117"/>
      <c r="H322" s="93"/>
      <c r="I322" s="41"/>
      <c r="J322" s="136"/>
    </row>
    <row r="323" spans="1:10" x14ac:dyDescent="0.35">
      <c r="A323" s="92"/>
      <c r="F323" s="177"/>
      <c r="G323" s="117"/>
      <c r="H323" s="93"/>
      <c r="I323" s="41"/>
      <c r="J323" s="136"/>
    </row>
    <row r="324" spans="1:10" x14ac:dyDescent="0.35">
      <c r="A324" s="92"/>
      <c r="F324" s="177"/>
      <c r="G324" s="117"/>
      <c r="H324" s="93"/>
      <c r="I324" s="41"/>
      <c r="J324" s="136"/>
    </row>
    <row r="325" spans="1:10" x14ac:dyDescent="0.35">
      <c r="A325" s="92"/>
      <c r="F325" s="177"/>
      <c r="G325" s="117"/>
      <c r="H325" s="93"/>
      <c r="I325" s="41"/>
      <c r="J325" s="136"/>
    </row>
    <row r="326" spans="1:10" x14ac:dyDescent="0.35">
      <c r="A326" s="92"/>
      <c r="F326" s="177"/>
      <c r="G326" s="117"/>
      <c r="H326" s="93"/>
      <c r="I326" s="41"/>
      <c r="J326" s="136"/>
    </row>
    <row r="327" spans="1:10" x14ac:dyDescent="0.35">
      <c r="A327" s="92"/>
      <c r="F327" s="177"/>
      <c r="G327" s="117"/>
      <c r="H327" s="93"/>
      <c r="I327" s="41"/>
      <c r="J327" s="136"/>
    </row>
    <row r="328" spans="1:10" x14ac:dyDescent="0.35">
      <c r="A328" s="92"/>
      <c r="F328" s="177"/>
      <c r="G328" s="117"/>
      <c r="H328" s="93"/>
      <c r="I328" s="41"/>
      <c r="J328" s="136"/>
    </row>
    <row r="329" spans="1:10" x14ac:dyDescent="0.35">
      <c r="A329" s="92"/>
      <c r="F329" s="177"/>
      <c r="G329" s="117"/>
      <c r="H329" s="93"/>
      <c r="I329" s="41"/>
      <c r="J329" s="136"/>
    </row>
    <row r="330" spans="1:10" x14ac:dyDescent="0.35">
      <c r="A330" s="92"/>
      <c r="F330" s="177"/>
      <c r="G330" s="117"/>
      <c r="H330" s="93"/>
      <c r="I330" s="41"/>
      <c r="J330" s="136"/>
    </row>
    <row r="331" spans="1:10" x14ac:dyDescent="0.35">
      <c r="A331" s="92"/>
      <c r="F331" s="177"/>
      <c r="G331" s="117"/>
      <c r="H331" s="93"/>
      <c r="I331" s="41"/>
      <c r="J331" s="136"/>
    </row>
    <row r="332" spans="1:10" x14ac:dyDescent="0.35">
      <c r="A332" s="92"/>
      <c r="F332" s="177"/>
      <c r="G332" s="117"/>
      <c r="H332" s="93"/>
      <c r="I332" s="41"/>
      <c r="J332" s="136"/>
    </row>
    <row r="333" spans="1:10" x14ac:dyDescent="0.35">
      <c r="A333" s="92"/>
      <c r="F333" s="177"/>
      <c r="G333" s="117"/>
      <c r="H333" s="93"/>
      <c r="I333" s="41"/>
      <c r="J333" s="136"/>
    </row>
    <row r="334" spans="1:10" x14ac:dyDescent="0.35">
      <c r="A334" s="92"/>
      <c r="F334" s="177"/>
      <c r="G334" s="117"/>
      <c r="H334" s="93"/>
      <c r="I334" s="41"/>
      <c r="J334" s="136"/>
    </row>
    <row r="335" spans="1:10" x14ac:dyDescent="0.35">
      <c r="A335" s="92"/>
      <c r="F335" s="177"/>
      <c r="G335" s="117"/>
      <c r="H335" s="93"/>
      <c r="I335" s="41"/>
      <c r="J335" s="136"/>
    </row>
    <row r="336" spans="1:10" x14ac:dyDescent="0.35">
      <c r="A336" s="92"/>
      <c r="F336" s="177"/>
      <c r="G336" s="117"/>
      <c r="H336" s="93"/>
      <c r="I336" s="41"/>
      <c r="J336" s="136"/>
    </row>
    <row r="337" spans="1:10" x14ac:dyDescent="0.35">
      <c r="A337" s="92"/>
      <c r="F337" s="177"/>
      <c r="G337" s="117"/>
      <c r="H337" s="93"/>
      <c r="I337" s="41"/>
      <c r="J337" s="136"/>
    </row>
    <row r="338" spans="1:10" x14ac:dyDescent="0.35">
      <c r="A338" s="92"/>
      <c r="F338" s="177"/>
      <c r="G338" s="117"/>
      <c r="H338" s="93"/>
      <c r="I338" s="41"/>
      <c r="J338" s="136"/>
    </row>
    <row r="339" spans="1:10" x14ac:dyDescent="0.35">
      <c r="A339" s="92"/>
      <c r="F339" s="177"/>
      <c r="G339" s="117"/>
      <c r="H339" s="93"/>
      <c r="I339" s="41"/>
      <c r="J339" s="136"/>
    </row>
    <row r="340" spans="1:10" x14ac:dyDescent="0.35">
      <c r="A340" s="92"/>
      <c r="F340" s="177"/>
      <c r="G340" s="117"/>
      <c r="H340" s="93"/>
      <c r="I340" s="41"/>
      <c r="J340" s="136"/>
    </row>
    <row r="341" spans="1:10" x14ac:dyDescent="0.35">
      <c r="A341" s="92"/>
      <c r="F341" s="177"/>
      <c r="G341" s="117"/>
      <c r="H341" s="93"/>
      <c r="I341" s="41"/>
      <c r="J341" s="136"/>
    </row>
    <row r="342" spans="1:10" x14ac:dyDescent="0.35">
      <c r="A342" s="92"/>
      <c r="F342" s="177"/>
      <c r="G342" s="117"/>
      <c r="H342" s="93"/>
      <c r="I342" s="41"/>
      <c r="J342" s="136"/>
    </row>
    <row r="343" spans="1:10" x14ac:dyDescent="0.35">
      <c r="A343" s="92"/>
      <c r="F343" s="177"/>
      <c r="G343" s="117"/>
      <c r="H343" s="93"/>
      <c r="I343" s="41"/>
      <c r="J343" s="136"/>
    </row>
    <row r="344" spans="1:10" x14ac:dyDescent="0.35">
      <c r="A344" s="92"/>
      <c r="F344" s="177"/>
      <c r="G344" s="117"/>
      <c r="H344" s="93"/>
      <c r="I344" s="41"/>
      <c r="J344" s="136"/>
    </row>
    <row r="345" spans="1:10" x14ac:dyDescent="0.35">
      <c r="A345" s="92"/>
      <c r="F345" s="177"/>
      <c r="G345" s="117"/>
      <c r="H345" s="93"/>
      <c r="I345" s="41"/>
      <c r="J345" s="136"/>
    </row>
    <row r="346" spans="1:10" x14ac:dyDescent="0.35">
      <c r="A346" s="92"/>
      <c r="F346" s="177"/>
      <c r="G346" s="117"/>
      <c r="H346" s="93"/>
      <c r="I346" s="41"/>
      <c r="J346" s="136"/>
    </row>
    <row r="347" spans="1:10" x14ac:dyDescent="0.35">
      <c r="A347" s="92"/>
      <c r="F347" s="177"/>
      <c r="G347" s="117"/>
      <c r="H347" s="93"/>
      <c r="I347" s="41"/>
      <c r="J347" s="136"/>
    </row>
    <row r="348" spans="1:10" x14ac:dyDescent="0.35">
      <c r="A348" s="92"/>
      <c r="F348" s="177"/>
      <c r="G348" s="117"/>
      <c r="H348" s="93"/>
      <c r="I348" s="41"/>
      <c r="J348" s="136"/>
    </row>
    <row r="349" spans="1:10" x14ac:dyDescent="0.35">
      <c r="A349" s="92"/>
      <c r="F349" s="177"/>
      <c r="G349" s="117"/>
      <c r="H349" s="93"/>
      <c r="I349" s="41"/>
      <c r="J349" s="136"/>
    </row>
    <row r="350" spans="1:10" x14ac:dyDescent="0.35">
      <c r="A350" s="92"/>
      <c r="F350" s="177"/>
      <c r="G350" s="117"/>
      <c r="H350" s="93"/>
      <c r="I350" s="41"/>
      <c r="J350" s="136"/>
    </row>
    <row r="351" spans="1:10" x14ac:dyDescent="0.35">
      <c r="A351" s="92"/>
      <c r="F351" s="177"/>
      <c r="G351" s="117"/>
      <c r="H351" s="93"/>
      <c r="I351" s="41"/>
      <c r="J351" s="136"/>
    </row>
    <row r="352" spans="1:10" x14ac:dyDescent="0.35">
      <c r="A352" s="92"/>
      <c r="F352" s="177"/>
      <c r="G352" s="117"/>
      <c r="H352" s="93"/>
      <c r="I352" s="41"/>
      <c r="J352" s="136"/>
    </row>
    <row r="353" spans="1:10" x14ac:dyDescent="0.35">
      <c r="A353" s="92"/>
      <c r="F353" s="177"/>
      <c r="G353" s="117"/>
      <c r="H353" s="93"/>
      <c r="I353" s="41"/>
      <c r="J353" s="136"/>
    </row>
    <row r="354" spans="1:10" x14ac:dyDescent="0.35">
      <c r="A354" s="92"/>
      <c r="F354" s="177"/>
      <c r="G354" s="117"/>
      <c r="H354" s="93"/>
      <c r="I354" s="41"/>
      <c r="J354" s="136"/>
    </row>
    <row r="355" spans="1:10" x14ac:dyDescent="0.35">
      <c r="A355" s="92"/>
      <c r="F355" s="177"/>
      <c r="G355" s="117"/>
      <c r="H355" s="93"/>
      <c r="I355" s="41"/>
      <c r="J355" s="136"/>
    </row>
    <row r="356" spans="1:10" x14ac:dyDescent="0.35">
      <c r="A356" s="92"/>
      <c r="F356" s="177"/>
      <c r="G356" s="117"/>
      <c r="H356" s="93"/>
      <c r="I356" s="41"/>
      <c r="J356" s="136"/>
    </row>
    <row r="357" spans="1:10" x14ac:dyDescent="0.35">
      <c r="A357" s="92"/>
      <c r="F357" s="177"/>
      <c r="G357" s="117"/>
      <c r="H357" s="93"/>
      <c r="I357" s="41"/>
      <c r="J357" s="136"/>
    </row>
    <row r="358" spans="1:10" x14ac:dyDescent="0.35">
      <c r="A358" s="92"/>
      <c r="F358" s="177"/>
      <c r="G358" s="117"/>
      <c r="H358" s="93"/>
      <c r="I358" s="41"/>
      <c r="J358" s="136"/>
    </row>
    <row r="359" spans="1:10" x14ac:dyDescent="0.35">
      <c r="A359" s="92"/>
      <c r="F359" s="177"/>
      <c r="G359" s="117"/>
      <c r="H359" s="93"/>
      <c r="I359" s="41"/>
      <c r="J359" s="136"/>
    </row>
    <row r="360" spans="1:10" x14ac:dyDescent="0.35">
      <c r="A360" s="92"/>
      <c r="F360" s="177"/>
      <c r="G360" s="117"/>
      <c r="H360" s="93"/>
      <c r="I360" s="41"/>
      <c r="J360" s="136"/>
    </row>
    <row r="361" spans="1:10" x14ac:dyDescent="0.35">
      <c r="A361" s="92"/>
      <c r="F361" s="177"/>
      <c r="G361" s="117"/>
      <c r="H361" s="93"/>
      <c r="I361" s="41"/>
      <c r="J361" s="136"/>
    </row>
    <row r="362" spans="1:10" x14ac:dyDescent="0.35">
      <c r="A362" s="92"/>
      <c r="F362" s="177"/>
      <c r="G362" s="117"/>
      <c r="H362" s="93"/>
      <c r="I362" s="41"/>
      <c r="J362" s="136"/>
    </row>
    <row r="363" spans="1:10" x14ac:dyDescent="0.35">
      <c r="A363" s="92"/>
      <c r="F363" s="177"/>
      <c r="G363" s="117"/>
      <c r="H363" s="93"/>
      <c r="I363" s="41"/>
      <c r="J363" s="136"/>
    </row>
    <row r="364" spans="1:10" x14ac:dyDescent="0.35">
      <c r="A364" s="92"/>
      <c r="F364" s="177"/>
      <c r="G364" s="117"/>
      <c r="H364" s="93"/>
      <c r="I364" s="41"/>
      <c r="J364" s="136"/>
    </row>
    <row r="365" spans="1:10" x14ac:dyDescent="0.35">
      <c r="A365" s="92"/>
      <c r="F365" s="177"/>
      <c r="G365" s="117"/>
      <c r="H365" s="93"/>
      <c r="I365" s="41"/>
      <c r="J365" s="136"/>
    </row>
    <row r="366" spans="1:10" x14ac:dyDescent="0.35">
      <c r="A366" s="92"/>
      <c r="F366" s="177"/>
      <c r="G366" s="117"/>
      <c r="H366" s="93"/>
      <c r="I366" s="41"/>
      <c r="J366" s="136"/>
    </row>
    <row r="367" spans="1:10" x14ac:dyDescent="0.35">
      <c r="A367" s="92"/>
      <c r="F367" s="177"/>
      <c r="G367" s="117"/>
      <c r="H367" s="93"/>
      <c r="I367" s="41"/>
      <c r="J367" s="136"/>
    </row>
    <row r="368" spans="1:10" x14ac:dyDescent="0.35">
      <c r="A368" s="92"/>
      <c r="F368" s="177"/>
      <c r="G368" s="117"/>
      <c r="H368" s="93"/>
      <c r="I368" s="41"/>
      <c r="J368" s="136"/>
    </row>
    <row r="369" spans="1:10" x14ac:dyDescent="0.35">
      <c r="A369" s="92"/>
      <c r="F369" s="177"/>
      <c r="G369" s="117"/>
      <c r="H369" s="93"/>
      <c r="I369" s="41"/>
      <c r="J369" s="136"/>
    </row>
    <row r="370" spans="1:10" x14ac:dyDescent="0.35">
      <c r="A370" s="92"/>
      <c r="F370" s="177"/>
      <c r="G370" s="117"/>
      <c r="H370" s="93"/>
      <c r="I370" s="41"/>
      <c r="J370" s="136"/>
    </row>
    <row r="371" spans="1:10" x14ac:dyDescent="0.35">
      <c r="A371" s="92"/>
      <c r="F371" s="177"/>
      <c r="G371" s="117"/>
      <c r="H371" s="93"/>
      <c r="I371" s="41"/>
      <c r="J371" s="136"/>
    </row>
    <row r="372" spans="1:10" x14ac:dyDescent="0.35">
      <c r="A372" s="92"/>
      <c r="F372" s="177"/>
      <c r="G372" s="117"/>
      <c r="H372" s="93"/>
      <c r="I372" s="41"/>
      <c r="J372" s="136"/>
    </row>
    <row r="373" spans="1:10" x14ac:dyDescent="0.35">
      <c r="A373" s="92"/>
      <c r="F373" s="177"/>
      <c r="G373" s="117"/>
      <c r="H373" s="93"/>
      <c r="I373" s="41"/>
      <c r="J373" s="136"/>
    </row>
    <row r="374" spans="1:10" x14ac:dyDescent="0.35">
      <c r="A374" s="92"/>
      <c r="F374" s="177"/>
      <c r="G374" s="117"/>
      <c r="H374" s="93"/>
      <c r="I374" s="41"/>
      <c r="J374" s="136"/>
    </row>
    <row r="375" spans="1:10" x14ac:dyDescent="0.35">
      <c r="A375" s="92"/>
      <c r="F375" s="177"/>
      <c r="G375" s="117"/>
      <c r="H375" s="93"/>
      <c r="I375" s="41"/>
      <c r="J375" s="136"/>
    </row>
    <row r="376" spans="1:10" x14ac:dyDescent="0.35">
      <c r="A376" s="92"/>
      <c r="F376" s="177"/>
      <c r="G376" s="117"/>
      <c r="H376" s="93"/>
      <c r="I376" s="41"/>
      <c r="J376" s="136"/>
    </row>
    <row r="377" spans="1:10" x14ac:dyDescent="0.35">
      <c r="A377" s="92"/>
      <c r="F377" s="177"/>
      <c r="G377" s="117"/>
      <c r="H377" s="93"/>
      <c r="I377" s="41"/>
      <c r="J377" s="136"/>
    </row>
    <row r="378" spans="1:10" x14ac:dyDescent="0.35">
      <c r="A378" s="92"/>
      <c r="F378" s="177"/>
      <c r="G378" s="117"/>
      <c r="H378" s="93"/>
      <c r="I378" s="41"/>
      <c r="J378" s="136"/>
    </row>
    <row r="379" spans="1:10" x14ac:dyDescent="0.35">
      <c r="A379" s="92"/>
      <c r="F379" s="177"/>
      <c r="G379" s="117"/>
      <c r="H379" s="93"/>
      <c r="I379" s="41"/>
      <c r="J379" s="136"/>
    </row>
    <row r="380" spans="1:10" x14ac:dyDescent="0.35">
      <c r="A380" s="92"/>
      <c r="F380" s="177"/>
      <c r="G380" s="117"/>
      <c r="H380" s="93"/>
      <c r="I380" s="41"/>
      <c r="J380" s="136"/>
    </row>
    <row r="381" spans="1:10" x14ac:dyDescent="0.35">
      <c r="A381" s="92"/>
      <c r="F381" s="177"/>
      <c r="G381" s="117"/>
      <c r="H381" s="93"/>
      <c r="I381" s="41"/>
      <c r="J381" s="136"/>
    </row>
    <row r="382" spans="1:10" x14ac:dyDescent="0.35">
      <c r="A382" s="92"/>
      <c r="F382" s="177"/>
      <c r="G382" s="117"/>
      <c r="H382" s="93"/>
      <c r="I382" s="41"/>
      <c r="J382" s="136"/>
    </row>
    <row r="383" spans="1:10" x14ac:dyDescent="0.35">
      <c r="A383" s="92"/>
      <c r="F383" s="177"/>
      <c r="G383" s="117"/>
      <c r="H383" s="93"/>
      <c r="I383" s="41"/>
      <c r="J383" s="136"/>
    </row>
    <row r="384" spans="1:10" x14ac:dyDescent="0.35">
      <c r="A384" s="92"/>
      <c r="F384" s="177"/>
      <c r="G384" s="117"/>
      <c r="H384" s="93"/>
      <c r="I384" s="41"/>
      <c r="J384" s="136"/>
    </row>
    <row r="385" spans="1:10" x14ac:dyDescent="0.35">
      <c r="A385" s="92"/>
      <c r="F385" s="177"/>
      <c r="G385" s="117"/>
      <c r="H385" s="93"/>
      <c r="I385" s="41"/>
      <c r="J385" s="136"/>
    </row>
    <row r="386" spans="1:10" x14ac:dyDescent="0.35">
      <c r="A386" s="92"/>
      <c r="F386" s="177"/>
      <c r="G386" s="117"/>
      <c r="H386" s="93"/>
      <c r="I386" s="41"/>
      <c r="J386" s="136"/>
    </row>
    <row r="387" spans="1:10" x14ac:dyDescent="0.35">
      <c r="A387" s="92"/>
      <c r="F387" s="177"/>
      <c r="G387" s="117"/>
      <c r="H387" s="93"/>
      <c r="I387" s="41"/>
      <c r="J387" s="136"/>
    </row>
    <row r="388" spans="1:10" x14ac:dyDescent="0.35">
      <c r="A388" s="92"/>
      <c r="F388" s="177"/>
      <c r="G388" s="117"/>
      <c r="H388" s="93"/>
      <c r="I388" s="41"/>
      <c r="J388" s="136"/>
    </row>
    <row r="389" spans="1:10" x14ac:dyDescent="0.35">
      <c r="A389" s="92"/>
      <c r="F389" s="177"/>
      <c r="G389" s="117"/>
      <c r="H389" s="93"/>
      <c r="I389" s="41"/>
      <c r="J389" s="136"/>
    </row>
    <row r="390" spans="1:10" x14ac:dyDescent="0.35">
      <c r="A390" s="92"/>
      <c r="F390" s="177"/>
      <c r="G390" s="117"/>
      <c r="H390" s="93"/>
      <c r="I390" s="41"/>
      <c r="J390" s="136"/>
    </row>
    <row r="391" spans="1:10" x14ac:dyDescent="0.35">
      <c r="A391" s="92"/>
      <c r="F391" s="177"/>
      <c r="G391" s="117"/>
      <c r="H391" s="93"/>
      <c r="I391" s="41"/>
      <c r="J391" s="136"/>
    </row>
    <row r="392" spans="1:10" x14ac:dyDescent="0.35">
      <c r="A392" s="92"/>
      <c r="F392" s="177"/>
      <c r="G392" s="117"/>
      <c r="H392" s="93"/>
      <c r="I392" s="41"/>
      <c r="J392" s="136"/>
    </row>
    <row r="393" spans="1:10" x14ac:dyDescent="0.35">
      <c r="A393" s="92"/>
      <c r="F393" s="177"/>
      <c r="G393" s="117"/>
      <c r="H393" s="93"/>
      <c r="I393" s="41"/>
      <c r="J393" s="136"/>
    </row>
    <row r="394" spans="1:10" x14ac:dyDescent="0.35">
      <c r="A394" s="92"/>
      <c r="F394" s="177"/>
      <c r="G394" s="117"/>
      <c r="H394" s="93"/>
      <c r="I394" s="41"/>
      <c r="J394" s="136"/>
    </row>
    <row r="395" spans="1:10" x14ac:dyDescent="0.35">
      <c r="A395" s="92"/>
      <c r="F395" s="177"/>
      <c r="G395" s="117"/>
      <c r="H395" s="93"/>
      <c r="I395" s="41"/>
      <c r="J395" s="136"/>
    </row>
    <row r="396" spans="1:10" x14ac:dyDescent="0.35">
      <c r="A396" s="92"/>
      <c r="F396" s="177"/>
      <c r="G396" s="117"/>
      <c r="H396" s="93"/>
      <c r="I396" s="41"/>
      <c r="J396" s="136"/>
    </row>
    <row r="397" spans="1:10" x14ac:dyDescent="0.35">
      <c r="A397" s="92"/>
      <c r="F397" s="177"/>
      <c r="G397" s="117"/>
      <c r="H397" s="93"/>
      <c r="I397" s="41"/>
      <c r="J397" s="136"/>
    </row>
    <row r="398" spans="1:10" x14ac:dyDescent="0.35">
      <c r="A398" s="92"/>
      <c r="F398" s="177"/>
      <c r="G398" s="117"/>
      <c r="H398" s="93"/>
      <c r="I398" s="41"/>
      <c r="J398" s="136"/>
    </row>
    <row r="399" spans="1:10" x14ac:dyDescent="0.35">
      <c r="A399" s="92"/>
      <c r="F399" s="177"/>
      <c r="G399" s="117"/>
      <c r="H399" s="93"/>
      <c r="I399" s="41"/>
      <c r="J399" s="136"/>
    </row>
    <row r="400" spans="1:10" x14ac:dyDescent="0.35">
      <c r="A400" s="92"/>
      <c r="F400" s="177"/>
      <c r="G400" s="117"/>
      <c r="H400" s="93"/>
      <c r="I400" s="41"/>
      <c r="J400" s="136"/>
    </row>
    <row r="401" spans="1:10" x14ac:dyDescent="0.35">
      <c r="A401" s="92"/>
      <c r="F401" s="177"/>
      <c r="G401" s="117"/>
      <c r="H401" s="93"/>
      <c r="I401" s="41"/>
      <c r="J401" s="136"/>
    </row>
    <row r="402" spans="1:10" x14ac:dyDescent="0.35">
      <c r="A402" s="92"/>
      <c r="F402" s="177"/>
      <c r="G402" s="117"/>
      <c r="H402" s="93"/>
      <c r="I402" s="41"/>
      <c r="J402" s="136"/>
    </row>
    <row r="403" spans="1:10" x14ac:dyDescent="0.35">
      <c r="A403" s="92"/>
      <c r="F403" s="177"/>
      <c r="G403" s="117"/>
      <c r="H403" s="93"/>
      <c r="I403" s="41"/>
      <c r="J403" s="136"/>
    </row>
    <row r="404" spans="1:10" x14ac:dyDescent="0.35">
      <c r="A404" s="92"/>
      <c r="F404" s="177"/>
      <c r="G404" s="117"/>
      <c r="H404" s="93"/>
      <c r="I404" s="41"/>
      <c r="J404" s="136"/>
    </row>
    <row r="405" spans="1:10" x14ac:dyDescent="0.35">
      <c r="A405" s="92"/>
      <c r="F405" s="177"/>
      <c r="G405" s="117"/>
      <c r="H405" s="93"/>
      <c r="I405" s="41"/>
      <c r="J405" s="136"/>
    </row>
    <row r="406" spans="1:10" x14ac:dyDescent="0.35">
      <c r="A406" s="92"/>
      <c r="F406" s="177"/>
      <c r="G406" s="117"/>
      <c r="H406" s="93"/>
      <c r="I406" s="41"/>
      <c r="J406" s="136"/>
    </row>
    <row r="407" spans="1:10" x14ac:dyDescent="0.35">
      <c r="A407" s="92"/>
      <c r="F407" s="177"/>
      <c r="G407" s="117"/>
      <c r="H407" s="93"/>
      <c r="I407" s="41"/>
      <c r="J407" s="136"/>
    </row>
    <row r="408" spans="1:10" x14ac:dyDescent="0.35">
      <c r="A408" s="92"/>
      <c r="F408" s="177"/>
      <c r="G408" s="117"/>
      <c r="H408" s="93"/>
      <c r="I408" s="41"/>
      <c r="J408" s="136"/>
    </row>
    <row r="409" spans="1:10" x14ac:dyDescent="0.35">
      <c r="A409" s="92"/>
      <c r="F409" s="177"/>
      <c r="G409" s="117"/>
      <c r="H409" s="93"/>
      <c r="I409" s="41"/>
      <c r="J409" s="136"/>
    </row>
    <row r="410" spans="1:10" x14ac:dyDescent="0.35">
      <c r="A410" s="92"/>
      <c r="F410" s="177"/>
      <c r="G410" s="117"/>
      <c r="H410" s="93"/>
      <c r="I410" s="41"/>
      <c r="J410" s="136"/>
    </row>
    <row r="411" spans="1:10" x14ac:dyDescent="0.35">
      <c r="A411" s="92"/>
      <c r="F411" s="177"/>
      <c r="G411" s="117"/>
      <c r="H411" s="93"/>
      <c r="I411" s="41"/>
      <c r="J411" s="136"/>
    </row>
    <row r="412" spans="1:10" x14ac:dyDescent="0.35">
      <c r="A412" s="92"/>
      <c r="F412" s="177"/>
      <c r="G412" s="117"/>
      <c r="H412" s="93"/>
      <c r="I412" s="41"/>
      <c r="J412" s="136"/>
    </row>
    <row r="413" spans="1:10" x14ac:dyDescent="0.35">
      <c r="A413" s="92"/>
      <c r="F413" s="177"/>
      <c r="G413" s="117"/>
      <c r="H413" s="93"/>
      <c r="I413" s="41"/>
      <c r="J413" s="136"/>
    </row>
    <row r="414" spans="1:10" x14ac:dyDescent="0.35">
      <c r="A414" s="92"/>
      <c r="F414" s="177"/>
      <c r="G414" s="117"/>
      <c r="H414" s="93"/>
      <c r="I414" s="41"/>
      <c r="J414" s="136"/>
    </row>
    <row r="415" spans="1:10" x14ac:dyDescent="0.35">
      <c r="A415" s="92"/>
      <c r="F415" s="177"/>
      <c r="G415" s="117"/>
      <c r="H415" s="93"/>
      <c r="I415" s="41"/>
      <c r="J415" s="136"/>
    </row>
    <row r="416" spans="1:10" x14ac:dyDescent="0.35">
      <c r="A416" s="92"/>
      <c r="F416" s="177"/>
      <c r="G416" s="117"/>
      <c r="H416" s="93"/>
      <c r="I416" s="41"/>
      <c r="J416" s="136"/>
    </row>
    <row r="417" spans="1:10" x14ac:dyDescent="0.35">
      <c r="A417" s="92"/>
      <c r="F417" s="177"/>
      <c r="G417" s="117"/>
      <c r="H417" s="93"/>
      <c r="I417" s="41"/>
      <c r="J417" s="136"/>
    </row>
    <row r="418" spans="1:10" x14ac:dyDescent="0.35">
      <c r="A418" s="92"/>
      <c r="F418" s="177"/>
      <c r="G418" s="117"/>
      <c r="H418" s="93"/>
      <c r="I418" s="41"/>
      <c r="J418" s="136"/>
    </row>
    <row r="419" spans="1:10" x14ac:dyDescent="0.35">
      <c r="A419" s="92"/>
      <c r="F419" s="177"/>
      <c r="G419" s="117"/>
      <c r="H419" s="93"/>
      <c r="I419" s="41"/>
      <c r="J419" s="136"/>
    </row>
    <row r="420" spans="1:10" x14ac:dyDescent="0.35">
      <c r="A420" s="92"/>
      <c r="F420" s="177"/>
      <c r="G420" s="117"/>
      <c r="H420" s="93"/>
      <c r="I420" s="41"/>
      <c r="J420" s="136"/>
    </row>
    <row r="421" spans="1:10" x14ac:dyDescent="0.35">
      <c r="A421" s="92"/>
      <c r="F421" s="177"/>
      <c r="G421" s="117"/>
      <c r="H421" s="93"/>
      <c r="I421" s="41"/>
      <c r="J421" s="136"/>
    </row>
    <row r="422" spans="1:10" x14ac:dyDescent="0.35">
      <c r="A422" s="92"/>
      <c r="F422" s="177"/>
      <c r="G422" s="117"/>
      <c r="H422" s="93"/>
      <c r="I422" s="41"/>
      <c r="J422" s="136"/>
    </row>
    <row r="423" spans="1:10" x14ac:dyDescent="0.35">
      <c r="A423" s="92"/>
      <c r="F423" s="177"/>
      <c r="G423" s="117"/>
      <c r="H423" s="93"/>
      <c r="I423" s="41"/>
      <c r="J423" s="136"/>
    </row>
    <row r="424" spans="1:10" x14ac:dyDescent="0.35">
      <c r="A424" s="92"/>
      <c r="F424" s="177"/>
      <c r="G424" s="117"/>
      <c r="H424" s="93"/>
      <c r="I424" s="41"/>
      <c r="J424" s="136"/>
    </row>
    <row r="425" spans="1:10" x14ac:dyDescent="0.35">
      <c r="A425" s="92"/>
      <c r="F425" s="177"/>
      <c r="G425" s="117"/>
      <c r="H425" s="93"/>
      <c r="I425" s="41"/>
      <c r="J425" s="136"/>
    </row>
    <row r="426" spans="1:10" x14ac:dyDescent="0.35">
      <c r="A426" s="92"/>
      <c r="F426" s="177"/>
      <c r="G426" s="117"/>
      <c r="H426" s="93"/>
      <c r="I426" s="41"/>
      <c r="J426" s="136"/>
    </row>
    <row r="427" spans="1:10" x14ac:dyDescent="0.35">
      <c r="A427" s="92"/>
      <c r="F427" s="177"/>
      <c r="G427" s="117"/>
      <c r="H427" s="93"/>
      <c r="I427" s="41"/>
      <c r="J427" s="136"/>
    </row>
    <row r="428" spans="1:10" x14ac:dyDescent="0.35">
      <c r="A428" s="92"/>
      <c r="F428" s="177"/>
      <c r="G428" s="117"/>
      <c r="H428" s="93"/>
      <c r="I428" s="41"/>
      <c r="J428" s="136"/>
    </row>
    <row r="429" spans="1:10" x14ac:dyDescent="0.35">
      <c r="A429" s="92"/>
      <c r="F429" s="177"/>
      <c r="G429" s="117"/>
      <c r="H429" s="93"/>
      <c r="I429" s="41"/>
      <c r="J429" s="136"/>
    </row>
    <row r="430" spans="1:10" x14ac:dyDescent="0.35">
      <c r="A430" s="92"/>
      <c r="F430" s="177"/>
      <c r="G430" s="117"/>
      <c r="H430" s="93"/>
      <c r="I430" s="41"/>
      <c r="J430" s="136"/>
    </row>
    <row r="431" spans="1:10" x14ac:dyDescent="0.35">
      <c r="A431" s="92"/>
      <c r="F431" s="177"/>
      <c r="G431" s="117"/>
      <c r="H431" s="93"/>
      <c r="I431" s="41"/>
      <c r="J431" s="136"/>
    </row>
    <row r="432" spans="1:10" x14ac:dyDescent="0.35">
      <c r="A432" s="92"/>
      <c r="F432" s="177"/>
      <c r="G432" s="117"/>
      <c r="H432" s="93"/>
      <c r="I432" s="41"/>
      <c r="J432" s="136"/>
    </row>
    <row r="433" spans="1:10" x14ac:dyDescent="0.35">
      <c r="A433" s="92"/>
      <c r="F433" s="177"/>
      <c r="G433" s="117"/>
      <c r="H433" s="93"/>
      <c r="I433" s="41"/>
      <c r="J433" s="136"/>
    </row>
    <row r="434" spans="1:10" x14ac:dyDescent="0.35">
      <c r="A434" s="92"/>
      <c r="F434" s="177"/>
      <c r="G434" s="117"/>
      <c r="H434" s="93"/>
      <c r="I434" s="41"/>
      <c r="J434" s="136"/>
    </row>
    <row r="435" spans="1:10" x14ac:dyDescent="0.35">
      <c r="A435" s="92"/>
      <c r="F435" s="177"/>
      <c r="G435" s="117"/>
      <c r="H435" s="93"/>
      <c r="I435" s="41"/>
      <c r="J435" s="136"/>
    </row>
    <row r="436" spans="1:10" x14ac:dyDescent="0.35">
      <c r="A436" s="92"/>
      <c r="F436" s="177"/>
      <c r="G436" s="117"/>
      <c r="H436" s="93"/>
      <c r="I436" s="41"/>
      <c r="J436" s="136"/>
    </row>
    <row r="437" spans="1:10" x14ac:dyDescent="0.35">
      <c r="A437" s="92"/>
      <c r="F437" s="177"/>
      <c r="G437" s="117"/>
      <c r="H437" s="93"/>
      <c r="I437" s="41"/>
      <c r="J437" s="136"/>
    </row>
    <row r="438" spans="1:10" x14ac:dyDescent="0.35">
      <c r="A438" s="92"/>
      <c r="F438" s="177"/>
      <c r="G438" s="117"/>
      <c r="H438" s="93"/>
      <c r="I438" s="41"/>
      <c r="J438" s="136"/>
    </row>
    <row r="439" spans="1:10" x14ac:dyDescent="0.35">
      <c r="A439" s="92"/>
      <c r="F439" s="177"/>
      <c r="G439" s="117"/>
      <c r="H439" s="93"/>
      <c r="I439" s="41"/>
      <c r="J439" s="136"/>
    </row>
    <row r="440" spans="1:10" x14ac:dyDescent="0.35">
      <c r="A440" s="92"/>
      <c r="F440" s="177"/>
      <c r="G440" s="117"/>
      <c r="H440" s="93"/>
      <c r="I440" s="41"/>
      <c r="J440" s="136"/>
    </row>
    <row r="441" spans="1:10" x14ac:dyDescent="0.35">
      <c r="A441" s="92"/>
      <c r="F441" s="177"/>
      <c r="G441" s="117"/>
      <c r="H441" s="93"/>
      <c r="I441" s="41"/>
      <c r="J441" s="136"/>
    </row>
    <row r="442" spans="1:10" x14ac:dyDescent="0.35">
      <c r="A442" s="92"/>
      <c r="F442" s="177"/>
      <c r="G442" s="117"/>
      <c r="H442" s="93"/>
      <c r="I442" s="41"/>
      <c r="J442" s="136"/>
    </row>
    <row r="443" spans="1:10" x14ac:dyDescent="0.35">
      <c r="A443" s="92"/>
      <c r="F443" s="177"/>
      <c r="G443" s="117"/>
      <c r="H443" s="93"/>
      <c r="I443" s="41"/>
      <c r="J443" s="136"/>
    </row>
    <row r="444" spans="1:10" x14ac:dyDescent="0.35">
      <c r="A444" s="92"/>
      <c r="F444" s="177"/>
      <c r="G444" s="117"/>
      <c r="H444" s="93"/>
      <c r="I444" s="41"/>
      <c r="J444" s="136"/>
    </row>
    <row r="445" spans="1:10" x14ac:dyDescent="0.35">
      <c r="A445" s="92"/>
      <c r="F445" s="177"/>
      <c r="G445" s="117"/>
      <c r="H445" s="93"/>
      <c r="I445" s="41"/>
      <c r="J445" s="136"/>
    </row>
    <row r="446" spans="1:10" x14ac:dyDescent="0.35">
      <c r="A446" s="92"/>
      <c r="F446" s="177"/>
      <c r="G446" s="117"/>
      <c r="H446" s="93"/>
      <c r="I446" s="41"/>
      <c r="J446" s="136"/>
    </row>
    <row r="447" spans="1:10" x14ac:dyDescent="0.35">
      <c r="A447" s="92"/>
      <c r="F447" s="177"/>
      <c r="G447" s="117"/>
      <c r="H447" s="93"/>
      <c r="I447" s="41"/>
      <c r="J447" s="136"/>
    </row>
    <row r="448" spans="1:10" x14ac:dyDescent="0.35">
      <c r="A448" s="92"/>
      <c r="F448" s="177"/>
      <c r="G448" s="117"/>
      <c r="H448" s="93"/>
      <c r="I448" s="41"/>
      <c r="J448" s="136"/>
    </row>
    <row r="449" spans="1:10" x14ac:dyDescent="0.35">
      <c r="A449" s="92"/>
      <c r="F449" s="177"/>
      <c r="G449" s="117"/>
      <c r="H449" s="93"/>
      <c r="I449" s="41"/>
      <c r="J449" s="136"/>
    </row>
    <row r="450" spans="1:10" x14ac:dyDescent="0.35">
      <c r="A450" s="92"/>
      <c r="F450" s="177"/>
      <c r="G450" s="117"/>
      <c r="H450" s="93"/>
      <c r="I450" s="41"/>
      <c r="J450" s="136"/>
    </row>
    <row r="451" spans="1:10" x14ac:dyDescent="0.35">
      <c r="A451" s="92"/>
      <c r="F451" s="177"/>
      <c r="G451" s="117"/>
      <c r="H451" s="93"/>
      <c r="I451" s="41"/>
      <c r="J451" s="136"/>
    </row>
    <row r="452" spans="1:10" x14ac:dyDescent="0.35">
      <c r="A452" s="92"/>
      <c r="F452" s="177"/>
      <c r="G452" s="117"/>
      <c r="H452" s="93"/>
      <c r="I452" s="41"/>
      <c r="J452" s="136"/>
    </row>
    <row r="453" spans="1:10" x14ac:dyDescent="0.35">
      <c r="A453" s="92"/>
      <c r="F453" s="177"/>
      <c r="G453" s="117"/>
      <c r="H453" s="93"/>
      <c r="I453" s="41"/>
      <c r="J453" s="136"/>
    </row>
    <row r="454" spans="1:10" x14ac:dyDescent="0.35">
      <c r="A454" s="92"/>
      <c r="F454" s="177"/>
      <c r="G454" s="117"/>
      <c r="H454" s="93"/>
      <c r="I454" s="41"/>
      <c r="J454" s="136"/>
    </row>
    <row r="455" spans="1:10" x14ac:dyDescent="0.35">
      <c r="A455" s="92"/>
      <c r="F455" s="177"/>
      <c r="G455" s="117"/>
      <c r="H455" s="93"/>
      <c r="I455" s="41"/>
      <c r="J455" s="136"/>
    </row>
    <row r="456" spans="1:10" x14ac:dyDescent="0.35">
      <c r="A456" s="92"/>
      <c r="F456" s="177"/>
      <c r="G456" s="117"/>
      <c r="H456" s="93"/>
      <c r="I456" s="41"/>
      <c r="J456" s="136"/>
    </row>
    <row r="457" spans="1:10" x14ac:dyDescent="0.35">
      <c r="A457" s="92"/>
      <c r="F457" s="177"/>
      <c r="G457" s="117"/>
      <c r="H457" s="93"/>
      <c r="I457" s="41"/>
      <c r="J457" s="136"/>
    </row>
    <row r="458" spans="1:10" x14ac:dyDescent="0.35">
      <c r="A458" s="92"/>
      <c r="F458" s="177"/>
      <c r="G458" s="117"/>
      <c r="H458" s="93"/>
      <c r="I458" s="41"/>
      <c r="J458" s="136"/>
    </row>
    <row r="459" spans="1:10" x14ac:dyDescent="0.35">
      <c r="A459" s="92"/>
      <c r="F459" s="177"/>
      <c r="G459" s="117"/>
      <c r="H459" s="93"/>
      <c r="I459" s="41"/>
      <c r="J459" s="136"/>
    </row>
    <row r="460" spans="1:10" x14ac:dyDescent="0.35">
      <c r="A460" s="92"/>
      <c r="F460" s="177"/>
      <c r="G460" s="117"/>
      <c r="H460" s="93"/>
      <c r="I460" s="41"/>
      <c r="J460" s="136"/>
    </row>
    <row r="461" spans="1:10" x14ac:dyDescent="0.35">
      <c r="A461" s="92"/>
      <c r="F461" s="177"/>
      <c r="G461" s="117"/>
      <c r="H461" s="93"/>
      <c r="I461" s="41"/>
      <c r="J461" s="136"/>
    </row>
    <row r="462" spans="1:10" x14ac:dyDescent="0.35">
      <c r="A462" s="92"/>
      <c r="F462" s="177"/>
      <c r="G462" s="117"/>
      <c r="H462" s="93"/>
      <c r="I462" s="41"/>
      <c r="J462" s="136"/>
    </row>
    <row r="463" spans="1:10" x14ac:dyDescent="0.35">
      <c r="A463" s="92"/>
      <c r="F463" s="177"/>
      <c r="G463" s="117"/>
      <c r="H463" s="93"/>
      <c r="I463" s="41"/>
      <c r="J463" s="136"/>
    </row>
    <row r="464" spans="1:10" x14ac:dyDescent="0.35">
      <c r="A464" s="92"/>
      <c r="F464" s="177"/>
      <c r="G464" s="117"/>
      <c r="H464" s="93"/>
      <c r="I464" s="41"/>
      <c r="J464" s="136"/>
    </row>
    <row r="465" spans="1:10" x14ac:dyDescent="0.35">
      <c r="A465" s="92"/>
      <c r="F465" s="177"/>
      <c r="G465" s="117"/>
      <c r="H465" s="93"/>
      <c r="I465" s="41"/>
      <c r="J465" s="136"/>
    </row>
    <row r="466" spans="1:10" x14ac:dyDescent="0.35">
      <c r="A466" s="92"/>
      <c r="F466" s="177"/>
      <c r="G466" s="117"/>
      <c r="H466" s="93"/>
      <c r="I466" s="41"/>
      <c r="J466" s="136"/>
    </row>
    <row r="467" spans="1:10" x14ac:dyDescent="0.35">
      <c r="A467" s="92"/>
      <c r="F467" s="177"/>
      <c r="G467" s="117"/>
      <c r="H467" s="93"/>
      <c r="I467" s="41"/>
      <c r="J467" s="136"/>
    </row>
    <row r="468" spans="1:10" x14ac:dyDescent="0.35">
      <c r="A468" s="92"/>
      <c r="F468" s="177"/>
      <c r="G468" s="117"/>
      <c r="H468" s="93"/>
      <c r="I468" s="41"/>
      <c r="J468" s="136"/>
    </row>
    <row r="469" spans="1:10" x14ac:dyDescent="0.35">
      <c r="A469" s="92"/>
      <c r="F469" s="177"/>
      <c r="G469" s="117"/>
      <c r="H469" s="93"/>
      <c r="I469" s="41"/>
      <c r="J469" s="136"/>
    </row>
    <row r="470" spans="1:10" x14ac:dyDescent="0.35">
      <c r="A470" s="92"/>
      <c r="F470" s="177"/>
      <c r="G470" s="117"/>
      <c r="H470" s="93"/>
      <c r="I470" s="41"/>
      <c r="J470" s="136"/>
    </row>
    <row r="471" spans="1:10" x14ac:dyDescent="0.35">
      <c r="A471" s="92"/>
      <c r="F471" s="177"/>
      <c r="G471" s="117"/>
      <c r="H471" s="93"/>
      <c r="I471" s="41"/>
      <c r="J471" s="136"/>
    </row>
    <row r="472" spans="1:10" x14ac:dyDescent="0.35">
      <c r="A472" s="92"/>
      <c r="F472" s="177"/>
      <c r="G472" s="117"/>
      <c r="H472" s="93"/>
      <c r="I472" s="41"/>
      <c r="J472" s="136"/>
    </row>
    <row r="473" spans="1:10" x14ac:dyDescent="0.35">
      <c r="A473" s="92"/>
      <c r="F473" s="177"/>
      <c r="G473" s="117"/>
      <c r="H473" s="93"/>
      <c r="I473" s="41"/>
      <c r="J473" s="136"/>
    </row>
    <row r="474" spans="1:10" x14ac:dyDescent="0.35">
      <c r="A474" s="92"/>
      <c r="F474" s="177"/>
      <c r="G474" s="117"/>
      <c r="H474" s="93"/>
      <c r="I474" s="41"/>
      <c r="J474" s="136"/>
    </row>
    <row r="475" spans="1:10" x14ac:dyDescent="0.35">
      <c r="A475" s="92"/>
      <c r="F475" s="177"/>
      <c r="G475" s="117"/>
      <c r="H475" s="93"/>
      <c r="I475" s="41"/>
      <c r="J475" s="136"/>
    </row>
    <row r="476" spans="1:10" x14ac:dyDescent="0.35">
      <c r="A476" s="92"/>
      <c r="F476" s="177"/>
      <c r="G476" s="117"/>
      <c r="H476" s="93"/>
      <c r="I476" s="41"/>
      <c r="J476" s="136"/>
    </row>
    <row r="477" spans="1:10" x14ac:dyDescent="0.35">
      <c r="A477" s="92"/>
      <c r="F477" s="177"/>
      <c r="G477" s="117"/>
      <c r="H477" s="93"/>
      <c r="I477" s="41"/>
      <c r="J477" s="136"/>
    </row>
    <row r="478" spans="1:10" x14ac:dyDescent="0.35">
      <c r="A478" s="92"/>
      <c r="F478" s="177"/>
      <c r="G478" s="117"/>
      <c r="H478" s="93"/>
      <c r="I478" s="41"/>
      <c r="J478" s="136"/>
    </row>
    <row r="479" spans="1:10" x14ac:dyDescent="0.35">
      <c r="A479" s="92"/>
      <c r="F479" s="177"/>
      <c r="G479" s="117"/>
      <c r="H479" s="93"/>
      <c r="I479" s="41"/>
      <c r="J479" s="136"/>
    </row>
    <row r="480" spans="1:10" x14ac:dyDescent="0.35">
      <c r="A480" s="92"/>
      <c r="F480" s="177"/>
      <c r="G480" s="117"/>
      <c r="H480" s="93"/>
      <c r="I480" s="41"/>
      <c r="J480" s="136"/>
    </row>
    <row r="481" spans="1:10" x14ac:dyDescent="0.35">
      <c r="A481" s="92"/>
      <c r="F481" s="177"/>
      <c r="G481" s="117"/>
      <c r="H481" s="93"/>
      <c r="I481" s="41"/>
      <c r="J481" s="136"/>
    </row>
    <row r="482" spans="1:10" x14ac:dyDescent="0.35">
      <c r="A482" s="92"/>
      <c r="F482" s="177"/>
      <c r="G482" s="117"/>
      <c r="H482" s="93"/>
      <c r="I482" s="41"/>
      <c r="J482" s="136"/>
    </row>
    <row r="483" spans="1:10" x14ac:dyDescent="0.35">
      <c r="A483" s="92"/>
      <c r="F483" s="177"/>
      <c r="G483" s="117"/>
      <c r="H483" s="93"/>
      <c r="I483" s="41"/>
      <c r="J483" s="136"/>
    </row>
    <row r="484" spans="1:10" x14ac:dyDescent="0.35">
      <c r="A484" s="92"/>
      <c r="F484" s="177"/>
      <c r="G484" s="117"/>
      <c r="H484" s="93"/>
      <c r="I484" s="41"/>
      <c r="J484" s="136"/>
    </row>
    <row r="485" spans="1:10" x14ac:dyDescent="0.35">
      <c r="A485" s="92"/>
      <c r="F485" s="177"/>
      <c r="G485" s="117"/>
      <c r="H485" s="93"/>
      <c r="I485" s="41"/>
      <c r="J485" s="136"/>
    </row>
    <row r="486" spans="1:10" x14ac:dyDescent="0.35">
      <c r="A486" s="92"/>
      <c r="F486" s="177"/>
      <c r="G486" s="117"/>
      <c r="H486" s="93"/>
      <c r="I486" s="41"/>
      <c r="J486" s="136"/>
    </row>
    <row r="487" spans="1:10" x14ac:dyDescent="0.35">
      <c r="A487" s="92"/>
      <c r="F487" s="177"/>
      <c r="G487" s="117"/>
      <c r="H487" s="93"/>
      <c r="I487" s="41"/>
      <c r="J487" s="136"/>
    </row>
    <row r="488" spans="1:10" x14ac:dyDescent="0.35">
      <c r="A488" s="92"/>
      <c r="F488" s="177"/>
      <c r="G488" s="117"/>
      <c r="H488" s="93"/>
      <c r="I488" s="41"/>
      <c r="J488" s="136"/>
    </row>
    <row r="489" spans="1:10" x14ac:dyDescent="0.35">
      <c r="A489" s="92"/>
      <c r="F489" s="177"/>
      <c r="G489" s="117"/>
      <c r="H489" s="93"/>
      <c r="I489" s="41"/>
      <c r="J489" s="136"/>
    </row>
    <row r="490" spans="1:10" x14ac:dyDescent="0.35">
      <c r="A490" s="92"/>
      <c r="F490" s="177"/>
      <c r="G490" s="117"/>
      <c r="H490" s="93"/>
      <c r="I490" s="41"/>
      <c r="J490" s="136"/>
    </row>
    <row r="491" spans="1:10" x14ac:dyDescent="0.35">
      <c r="A491" s="92"/>
      <c r="F491" s="177"/>
      <c r="G491" s="117"/>
      <c r="H491" s="93"/>
      <c r="I491" s="41"/>
      <c r="J491" s="136"/>
    </row>
    <row r="492" spans="1:10" x14ac:dyDescent="0.35">
      <c r="A492" s="92"/>
      <c r="F492" s="177"/>
      <c r="G492" s="117"/>
      <c r="H492" s="93"/>
      <c r="I492" s="41"/>
      <c r="J492" s="136"/>
    </row>
    <row r="493" spans="1:10" x14ac:dyDescent="0.35">
      <c r="A493" s="92"/>
      <c r="F493" s="177"/>
      <c r="G493" s="117"/>
      <c r="H493" s="93"/>
      <c r="I493" s="41"/>
      <c r="J493" s="136"/>
    </row>
    <row r="494" spans="1:10" x14ac:dyDescent="0.35">
      <c r="A494" s="92"/>
      <c r="F494" s="177"/>
      <c r="G494" s="117"/>
      <c r="H494" s="93"/>
      <c r="I494" s="41"/>
      <c r="J494" s="136"/>
    </row>
    <row r="495" spans="1:10" x14ac:dyDescent="0.35">
      <c r="A495" s="92"/>
      <c r="F495" s="177"/>
      <c r="G495" s="117"/>
      <c r="H495" s="93"/>
      <c r="I495" s="41"/>
      <c r="J495" s="136"/>
    </row>
    <row r="496" spans="1:10" x14ac:dyDescent="0.35">
      <c r="A496" s="92"/>
      <c r="F496" s="177"/>
      <c r="G496" s="117"/>
      <c r="H496" s="93"/>
      <c r="I496" s="41"/>
      <c r="J496" s="136"/>
    </row>
    <row r="497" spans="1:10" x14ac:dyDescent="0.35">
      <c r="A497" s="92"/>
      <c r="F497" s="177"/>
      <c r="G497" s="117"/>
      <c r="H497" s="93"/>
      <c r="I497" s="41"/>
      <c r="J497" s="136"/>
    </row>
    <row r="498" spans="1:10" x14ac:dyDescent="0.35">
      <c r="A498" s="92"/>
      <c r="F498" s="177"/>
      <c r="G498" s="117"/>
      <c r="H498" s="93"/>
      <c r="I498" s="41"/>
      <c r="J498" s="136"/>
    </row>
    <row r="499" spans="1:10" x14ac:dyDescent="0.35">
      <c r="A499" s="92"/>
      <c r="F499" s="177"/>
      <c r="G499" s="117"/>
      <c r="H499" s="93"/>
      <c r="I499" s="41"/>
      <c r="J499" s="136"/>
    </row>
    <row r="500" spans="1:10" x14ac:dyDescent="0.35">
      <c r="A500" s="92"/>
      <c r="F500" s="177"/>
      <c r="G500" s="117"/>
      <c r="H500" s="93"/>
      <c r="I500" s="41"/>
      <c r="J500" s="136"/>
    </row>
    <row r="501" spans="1:10" x14ac:dyDescent="0.35">
      <c r="A501" s="92"/>
      <c r="F501" s="177"/>
      <c r="G501" s="117"/>
      <c r="H501" s="93"/>
      <c r="I501" s="41"/>
      <c r="J501" s="136"/>
    </row>
    <row r="502" spans="1:10" x14ac:dyDescent="0.35">
      <c r="A502" s="92"/>
      <c r="F502" s="177"/>
      <c r="G502" s="117"/>
      <c r="H502" s="93"/>
      <c r="I502" s="41"/>
      <c r="J502" s="136"/>
    </row>
    <row r="503" spans="1:10" x14ac:dyDescent="0.35">
      <c r="A503" s="92"/>
      <c r="F503" s="177"/>
      <c r="G503" s="117"/>
      <c r="H503" s="93"/>
      <c r="I503" s="41"/>
      <c r="J503" s="136"/>
    </row>
    <row r="504" spans="1:10" x14ac:dyDescent="0.35">
      <c r="A504" s="92"/>
      <c r="F504" s="177"/>
      <c r="G504" s="117"/>
      <c r="H504" s="93"/>
      <c r="I504" s="41"/>
      <c r="J504" s="136"/>
    </row>
    <row r="505" spans="1:10" x14ac:dyDescent="0.35">
      <c r="A505" s="92"/>
      <c r="F505" s="177"/>
      <c r="G505" s="117"/>
      <c r="H505" s="93"/>
      <c r="I505" s="41"/>
      <c r="J505" s="136"/>
    </row>
    <row r="506" spans="1:10" x14ac:dyDescent="0.35">
      <c r="A506" s="92"/>
      <c r="F506" s="177"/>
      <c r="G506" s="117"/>
      <c r="H506" s="93"/>
      <c r="I506" s="41"/>
      <c r="J506" s="136"/>
    </row>
    <row r="507" spans="1:10" x14ac:dyDescent="0.35">
      <c r="A507" s="92"/>
      <c r="F507" s="177"/>
      <c r="G507" s="117"/>
      <c r="H507" s="93"/>
      <c r="I507" s="41"/>
      <c r="J507" s="136"/>
    </row>
    <row r="508" spans="1:10" x14ac:dyDescent="0.35">
      <c r="A508" s="92"/>
      <c r="F508" s="177"/>
      <c r="G508" s="117"/>
      <c r="H508" s="93"/>
      <c r="I508" s="41"/>
      <c r="J508" s="136"/>
    </row>
    <row r="509" spans="1:10" x14ac:dyDescent="0.35">
      <c r="A509" s="92"/>
      <c r="F509" s="177"/>
      <c r="G509" s="117"/>
      <c r="H509" s="93"/>
      <c r="I509" s="41"/>
      <c r="J509" s="136"/>
    </row>
    <row r="510" spans="1:10" x14ac:dyDescent="0.35">
      <c r="A510" s="92"/>
      <c r="F510" s="177"/>
      <c r="G510" s="117"/>
      <c r="H510" s="93"/>
      <c r="I510" s="41"/>
      <c r="J510" s="136"/>
    </row>
    <row r="511" spans="1:10" x14ac:dyDescent="0.35">
      <c r="A511" s="92"/>
      <c r="F511" s="177"/>
      <c r="G511" s="117"/>
      <c r="H511" s="93"/>
      <c r="I511" s="41"/>
      <c r="J511" s="136"/>
    </row>
    <row r="512" spans="1:10" x14ac:dyDescent="0.35">
      <c r="A512" s="92"/>
      <c r="F512" s="177"/>
      <c r="G512" s="117"/>
      <c r="H512" s="93"/>
      <c r="I512" s="41"/>
      <c r="J512" s="136"/>
    </row>
    <row r="513" spans="1:10" x14ac:dyDescent="0.35">
      <c r="A513" s="92"/>
      <c r="F513" s="177"/>
      <c r="G513" s="117"/>
      <c r="H513" s="93"/>
      <c r="I513" s="41"/>
      <c r="J513" s="136"/>
    </row>
    <row r="514" spans="1:10" x14ac:dyDescent="0.35">
      <c r="A514" s="92"/>
      <c r="F514" s="177"/>
      <c r="G514" s="117"/>
      <c r="H514" s="93"/>
      <c r="I514" s="41"/>
      <c r="J514" s="136"/>
    </row>
    <row r="515" spans="1:10" x14ac:dyDescent="0.35">
      <c r="A515" s="92"/>
      <c r="F515" s="177"/>
      <c r="G515" s="117"/>
      <c r="H515" s="93"/>
      <c r="I515" s="41"/>
      <c r="J515" s="136"/>
    </row>
    <row r="516" spans="1:10" x14ac:dyDescent="0.35">
      <c r="A516" s="92"/>
      <c r="F516" s="177"/>
      <c r="G516" s="117"/>
      <c r="H516" s="93"/>
      <c r="I516" s="41"/>
      <c r="J516" s="136"/>
    </row>
    <row r="517" spans="1:10" x14ac:dyDescent="0.35">
      <c r="A517" s="92"/>
      <c r="F517" s="177"/>
      <c r="G517" s="117"/>
      <c r="H517" s="93"/>
      <c r="I517" s="41"/>
      <c r="J517" s="136"/>
    </row>
    <row r="518" spans="1:10" x14ac:dyDescent="0.35">
      <c r="A518" s="92"/>
      <c r="F518" s="177"/>
      <c r="G518" s="117"/>
      <c r="H518" s="93"/>
      <c r="I518" s="41"/>
      <c r="J518" s="136"/>
    </row>
    <row r="519" spans="1:10" x14ac:dyDescent="0.35">
      <c r="A519" s="92"/>
      <c r="F519" s="177"/>
      <c r="G519" s="117"/>
      <c r="H519" s="93"/>
      <c r="I519" s="41"/>
      <c r="J519" s="136"/>
    </row>
    <row r="520" spans="1:10" x14ac:dyDescent="0.35">
      <c r="A520" s="92"/>
      <c r="F520" s="177"/>
      <c r="G520" s="117"/>
      <c r="H520" s="93"/>
      <c r="I520" s="41"/>
      <c r="J520" s="136"/>
    </row>
    <row r="521" spans="1:10" x14ac:dyDescent="0.35">
      <c r="A521" s="92"/>
      <c r="F521" s="177"/>
      <c r="G521" s="117"/>
      <c r="H521" s="93"/>
      <c r="I521" s="41"/>
      <c r="J521" s="136"/>
    </row>
    <row r="522" spans="1:10" x14ac:dyDescent="0.35">
      <c r="A522" s="92"/>
      <c r="F522" s="177"/>
      <c r="G522" s="117"/>
      <c r="H522" s="93"/>
      <c r="I522" s="41"/>
      <c r="J522" s="136"/>
    </row>
    <row r="523" spans="1:10" x14ac:dyDescent="0.35">
      <c r="A523" s="92"/>
      <c r="F523" s="177"/>
      <c r="G523" s="117"/>
      <c r="H523" s="93"/>
      <c r="I523" s="41"/>
      <c r="J523" s="136"/>
    </row>
    <row r="524" spans="1:10" x14ac:dyDescent="0.35">
      <c r="A524" s="92"/>
      <c r="F524" s="177"/>
      <c r="G524" s="117"/>
      <c r="H524" s="93"/>
      <c r="I524" s="41"/>
      <c r="J524" s="136"/>
    </row>
    <row r="525" spans="1:10" x14ac:dyDescent="0.35">
      <c r="A525" s="92"/>
      <c r="F525" s="177"/>
      <c r="G525" s="117"/>
      <c r="H525" s="93"/>
      <c r="I525" s="41"/>
      <c r="J525" s="136"/>
    </row>
    <row r="526" spans="1:10" x14ac:dyDescent="0.35">
      <c r="A526" s="92"/>
      <c r="F526" s="177"/>
      <c r="G526" s="117"/>
      <c r="H526" s="93"/>
      <c r="I526" s="41"/>
      <c r="J526" s="136"/>
    </row>
    <row r="527" spans="1:10" x14ac:dyDescent="0.35">
      <c r="A527" s="92"/>
      <c r="F527" s="177"/>
      <c r="G527" s="117"/>
      <c r="H527" s="93"/>
      <c r="I527" s="41"/>
      <c r="J527" s="136"/>
    </row>
    <row r="528" spans="1:10" x14ac:dyDescent="0.35">
      <c r="A528" s="92"/>
      <c r="F528" s="177"/>
      <c r="G528" s="117"/>
      <c r="H528" s="93"/>
      <c r="I528" s="41"/>
      <c r="J528" s="136"/>
    </row>
    <row r="529" spans="1:10" x14ac:dyDescent="0.35">
      <c r="A529" s="92"/>
      <c r="F529" s="177"/>
      <c r="G529" s="117"/>
      <c r="H529" s="93"/>
      <c r="I529" s="41"/>
      <c r="J529" s="136"/>
    </row>
    <row r="530" spans="1:10" x14ac:dyDescent="0.35">
      <c r="A530" s="92"/>
      <c r="F530" s="177"/>
      <c r="G530" s="117"/>
      <c r="H530" s="93"/>
      <c r="I530" s="41"/>
      <c r="J530" s="136"/>
    </row>
    <row r="531" spans="1:10" x14ac:dyDescent="0.35">
      <c r="A531" s="92"/>
      <c r="F531" s="177"/>
      <c r="G531" s="117"/>
      <c r="H531" s="93"/>
      <c r="I531" s="41"/>
      <c r="J531" s="136"/>
    </row>
    <row r="532" spans="1:10" x14ac:dyDescent="0.35">
      <c r="A532" s="92"/>
      <c r="F532" s="177"/>
      <c r="G532" s="117"/>
      <c r="H532" s="93"/>
      <c r="I532" s="41"/>
      <c r="J532" s="136"/>
    </row>
    <row r="533" spans="1:10" x14ac:dyDescent="0.35">
      <c r="A533" s="92"/>
      <c r="F533" s="177"/>
      <c r="G533" s="117"/>
      <c r="H533" s="93"/>
      <c r="I533" s="41"/>
      <c r="J533" s="136"/>
    </row>
    <row r="534" spans="1:10" x14ac:dyDescent="0.35">
      <c r="A534" s="92"/>
      <c r="F534" s="177"/>
      <c r="G534" s="117"/>
      <c r="H534" s="93"/>
      <c r="I534" s="41"/>
      <c r="J534" s="136"/>
    </row>
    <row r="535" spans="1:10" x14ac:dyDescent="0.35">
      <c r="A535" s="92"/>
      <c r="F535" s="177"/>
      <c r="G535" s="117"/>
      <c r="H535" s="93"/>
      <c r="I535" s="41"/>
      <c r="J535" s="136"/>
    </row>
    <row r="536" spans="1:10" x14ac:dyDescent="0.35">
      <c r="A536" s="92"/>
      <c r="F536" s="177"/>
      <c r="G536" s="117"/>
      <c r="H536" s="93"/>
      <c r="I536" s="41"/>
      <c r="J536" s="136"/>
    </row>
    <row r="537" spans="1:10" x14ac:dyDescent="0.35">
      <c r="A537" s="92"/>
      <c r="F537" s="177"/>
      <c r="G537" s="117"/>
      <c r="H537" s="93"/>
      <c r="I537" s="41"/>
      <c r="J537" s="136"/>
    </row>
    <row r="538" spans="1:10" x14ac:dyDescent="0.35">
      <c r="A538" s="92"/>
      <c r="F538" s="177"/>
      <c r="G538" s="117"/>
      <c r="H538" s="93"/>
      <c r="I538" s="41"/>
      <c r="J538" s="136"/>
    </row>
    <row r="539" spans="1:10" x14ac:dyDescent="0.35">
      <c r="A539" s="92"/>
      <c r="F539" s="177"/>
      <c r="G539" s="117"/>
      <c r="H539" s="93"/>
      <c r="I539" s="41"/>
      <c r="J539" s="136"/>
    </row>
    <row r="540" spans="1:10" x14ac:dyDescent="0.35">
      <c r="A540" s="92"/>
      <c r="F540" s="177"/>
      <c r="G540" s="117"/>
      <c r="H540" s="93"/>
      <c r="I540" s="41"/>
      <c r="J540" s="136"/>
    </row>
    <row r="541" spans="1:10" x14ac:dyDescent="0.35">
      <c r="A541" s="92"/>
      <c r="F541" s="177"/>
      <c r="G541" s="117"/>
      <c r="H541" s="93"/>
      <c r="I541" s="41"/>
      <c r="J541" s="136"/>
    </row>
    <row r="542" spans="1:10" x14ac:dyDescent="0.35">
      <c r="A542" s="92"/>
      <c r="F542" s="177"/>
      <c r="G542" s="117"/>
      <c r="H542" s="93"/>
      <c r="I542" s="41"/>
      <c r="J542" s="136"/>
    </row>
    <row r="543" spans="1:10" x14ac:dyDescent="0.35">
      <c r="A543" s="92"/>
      <c r="F543" s="177"/>
      <c r="G543" s="117"/>
      <c r="H543" s="93"/>
      <c r="I543" s="41"/>
      <c r="J543" s="136"/>
    </row>
    <row r="544" spans="1:10" x14ac:dyDescent="0.35">
      <c r="A544" s="92"/>
      <c r="F544" s="177"/>
      <c r="G544" s="117"/>
      <c r="H544" s="93"/>
      <c r="I544" s="41"/>
      <c r="J544" s="136"/>
    </row>
    <row r="545" spans="1:10" x14ac:dyDescent="0.35">
      <c r="A545" s="92"/>
      <c r="F545" s="177"/>
      <c r="G545" s="117"/>
      <c r="H545" s="93"/>
      <c r="I545" s="41"/>
      <c r="J545" s="136"/>
    </row>
    <row r="546" spans="1:10" x14ac:dyDescent="0.35">
      <c r="A546" s="92"/>
      <c r="F546" s="177"/>
      <c r="G546" s="117"/>
      <c r="H546" s="93"/>
      <c r="I546" s="41"/>
      <c r="J546" s="136"/>
    </row>
    <row r="547" spans="1:10" x14ac:dyDescent="0.35">
      <c r="A547" s="92"/>
      <c r="F547" s="177"/>
      <c r="G547" s="117"/>
      <c r="H547" s="93"/>
      <c r="I547" s="41"/>
      <c r="J547" s="136"/>
    </row>
    <row r="548" spans="1:10" x14ac:dyDescent="0.35">
      <c r="A548" s="92"/>
      <c r="F548" s="177"/>
      <c r="G548" s="117"/>
      <c r="H548" s="93"/>
      <c r="I548" s="41"/>
      <c r="J548" s="136"/>
    </row>
    <row r="549" spans="1:10" x14ac:dyDescent="0.35">
      <c r="A549" s="92"/>
      <c r="F549" s="177"/>
      <c r="G549" s="117"/>
      <c r="H549" s="93"/>
      <c r="I549" s="41"/>
      <c r="J549" s="136"/>
    </row>
    <row r="550" spans="1:10" x14ac:dyDescent="0.35">
      <c r="A550" s="92"/>
      <c r="F550" s="177"/>
      <c r="G550" s="117"/>
      <c r="H550" s="93"/>
      <c r="I550" s="41"/>
      <c r="J550" s="136"/>
    </row>
    <row r="551" spans="1:10" x14ac:dyDescent="0.35">
      <c r="A551" s="92"/>
      <c r="F551" s="177"/>
      <c r="G551" s="117"/>
      <c r="H551" s="93"/>
      <c r="I551" s="41"/>
      <c r="J551" s="136"/>
    </row>
    <row r="552" spans="1:10" x14ac:dyDescent="0.35">
      <c r="A552" s="92"/>
      <c r="F552" s="177"/>
      <c r="G552" s="117"/>
      <c r="H552" s="93"/>
      <c r="I552" s="41"/>
      <c r="J552" s="136"/>
    </row>
    <row r="553" spans="1:10" x14ac:dyDescent="0.35">
      <c r="A553" s="92"/>
      <c r="F553" s="177"/>
      <c r="G553" s="117"/>
      <c r="H553" s="93"/>
      <c r="I553" s="41"/>
      <c r="J553" s="136"/>
    </row>
    <row r="554" spans="1:10" x14ac:dyDescent="0.35">
      <c r="A554" s="92"/>
      <c r="F554" s="177"/>
      <c r="G554" s="117"/>
      <c r="H554" s="93"/>
      <c r="I554" s="41"/>
      <c r="J554" s="136"/>
    </row>
    <row r="555" spans="1:10" x14ac:dyDescent="0.35">
      <c r="A555" s="92"/>
      <c r="F555" s="177"/>
      <c r="G555" s="117"/>
      <c r="H555" s="93"/>
      <c r="I555" s="41"/>
      <c r="J555" s="136"/>
    </row>
    <row r="556" spans="1:10" x14ac:dyDescent="0.35">
      <c r="A556" s="92"/>
      <c r="F556" s="177"/>
      <c r="G556" s="117"/>
      <c r="H556" s="93"/>
      <c r="I556" s="41"/>
      <c r="J556" s="136"/>
    </row>
    <row r="557" spans="1:10" x14ac:dyDescent="0.35">
      <c r="A557" s="92"/>
      <c r="F557" s="177"/>
      <c r="G557" s="117"/>
      <c r="H557" s="93"/>
      <c r="I557" s="41"/>
      <c r="J557" s="136"/>
    </row>
    <row r="558" spans="1:10" x14ac:dyDescent="0.35">
      <c r="A558" s="92"/>
      <c r="F558" s="177"/>
      <c r="G558" s="117"/>
      <c r="H558" s="93"/>
      <c r="I558" s="41"/>
      <c r="J558" s="136"/>
    </row>
    <row r="559" spans="1:10" x14ac:dyDescent="0.35">
      <c r="A559" s="92"/>
      <c r="F559" s="177"/>
      <c r="G559" s="117"/>
      <c r="H559" s="93"/>
      <c r="I559" s="41"/>
      <c r="J559" s="136"/>
    </row>
    <row r="560" spans="1:10" x14ac:dyDescent="0.35">
      <c r="A560" s="92"/>
      <c r="F560" s="177"/>
      <c r="G560" s="117"/>
      <c r="H560" s="93"/>
      <c r="I560" s="41"/>
      <c r="J560" s="136"/>
    </row>
    <row r="561" spans="1:10" x14ac:dyDescent="0.35">
      <c r="A561" s="92"/>
      <c r="F561" s="177"/>
      <c r="G561" s="117"/>
      <c r="H561" s="93"/>
      <c r="I561" s="41"/>
      <c r="J561" s="136"/>
    </row>
    <row r="562" spans="1:10" x14ac:dyDescent="0.35">
      <c r="A562" s="92"/>
      <c r="F562" s="177"/>
      <c r="G562" s="117"/>
      <c r="H562" s="93"/>
      <c r="I562" s="41"/>
      <c r="J562" s="136"/>
    </row>
    <row r="563" spans="1:10" x14ac:dyDescent="0.35">
      <c r="A563" s="92"/>
      <c r="F563" s="177"/>
      <c r="G563" s="117"/>
      <c r="H563" s="93"/>
      <c r="I563" s="41"/>
      <c r="J563" s="136"/>
    </row>
    <row r="564" spans="1:10" x14ac:dyDescent="0.35">
      <c r="A564" s="92"/>
      <c r="F564" s="177"/>
      <c r="G564" s="117"/>
      <c r="H564" s="93"/>
      <c r="I564" s="41"/>
      <c r="J564" s="136"/>
    </row>
    <row r="565" spans="1:10" x14ac:dyDescent="0.35">
      <c r="A565" s="92"/>
      <c r="F565" s="177"/>
      <c r="G565" s="117"/>
      <c r="H565" s="93"/>
      <c r="I565" s="41"/>
      <c r="J565" s="136"/>
    </row>
    <row r="566" spans="1:10" x14ac:dyDescent="0.35">
      <c r="A566" s="92"/>
      <c r="F566" s="177"/>
      <c r="G566" s="117"/>
      <c r="H566" s="93"/>
      <c r="I566" s="41"/>
      <c r="J566" s="136"/>
    </row>
    <row r="567" spans="1:10" x14ac:dyDescent="0.35">
      <c r="A567" s="92"/>
      <c r="F567" s="177"/>
      <c r="G567" s="117"/>
      <c r="H567" s="93"/>
      <c r="I567" s="41"/>
      <c r="J567" s="136"/>
    </row>
    <row r="568" spans="1:10" x14ac:dyDescent="0.35">
      <c r="A568" s="92"/>
      <c r="F568" s="177"/>
      <c r="G568" s="117"/>
      <c r="H568" s="93"/>
      <c r="I568" s="41"/>
      <c r="J568" s="136"/>
    </row>
    <row r="569" spans="1:10" x14ac:dyDescent="0.35">
      <c r="A569" s="92"/>
      <c r="F569" s="177"/>
      <c r="G569" s="117"/>
      <c r="H569" s="93"/>
      <c r="I569" s="41"/>
      <c r="J569" s="136"/>
    </row>
    <row r="570" spans="1:10" x14ac:dyDescent="0.35">
      <c r="A570" s="92"/>
      <c r="F570" s="177"/>
      <c r="G570" s="117"/>
      <c r="H570" s="93"/>
      <c r="I570" s="41"/>
      <c r="J570" s="136"/>
    </row>
    <row r="571" spans="1:10" x14ac:dyDescent="0.35">
      <c r="A571" s="92"/>
      <c r="F571" s="177"/>
      <c r="G571" s="117"/>
      <c r="H571" s="93"/>
      <c r="I571" s="41"/>
      <c r="J571" s="136"/>
    </row>
    <row r="572" spans="1:10" x14ac:dyDescent="0.35">
      <c r="A572" s="92"/>
      <c r="F572" s="177"/>
      <c r="G572" s="117"/>
      <c r="H572" s="93"/>
      <c r="I572" s="41"/>
      <c r="J572" s="136"/>
    </row>
    <row r="573" spans="1:10" x14ac:dyDescent="0.35">
      <c r="A573" s="92"/>
      <c r="F573" s="177"/>
      <c r="G573" s="117"/>
      <c r="H573" s="93"/>
      <c r="I573" s="41"/>
      <c r="J573" s="136"/>
    </row>
    <row r="574" spans="1:10" x14ac:dyDescent="0.35">
      <c r="A574" s="92"/>
      <c r="F574" s="177"/>
      <c r="G574" s="117"/>
      <c r="H574" s="93"/>
      <c r="I574" s="41"/>
      <c r="J574" s="136"/>
    </row>
    <row r="575" spans="1:10" x14ac:dyDescent="0.35">
      <c r="A575" s="92"/>
      <c r="F575" s="177"/>
      <c r="G575" s="117"/>
      <c r="H575" s="93"/>
      <c r="I575" s="41"/>
      <c r="J575" s="136"/>
    </row>
    <row r="576" spans="1:10" x14ac:dyDescent="0.35">
      <c r="A576" s="92"/>
      <c r="F576" s="177"/>
      <c r="G576" s="117"/>
      <c r="H576" s="93"/>
      <c r="I576" s="41"/>
      <c r="J576" s="136"/>
    </row>
    <row r="577" spans="1:10" x14ac:dyDescent="0.35">
      <c r="A577" s="92"/>
      <c r="F577" s="177"/>
      <c r="G577" s="117"/>
      <c r="H577" s="93"/>
      <c r="I577" s="41"/>
      <c r="J577" s="136"/>
    </row>
    <row r="578" spans="1:10" x14ac:dyDescent="0.35">
      <c r="A578" s="92"/>
      <c r="F578" s="177"/>
      <c r="G578" s="117"/>
      <c r="H578" s="93"/>
      <c r="I578" s="41"/>
      <c r="J578" s="136"/>
    </row>
    <row r="579" spans="1:10" x14ac:dyDescent="0.35">
      <c r="A579" s="92"/>
      <c r="F579" s="177"/>
      <c r="G579" s="117"/>
      <c r="H579" s="93"/>
      <c r="I579" s="41"/>
      <c r="J579" s="136"/>
    </row>
    <row r="580" spans="1:10" x14ac:dyDescent="0.35">
      <c r="A580" s="92"/>
      <c r="F580" s="177"/>
      <c r="G580" s="117"/>
      <c r="H580" s="93"/>
      <c r="I580" s="41"/>
      <c r="J580" s="136"/>
    </row>
    <row r="581" spans="1:10" x14ac:dyDescent="0.35">
      <c r="A581" s="92"/>
      <c r="F581" s="177"/>
      <c r="G581" s="117"/>
      <c r="H581" s="93"/>
      <c r="I581" s="41"/>
      <c r="J581" s="136"/>
    </row>
    <row r="582" spans="1:10" x14ac:dyDescent="0.35">
      <c r="A582" s="92"/>
      <c r="F582" s="177"/>
      <c r="G582" s="117"/>
      <c r="H582" s="93"/>
      <c r="I582" s="41"/>
      <c r="J582" s="136"/>
    </row>
    <row r="583" spans="1:10" x14ac:dyDescent="0.35">
      <c r="A583" s="92"/>
      <c r="F583" s="177"/>
      <c r="G583" s="117"/>
      <c r="H583" s="93"/>
      <c r="I583" s="41"/>
      <c r="J583" s="136"/>
    </row>
    <row r="584" spans="1:10" x14ac:dyDescent="0.35">
      <c r="A584" s="92"/>
      <c r="F584" s="177"/>
      <c r="G584" s="117"/>
      <c r="H584" s="93"/>
      <c r="I584" s="41"/>
      <c r="J584" s="136"/>
    </row>
    <row r="585" spans="1:10" x14ac:dyDescent="0.35">
      <c r="A585" s="92"/>
      <c r="F585" s="177"/>
      <c r="G585" s="117"/>
      <c r="H585" s="93"/>
      <c r="I585" s="41"/>
      <c r="J585" s="136"/>
    </row>
    <row r="586" spans="1:10" x14ac:dyDescent="0.35">
      <c r="A586" s="92"/>
      <c r="F586" s="177"/>
      <c r="G586" s="117"/>
      <c r="H586" s="93"/>
      <c r="I586" s="41"/>
      <c r="J586" s="136"/>
    </row>
    <row r="587" spans="1:10" x14ac:dyDescent="0.35">
      <c r="A587" s="92"/>
      <c r="F587" s="177"/>
      <c r="G587" s="117"/>
      <c r="H587" s="93"/>
      <c r="I587" s="41"/>
      <c r="J587" s="136"/>
    </row>
    <row r="588" spans="1:10" x14ac:dyDescent="0.35">
      <c r="A588" s="92"/>
      <c r="F588" s="177"/>
      <c r="G588" s="117"/>
      <c r="H588" s="93"/>
      <c r="I588" s="41"/>
      <c r="J588" s="136"/>
    </row>
    <row r="589" spans="1:10" x14ac:dyDescent="0.35">
      <c r="A589" s="92"/>
      <c r="F589" s="177"/>
      <c r="G589" s="117"/>
      <c r="H589" s="93"/>
      <c r="I589" s="41"/>
      <c r="J589" s="136"/>
    </row>
    <row r="590" spans="1:10" x14ac:dyDescent="0.35">
      <c r="A590" s="92"/>
      <c r="F590" s="177"/>
      <c r="G590" s="117"/>
      <c r="H590" s="93"/>
      <c r="I590" s="41"/>
      <c r="J590" s="136"/>
    </row>
    <row r="591" spans="1:10" x14ac:dyDescent="0.35">
      <c r="A591" s="92"/>
      <c r="F591" s="177"/>
      <c r="G591" s="117"/>
      <c r="H591" s="93"/>
      <c r="I591" s="41"/>
      <c r="J591" s="136"/>
    </row>
    <row r="592" spans="1:10" x14ac:dyDescent="0.35">
      <c r="A592" s="92"/>
      <c r="F592" s="177"/>
      <c r="G592" s="117"/>
      <c r="H592" s="93"/>
      <c r="I592" s="41"/>
      <c r="J592" s="136"/>
    </row>
    <row r="593" spans="1:10" x14ac:dyDescent="0.35">
      <c r="A593" s="92"/>
      <c r="F593" s="177"/>
      <c r="G593" s="117"/>
      <c r="H593" s="93"/>
      <c r="I593" s="41"/>
      <c r="J593" s="136"/>
    </row>
    <row r="594" spans="1:10" x14ac:dyDescent="0.35">
      <c r="A594" s="92"/>
      <c r="F594" s="177"/>
      <c r="G594" s="117"/>
      <c r="H594" s="93"/>
      <c r="I594" s="41"/>
      <c r="J594" s="136"/>
    </row>
    <row r="595" spans="1:10" x14ac:dyDescent="0.35">
      <c r="A595" s="92"/>
      <c r="F595" s="177"/>
      <c r="G595" s="117"/>
      <c r="H595" s="93"/>
      <c r="I595" s="41"/>
      <c r="J595" s="136"/>
    </row>
    <row r="596" spans="1:10" x14ac:dyDescent="0.35">
      <c r="A596" s="92"/>
      <c r="F596" s="177"/>
      <c r="G596" s="117"/>
      <c r="H596" s="93"/>
      <c r="I596" s="41"/>
      <c r="J596" s="136"/>
    </row>
    <row r="597" spans="1:10" x14ac:dyDescent="0.35">
      <c r="A597" s="92"/>
      <c r="F597" s="177"/>
      <c r="G597" s="117"/>
      <c r="H597" s="93"/>
      <c r="I597" s="41"/>
      <c r="J597" s="136"/>
    </row>
    <row r="598" spans="1:10" x14ac:dyDescent="0.35">
      <c r="A598" s="92"/>
      <c r="F598" s="177"/>
      <c r="G598" s="117"/>
      <c r="H598" s="93"/>
      <c r="I598" s="41"/>
      <c r="J598" s="136"/>
    </row>
    <row r="599" spans="1:10" x14ac:dyDescent="0.35">
      <c r="A599" s="92"/>
      <c r="F599" s="177"/>
      <c r="G599" s="117"/>
      <c r="H599" s="93"/>
      <c r="I599" s="41"/>
      <c r="J599" s="136"/>
    </row>
    <row r="600" spans="1:10" x14ac:dyDescent="0.35">
      <c r="A600" s="92"/>
      <c r="F600" s="177"/>
      <c r="G600" s="117"/>
      <c r="H600" s="93"/>
      <c r="I600" s="41"/>
      <c r="J600" s="136"/>
    </row>
    <row r="601" spans="1:10" x14ac:dyDescent="0.35">
      <c r="A601" s="92"/>
      <c r="F601" s="177"/>
      <c r="G601" s="117"/>
      <c r="H601" s="93"/>
      <c r="I601" s="41"/>
      <c r="J601" s="136"/>
    </row>
    <row r="602" spans="1:10" x14ac:dyDescent="0.35">
      <c r="A602" s="92"/>
      <c r="F602" s="177"/>
      <c r="G602" s="117"/>
      <c r="H602" s="93"/>
      <c r="I602" s="41"/>
      <c r="J602" s="136"/>
    </row>
    <row r="603" spans="1:10" x14ac:dyDescent="0.35">
      <c r="A603" s="92"/>
      <c r="F603" s="177"/>
      <c r="G603" s="117"/>
      <c r="H603" s="93"/>
      <c r="I603" s="41"/>
      <c r="J603" s="136"/>
    </row>
    <row r="604" spans="1:10" x14ac:dyDescent="0.35">
      <c r="A604" s="92"/>
      <c r="F604" s="177"/>
      <c r="G604" s="117"/>
      <c r="H604" s="93"/>
      <c r="I604" s="41"/>
      <c r="J604" s="136"/>
    </row>
    <row r="605" spans="1:10" x14ac:dyDescent="0.35">
      <c r="A605" s="92"/>
      <c r="F605" s="177"/>
      <c r="G605" s="117"/>
      <c r="H605" s="93"/>
      <c r="I605" s="41"/>
      <c r="J605" s="136"/>
    </row>
    <row r="606" spans="1:10" x14ac:dyDescent="0.35">
      <c r="A606" s="92"/>
      <c r="F606" s="177"/>
      <c r="G606" s="117"/>
      <c r="H606" s="93"/>
      <c r="I606" s="41"/>
      <c r="J606" s="136"/>
    </row>
    <row r="607" spans="1:10" x14ac:dyDescent="0.35">
      <c r="A607" s="92"/>
      <c r="F607" s="177"/>
      <c r="G607" s="117"/>
      <c r="H607" s="93"/>
      <c r="I607" s="41"/>
      <c r="J607" s="136"/>
    </row>
    <row r="608" spans="1:10" x14ac:dyDescent="0.35">
      <c r="A608" s="92"/>
      <c r="F608" s="177"/>
      <c r="G608" s="117"/>
      <c r="H608" s="93"/>
      <c r="I608" s="41"/>
      <c r="J608" s="136"/>
    </row>
    <row r="609" spans="1:10" x14ac:dyDescent="0.35">
      <c r="A609" s="92"/>
      <c r="F609" s="177"/>
      <c r="G609" s="117"/>
      <c r="H609" s="93"/>
      <c r="I609" s="41"/>
      <c r="J609" s="136"/>
    </row>
    <row r="610" spans="1:10" x14ac:dyDescent="0.35">
      <c r="A610" s="92"/>
      <c r="F610" s="177"/>
      <c r="G610" s="117"/>
      <c r="H610" s="93"/>
      <c r="I610" s="41"/>
      <c r="J610" s="136"/>
    </row>
    <row r="611" spans="1:10" x14ac:dyDescent="0.35">
      <c r="A611" s="92"/>
      <c r="F611" s="177"/>
      <c r="G611" s="117"/>
      <c r="H611" s="93"/>
      <c r="I611" s="41"/>
      <c r="J611" s="136"/>
    </row>
    <row r="612" spans="1:10" x14ac:dyDescent="0.35">
      <c r="A612" s="92"/>
      <c r="F612" s="177"/>
      <c r="G612" s="117"/>
      <c r="H612" s="93"/>
      <c r="I612" s="41"/>
      <c r="J612" s="136"/>
    </row>
    <row r="613" spans="1:10" x14ac:dyDescent="0.35">
      <c r="A613" s="92"/>
      <c r="F613" s="177"/>
      <c r="G613" s="117"/>
      <c r="H613" s="93"/>
      <c r="I613" s="41"/>
      <c r="J613" s="136"/>
    </row>
    <row r="614" spans="1:10" x14ac:dyDescent="0.35">
      <c r="A614" s="92"/>
      <c r="F614" s="177"/>
      <c r="G614" s="117"/>
      <c r="H614" s="93"/>
      <c r="I614" s="41"/>
      <c r="J614" s="136"/>
    </row>
    <row r="615" spans="1:10" x14ac:dyDescent="0.35">
      <c r="A615" s="92"/>
      <c r="F615" s="177"/>
      <c r="G615" s="117"/>
      <c r="H615" s="93"/>
      <c r="I615" s="41"/>
      <c r="J615" s="136"/>
    </row>
    <row r="616" spans="1:10" x14ac:dyDescent="0.35">
      <c r="A616" s="92"/>
      <c r="F616" s="177"/>
      <c r="G616" s="117"/>
      <c r="H616" s="93"/>
      <c r="I616" s="41"/>
      <c r="J616" s="136"/>
    </row>
    <row r="617" spans="1:10" x14ac:dyDescent="0.35">
      <c r="A617" s="92"/>
      <c r="F617" s="177"/>
      <c r="G617" s="117"/>
      <c r="H617" s="93"/>
      <c r="I617" s="41"/>
      <c r="J617" s="136"/>
    </row>
    <row r="618" spans="1:10" x14ac:dyDescent="0.35">
      <c r="A618" s="92"/>
      <c r="F618" s="177"/>
      <c r="G618" s="117"/>
      <c r="H618" s="93"/>
      <c r="I618" s="41"/>
      <c r="J618" s="136"/>
    </row>
    <row r="619" spans="1:10" x14ac:dyDescent="0.35">
      <c r="A619" s="92"/>
      <c r="F619" s="177"/>
      <c r="G619" s="117"/>
      <c r="H619" s="93"/>
      <c r="I619" s="41"/>
      <c r="J619" s="136"/>
    </row>
    <row r="620" spans="1:10" x14ac:dyDescent="0.35">
      <c r="A620" s="92"/>
      <c r="F620" s="177"/>
      <c r="G620" s="117"/>
      <c r="H620" s="93"/>
      <c r="I620" s="41"/>
      <c r="J620" s="136"/>
    </row>
    <row r="621" spans="1:10" x14ac:dyDescent="0.35">
      <c r="A621" s="92"/>
      <c r="F621" s="177"/>
      <c r="G621" s="117"/>
      <c r="H621" s="93"/>
      <c r="I621" s="41"/>
      <c r="J621" s="136"/>
    </row>
    <row r="622" spans="1:10" x14ac:dyDescent="0.35">
      <c r="A622" s="92"/>
      <c r="F622" s="177"/>
      <c r="G622" s="117"/>
      <c r="H622" s="93"/>
      <c r="I622" s="41"/>
      <c r="J622" s="136"/>
    </row>
    <row r="623" spans="1:10" x14ac:dyDescent="0.35">
      <c r="A623" s="92"/>
      <c r="F623" s="177"/>
      <c r="G623" s="117"/>
      <c r="H623" s="93"/>
      <c r="I623" s="41"/>
      <c r="J623" s="136"/>
    </row>
    <row r="624" spans="1:10" x14ac:dyDescent="0.35">
      <c r="A624" s="92"/>
      <c r="F624" s="177"/>
      <c r="G624" s="117"/>
      <c r="H624" s="93"/>
      <c r="I624" s="41"/>
      <c r="J624" s="136"/>
    </row>
    <row r="625" spans="1:10" x14ac:dyDescent="0.35">
      <c r="A625" s="92"/>
      <c r="F625" s="177"/>
      <c r="G625" s="117"/>
      <c r="H625" s="93"/>
      <c r="I625" s="41"/>
      <c r="J625" s="136"/>
    </row>
    <row r="626" spans="1:10" x14ac:dyDescent="0.35">
      <c r="A626" s="92"/>
      <c r="F626" s="177"/>
      <c r="G626" s="117"/>
      <c r="H626" s="93"/>
      <c r="I626" s="41"/>
      <c r="J626" s="136"/>
    </row>
    <row r="627" spans="1:10" x14ac:dyDescent="0.35">
      <c r="A627" s="92"/>
      <c r="F627" s="177"/>
      <c r="G627" s="117"/>
      <c r="H627" s="93"/>
      <c r="I627" s="41"/>
      <c r="J627" s="136"/>
    </row>
    <row r="628" spans="1:10" x14ac:dyDescent="0.35">
      <c r="A628" s="92"/>
      <c r="F628" s="177"/>
      <c r="G628" s="117"/>
      <c r="H628" s="93"/>
      <c r="I628" s="41"/>
      <c r="J628" s="136"/>
    </row>
    <row r="629" spans="1:10" x14ac:dyDescent="0.35">
      <c r="A629" s="92"/>
      <c r="F629" s="177"/>
      <c r="G629" s="117"/>
      <c r="H629" s="93"/>
      <c r="I629" s="41"/>
      <c r="J629" s="136"/>
    </row>
    <row r="630" spans="1:10" x14ac:dyDescent="0.35">
      <c r="A630" s="92"/>
      <c r="F630" s="177"/>
      <c r="G630" s="117"/>
      <c r="H630" s="93"/>
      <c r="I630" s="41"/>
      <c r="J630" s="136"/>
    </row>
    <row r="631" spans="1:10" x14ac:dyDescent="0.35">
      <c r="A631" s="92"/>
      <c r="F631" s="177"/>
      <c r="G631" s="117"/>
      <c r="H631" s="93"/>
      <c r="I631" s="41"/>
      <c r="J631" s="136"/>
    </row>
    <row r="632" spans="1:10" x14ac:dyDescent="0.35">
      <c r="A632" s="92"/>
      <c r="F632" s="177"/>
      <c r="G632" s="117"/>
      <c r="H632" s="93"/>
      <c r="I632" s="41"/>
      <c r="J632" s="136"/>
    </row>
    <row r="633" spans="1:10" x14ac:dyDescent="0.35">
      <c r="A633" s="92"/>
      <c r="F633" s="177"/>
      <c r="G633" s="117"/>
      <c r="H633" s="93"/>
      <c r="I633" s="41"/>
      <c r="J633" s="136"/>
    </row>
    <row r="634" spans="1:10" x14ac:dyDescent="0.35">
      <c r="A634" s="92"/>
      <c r="F634" s="177"/>
      <c r="G634" s="117"/>
      <c r="H634" s="93"/>
      <c r="I634" s="41"/>
      <c r="J634" s="136"/>
    </row>
    <row r="635" spans="1:10" x14ac:dyDescent="0.35">
      <c r="A635" s="92"/>
      <c r="F635" s="177"/>
      <c r="G635" s="117"/>
      <c r="H635" s="93"/>
      <c r="I635" s="41"/>
      <c r="J635" s="136"/>
    </row>
    <row r="636" spans="1:10" x14ac:dyDescent="0.35">
      <c r="A636" s="92"/>
      <c r="F636" s="177"/>
      <c r="G636" s="117"/>
      <c r="H636" s="93"/>
      <c r="I636" s="41"/>
      <c r="J636" s="136"/>
    </row>
    <row r="637" spans="1:10" x14ac:dyDescent="0.35">
      <c r="A637" s="92"/>
      <c r="F637" s="177"/>
      <c r="G637" s="117"/>
      <c r="H637" s="93"/>
      <c r="I637" s="41"/>
      <c r="J637" s="136"/>
    </row>
    <row r="638" spans="1:10" x14ac:dyDescent="0.35">
      <c r="A638" s="92"/>
      <c r="F638" s="177"/>
      <c r="G638" s="117"/>
      <c r="H638" s="93"/>
      <c r="I638" s="41"/>
      <c r="J638" s="136"/>
    </row>
    <row r="639" spans="1:10" x14ac:dyDescent="0.35">
      <c r="A639" s="92"/>
      <c r="F639" s="177"/>
      <c r="G639" s="117"/>
      <c r="H639" s="93"/>
      <c r="I639" s="41"/>
      <c r="J639" s="136"/>
    </row>
    <row r="640" spans="1:10" x14ac:dyDescent="0.35">
      <c r="A640" s="92"/>
      <c r="F640" s="177"/>
      <c r="G640" s="117"/>
      <c r="H640" s="93"/>
      <c r="I640" s="41"/>
      <c r="J640" s="136"/>
    </row>
    <row r="641" spans="1:10" x14ac:dyDescent="0.35">
      <c r="A641" s="92"/>
      <c r="F641" s="177"/>
      <c r="G641" s="117"/>
      <c r="H641" s="93"/>
      <c r="I641" s="41"/>
      <c r="J641" s="136"/>
    </row>
    <row r="642" spans="1:10" x14ac:dyDescent="0.35">
      <c r="A642" s="92"/>
      <c r="F642" s="177"/>
      <c r="G642" s="117"/>
      <c r="H642" s="93"/>
      <c r="I642" s="41"/>
      <c r="J642" s="136"/>
    </row>
    <row r="643" spans="1:10" x14ac:dyDescent="0.35">
      <c r="A643" s="92"/>
      <c r="F643" s="177"/>
      <c r="G643" s="117"/>
      <c r="H643" s="93"/>
      <c r="I643" s="41"/>
      <c r="J643" s="136"/>
    </row>
    <row r="644" spans="1:10" x14ac:dyDescent="0.35">
      <c r="A644" s="92"/>
      <c r="F644" s="177"/>
      <c r="G644" s="117"/>
      <c r="H644" s="93"/>
      <c r="I644" s="41"/>
      <c r="J644" s="136"/>
    </row>
    <row r="645" spans="1:10" x14ac:dyDescent="0.35">
      <c r="A645" s="92"/>
      <c r="F645" s="177"/>
      <c r="G645" s="117"/>
      <c r="H645" s="93"/>
      <c r="I645" s="41"/>
      <c r="J645" s="136"/>
    </row>
    <row r="646" spans="1:10" x14ac:dyDescent="0.35">
      <c r="A646" s="92"/>
      <c r="F646" s="177"/>
      <c r="G646" s="117"/>
      <c r="H646" s="93"/>
      <c r="I646" s="41"/>
      <c r="J646" s="136"/>
    </row>
    <row r="647" spans="1:10" x14ac:dyDescent="0.35">
      <c r="A647" s="92"/>
      <c r="F647" s="177"/>
      <c r="G647" s="117"/>
      <c r="H647" s="93"/>
      <c r="I647" s="41"/>
      <c r="J647" s="136"/>
    </row>
    <row r="648" spans="1:10" x14ac:dyDescent="0.35">
      <c r="A648" s="92"/>
      <c r="F648" s="177"/>
      <c r="G648" s="117"/>
      <c r="H648" s="93"/>
      <c r="I648" s="41"/>
      <c r="J648" s="136"/>
    </row>
    <row r="649" spans="1:10" x14ac:dyDescent="0.35">
      <c r="A649" s="92"/>
      <c r="F649" s="177"/>
      <c r="G649" s="117"/>
      <c r="H649" s="93"/>
      <c r="I649" s="41"/>
      <c r="J649" s="136"/>
    </row>
    <row r="650" spans="1:10" x14ac:dyDescent="0.35">
      <c r="A650" s="92"/>
      <c r="F650" s="177"/>
      <c r="G650" s="117"/>
      <c r="H650" s="93"/>
      <c r="I650" s="41"/>
      <c r="J650" s="136"/>
    </row>
    <row r="651" spans="1:10" x14ac:dyDescent="0.35">
      <c r="A651" s="92"/>
      <c r="F651" s="177"/>
      <c r="G651" s="117"/>
      <c r="H651" s="93"/>
      <c r="I651" s="41"/>
      <c r="J651" s="136"/>
    </row>
    <row r="652" spans="1:10" x14ac:dyDescent="0.35">
      <c r="A652" s="92"/>
      <c r="F652" s="177"/>
      <c r="G652" s="117"/>
      <c r="H652" s="93"/>
      <c r="I652" s="41"/>
      <c r="J652" s="136"/>
    </row>
    <row r="653" spans="1:10" x14ac:dyDescent="0.35">
      <c r="A653" s="92"/>
      <c r="F653" s="177"/>
      <c r="G653" s="117"/>
      <c r="H653" s="93"/>
      <c r="I653" s="41"/>
      <c r="J653" s="136"/>
    </row>
    <row r="654" spans="1:10" x14ac:dyDescent="0.35">
      <c r="A654" s="92"/>
      <c r="F654" s="177"/>
      <c r="G654" s="117"/>
      <c r="H654" s="93"/>
      <c r="I654" s="41"/>
      <c r="J654" s="136"/>
    </row>
    <row r="655" spans="1:10" x14ac:dyDescent="0.35">
      <c r="A655" s="92"/>
      <c r="F655" s="177"/>
      <c r="G655" s="117"/>
      <c r="H655" s="93"/>
      <c r="I655" s="41"/>
      <c r="J655" s="136"/>
    </row>
    <row r="656" spans="1:10" x14ac:dyDescent="0.35">
      <c r="A656" s="92"/>
      <c r="F656" s="177"/>
      <c r="G656" s="117"/>
      <c r="H656" s="93"/>
      <c r="I656" s="41"/>
      <c r="J656" s="136"/>
    </row>
    <row r="657" spans="1:10" x14ac:dyDescent="0.35">
      <c r="A657" s="92"/>
      <c r="F657" s="177"/>
      <c r="G657" s="117"/>
      <c r="H657" s="93"/>
      <c r="I657" s="41"/>
      <c r="J657" s="136"/>
    </row>
    <row r="658" spans="1:10" x14ac:dyDescent="0.35">
      <c r="A658" s="92"/>
      <c r="F658" s="177"/>
      <c r="G658" s="117"/>
      <c r="H658" s="93"/>
      <c r="I658" s="41"/>
      <c r="J658" s="136"/>
    </row>
    <row r="659" spans="1:10" x14ac:dyDescent="0.35">
      <c r="A659" s="92"/>
      <c r="F659" s="177"/>
      <c r="G659" s="117"/>
      <c r="H659" s="93"/>
      <c r="I659" s="41"/>
      <c r="J659" s="136"/>
    </row>
    <row r="660" spans="1:10" x14ac:dyDescent="0.35">
      <c r="A660" s="92"/>
      <c r="F660" s="177"/>
      <c r="G660" s="117"/>
      <c r="H660" s="93"/>
      <c r="I660" s="41"/>
      <c r="J660" s="136"/>
    </row>
    <row r="661" spans="1:10" x14ac:dyDescent="0.35">
      <c r="A661" s="92"/>
      <c r="F661" s="177"/>
      <c r="G661" s="117"/>
      <c r="H661" s="93"/>
      <c r="I661" s="41"/>
      <c r="J661" s="136"/>
    </row>
    <row r="662" spans="1:10" x14ac:dyDescent="0.35">
      <c r="A662" s="92"/>
      <c r="F662" s="177"/>
      <c r="G662" s="117"/>
      <c r="H662" s="93"/>
      <c r="I662" s="41"/>
      <c r="J662" s="136"/>
    </row>
    <row r="663" spans="1:10" x14ac:dyDescent="0.35">
      <c r="A663" s="92"/>
      <c r="F663" s="177"/>
      <c r="G663" s="117"/>
      <c r="H663" s="93"/>
      <c r="I663" s="41"/>
      <c r="J663" s="136"/>
    </row>
    <row r="664" spans="1:10" x14ac:dyDescent="0.35">
      <c r="A664" s="92"/>
      <c r="F664" s="177"/>
      <c r="G664" s="117"/>
      <c r="H664" s="93"/>
      <c r="I664" s="41"/>
      <c r="J664" s="136"/>
    </row>
    <row r="665" spans="1:10" x14ac:dyDescent="0.35">
      <c r="A665" s="92"/>
      <c r="F665" s="177"/>
      <c r="G665" s="117"/>
      <c r="H665" s="93"/>
      <c r="I665" s="41"/>
      <c r="J665" s="136"/>
    </row>
    <row r="666" spans="1:10" x14ac:dyDescent="0.35">
      <c r="A666" s="92"/>
      <c r="F666" s="177"/>
      <c r="G666" s="117"/>
      <c r="H666" s="93"/>
      <c r="I666" s="41"/>
      <c r="J666" s="136"/>
    </row>
    <row r="667" spans="1:10" x14ac:dyDescent="0.35">
      <c r="A667" s="92"/>
      <c r="F667" s="177"/>
      <c r="G667" s="117"/>
      <c r="H667" s="93"/>
      <c r="I667" s="41"/>
      <c r="J667" s="136"/>
    </row>
    <row r="668" spans="1:10" x14ac:dyDescent="0.35">
      <c r="A668" s="92"/>
      <c r="F668" s="177"/>
      <c r="G668" s="117"/>
      <c r="H668" s="93"/>
      <c r="I668" s="41"/>
      <c r="J668" s="136"/>
    </row>
    <row r="669" spans="1:10" x14ac:dyDescent="0.35">
      <c r="A669" s="92"/>
      <c r="F669" s="177"/>
      <c r="G669" s="117"/>
      <c r="H669" s="93"/>
      <c r="I669" s="41"/>
      <c r="J669" s="136"/>
    </row>
    <row r="670" spans="1:10" x14ac:dyDescent="0.35">
      <c r="A670" s="92"/>
      <c r="F670" s="177"/>
      <c r="G670" s="117"/>
      <c r="H670" s="93"/>
      <c r="I670" s="41"/>
      <c r="J670" s="136"/>
    </row>
    <row r="671" spans="1:10" x14ac:dyDescent="0.35">
      <c r="A671" s="92"/>
      <c r="F671" s="177"/>
      <c r="G671" s="117"/>
      <c r="H671" s="93"/>
      <c r="I671" s="41"/>
      <c r="J671" s="136"/>
    </row>
    <row r="672" spans="1:10" x14ac:dyDescent="0.35">
      <c r="A672" s="92"/>
      <c r="F672" s="177"/>
      <c r="G672" s="117"/>
      <c r="H672" s="93"/>
      <c r="I672" s="41"/>
      <c r="J672" s="136"/>
    </row>
    <row r="673" spans="1:10" x14ac:dyDescent="0.35">
      <c r="A673" s="92"/>
      <c r="F673" s="177"/>
      <c r="G673" s="117"/>
      <c r="H673" s="93"/>
      <c r="I673" s="41"/>
      <c r="J673" s="136"/>
    </row>
    <row r="674" spans="1:10" x14ac:dyDescent="0.35">
      <c r="A674" s="92"/>
      <c r="F674" s="177"/>
      <c r="G674" s="117"/>
      <c r="H674" s="93"/>
      <c r="I674" s="41"/>
      <c r="J674" s="136"/>
    </row>
    <row r="675" spans="1:10" x14ac:dyDescent="0.35">
      <c r="A675" s="92"/>
      <c r="F675" s="177"/>
      <c r="G675" s="117"/>
      <c r="H675" s="93"/>
      <c r="I675" s="41"/>
      <c r="J675" s="136"/>
    </row>
    <row r="676" spans="1:10" x14ac:dyDescent="0.35">
      <c r="A676" s="92"/>
      <c r="F676" s="177"/>
      <c r="G676" s="117"/>
      <c r="H676" s="93"/>
      <c r="I676" s="41"/>
      <c r="J676" s="136"/>
    </row>
    <row r="677" spans="1:10" x14ac:dyDescent="0.35">
      <c r="A677" s="92"/>
      <c r="F677" s="177"/>
      <c r="G677" s="117"/>
      <c r="H677" s="93"/>
      <c r="I677" s="41"/>
      <c r="J677" s="136"/>
    </row>
    <row r="678" spans="1:10" x14ac:dyDescent="0.35">
      <c r="A678" s="92"/>
      <c r="F678" s="177"/>
      <c r="G678" s="117"/>
      <c r="H678" s="93"/>
      <c r="I678" s="41"/>
      <c r="J678" s="136"/>
    </row>
    <row r="679" spans="1:10" x14ac:dyDescent="0.35">
      <c r="A679" s="92"/>
      <c r="F679" s="177"/>
      <c r="G679" s="117"/>
      <c r="H679" s="93"/>
      <c r="I679" s="41"/>
      <c r="J679" s="136"/>
    </row>
    <row r="680" spans="1:10" x14ac:dyDescent="0.35">
      <c r="A680" s="92"/>
      <c r="F680" s="177"/>
      <c r="G680" s="117"/>
      <c r="H680" s="93"/>
      <c r="I680" s="41"/>
      <c r="J680" s="136"/>
    </row>
    <row r="681" spans="1:10" x14ac:dyDescent="0.35">
      <c r="A681" s="92"/>
      <c r="F681" s="177"/>
      <c r="G681" s="117"/>
      <c r="H681" s="93"/>
      <c r="I681" s="41"/>
      <c r="J681" s="136"/>
    </row>
    <row r="682" spans="1:10" x14ac:dyDescent="0.35">
      <c r="A682" s="92"/>
      <c r="F682" s="177"/>
      <c r="G682" s="117"/>
      <c r="H682" s="93"/>
      <c r="I682" s="41"/>
      <c r="J682" s="136"/>
    </row>
    <row r="683" spans="1:10" x14ac:dyDescent="0.35">
      <c r="A683" s="92"/>
      <c r="F683" s="177"/>
      <c r="G683" s="117"/>
      <c r="H683" s="93"/>
      <c r="I683" s="41"/>
      <c r="J683" s="136"/>
    </row>
    <row r="684" spans="1:10" x14ac:dyDescent="0.35">
      <c r="A684" s="92"/>
      <c r="F684" s="177"/>
      <c r="G684" s="117"/>
      <c r="H684" s="93"/>
      <c r="I684" s="41"/>
      <c r="J684" s="136"/>
    </row>
    <row r="685" spans="1:10" x14ac:dyDescent="0.35">
      <c r="A685" s="92"/>
      <c r="F685" s="177"/>
      <c r="G685" s="117"/>
      <c r="H685" s="93"/>
      <c r="I685" s="41"/>
      <c r="J685" s="136"/>
    </row>
    <row r="686" spans="1:10" x14ac:dyDescent="0.35">
      <c r="A686" s="92"/>
      <c r="F686" s="177"/>
      <c r="G686" s="117"/>
      <c r="H686" s="93"/>
      <c r="I686" s="41"/>
      <c r="J686" s="136"/>
    </row>
    <row r="687" spans="1:10" x14ac:dyDescent="0.35">
      <c r="A687" s="92"/>
      <c r="F687" s="177"/>
      <c r="G687" s="117"/>
      <c r="H687" s="93"/>
      <c r="I687" s="41"/>
      <c r="J687" s="136"/>
    </row>
    <row r="688" spans="1:10" x14ac:dyDescent="0.35">
      <c r="A688" s="92"/>
      <c r="F688" s="177"/>
      <c r="G688" s="117"/>
      <c r="H688" s="93"/>
      <c r="I688" s="41"/>
      <c r="J688" s="136"/>
    </row>
    <row r="689" spans="1:10" x14ac:dyDescent="0.35">
      <c r="A689" s="92"/>
      <c r="F689" s="177"/>
      <c r="G689" s="117"/>
      <c r="H689" s="93"/>
      <c r="I689" s="41"/>
      <c r="J689" s="136"/>
    </row>
    <row r="690" spans="1:10" x14ac:dyDescent="0.35">
      <c r="A690" s="92"/>
      <c r="F690" s="177"/>
      <c r="G690" s="117"/>
      <c r="H690" s="93"/>
      <c r="I690" s="41"/>
      <c r="J690" s="136"/>
    </row>
    <row r="691" spans="1:10" x14ac:dyDescent="0.35">
      <c r="A691" s="92"/>
      <c r="F691" s="177"/>
      <c r="G691" s="117"/>
      <c r="H691" s="93"/>
      <c r="I691" s="41"/>
      <c r="J691" s="136"/>
    </row>
    <row r="692" spans="1:10" x14ac:dyDescent="0.35">
      <c r="A692" s="92"/>
      <c r="F692" s="177"/>
      <c r="G692" s="117"/>
      <c r="H692" s="93"/>
      <c r="I692" s="41"/>
      <c r="J692" s="136"/>
    </row>
    <row r="693" spans="1:10" x14ac:dyDescent="0.35">
      <c r="A693" s="92"/>
      <c r="F693" s="177"/>
      <c r="G693" s="117"/>
      <c r="H693" s="93"/>
      <c r="I693" s="41"/>
      <c r="J693" s="136"/>
    </row>
    <row r="694" spans="1:10" x14ac:dyDescent="0.35">
      <c r="A694" s="92"/>
      <c r="F694" s="177"/>
      <c r="G694" s="117"/>
      <c r="H694" s="93"/>
      <c r="I694" s="41"/>
      <c r="J694" s="136"/>
    </row>
    <row r="695" spans="1:10" x14ac:dyDescent="0.35">
      <c r="A695" s="92"/>
      <c r="F695" s="177"/>
      <c r="G695" s="117"/>
      <c r="H695" s="93"/>
      <c r="I695" s="41"/>
      <c r="J695" s="136"/>
    </row>
    <row r="696" spans="1:10" x14ac:dyDescent="0.35">
      <c r="A696" s="92"/>
      <c r="F696" s="177"/>
      <c r="G696" s="117"/>
      <c r="H696" s="93"/>
      <c r="I696" s="41"/>
      <c r="J696" s="136"/>
    </row>
    <row r="697" spans="1:10" x14ac:dyDescent="0.35">
      <c r="A697" s="92"/>
      <c r="F697" s="177"/>
      <c r="G697" s="117"/>
      <c r="H697" s="93"/>
      <c r="I697" s="41"/>
      <c r="J697" s="136"/>
    </row>
    <row r="698" spans="1:10" x14ac:dyDescent="0.35">
      <c r="A698" s="92"/>
      <c r="F698" s="177"/>
      <c r="G698" s="117"/>
      <c r="H698" s="93"/>
      <c r="I698" s="41"/>
      <c r="J698" s="136"/>
    </row>
    <row r="699" spans="1:10" x14ac:dyDescent="0.35">
      <c r="A699" s="92"/>
      <c r="F699" s="177"/>
      <c r="G699" s="117"/>
      <c r="H699" s="93"/>
      <c r="I699" s="41"/>
      <c r="J699" s="136"/>
    </row>
    <row r="700" spans="1:10" x14ac:dyDescent="0.35">
      <c r="A700" s="92"/>
      <c r="F700" s="177"/>
      <c r="G700" s="117"/>
      <c r="H700" s="93"/>
      <c r="I700" s="41"/>
      <c r="J700" s="136"/>
    </row>
    <row r="701" spans="1:10" x14ac:dyDescent="0.35">
      <c r="A701" s="92"/>
      <c r="F701" s="177"/>
      <c r="G701" s="117"/>
      <c r="H701" s="93"/>
      <c r="I701" s="41"/>
      <c r="J701" s="136"/>
    </row>
    <row r="702" spans="1:10" x14ac:dyDescent="0.35">
      <c r="A702" s="92"/>
      <c r="F702" s="177"/>
      <c r="G702" s="117"/>
      <c r="H702" s="93"/>
      <c r="I702" s="41"/>
      <c r="J702" s="136"/>
    </row>
    <row r="703" spans="1:10" x14ac:dyDescent="0.35">
      <c r="A703" s="92"/>
      <c r="F703" s="177"/>
      <c r="G703" s="117"/>
      <c r="H703" s="93"/>
      <c r="I703" s="41"/>
      <c r="J703" s="136"/>
    </row>
    <row r="704" spans="1:10" x14ac:dyDescent="0.35">
      <c r="A704" s="92"/>
      <c r="F704" s="177"/>
      <c r="G704" s="117"/>
      <c r="H704" s="93"/>
      <c r="I704" s="41"/>
      <c r="J704" s="136"/>
    </row>
    <row r="705" spans="1:10" x14ac:dyDescent="0.35">
      <c r="A705" s="92"/>
      <c r="F705" s="177"/>
      <c r="G705" s="117"/>
      <c r="H705" s="93"/>
      <c r="I705" s="41"/>
      <c r="J705" s="136"/>
    </row>
    <row r="706" spans="1:10" x14ac:dyDescent="0.35">
      <c r="A706" s="92"/>
      <c r="F706" s="177"/>
      <c r="G706" s="117"/>
      <c r="H706" s="93"/>
      <c r="I706" s="41"/>
      <c r="J706" s="136"/>
    </row>
    <row r="707" spans="1:10" x14ac:dyDescent="0.35">
      <c r="A707" s="92"/>
      <c r="F707" s="177"/>
      <c r="G707" s="117"/>
      <c r="H707" s="93"/>
      <c r="I707" s="41"/>
      <c r="J707" s="136"/>
    </row>
    <row r="708" spans="1:10" x14ac:dyDescent="0.35">
      <c r="A708" s="92"/>
      <c r="F708" s="177"/>
      <c r="G708" s="117"/>
      <c r="H708" s="93"/>
      <c r="I708" s="41"/>
      <c r="J708" s="136"/>
    </row>
    <row r="709" spans="1:10" x14ac:dyDescent="0.35">
      <c r="A709" s="92"/>
      <c r="F709" s="177"/>
      <c r="G709" s="117"/>
      <c r="H709" s="93"/>
      <c r="I709" s="41"/>
      <c r="J709" s="136"/>
    </row>
    <row r="710" spans="1:10" x14ac:dyDescent="0.35">
      <c r="A710" s="92"/>
      <c r="F710" s="177"/>
      <c r="G710" s="117"/>
      <c r="H710" s="93"/>
      <c r="I710" s="41"/>
      <c r="J710" s="136"/>
    </row>
    <row r="711" spans="1:10" x14ac:dyDescent="0.35">
      <c r="A711" s="92"/>
      <c r="F711" s="177"/>
      <c r="G711" s="117"/>
      <c r="H711" s="93"/>
      <c r="I711" s="41"/>
      <c r="J711" s="136"/>
    </row>
    <row r="712" spans="1:10" x14ac:dyDescent="0.35">
      <c r="A712" s="92"/>
      <c r="F712" s="177"/>
      <c r="G712" s="117"/>
      <c r="H712" s="93"/>
      <c r="I712" s="41"/>
      <c r="J712" s="136"/>
    </row>
    <row r="713" spans="1:10" x14ac:dyDescent="0.35">
      <c r="A713" s="92"/>
      <c r="F713" s="177"/>
      <c r="G713" s="117"/>
      <c r="H713" s="93"/>
      <c r="I713" s="41"/>
      <c r="J713" s="136"/>
    </row>
    <row r="714" spans="1:10" x14ac:dyDescent="0.35">
      <c r="A714" s="92"/>
      <c r="F714" s="177"/>
      <c r="G714" s="117"/>
      <c r="H714" s="93"/>
      <c r="I714" s="41"/>
      <c r="J714" s="136"/>
    </row>
    <row r="715" spans="1:10" x14ac:dyDescent="0.35">
      <c r="A715" s="92"/>
      <c r="F715" s="177"/>
      <c r="G715" s="117"/>
      <c r="H715" s="93"/>
      <c r="I715" s="41"/>
      <c r="J715" s="136"/>
    </row>
    <row r="716" spans="1:10" x14ac:dyDescent="0.35">
      <c r="A716" s="92"/>
      <c r="F716" s="177"/>
      <c r="G716" s="117"/>
      <c r="H716" s="93"/>
      <c r="I716" s="41"/>
      <c r="J716" s="136"/>
    </row>
    <row r="717" spans="1:10" x14ac:dyDescent="0.35">
      <c r="A717" s="92"/>
      <c r="F717" s="177"/>
      <c r="G717" s="117"/>
      <c r="H717" s="93"/>
      <c r="I717" s="41"/>
      <c r="J717" s="136"/>
    </row>
    <row r="718" spans="1:10" x14ac:dyDescent="0.35">
      <c r="A718" s="92"/>
      <c r="F718" s="177"/>
      <c r="G718" s="117"/>
      <c r="H718" s="93"/>
      <c r="I718" s="41"/>
      <c r="J718" s="136"/>
    </row>
    <row r="719" spans="1:10" x14ac:dyDescent="0.35">
      <c r="A719" s="92"/>
      <c r="F719" s="177"/>
      <c r="G719" s="117"/>
      <c r="H719" s="93"/>
      <c r="I719" s="41"/>
      <c r="J719" s="136"/>
    </row>
    <row r="720" spans="1:10" x14ac:dyDescent="0.35">
      <c r="A720" s="92"/>
      <c r="F720" s="177"/>
      <c r="G720" s="117"/>
      <c r="H720" s="93"/>
      <c r="I720" s="41"/>
      <c r="J720" s="136"/>
    </row>
    <row r="721" spans="1:10" x14ac:dyDescent="0.35">
      <c r="A721" s="92"/>
      <c r="F721" s="177"/>
      <c r="G721" s="117"/>
      <c r="H721" s="93"/>
      <c r="I721" s="41"/>
      <c r="J721" s="136"/>
    </row>
    <row r="722" spans="1:10" x14ac:dyDescent="0.35">
      <c r="A722" s="92"/>
      <c r="F722" s="177"/>
      <c r="G722" s="117"/>
      <c r="H722" s="93"/>
      <c r="I722" s="41"/>
      <c r="J722" s="136"/>
    </row>
    <row r="723" spans="1:10" x14ac:dyDescent="0.35">
      <c r="A723" s="92"/>
      <c r="F723" s="177"/>
      <c r="G723" s="117"/>
      <c r="H723" s="93"/>
      <c r="I723" s="41"/>
      <c r="J723" s="136"/>
    </row>
    <row r="724" spans="1:10" x14ac:dyDescent="0.35">
      <c r="A724" s="92"/>
      <c r="F724" s="177"/>
      <c r="G724" s="117"/>
      <c r="H724" s="93"/>
      <c r="I724" s="41"/>
      <c r="J724" s="136"/>
    </row>
    <row r="725" spans="1:10" x14ac:dyDescent="0.35">
      <c r="A725" s="92"/>
      <c r="F725" s="177"/>
      <c r="G725" s="117"/>
      <c r="H725" s="93"/>
      <c r="I725" s="41"/>
      <c r="J725" s="136"/>
    </row>
    <row r="726" spans="1:10" x14ac:dyDescent="0.35">
      <c r="A726" s="92"/>
      <c r="F726" s="177"/>
      <c r="G726" s="117"/>
      <c r="H726" s="93"/>
      <c r="I726" s="41"/>
      <c r="J726" s="136"/>
    </row>
    <row r="727" spans="1:10" x14ac:dyDescent="0.35">
      <c r="A727" s="92"/>
      <c r="F727" s="177"/>
      <c r="G727" s="117"/>
      <c r="H727" s="93"/>
      <c r="I727" s="41"/>
      <c r="J727" s="136"/>
    </row>
    <row r="728" spans="1:10" x14ac:dyDescent="0.35">
      <c r="A728" s="92"/>
      <c r="F728" s="177"/>
      <c r="G728" s="117"/>
      <c r="H728" s="93"/>
      <c r="I728" s="41"/>
      <c r="J728" s="136"/>
    </row>
    <row r="729" spans="1:10" x14ac:dyDescent="0.35">
      <c r="A729" s="92"/>
      <c r="F729" s="177"/>
      <c r="G729" s="117"/>
      <c r="H729" s="93"/>
      <c r="I729" s="41"/>
      <c r="J729" s="136"/>
    </row>
    <row r="730" spans="1:10" x14ac:dyDescent="0.35">
      <c r="A730" s="92"/>
      <c r="F730" s="177"/>
      <c r="G730" s="117"/>
      <c r="H730" s="93"/>
      <c r="I730" s="41"/>
      <c r="J730" s="136"/>
    </row>
    <row r="731" spans="1:10" x14ac:dyDescent="0.35">
      <c r="A731" s="92"/>
      <c r="F731" s="177"/>
      <c r="G731" s="117"/>
      <c r="H731" s="93"/>
      <c r="I731" s="41"/>
      <c r="J731" s="136"/>
    </row>
    <row r="732" spans="1:10" x14ac:dyDescent="0.35">
      <c r="A732" s="92"/>
      <c r="F732" s="177"/>
      <c r="G732" s="117"/>
      <c r="H732" s="93"/>
      <c r="I732" s="41"/>
      <c r="J732" s="136"/>
    </row>
    <row r="733" spans="1:10" x14ac:dyDescent="0.35">
      <c r="A733" s="92"/>
      <c r="F733" s="177"/>
      <c r="G733" s="117"/>
      <c r="H733" s="93"/>
      <c r="I733" s="41"/>
      <c r="J733" s="136"/>
    </row>
    <row r="734" spans="1:10" x14ac:dyDescent="0.35">
      <c r="A734" s="92"/>
      <c r="F734" s="177"/>
      <c r="G734" s="117"/>
      <c r="H734" s="93"/>
      <c r="I734" s="41"/>
      <c r="J734" s="136"/>
    </row>
    <row r="735" spans="1:10" x14ac:dyDescent="0.35">
      <c r="A735" s="92"/>
      <c r="F735" s="177"/>
      <c r="G735" s="117"/>
      <c r="H735" s="93"/>
      <c r="I735" s="41"/>
      <c r="J735" s="136"/>
    </row>
    <row r="736" spans="1:10" x14ac:dyDescent="0.35">
      <c r="A736" s="92"/>
      <c r="F736" s="177"/>
      <c r="G736" s="117"/>
      <c r="H736" s="93"/>
      <c r="I736" s="41"/>
      <c r="J736" s="136"/>
    </row>
    <row r="737" spans="1:10" x14ac:dyDescent="0.35">
      <c r="A737" s="92"/>
      <c r="F737" s="177"/>
      <c r="G737" s="117"/>
      <c r="H737" s="93"/>
      <c r="I737" s="41"/>
      <c r="J737" s="136"/>
    </row>
    <row r="738" spans="1:10" x14ac:dyDescent="0.35">
      <c r="A738" s="92"/>
      <c r="F738" s="177"/>
      <c r="G738" s="117"/>
      <c r="H738" s="93"/>
      <c r="I738" s="41"/>
      <c r="J738" s="136"/>
    </row>
    <row r="739" spans="1:10" x14ac:dyDescent="0.35">
      <c r="A739" s="92"/>
      <c r="F739" s="177"/>
      <c r="G739" s="117"/>
      <c r="H739" s="93"/>
      <c r="I739" s="41"/>
      <c r="J739" s="136"/>
    </row>
    <row r="740" spans="1:10" x14ac:dyDescent="0.35">
      <c r="A740" s="92"/>
      <c r="F740" s="177"/>
      <c r="G740" s="117"/>
      <c r="H740" s="93"/>
      <c r="I740" s="41"/>
      <c r="J740" s="136"/>
    </row>
    <row r="741" spans="1:10" x14ac:dyDescent="0.35">
      <c r="A741" s="92"/>
      <c r="F741" s="177"/>
      <c r="G741" s="117"/>
      <c r="H741" s="93"/>
      <c r="I741" s="41"/>
      <c r="J741" s="136"/>
    </row>
    <row r="742" spans="1:10" x14ac:dyDescent="0.35">
      <c r="A742" s="92"/>
      <c r="F742" s="177"/>
      <c r="G742" s="117"/>
      <c r="H742" s="93"/>
      <c r="I742" s="41"/>
      <c r="J742" s="136"/>
    </row>
    <row r="743" spans="1:10" x14ac:dyDescent="0.35">
      <c r="A743" s="92"/>
      <c r="F743" s="177"/>
      <c r="G743" s="117"/>
      <c r="H743" s="93"/>
      <c r="I743" s="41"/>
      <c r="J743" s="136"/>
    </row>
    <row r="744" spans="1:10" x14ac:dyDescent="0.35">
      <c r="A744" s="92"/>
      <c r="F744" s="177"/>
      <c r="G744" s="117"/>
      <c r="H744" s="93"/>
      <c r="I744" s="41"/>
      <c r="J744" s="136"/>
    </row>
    <row r="745" spans="1:10" x14ac:dyDescent="0.35">
      <c r="A745" s="92"/>
      <c r="F745" s="177"/>
      <c r="G745" s="117"/>
      <c r="H745" s="93"/>
      <c r="I745" s="41"/>
      <c r="J745" s="136"/>
    </row>
    <row r="746" spans="1:10" x14ac:dyDescent="0.35">
      <c r="A746" s="92"/>
      <c r="F746" s="177"/>
      <c r="G746" s="117"/>
      <c r="H746" s="93"/>
      <c r="I746" s="41"/>
      <c r="J746" s="136"/>
    </row>
    <row r="747" spans="1:10" x14ac:dyDescent="0.35">
      <c r="A747" s="92"/>
      <c r="F747" s="177"/>
      <c r="G747" s="117"/>
      <c r="H747" s="93"/>
      <c r="I747" s="41"/>
      <c r="J747" s="136"/>
    </row>
    <row r="748" spans="1:10" x14ac:dyDescent="0.35">
      <c r="A748" s="92"/>
      <c r="F748" s="177"/>
      <c r="G748" s="117"/>
      <c r="H748" s="93"/>
      <c r="I748" s="41"/>
      <c r="J748" s="136"/>
    </row>
    <row r="749" spans="1:10" x14ac:dyDescent="0.35">
      <c r="A749" s="92"/>
      <c r="F749" s="177"/>
      <c r="G749" s="117"/>
      <c r="H749" s="93"/>
      <c r="I749" s="41"/>
      <c r="J749" s="136"/>
    </row>
    <row r="750" spans="1:10" x14ac:dyDescent="0.35">
      <c r="A750" s="92"/>
      <c r="F750" s="177"/>
      <c r="G750" s="117"/>
      <c r="H750" s="93"/>
      <c r="I750" s="41"/>
      <c r="J750" s="136"/>
    </row>
    <row r="751" spans="1:10" x14ac:dyDescent="0.35">
      <c r="A751" s="92"/>
      <c r="F751" s="177"/>
      <c r="G751" s="117"/>
      <c r="H751" s="93"/>
      <c r="I751" s="41"/>
      <c r="J751" s="136"/>
    </row>
    <row r="752" spans="1:10" x14ac:dyDescent="0.35">
      <c r="A752" s="92"/>
      <c r="F752" s="177"/>
      <c r="G752" s="117"/>
      <c r="H752" s="93"/>
      <c r="I752" s="41"/>
      <c r="J752" s="136"/>
    </row>
    <row r="753" spans="1:10" x14ac:dyDescent="0.35">
      <c r="A753" s="92"/>
      <c r="F753" s="177"/>
      <c r="G753" s="117"/>
      <c r="H753" s="93"/>
      <c r="I753" s="41"/>
      <c r="J753" s="136"/>
    </row>
    <row r="754" spans="1:10" x14ac:dyDescent="0.35">
      <c r="A754" s="92"/>
      <c r="F754" s="177"/>
      <c r="G754" s="117"/>
      <c r="H754" s="93"/>
      <c r="I754" s="41"/>
      <c r="J754" s="136"/>
    </row>
    <row r="755" spans="1:10" x14ac:dyDescent="0.35">
      <c r="A755" s="92"/>
      <c r="F755" s="177"/>
      <c r="G755" s="117"/>
      <c r="H755" s="93"/>
      <c r="I755" s="41"/>
      <c r="J755" s="136"/>
    </row>
    <row r="756" spans="1:10" x14ac:dyDescent="0.35">
      <c r="A756" s="92"/>
      <c r="F756" s="177"/>
      <c r="G756" s="117"/>
      <c r="H756" s="93"/>
      <c r="I756" s="41"/>
      <c r="J756" s="136"/>
    </row>
    <row r="757" spans="1:10" x14ac:dyDescent="0.35">
      <c r="A757" s="92"/>
      <c r="F757" s="177"/>
      <c r="G757" s="117"/>
      <c r="H757" s="93"/>
      <c r="I757" s="41"/>
      <c r="J757" s="136"/>
    </row>
    <row r="758" spans="1:10" x14ac:dyDescent="0.35">
      <c r="A758" s="92"/>
      <c r="F758" s="177"/>
      <c r="G758" s="117"/>
      <c r="H758" s="93"/>
      <c r="I758" s="41"/>
      <c r="J758" s="136"/>
    </row>
    <row r="759" spans="1:10" x14ac:dyDescent="0.35">
      <c r="A759" s="92"/>
      <c r="F759" s="177"/>
      <c r="G759" s="117"/>
      <c r="H759" s="93"/>
      <c r="I759" s="41"/>
      <c r="J759" s="136"/>
    </row>
    <row r="760" spans="1:10" x14ac:dyDescent="0.35">
      <c r="A760" s="92"/>
      <c r="F760" s="177"/>
      <c r="G760" s="117"/>
      <c r="H760" s="93"/>
      <c r="I760" s="41"/>
      <c r="J760" s="136"/>
    </row>
    <row r="761" spans="1:10" x14ac:dyDescent="0.35">
      <c r="A761" s="92"/>
      <c r="F761" s="177"/>
      <c r="G761" s="117"/>
      <c r="H761" s="93"/>
      <c r="I761" s="41"/>
      <c r="J761" s="136"/>
    </row>
    <row r="762" spans="1:10" x14ac:dyDescent="0.35">
      <c r="A762" s="92"/>
      <c r="F762" s="177"/>
      <c r="G762" s="117"/>
      <c r="H762" s="93"/>
      <c r="I762" s="41"/>
      <c r="J762" s="136"/>
    </row>
    <row r="763" spans="1:10" x14ac:dyDescent="0.35">
      <c r="A763" s="92"/>
      <c r="F763" s="177"/>
      <c r="G763" s="117"/>
      <c r="H763" s="93"/>
      <c r="I763" s="41"/>
      <c r="J763" s="136"/>
    </row>
    <row r="764" spans="1:10" x14ac:dyDescent="0.35">
      <c r="A764" s="92"/>
      <c r="F764" s="177"/>
      <c r="G764" s="117"/>
      <c r="H764" s="93"/>
      <c r="I764" s="41"/>
      <c r="J764" s="136"/>
    </row>
    <row r="765" spans="1:10" x14ac:dyDescent="0.35">
      <c r="A765" s="92"/>
      <c r="F765" s="177"/>
      <c r="G765" s="117"/>
      <c r="H765" s="93"/>
      <c r="I765" s="41"/>
      <c r="J765" s="136"/>
    </row>
    <row r="766" spans="1:10" x14ac:dyDescent="0.35">
      <c r="A766" s="92"/>
      <c r="F766" s="177"/>
      <c r="G766" s="117"/>
      <c r="H766" s="93"/>
      <c r="I766" s="41"/>
      <c r="J766" s="136"/>
    </row>
    <row r="767" spans="1:10" x14ac:dyDescent="0.35">
      <c r="A767" s="92"/>
      <c r="F767" s="177"/>
      <c r="G767" s="117"/>
      <c r="H767" s="93"/>
      <c r="I767" s="41"/>
      <c r="J767" s="136"/>
    </row>
    <row r="768" spans="1:10" x14ac:dyDescent="0.35">
      <c r="A768" s="92"/>
      <c r="F768" s="177"/>
      <c r="G768" s="117"/>
      <c r="H768" s="93"/>
      <c r="I768" s="41"/>
      <c r="J768" s="136"/>
    </row>
    <row r="769" spans="1:10" x14ac:dyDescent="0.35">
      <c r="A769" s="92"/>
      <c r="F769" s="177"/>
      <c r="G769" s="117"/>
      <c r="H769" s="93"/>
      <c r="I769" s="41"/>
      <c r="J769" s="136"/>
    </row>
    <row r="770" spans="1:10" x14ac:dyDescent="0.35">
      <c r="A770" s="92"/>
      <c r="F770" s="177"/>
      <c r="G770" s="117"/>
      <c r="H770" s="93"/>
      <c r="I770" s="41"/>
      <c r="J770" s="136"/>
    </row>
    <row r="771" spans="1:10" x14ac:dyDescent="0.35">
      <c r="A771" s="92"/>
      <c r="F771" s="177"/>
      <c r="G771" s="117"/>
      <c r="H771" s="93"/>
      <c r="I771" s="41"/>
      <c r="J771" s="136"/>
    </row>
    <row r="772" spans="1:10" x14ac:dyDescent="0.35">
      <c r="A772" s="92"/>
      <c r="F772" s="177"/>
      <c r="G772" s="117"/>
      <c r="H772" s="93"/>
      <c r="I772" s="41"/>
      <c r="J772" s="136"/>
    </row>
    <row r="773" spans="1:10" x14ac:dyDescent="0.35">
      <c r="A773" s="92"/>
      <c r="F773" s="177"/>
      <c r="G773" s="117"/>
      <c r="H773" s="93"/>
      <c r="I773" s="41"/>
      <c r="J773" s="136"/>
    </row>
    <row r="774" spans="1:10" x14ac:dyDescent="0.35">
      <c r="A774" s="92"/>
      <c r="F774" s="177"/>
      <c r="G774" s="117"/>
      <c r="H774" s="93"/>
      <c r="I774" s="41"/>
      <c r="J774" s="136"/>
    </row>
    <row r="775" spans="1:10" x14ac:dyDescent="0.35">
      <c r="A775" s="92"/>
      <c r="F775" s="177"/>
      <c r="G775" s="117"/>
      <c r="H775" s="93"/>
      <c r="I775" s="41"/>
      <c r="J775" s="136"/>
    </row>
    <row r="776" spans="1:10" x14ac:dyDescent="0.35">
      <c r="A776" s="92"/>
      <c r="F776" s="177"/>
      <c r="G776" s="117"/>
      <c r="H776" s="93"/>
      <c r="I776" s="41"/>
      <c r="J776" s="136"/>
    </row>
    <row r="777" spans="1:10" x14ac:dyDescent="0.35">
      <c r="A777" s="92"/>
      <c r="F777" s="177"/>
      <c r="G777" s="117"/>
      <c r="H777" s="93"/>
      <c r="I777" s="41"/>
      <c r="J777" s="136"/>
    </row>
    <row r="778" spans="1:10" x14ac:dyDescent="0.35">
      <c r="A778" s="92"/>
      <c r="F778" s="177"/>
      <c r="G778" s="117"/>
      <c r="H778" s="93"/>
      <c r="I778" s="41"/>
      <c r="J778" s="136"/>
    </row>
    <row r="779" spans="1:10" x14ac:dyDescent="0.35">
      <c r="A779" s="92"/>
      <c r="F779" s="177"/>
      <c r="G779" s="117"/>
      <c r="H779" s="93"/>
      <c r="I779" s="41"/>
      <c r="J779" s="136"/>
    </row>
    <row r="780" spans="1:10" x14ac:dyDescent="0.35">
      <c r="A780" s="92"/>
      <c r="F780" s="177"/>
      <c r="G780" s="117"/>
      <c r="H780" s="93"/>
      <c r="I780" s="41"/>
      <c r="J780" s="136"/>
    </row>
    <row r="781" spans="1:10" x14ac:dyDescent="0.35">
      <c r="A781" s="92"/>
      <c r="F781" s="177"/>
      <c r="G781" s="117"/>
      <c r="H781" s="93"/>
      <c r="I781" s="41"/>
      <c r="J781" s="136"/>
    </row>
    <row r="782" spans="1:10" x14ac:dyDescent="0.35">
      <c r="A782" s="92"/>
      <c r="F782" s="177"/>
      <c r="G782" s="117"/>
      <c r="H782" s="93"/>
      <c r="I782" s="41"/>
      <c r="J782" s="136"/>
    </row>
    <row r="783" spans="1:10" x14ac:dyDescent="0.35">
      <c r="A783" s="92"/>
      <c r="F783" s="177"/>
      <c r="G783" s="117"/>
      <c r="H783" s="93"/>
      <c r="I783" s="41"/>
      <c r="J783" s="136"/>
    </row>
    <row r="784" spans="1:10" x14ac:dyDescent="0.35">
      <c r="A784" s="92"/>
      <c r="F784" s="177"/>
      <c r="G784" s="117"/>
      <c r="H784" s="93"/>
      <c r="I784" s="41"/>
      <c r="J784" s="136"/>
    </row>
    <row r="785" spans="1:10" x14ac:dyDescent="0.35">
      <c r="A785" s="92"/>
      <c r="F785" s="177"/>
      <c r="G785" s="117"/>
      <c r="H785" s="93"/>
      <c r="I785" s="41"/>
      <c r="J785" s="136"/>
    </row>
    <row r="786" spans="1:10" x14ac:dyDescent="0.35">
      <c r="A786" s="92"/>
      <c r="F786" s="177"/>
      <c r="G786" s="117"/>
      <c r="H786" s="93"/>
      <c r="I786" s="41"/>
      <c r="J786" s="136"/>
    </row>
    <row r="787" spans="1:10" x14ac:dyDescent="0.35">
      <c r="A787" s="92"/>
      <c r="F787" s="177"/>
      <c r="G787" s="117"/>
      <c r="H787" s="93"/>
      <c r="I787" s="41"/>
      <c r="J787" s="136"/>
    </row>
    <row r="788" spans="1:10" x14ac:dyDescent="0.35">
      <c r="A788" s="92"/>
      <c r="F788" s="177"/>
      <c r="G788" s="117"/>
      <c r="H788" s="93"/>
      <c r="I788" s="41"/>
      <c r="J788" s="136"/>
    </row>
    <row r="789" spans="1:10" x14ac:dyDescent="0.35">
      <c r="A789" s="92"/>
      <c r="F789" s="177"/>
      <c r="G789" s="117"/>
      <c r="H789" s="93"/>
      <c r="I789" s="41"/>
      <c r="J789" s="136"/>
    </row>
    <row r="790" spans="1:10" x14ac:dyDescent="0.35">
      <c r="A790" s="92"/>
      <c r="F790" s="177"/>
      <c r="G790" s="117"/>
      <c r="H790" s="93"/>
      <c r="I790" s="41"/>
      <c r="J790" s="136"/>
    </row>
    <row r="791" spans="1:10" x14ac:dyDescent="0.35">
      <c r="A791" s="92"/>
      <c r="F791" s="177"/>
      <c r="G791" s="117"/>
      <c r="H791" s="93"/>
      <c r="I791" s="41"/>
      <c r="J791" s="136"/>
    </row>
    <row r="792" spans="1:10" x14ac:dyDescent="0.35">
      <c r="A792" s="92"/>
      <c r="F792" s="177"/>
      <c r="G792" s="117"/>
      <c r="H792" s="93"/>
      <c r="I792" s="41"/>
      <c r="J792" s="136"/>
    </row>
    <row r="793" spans="1:10" x14ac:dyDescent="0.35">
      <c r="A793" s="92"/>
      <c r="F793" s="177"/>
      <c r="G793" s="117"/>
      <c r="H793" s="93"/>
      <c r="I793" s="41"/>
      <c r="J793" s="136"/>
    </row>
    <row r="794" spans="1:10" x14ac:dyDescent="0.35">
      <c r="A794" s="92"/>
      <c r="F794" s="177"/>
      <c r="G794" s="117"/>
      <c r="H794" s="93"/>
      <c r="I794" s="41"/>
      <c r="J794" s="136"/>
    </row>
    <row r="795" spans="1:10" x14ac:dyDescent="0.35">
      <c r="A795" s="92"/>
      <c r="F795" s="177"/>
      <c r="G795" s="117"/>
      <c r="H795" s="93"/>
      <c r="I795" s="41"/>
      <c r="J795" s="136"/>
    </row>
    <row r="796" spans="1:10" x14ac:dyDescent="0.35">
      <c r="A796" s="92"/>
      <c r="F796" s="177"/>
      <c r="G796" s="117"/>
      <c r="H796" s="93"/>
      <c r="I796" s="41"/>
      <c r="J796" s="136"/>
    </row>
    <row r="797" spans="1:10" x14ac:dyDescent="0.35">
      <c r="A797" s="92"/>
      <c r="F797" s="177"/>
      <c r="G797" s="117"/>
      <c r="H797" s="93"/>
      <c r="I797" s="41"/>
      <c r="J797" s="136"/>
    </row>
    <row r="798" spans="1:10" x14ac:dyDescent="0.35">
      <c r="A798" s="92"/>
      <c r="F798" s="177"/>
      <c r="G798" s="117"/>
      <c r="H798" s="93"/>
      <c r="I798" s="41"/>
      <c r="J798" s="136"/>
    </row>
    <row r="799" spans="1:10" x14ac:dyDescent="0.35">
      <c r="A799" s="92"/>
      <c r="F799" s="177"/>
      <c r="G799" s="117"/>
      <c r="H799" s="93"/>
      <c r="I799" s="41"/>
      <c r="J799" s="136"/>
    </row>
    <row r="800" spans="1:10" x14ac:dyDescent="0.35">
      <c r="A800" s="92"/>
      <c r="F800" s="177"/>
      <c r="G800" s="117"/>
      <c r="H800" s="93"/>
      <c r="I800" s="41"/>
      <c r="J800" s="136"/>
    </row>
    <row r="801" spans="1:10" x14ac:dyDescent="0.35">
      <c r="A801" s="92"/>
      <c r="F801" s="177"/>
      <c r="G801" s="117"/>
      <c r="H801" s="93"/>
      <c r="I801" s="41"/>
      <c r="J801" s="136"/>
    </row>
    <row r="802" spans="1:10" x14ac:dyDescent="0.35">
      <c r="A802" s="92"/>
      <c r="F802" s="177"/>
      <c r="G802" s="117"/>
      <c r="H802" s="93"/>
      <c r="I802" s="41"/>
      <c r="J802" s="136"/>
    </row>
    <row r="803" spans="1:10" x14ac:dyDescent="0.35">
      <c r="A803" s="92"/>
      <c r="F803" s="177"/>
      <c r="G803" s="117"/>
      <c r="H803" s="93"/>
      <c r="I803" s="41"/>
      <c r="J803" s="136"/>
    </row>
    <row r="804" spans="1:10" x14ac:dyDescent="0.35">
      <c r="A804" s="92"/>
      <c r="F804" s="177"/>
      <c r="G804" s="117"/>
      <c r="H804" s="93"/>
      <c r="I804" s="41"/>
      <c r="J804" s="136"/>
    </row>
    <row r="805" spans="1:10" x14ac:dyDescent="0.35">
      <c r="A805" s="92"/>
      <c r="F805" s="177"/>
      <c r="G805" s="117"/>
      <c r="H805" s="93"/>
      <c r="I805" s="41"/>
      <c r="J805" s="136"/>
    </row>
    <row r="806" spans="1:10" x14ac:dyDescent="0.35">
      <c r="A806" s="92"/>
      <c r="F806" s="177"/>
      <c r="G806" s="117"/>
      <c r="H806" s="93"/>
      <c r="I806" s="41"/>
      <c r="J806" s="136"/>
    </row>
    <row r="807" spans="1:10" x14ac:dyDescent="0.35">
      <c r="A807" s="92"/>
      <c r="F807" s="177"/>
      <c r="G807" s="117"/>
      <c r="H807" s="93"/>
      <c r="I807" s="41"/>
      <c r="J807" s="136"/>
    </row>
    <row r="808" spans="1:10" x14ac:dyDescent="0.35">
      <c r="A808" s="92"/>
      <c r="F808" s="177"/>
      <c r="G808" s="117"/>
      <c r="H808" s="93"/>
      <c r="I808" s="41"/>
      <c r="J808" s="136"/>
    </row>
    <row r="809" spans="1:10" x14ac:dyDescent="0.35">
      <c r="A809" s="92"/>
      <c r="F809" s="177"/>
      <c r="G809" s="117"/>
      <c r="H809" s="93"/>
      <c r="I809" s="41"/>
      <c r="J809" s="136"/>
    </row>
    <row r="810" spans="1:10" x14ac:dyDescent="0.35">
      <c r="A810" s="92"/>
      <c r="F810" s="177"/>
      <c r="G810" s="117"/>
      <c r="H810" s="93"/>
      <c r="I810" s="41"/>
      <c r="J810" s="136"/>
    </row>
    <row r="811" spans="1:10" x14ac:dyDescent="0.35">
      <c r="A811" s="92"/>
      <c r="F811" s="177"/>
      <c r="G811" s="117"/>
      <c r="H811" s="93"/>
      <c r="I811" s="41"/>
      <c r="J811" s="136"/>
    </row>
    <row r="812" spans="1:10" x14ac:dyDescent="0.35">
      <c r="A812" s="92"/>
      <c r="F812" s="177"/>
      <c r="G812" s="117"/>
      <c r="H812" s="93"/>
      <c r="I812" s="41"/>
      <c r="J812" s="136"/>
    </row>
    <row r="813" spans="1:10" x14ac:dyDescent="0.35">
      <c r="A813" s="92"/>
      <c r="F813" s="177"/>
      <c r="G813" s="117"/>
      <c r="H813" s="93"/>
      <c r="I813" s="41"/>
      <c r="J813" s="136"/>
    </row>
    <row r="814" spans="1:10" x14ac:dyDescent="0.35">
      <c r="A814" s="92"/>
      <c r="F814" s="177"/>
      <c r="G814" s="117"/>
      <c r="H814" s="93"/>
      <c r="I814" s="41"/>
      <c r="J814" s="136"/>
    </row>
    <row r="815" spans="1:10" x14ac:dyDescent="0.35">
      <c r="A815" s="92"/>
      <c r="F815" s="177"/>
      <c r="G815" s="117"/>
      <c r="H815" s="93"/>
      <c r="I815" s="41"/>
      <c r="J815" s="136"/>
    </row>
    <row r="816" spans="1:10" x14ac:dyDescent="0.35">
      <c r="A816" s="92"/>
      <c r="F816" s="177"/>
      <c r="G816" s="117"/>
      <c r="H816" s="93"/>
      <c r="I816" s="41"/>
      <c r="J816" s="136"/>
    </row>
    <row r="817" spans="1:10" x14ac:dyDescent="0.35">
      <c r="A817" s="92"/>
      <c r="F817" s="177"/>
      <c r="G817" s="117"/>
      <c r="H817" s="93"/>
      <c r="I817" s="41"/>
      <c r="J817" s="136"/>
    </row>
    <row r="818" spans="1:10" x14ac:dyDescent="0.35">
      <c r="A818" s="92"/>
      <c r="F818" s="177"/>
      <c r="G818" s="117"/>
      <c r="H818" s="93"/>
      <c r="I818" s="41"/>
      <c r="J818" s="136"/>
    </row>
    <row r="819" spans="1:10" x14ac:dyDescent="0.35">
      <c r="A819" s="92"/>
      <c r="F819" s="177"/>
      <c r="G819" s="117"/>
      <c r="H819" s="93"/>
      <c r="I819" s="41"/>
      <c r="J819" s="136"/>
    </row>
    <row r="820" spans="1:10" x14ac:dyDescent="0.35">
      <c r="A820" s="92"/>
      <c r="F820" s="177"/>
      <c r="G820" s="117"/>
      <c r="H820" s="93"/>
      <c r="I820" s="41"/>
      <c r="J820" s="136"/>
    </row>
    <row r="821" spans="1:10" x14ac:dyDescent="0.35">
      <c r="A821" s="92"/>
      <c r="F821" s="177"/>
      <c r="G821" s="117"/>
      <c r="H821" s="93"/>
      <c r="I821" s="41"/>
      <c r="J821" s="136"/>
    </row>
    <row r="822" spans="1:10" x14ac:dyDescent="0.35">
      <c r="A822" s="92"/>
      <c r="F822" s="177"/>
      <c r="G822" s="117"/>
      <c r="H822" s="93"/>
      <c r="I822" s="41"/>
      <c r="J822" s="136"/>
    </row>
    <row r="823" spans="1:10" x14ac:dyDescent="0.35">
      <c r="A823" s="92"/>
      <c r="F823" s="177"/>
      <c r="G823" s="117"/>
      <c r="H823" s="93"/>
      <c r="I823" s="41"/>
      <c r="J823" s="136"/>
    </row>
    <row r="824" spans="1:10" x14ac:dyDescent="0.35">
      <c r="A824" s="92"/>
      <c r="F824" s="177"/>
      <c r="G824" s="117"/>
      <c r="H824" s="93"/>
      <c r="I824" s="41"/>
      <c r="J824" s="136"/>
    </row>
    <row r="825" spans="1:10" x14ac:dyDescent="0.35">
      <c r="A825" s="92"/>
      <c r="F825" s="177"/>
      <c r="G825" s="117"/>
      <c r="H825" s="93"/>
      <c r="I825" s="41"/>
      <c r="J825" s="136"/>
    </row>
    <row r="826" spans="1:10" x14ac:dyDescent="0.35">
      <c r="A826" s="92"/>
      <c r="F826" s="177"/>
      <c r="G826" s="117"/>
      <c r="H826" s="93"/>
      <c r="I826" s="41"/>
      <c r="J826" s="136"/>
    </row>
    <row r="827" spans="1:10" x14ac:dyDescent="0.35">
      <c r="A827" s="92"/>
      <c r="F827" s="177"/>
      <c r="G827" s="117"/>
      <c r="H827" s="93"/>
      <c r="I827" s="41"/>
      <c r="J827" s="136"/>
    </row>
    <row r="828" spans="1:10" x14ac:dyDescent="0.35">
      <c r="A828" s="92"/>
      <c r="F828" s="177"/>
      <c r="G828" s="117"/>
      <c r="H828" s="93"/>
      <c r="I828" s="41"/>
      <c r="J828" s="136"/>
    </row>
    <row r="829" spans="1:10" x14ac:dyDescent="0.35">
      <c r="A829" s="92"/>
      <c r="F829" s="177"/>
      <c r="G829" s="117"/>
      <c r="H829" s="93"/>
      <c r="I829" s="41"/>
      <c r="J829" s="136"/>
    </row>
    <row r="830" spans="1:10" x14ac:dyDescent="0.35">
      <c r="A830" s="92"/>
      <c r="F830" s="177"/>
      <c r="G830" s="117"/>
      <c r="H830" s="93"/>
      <c r="I830" s="41"/>
      <c r="J830" s="136"/>
    </row>
    <row r="831" spans="1:10" x14ac:dyDescent="0.35">
      <c r="A831" s="92"/>
      <c r="F831" s="177"/>
      <c r="G831" s="117"/>
      <c r="H831" s="93"/>
      <c r="I831" s="41"/>
      <c r="J831" s="136"/>
    </row>
    <row r="832" spans="1:10" x14ac:dyDescent="0.35">
      <c r="A832" s="92"/>
      <c r="F832" s="177"/>
      <c r="G832" s="117"/>
      <c r="H832" s="93"/>
      <c r="I832" s="41"/>
      <c r="J832" s="136"/>
    </row>
    <row r="833" spans="1:10" x14ac:dyDescent="0.35">
      <c r="A833" s="92"/>
      <c r="F833" s="177"/>
      <c r="G833" s="117"/>
      <c r="H833" s="93"/>
      <c r="I833" s="41"/>
      <c r="J833" s="136"/>
    </row>
    <row r="834" spans="1:10" x14ac:dyDescent="0.35">
      <c r="A834" s="92"/>
      <c r="F834" s="177"/>
      <c r="G834" s="117"/>
      <c r="H834" s="93"/>
      <c r="I834" s="41"/>
      <c r="J834" s="136"/>
    </row>
    <row r="835" spans="1:10" x14ac:dyDescent="0.35">
      <c r="A835" s="92"/>
      <c r="F835" s="177"/>
      <c r="G835" s="117"/>
      <c r="H835" s="93"/>
      <c r="I835" s="41"/>
      <c r="J835" s="136"/>
    </row>
    <row r="836" spans="1:10" x14ac:dyDescent="0.35">
      <c r="A836" s="92"/>
      <c r="F836" s="177"/>
      <c r="G836" s="117"/>
      <c r="H836" s="93"/>
      <c r="I836" s="41"/>
      <c r="J836" s="136"/>
    </row>
    <row r="837" spans="1:10" x14ac:dyDescent="0.35">
      <c r="A837" s="92"/>
      <c r="F837" s="177"/>
      <c r="G837" s="117"/>
      <c r="H837" s="93"/>
      <c r="I837" s="41"/>
      <c r="J837" s="136"/>
    </row>
    <row r="838" spans="1:10" x14ac:dyDescent="0.35">
      <c r="A838" s="92"/>
      <c r="F838" s="177"/>
      <c r="G838" s="117"/>
      <c r="H838" s="93"/>
      <c r="I838" s="41"/>
      <c r="J838" s="136"/>
    </row>
    <row r="839" spans="1:10" x14ac:dyDescent="0.35">
      <c r="A839" s="92"/>
      <c r="F839" s="177"/>
      <c r="G839" s="117"/>
      <c r="H839" s="93"/>
      <c r="I839" s="41"/>
      <c r="J839" s="136"/>
    </row>
    <row r="840" spans="1:10" x14ac:dyDescent="0.35">
      <c r="A840" s="92"/>
      <c r="F840" s="177"/>
      <c r="G840" s="117"/>
      <c r="H840" s="93"/>
      <c r="I840" s="41"/>
      <c r="J840" s="136"/>
    </row>
    <row r="841" spans="1:10" x14ac:dyDescent="0.35">
      <c r="A841" s="92"/>
      <c r="F841" s="177"/>
      <c r="G841" s="117"/>
      <c r="H841" s="93"/>
      <c r="I841" s="41"/>
      <c r="J841" s="136"/>
    </row>
    <row r="842" spans="1:10" x14ac:dyDescent="0.35">
      <c r="A842" s="92"/>
      <c r="F842" s="177"/>
      <c r="G842" s="117"/>
      <c r="H842" s="93"/>
      <c r="I842" s="41"/>
      <c r="J842" s="136"/>
    </row>
    <row r="843" spans="1:10" x14ac:dyDescent="0.35">
      <c r="A843" s="92"/>
      <c r="F843" s="177"/>
      <c r="G843" s="117"/>
      <c r="H843" s="93"/>
      <c r="I843" s="41"/>
      <c r="J843" s="136"/>
    </row>
    <row r="844" spans="1:10" x14ac:dyDescent="0.35">
      <c r="A844" s="92"/>
      <c r="F844" s="177"/>
      <c r="G844" s="117"/>
      <c r="H844" s="93"/>
      <c r="I844" s="41"/>
      <c r="J844" s="136"/>
    </row>
    <row r="845" spans="1:10" x14ac:dyDescent="0.35">
      <c r="A845" s="92"/>
      <c r="F845" s="177"/>
      <c r="G845" s="117"/>
      <c r="H845" s="93"/>
      <c r="I845" s="41"/>
      <c r="J845" s="136"/>
    </row>
    <row r="846" spans="1:10" x14ac:dyDescent="0.35">
      <c r="A846" s="92"/>
      <c r="F846" s="177"/>
      <c r="G846" s="117"/>
      <c r="H846" s="93"/>
      <c r="I846" s="41"/>
      <c r="J846" s="136"/>
    </row>
    <row r="847" spans="1:10" x14ac:dyDescent="0.35">
      <c r="A847" s="92"/>
      <c r="F847" s="177"/>
      <c r="G847" s="117"/>
      <c r="H847" s="93"/>
      <c r="I847" s="41"/>
      <c r="J847" s="136"/>
    </row>
    <row r="848" spans="1:10" x14ac:dyDescent="0.35">
      <c r="A848" s="92"/>
      <c r="F848" s="177"/>
      <c r="G848" s="117"/>
      <c r="H848" s="93"/>
      <c r="I848" s="41"/>
      <c r="J848" s="136"/>
    </row>
    <row r="849" spans="1:10" x14ac:dyDescent="0.35">
      <c r="A849" s="92"/>
      <c r="F849" s="177"/>
      <c r="G849" s="117"/>
      <c r="H849" s="93"/>
      <c r="I849" s="41"/>
      <c r="J849" s="136"/>
    </row>
    <row r="850" spans="1:10" x14ac:dyDescent="0.35">
      <c r="A850" s="92"/>
      <c r="F850" s="177"/>
      <c r="G850" s="117"/>
      <c r="H850" s="93"/>
      <c r="I850" s="41"/>
      <c r="J850" s="136"/>
    </row>
    <row r="851" spans="1:10" x14ac:dyDescent="0.35">
      <c r="A851" s="92"/>
      <c r="F851" s="177"/>
      <c r="G851" s="117"/>
      <c r="H851" s="93"/>
      <c r="I851" s="41"/>
      <c r="J851" s="136"/>
    </row>
    <row r="852" spans="1:10" x14ac:dyDescent="0.35">
      <c r="A852" s="92"/>
      <c r="F852" s="177"/>
      <c r="G852" s="117"/>
      <c r="H852" s="93"/>
      <c r="I852" s="41"/>
      <c r="J852" s="136"/>
    </row>
    <row r="853" spans="1:10" x14ac:dyDescent="0.35">
      <c r="A853" s="92"/>
      <c r="F853" s="177"/>
      <c r="G853" s="117"/>
      <c r="H853" s="93"/>
      <c r="I853" s="41"/>
      <c r="J853" s="136"/>
    </row>
    <row r="854" spans="1:10" x14ac:dyDescent="0.35">
      <c r="A854" s="92"/>
      <c r="F854" s="177"/>
      <c r="G854" s="117"/>
      <c r="H854" s="93"/>
      <c r="I854" s="41"/>
      <c r="J854" s="136"/>
    </row>
    <row r="855" spans="1:10" x14ac:dyDescent="0.35">
      <c r="A855" s="92"/>
      <c r="F855" s="177"/>
      <c r="G855" s="117"/>
      <c r="H855" s="93"/>
      <c r="I855" s="41"/>
      <c r="J855" s="136"/>
    </row>
    <row r="856" spans="1:10" x14ac:dyDescent="0.35">
      <c r="A856" s="92"/>
      <c r="F856" s="177"/>
      <c r="G856" s="117"/>
      <c r="H856" s="93"/>
      <c r="I856" s="41"/>
      <c r="J856" s="136"/>
    </row>
    <row r="857" spans="1:10" x14ac:dyDescent="0.35">
      <c r="A857" s="92"/>
      <c r="F857" s="177"/>
      <c r="G857" s="117"/>
      <c r="H857" s="93"/>
      <c r="I857" s="41"/>
      <c r="J857" s="136"/>
    </row>
    <row r="858" spans="1:10" x14ac:dyDescent="0.35">
      <c r="A858" s="92"/>
      <c r="F858" s="177"/>
      <c r="G858" s="117"/>
      <c r="H858" s="93"/>
      <c r="I858" s="41"/>
      <c r="J858" s="136"/>
    </row>
    <row r="859" spans="1:10" x14ac:dyDescent="0.35">
      <c r="A859" s="92"/>
      <c r="F859" s="177"/>
      <c r="G859" s="117"/>
      <c r="H859" s="93"/>
      <c r="I859" s="41"/>
      <c r="J859" s="136"/>
    </row>
    <row r="860" spans="1:10" x14ac:dyDescent="0.35">
      <c r="A860" s="92"/>
      <c r="F860" s="177"/>
      <c r="G860" s="117"/>
      <c r="H860" s="93"/>
      <c r="I860" s="41"/>
      <c r="J860" s="136"/>
    </row>
    <row r="861" spans="1:10" x14ac:dyDescent="0.35">
      <c r="A861" s="92"/>
      <c r="F861" s="177"/>
      <c r="G861" s="117"/>
      <c r="H861" s="93"/>
      <c r="I861" s="41"/>
      <c r="J861" s="136"/>
    </row>
    <row r="862" spans="1:10" x14ac:dyDescent="0.35">
      <c r="A862" s="92"/>
      <c r="F862" s="177"/>
      <c r="G862" s="117"/>
      <c r="H862" s="93"/>
      <c r="I862" s="41"/>
      <c r="J862" s="136"/>
    </row>
    <row r="863" spans="1:10" x14ac:dyDescent="0.35">
      <c r="A863" s="92"/>
      <c r="F863" s="177"/>
      <c r="G863" s="117"/>
      <c r="H863" s="93"/>
      <c r="I863" s="41"/>
      <c r="J863" s="136"/>
    </row>
    <row r="864" spans="1:10" x14ac:dyDescent="0.35">
      <c r="A864" s="92"/>
      <c r="F864" s="177"/>
      <c r="G864" s="117"/>
      <c r="H864" s="93"/>
      <c r="I864" s="41"/>
      <c r="J864" s="136"/>
    </row>
    <row r="865" spans="1:10" x14ac:dyDescent="0.35">
      <c r="A865" s="92"/>
      <c r="F865" s="177"/>
      <c r="G865" s="117"/>
      <c r="H865" s="93"/>
      <c r="I865" s="41"/>
      <c r="J865" s="136"/>
    </row>
    <row r="866" spans="1:10" x14ac:dyDescent="0.35">
      <c r="A866" s="92"/>
      <c r="F866" s="177"/>
      <c r="G866" s="117"/>
      <c r="H866" s="93"/>
      <c r="I866" s="41"/>
      <c r="J866" s="136"/>
    </row>
    <row r="867" spans="1:10" x14ac:dyDescent="0.35">
      <c r="A867" s="92"/>
      <c r="F867" s="177"/>
      <c r="G867" s="117"/>
      <c r="H867" s="93"/>
      <c r="I867" s="41"/>
      <c r="J867" s="136"/>
    </row>
    <row r="868" spans="1:10" x14ac:dyDescent="0.35">
      <c r="A868" s="92"/>
      <c r="F868" s="177"/>
      <c r="G868" s="117"/>
      <c r="H868" s="93"/>
      <c r="I868" s="41"/>
      <c r="J868" s="136"/>
    </row>
    <row r="869" spans="1:10" x14ac:dyDescent="0.35">
      <c r="A869" s="92"/>
      <c r="F869" s="177"/>
      <c r="G869" s="117"/>
      <c r="H869" s="93"/>
      <c r="I869" s="41"/>
      <c r="J869" s="136"/>
    </row>
    <row r="870" spans="1:10" x14ac:dyDescent="0.35">
      <c r="A870" s="92"/>
      <c r="F870" s="177"/>
      <c r="G870" s="117"/>
      <c r="H870" s="93"/>
      <c r="I870" s="41"/>
      <c r="J870" s="136"/>
    </row>
    <row r="871" spans="1:10" x14ac:dyDescent="0.35">
      <c r="A871" s="92"/>
      <c r="F871" s="177"/>
      <c r="G871" s="117"/>
      <c r="H871" s="93"/>
      <c r="I871" s="41"/>
      <c r="J871" s="136"/>
    </row>
    <row r="872" spans="1:10" x14ac:dyDescent="0.35">
      <c r="A872" s="92"/>
      <c r="F872" s="177"/>
      <c r="G872" s="117"/>
      <c r="H872" s="93"/>
      <c r="I872" s="41"/>
      <c r="J872" s="136"/>
    </row>
    <row r="873" spans="1:10" x14ac:dyDescent="0.35">
      <c r="A873" s="92"/>
      <c r="F873" s="177"/>
      <c r="G873" s="117"/>
      <c r="H873" s="93"/>
      <c r="I873" s="41"/>
      <c r="J873" s="136"/>
    </row>
    <row r="874" spans="1:10" x14ac:dyDescent="0.35">
      <c r="A874" s="92"/>
      <c r="F874" s="177"/>
      <c r="G874" s="117"/>
      <c r="H874" s="93"/>
      <c r="I874" s="41"/>
      <c r="J874" s="136"/>
    </row>
    <row r="875" spans="1:10" x14ac:dyDescent="0.35">
      <c r="A875" s="92"/>
      <c r="F875" s="177"/>
      <c r="G875" s="117"/>
      <c r="H875" s="93"/>
      <c r="I875" s="41"/>
      <c r="J875" s="136"/>
    </row>
    <row r="876" spans="1:10" x14ac:dyDescent="0.35">
      <c r="A876" s="92"/>
      <c r="F876" s="177"/>
      <c r="G876" s="117"/>
      <c r="H876" s="93"/>
      <c r="I876" s="41"/>
      <c r="J876" s="136"/>
    </row>
    <row r="877" spans="1:10" x14ac:dyDescent="0.35">
      <c r="A877" s="92"/>
      <c r="F877" s="177"/>
      <c r="G877" s="117"/>
      <c r="H877" s="93"/>
      <c r="I877" s="41"/>
      <c r="J877" s="136"/>
    </row>
    <row r="878" spans="1:10" x14ac:dyDescent="0.35">
      <c r="A878" s="92"/>
      <c r="F878" s="177"/>
      <c r="G878" s="117"/>
      <c r="H878" s="93"/>
      <c r="I878" s="41"/>
      <c r="J878" s="136"/>
    </row>
    <row r="879" spans="1:10" x14ac:dyDescent="0.35">
      <c r="A879" s="92"/>
      <c r="F879" s="177"/>
      <c r="G879" s="117"/>
      <c r="H879" s="93"/>
      <c r="I879" s="41"/>
      <c r="J879" s="136"/>
    </row>
    <row r="880" spans="1:10" x14ac:dyDescent="0.35">
      <c r="A880" s="92"/>
      <c r="F880" s="177"/>
      <c r="G880" s="117"/>
      <c r="H880" s="93"/>
      <c r="I880" s="41"/>
      <c r="J880" s="136"/>
    </row>
    <row r="881" spans="1:10" x14ac:dyDescent="0.35">
      <c r="A881" s="92"/>
      <c r="F881" s="177"/>
      <c r="G881" s="117"/>
      <c r="H881" s="93"/>
      <c r="I881" s="41"/>
      <c r="J881" s="136"/>
    </row>
    <row r="882" spans="1:10" x14ac:dyDescent="0.35">
      <c r="A882" s="92"/>
      <c r="F882" s="177"/>
      <c r="G882" s="117"/>
      <c r="H882" s="93"/>
      <c r="I882" s="41"/>
      <c r="J882" s="136"/>
    </row>
    <row r="883" spans="1:10" x14ac:dyDescent="0.35">
      <c r="A883" s="92"/>
      <c r="F883" s="177"/>
      <c r="G883" s="117"/>
      <c r="H883" s="93"/>
      <c r="I883" s="41"/>
      <c r="J883" s="136"/>
    </row>
    <row r="884" spans="1:10" x14ac:dyDescent="0.35">
      <c r="A884" s="92"/>
      <c r="F884" s="177"/>
      <c r="G884" s="117"/>
      <c r="H884" s="93"/>
      <c r="I884" s="41"/>
      <c r="J884" s="136"/>
    </row>
    <row r="885" spans="1:10" x14ac:dyDescent="0.35">
      <c r="A885" s="92"/>
      <c r="F885" s="177"/>
      <c r="G885" s="117"/>
      <c r="H885" s="93"/>
      <c r="I885" s="41"/>
      <c r="J885" s="136"/>
    </row>
    <row r="886" spans="1:10" x14ac:dyDescent="0.35">
      <c r="A886" s="92"/>
      <c r="F886" s="177"/>
      <c r="G886" s="117"/>
      <c r="H886" s="93"/>
      <c r="I886" s="41"/>
      <c r="J886" s="136"/>
    </row>
    <row r="887" spans="1:10" x14ac:dyDescent="0.35">
      <c r="A887" s="92"/>
      <c r="F887" s="177"/>
      <c r="G887" s="117"/>
      <c r="H887" s="93"/>
      <c r="I887" s="41"/>
      <c r="J887" s="136"/>
    </row>
    <row r="888" spans="1:10" x14ac:dyDescent="0.35">
      <c r="A888" s="92"/>
      <c r="F888" s="177"/>
      <c r="G888" s="117"/>
      <c r="H888" s="93"/>
      <c r="I888" s="41"/>
      <c r="J888" s="136"/>
    </row>
    <row r="889" spans="1:10" x14ac:dyDescent="0.35">
      <c r="A889" s="92"/>
      <c r="F889" s="177"/>
      <c r="G889" s="117"/>
      <c r="H889" s="93"/>
      <c r="I889" s="41"/>
      <c r="J889" s="136"/>
    </row>
    <row r="890" spans="1:10" x14ac:dyDescent="0.35">
      <c r="A890" s="92"/>
      <c r="F890" s="177"/>
      <c r="G890" s="117"/>
      <c r="H890" s="93"/>
      <c r="I890" s="41"/>
      <c r="J890" s="136"/>
    </row>
    <row r="891" spans="1:10" x14ac:dyDescent="0.35">
      <c r="A891" s="92"/>
      <c r="F891" s="177"/>
      <c r="G891" s="117"/>
      <c r="H891" s="93"/>
      <c r="I891" s="41"/>
      <c r="J891" s="136"/>
    </row>
    <row r="892" spans="1:10" x14ac:dyDescent="0.35">
      <c r="A892" s="92"/>
      <c r="F892" s="177"/>
      <c r="G892" s="117"/>
      <c r="H892" s="93"/>
      <c r="I892" s="41"/>
      <c r="J892" s="136"/>
    </row>
    <row r="893" spans="1:10" x14ac:dyDescent="0.35">
      <c r="A893" s="92"/>
      <c r="F893" s="177"/>
      <c r="G893" s="117"/>
      <c r="H893" s="93"/>
      <c r="I893" s="41"/>
      <c r="J893" s="136"/>
    </row>
    <row r="894" spans="1:10" x14ac:dyDescent="0.35">
      <c r="A894" s="92"/>
      <c r="F894" s="177"/>
      <c r="G894" s="117"/>
      <c r="H894" s="93"/>
      <c r="I894" s="41"/>
      <c r="J894" s="136"/>
    </row>
    <row r="895" spans="1:10" x14ac:dyDescent="0.35">
      <c r="A895" s="92"/>
      <c r="F895" s="177"/>
      <c r="G895" s="117"/>
      <c r="H895" s="93"/>
      <c r="I895" s="41"/>
      <c r="J895" s="136"/>
    </row>
    <row r="896" spans="1:10" x14ac:dyDescent="0.35">
      <c r="A896" s="92"/>
      <c r="F896" s="177"/>
      <c r="G896" s="117"/>
      <c r="H896" s="93"/>
      <c r="I896" s="41"/>
      <c r="J896" s="136"/>
    </row>
    <row r="897" spans="1:10" x14ac:dyDescent="0.35">
      <c r="A897" s="92"/>
      <c r="F897" s="177"/>
      <c r="G897" s="117"/>
      <c r="H897" s="93"/>
      <c r="I897" s="41"/>
      <c r="J897" s="136"/>
    </row>
    <row r="898" spans="1:10" x14ac:dyDescent="0.35">
      <c r="A898" s="92"/>
      <c r="F898" s="177"/>
      <c r="G898" s="117"/>
      <c r="H898" s="93"/>
      <c r="I898" s="41"/>
      <c r="J898" s="136"/>
    </row>
    <row r="899" spans="1:10" x14ac:dyDescent="0.35">
      <c r="A899" s="92"/>
      <c r="F899" s="177"/>
      <c r="G899" s="117"/>
      <c r="H899" s="93"/>
      <c r="I899" s="41"/>
      <c r="J899" s="136"/>
    </row>
    <row r="900" spans="1:10" x14ac:dyDescent="0.35">
      <c r="A900" s="92"/>
      <c r="F900" s="177"/>
      <c r="G900" s="117"/>
      <c r="H900" s="93"/>
      <c r="I900" s="41"/>
      <c r="J900" s="136"/>
    </row>
    <row r="901" spans="1:10" x14ac:dyDescent="0.35">
      <c r="A901" s="92"/>
      <c r="F901" s="177"/>
      <c r="G901" s="117"/>
      <c r="H901" s="93"/>
      <c r="I901" s="41"/>
      <c r="J901" s="136"/>
    </row>
    <row r="902" spans="1:10" x14ac:dyDescent="0.35">
      <c r="A902" s="92"/>
      <c r="F902" s="177"/>
      <c r="G902" s="117"/>
      <c r="H902" s="93"/>
      <c r="I902" s="41"/>
      <c r="J902" s="136"/>
    </row>
    <row r="903" spans="1:10" x14ac:dyDescent="0.35">
      <c r="A903" s="92"/>
      <c r="F903" s="177"/>
      <c r="G903" s="117"/>
      <c r="H903" s="93"/>
      <c r="I903" s="41"/>
      <c r="J903" s="136"/>
    </row>
    <row r="904" spans="1:10" x14ac:dyDescent="0.35">
      <c r="A904" s="92"/>
      <c r="F904" s="177"/>
      <c r="G904" s="117"/>
      <c r="H904" s="93"/>
      <c r="I904" s="41"/>
      <c r="J904" s="136"/>
    </row>
    <row r="905" spans="1:10" x14ac:dyDescent="0.35">
      <c r="A905" s="92"/>
      <c r="F905" s="177"/>
      <c r="G905" s="117"/>
      <c r="H905" s="93"/>
      <c r="I905" s="41"/>
      <c r="J905" s="136"/>
    </row>
    <row r="906" spans="1:10" x14ac:dyDescent="0.35">
      <c r="A906" s="92"/>
      <c r="F906" s="177"/>
      <c r="G906" s="117"/>
      <c r="H906" s="93"/>
      <c r="I906" s="41"/>
      <c r="J906" s="136"/>
    </row>
    <row r="907" spans="1:10" x14ac:dyDescent="0.35">
      <c r="A907" s="92"/>
      <c r="F907" s="177"/>
      <c r="G907" s="117"/>
      <c r="H907" s="93"/>
      <c r="I907" s="41"/>
      <c r="J907" s="136"/>
    </row>
    <row r="908" spans="1:10" x14ac:dyDescent="0.35">
      <c r="A908" s="92"/>
      <c r="F908" s="177"/>
      <c r="G908" s="117"/>
      <c r="H908" s="93"/>
      <c r="I908" s="41"/>
      <c r="J908" s="136"/>
    </row>
    <row r="909" spans="1:10" x14ac:dyDescent="0.35">
      <c r="A909" s="92"/>
      <c r="F909" s="177"/>
      <c r="G909" s="117"/>
      <c r="H909" s="93"/>
      <c r="I909" s="41"/>
      <c r="J909" s="136"/>
    </row>
    <row r="910" spans="1:10" x14ac:dyDescent="0.35">
      <c r="A910" s="92"/>
      <c r="F910" s="177"/>
      <c r="G910" s="117"/>
      <c r="H910" s="93"/>
      <c r="I910" s="41"/>
      <c r="J910" s="136"/>
    </row>
    <row r="911" spans="1:10" x14ac:dyDescent="0.35">
      <c r="A911" s="92"/>
      <c r="F911" s="177"/>
      <c r="G911" s="117"/>
      <c r="H911" s="93"/>
      <c r="I911" s="41"/>
      <c r="J911" s="136"/>
    </row>
    <row r="912" spans="1:10" x14ac:dyDescent="0.35">
      <c r="A912" s="92"/>
      <c r="F912" s="177"/>
      <c r="G912" s="117"/>
      <c r="H912" s="93"/>
      <c r="I912" s="41"/>
      <c r="J912" s="136"/>
    </row>
    <row r="913" spans="1:10" x14ac:dyDescent="0.35">
      <c r="A913" s="92"/>
      <c r="F913" s="177"/>
      <c r="G913" s="117"/>
      <c r="H913" s="93"/>
      <c r="I913" s="41"/>
      <c r="J913" s="136"/>
    </row>
    <row r="914" spans="1:10" x14ac:dyDescent="0.35">
      <c r="A914" s="92"/>
      <c r="F914" s="177"/>
      <c r="G914" s="117"/>
      <c r="H914" s="93"/>
      <c r="I914" s="41"/>
      <c r="J914" s="136"/>
    </row>
    <row r="915" spans="1:10" x14ac:dyDescent="0.35">
      <c r="A915" s="92"/>
      <c r="F915" s="177"/>
      <c r="G915" s="117"/>
      <c r="H915" s="93"/>
      <c r="I915" s="41"/>
      <c r="J915" s="136"/>
    </row>
    <row r="916" spans="1:10" x14ac:dyDescent="0.35">
      <c r="A916" s="92"/>
      <c r="F916" s="177"/>
      <c r="G916" s="117"/>
      <c r="H916" s="93"/>
      <c r="I916" s="41"/>
      <c r="J916" s="136"/>
    </row>
    <row r="917" spans="1:10" x14ac:dyDescent="0.35">
      <c r="A917" s="92"/>
      <c r="F917" s="177"/>
      <c r="G917" s="117"/>
      <c r="H917" s="93"/>
      <c r="I917" s="41"/>
      <c r="J917" s="136"/>
    </row>
    <row r="918" spans="1:10" x14ac:dyDescent="0.35">
      <c r="A918" s="92"/>
      <c r="F918" s="177"/>
      <c r="G918" s="117"/>
      <c r="H918" s="93"/>
      <c r="I918" s="41"/>
      <c r="J918" s="136"/>
    </row>
    <row r="919" spans="1:10" x14ac:dyDescent="0.35">
      <c r="A919" s="92"/>
      <c r="F919" s="177"/>
      <c r="G919" s="117"/>
      <c r="H919" s="93"/>
      <c r="I919" s="41"/>
      <c r="J919" s="136"/>
    </row>
    <row r="920" spans="1:10" x14ac:dyDescent="0.35">
      <c r="A920" s="92"/>
      <c r="F920" s="177"/>
      <c r="G920" s="117"/>
      <c r="H920" s="93"/>
      <c r="I920" s="41"/>
      <c r="J920" s="136"/>
    </row>
    <row r="921" spans="1:10" x14ac:dyDescent="0.35">
      <c r="A921" s="92"/>
      <c r="F921" s="177"/>
      <c r="G921" s="117"/>
      <c r="H921" s="93"/>
      <c r="I921" s="41"/>
      <c r="J921" s="136"/>
    </row>
    <row r="922" spans="1:10" x14ac:dyDescent="0.35">
      <c r="A922" s="92"/>
      <c r="F922" s="177"/>
      <c r="G922" s="117"/>
      <c r="H922" s="93"/>
      <c r="I922" s="41"/>
      <c r="J922" s="136"/>
    </row>
    <row r="923" spans="1:10" x14ac:dyDescent="0.35">
      <c r="A923" s="92"/>
      <c r="F923" s="177"/>
      <c r="G923" s="117"/>
      <c r="H923" s="93"/>
      <c r="I923" s="41"/>
      <c r="J923" s="136"/>
    </row>
    <row r="924" spans="1:10" x14ac:dyDescent="0.35">
      <c r="A924" s="92"/>
      <c r="F924" s="177"/>
      <c r="G924" s="117"/>
      <c r="H924" s="93"/>
      <c r="I924" s="41"/>
      <c r="J924" s="136"/>
    </row>
    <row r="925" spans="1:10" x14ac:dyDescent="0.35">
      <c r="A925" s="92"/>
      <c r="F925" s="177"/>
      <c r="G925" s="117"/>
      <c r="H925" s="93"/>
      <c r="I925" s="41"/>
      <c r="J925" s="136"/>
    </row>
    <row r="926" spans="1:10" x14ac:dyDescent="0.35">
      <c r="A926" s="92"/>
      <c r="F926" s="177"/>
      <c r="G926" s="117"/>
      <c r="H926" s="93"/>
      <c r="I926" s="41"/>
      <c r="J926" s="136"/>
    </row>
    <row r="927" spans="1:10" x14ac:dyDescent="0.35">
      <c r="A927" s="92"/>
      <c r="F927" s="177"/>
      <c r="G927" s="117"/>
      <c r="H927" s="93"/>
      <c r="I927" s="41"/>
      <c r="J927" s="136"/>
    </row>
    <row r="928" spans="1:10" x14ac:dyDescent="0.35">
      <c r="A928" s="92"/>
      <c r="F928" s="177"/>
      <c r="G928" s="117"/>
      <c r="H928" s="93"/>
      <c r="I928" s="41"/>
      <c r="J928" s="136"/>
    </row>
    <row r="929" spans="1:10" x14ac:dyDescent="0.35">
      <c r="A929" s="92"/>
      <c r="F929" s="177"/>
      <c r="G929" s="117"/>
      <c r="H929" s="93"/>
      <c r="I929" s="41"/>
      <c r="J929" s="136"/>
    </row>
    <row r="930" spans="1:10" x14ac:dyDescent="0.35">
      <c r="A930" s="92"/>
      <c r="F930" s="177"/>
      <c r="G930" s="117"/>
      <c r="H930" s="93"/>
      <c r="I930" s="41"/>
      <c r="J930" s="136"/>
    </row>
    <row r="931" spans="1:10" x14ac:dyDescent="0.35">
      <c r="A931" s="92"/>
      <c r="F931" s="177"/>
      <c r="G931" s="117"/>
      <c r="H931" s="93"/>
      <c r="I931" s="41"/>
      <c r="J931" s="136"/>
    </row>
    <row r="932" spans="1:10" x14ac:dyDescent="0.35">
      <c r="A932" s="92"/>
      <c r="F932" s="177"/>
      <c r="G932" s="117"/>
      <c r="H932" s="93"/>
      <c r="I932" s="41"/>
      <c r="J932" s="136"/>
    </row>
    <row r="933" spans="1:10" x14ac:dyDescent="0.35">
      <c r="A933" s="92"/>
      <c r="F933" s="177"/>
      <c r="G933" s="117"/>
      <c r="H933" s="93"/>
      <c r="I933" s="41"/>
      <c r="J933" s="136"/>
    </row>
    <row r="934" spans="1:10" x14ac:dyDescent="0.35">
      <c r="A934" s="92"/>
      <c r="F934" s="177"/>
      <c r="G934" s="117"/>
      <c r="H934" s="93"/>
      <c r="I934" s="41"/>
      <c r="J934" s="136"/>
    </row>
    <row r="935" spans="1:10" x14ac:dyDescent="0.35">
      <c r="A935" s="92"/>
      <c r="F935" s="177"/>
      <c r="G935" s="117"/>
      <c r="H935" s="93"/>
      <c r="I935" s="41"/>
      <c r="J935" s="136"/>
    </row>
    <row r="936" spans="1:10" x14ac:dyDescent="0.35">
      <c r="A936" s="92"/>
      <c r="F936" s="177"/>
      <c r="G936" s="117"/>
      <c r="H936" s="93"/>
      <c r="I936" s="41"/>
      <c r="J936" s="136"/>
    </row>
    <row r="937" spans="1:10" x14ac:dyDescent="0.35">
      <c r="A937" s="92"/>
      <c r="F937" s="177"/>
      <c r="G937" s="117"/>
      <c r="H937" s="93"/>
      <c r="I937" s="41"/>
      <c r="J937" s="136"/>
    </row>
    <row r="938" spans="1:10" x14ac:dyDescent="0.35">
      <c r="A938" s="92"/>
      <c r="F938" s="177"/>
      <c r="G938" s="117"/>
      <c r="H938" s="93"/>
      <c r="I938" s="41"/>
      <c r="J938" s="136"/>
    </row>
    <row r="939" spans="1:10" x14ac:dyDescent="0.35">
      <c r="A939" s="92"/>
      <c r="F939" s="177"/>
      <c r="G939" s="117"/>
      <c r="H939" s="93"/>
      <c r="I939" s="41"/>
      <c r="J939" s="136"/>
    </row>
    <row r="940" spans="1:10" x14ac:dyDescent="0.35">
      <c r="A940" s="92"/>
      <c r="F940" s="177"/>
      <c r="G940" s="117"/>
      <c r="H940" s="93"/>
      <c r="I940" s="41"/>
      <c r="J940" s="136"/>
    </row>
    <row r="941" spans="1:10" x14ac:dyDescent="0.35">
      <c r="A941" s="92"/>
      <c r="F941" s="177"/>
      <c r="G941" s="117"/>
      <c r="H941" s="93"/>
      <c r="I941" s="41"/>
      <c r="J941" s="136"/>
    </row>
    <row r="942" spans="1:10" x14ac:dyDescent="0.35">
      <c r="A942" s="92"/>
      <c r="F942" s="177"/>
      <c r="G942" s="117"/>
      <c r="H942" s="93"/>
      <c r="I942" s="41"/>
      <c r="J942" s="136"/>
    </row>
    <row r="943" spans="1:10" x14ac:dyDescent="0.35">
      <c r="A943" s="92"/>
      <c r="F943" s="177"/>
      <c r="G943" s="117"/>
      <c r="H943" s="93"/>
      <c r="I943" s="41"/>
      <c r="J943" s="136"/>
    </row>
    <row r="944" spans="1:10" x14ac:dyDescent="0.35">
      <c r="A944" s="92"/>
      <c r="F944" s="177"/>
      <c r="G944" s="117"/>
      <c r="H944" s="93"/>
      <c r="I944" s="41"/>
      <c r="J944" s="136"/>
    </row>
    <row r="945" spans="1:10" x14ac:dyDescent="0.35">
      <c r="A945" s="92"/>
      <c r="F945" s="177"/>
      <c r="G945" s="117"/>
      <c r="H945" s="93"/>
      <c r="I945" s="41"/>
      <c r="J945" s="136"/>
    </row>
    <row r="946" spans="1:10" x14ac:dyDescent="0.35">
      <c r="A946" s="92"/>
      <c r="F946" s="177"/>
      <c r="G946" s="117"/>
      <c r="H946" s="93"/>
      <c r="I946" s="41"/>
      <c r="J946" s="136"/>
    </row>
    <row r="947" spans="1:10" x14ac:dyDescent="0.35">
      <c r="A947" s="92"/>
      <c r="F947" s="177"/>
      <c r="G947" s="117"/>
      <c r="H947" s="93"/>
      <c r="I947" s="41"/>
      <c r="J947" s="136"/>
    </row>
    <row r="948" spans="1:10" x14ac:dyDescent="0.35">
      <c r="A948" s="92"/>
      <c r="F948" s="177"/>
      <c r="G948" s="117"/>
      <c r="H948" s="93"/>
      <c r="I948" s="41"/>
      <c r="J948" s="136"/>
    </row>
    <row r="949" spans="1:10" x14ac:dyDescent="0.35">
      <c r="A949" s="92"/>
      <c r="F949" s="177"/>
      <c r="G949" s="117"/>
      <c r="H949" s="93"/>
      <c r="I949" s="41"/>
      <c r="J949" s="136"/>
    </row>
    <row r="950" spans="1:10" x14ac:dyDescent="0.35">
      <c r="A950" s="92"/>
      <c r="F950" s="177"/>
      <c r="G950" s="117"/>
      <c r="H950" s="93"/>
      <c r="I950" s="41"/>
      <c r="J950" s="136"/>
    </row>
    <row r="951" spans="1:10" x14ac:dyDescent="0.35">
      <c r="A951" s="92"/>
      <c r="F951" s="177"/>
      <c r="G951" s="117"/>
      <c r="H951" s="93"/>
      <c r="I951" s="41"/>
      <c r="J951" s="136"/>
    </row>
    <row r="952" spans="1:10" x14ac:dyDescent="0.35">
      <c r="A952" s="92"/>
      <c r="F952" s="177"/>
      <c r="G952" s="117"/>
      <c r="H952" s="93"/>
      <c r="I952" s="41"/>
      <c r="J952" s="136"/>
    </row>
    <row r="953" spans="1:10" x14ac:dyDescent="0.35">
      <c r="A953" s="92"/>
      <c r="F953" s="177"/>
      <c r="G953" s="117"/>
      <c r="H953" s="93"/>
      <c r="I953" s="41"/>
      <c r="J953" s="136"/>
    </row>
    <row r="954" spans="1:10" x14ac:dyDescent="0.35">
      <c r="A954" s="92"/>
      <c r="F954" s="177"/>
      <c r="G954" s="117"/>
      <c r="H954" s="93"/>
      <c r="I954" s="41"/>
      <c r="J954" s="136"/>
    </row>
    <row r="955" spans="1:10" x14ac:dyDescent="0.35">
      <c r="A955" s="92"/>
      <c r="F955" s="177"/>
      <c r="G955" s="117"/>
      <c r="H955" s="93"/>
      <c r="I955" s="41"/>
      <c r="J955" s="136"/>
    </row>
    <row r="956" spans="1:10" x14ac:dyDescent="0.35">
      <c r="A956" s="92"/>
      <c r="F956" s="177"/>
      <c r="G956" s="117"/>
      <c r="H956" s="93"/>
      <c r="I956" s="41"/>
      <c r="J956" s="136"/>
    </row>
    <row r="957" spans="1:10" x14ac:dyDescent="0.35">
      <c r="A957" s="92"/>
      <c r="F957" s="177"/>
      <c r="G957" s="117"/>
      <c r="H957" s="93"/>
      <c r="I957" s="41"/>
      <c r="J957" s="136"/>
    </row>
    <row r="958" spans="1:10" x14ac:dyDescent="0.35">
      <c r="A958" s="92"/>
      <c r="F958" s="177"/>
      <c r="G958" s="117"/>
      <c r="H958" s="93"/>
      <c r="I958" s="41"/>
      <c r="J958" s="136"/>
    </row>
    <row r="959" spans="1:10" x14ac:dyDescent="0.35">
      <c r="A959" s="92"/>
      <c r="F959" s="177"/>
      <c r="G959" s="117"/>
      <c r="H959" s="93"/>
      <c r="I959" s="41"/>
      <c r="J959" s="136"/>
    </row>
    <row r="960" spans="1:10" x14ac:dyDescent="0.35">
      <c r="A960" s="92"/>
      <c r="F960" s="177"/>
      <c r="G960" s="117"/>
      <c r="H960" s="93"/>
      <c r="I960" s="41"/>
      <c r="J960" s="136"/>
    </row>
    <row r="961" spans="1:10" x14ac:dyDescent="0.35">
      <c r="A961" s="92"/>
      <c r="F961" s="177"/>
      <c r="G961" s="117"/>
      <c r="H961" s="93"/>
      <c r="I961" s="41"/>
      <c r="J961" s="136"/>
    </row>
    <row r="962" spans="1:10" x14ac:dyDescent="0.35">
      <c r="A962" s="92"/>
      <c r="F962" s="177"/>
      <c r="G962" s="117"/>
      <c r="H962" s="93"/>
      <c r="I962" s="41"/>
      <c r="J962" s="136"/>
    </row>
    <row r="963" spans="1:10" x14ac:dyDescent="0.35">
      <c r="A963" s="92"/>
      <c r="F963" s="177"/>
      <c r="G963" s="117"/>
      <c r="H963" s="93"/>
      <c r="I963" s="41"/>
      <c r="J963" s="136"/>
    </row>
    <row r="964" spans="1:10" x14ac:dyDescent="0.35">
      <c r="A964" s="92"/>
      <c r="F964" s="177"/>
      <c r="G964" s="117"/>
      <c r="H964" s="93"/>
      <c r="I964" s="41"/>
      <c r="J964" s="136"/>
    </row>
    <row r="965" spans="1:10" x14ac:dyDescent="0.35">
      <c r="A965" s="92"/>
      <c r="F965" s="177"/>
      <c r="G965" s="117"/>
      <c r="H965" s="93"/>
      <c r="I965" s="41"/>
      <c r="J965" s="136"/>
    </row>
    <row r="966" spans="1:10" x14ac:dyDescent="0.35">
      <c r="A966" s="92"/>
      <c r="F966" s="177"/>
      <c r="G966" s="117"/>
      <c r="H966" s="93"/>
      <c r="I966" s="41"/>
      <c r="J966" s="136"/>
    </row>
    <row r="967" spans="1:10" x14ac:dyDescent="0.35">
      <c r="A967" s="92"/>
      <c r="F967" s="177"/>
      <c r="G967" s="117"/>
      <c r="H967" s="93"/>
      <c r="I967" s="41"/>
      <c r="J967" s="136"/>
    </row>
    <row r="968" spans="1:10" x14ac:dyDescent="0.35">
      <c r="A968" s="92"/>
      <c r="F968" s="177"/>
      <c r="G968" s="117"/>
      <c r="H968" s="93"/>
      <c r="I968" s="41"/>
      <c r="J968" s="136"/>
    </row>
    <row r="969" spans="1:10" x14ac:dyDescent="0.35">
      <c r="A969" s="92"/>
      <c r="F969" s="177"/>
      <c r="G969" s="117"/>
      <c r="H969" s="93"/>
      <c r="I969" s="41"/>
      <c r="J969" s="136"/>
    </row>
    <row r="970" spans="1:10" x14ac:dyDescent="0.35">
      <c r="A970" s="92"/>
      <c r="F970" s="177"/>
      <c r="G970" s="117"/>
      <c r="H970" s="93"/>
      <c r="I970" s="41"/>
      <c r="J970" s="136"/>
    </row>
    <row r="971" spans="1:10" x14ac:dyDescent="0.35">
      <c r="A971" s="92"/>
      <c r="F971" s="177"/>
      <c r="G971" s="117"/>
      <c r="H971" s="93"/>
      <c r="I971" s="41"/>
      <c r="J971" s="136"/>
    </row>
    <row r="972" spans="1:10" x14ac:dyDescent="0.35">
      <c r="A972" s="92"/>
      <c r="F972" s="177"/>
      <c r="G972" s="117"/>
      <c r="H972" s="93"/>
      <c r="I972" s="41"/>
      <c r="J972" s="136"/>
    </row>
    <row r="973" spans="1:10" x14ac:dyDescent="0.35">
      <c r="A973" s="92"/>
      <c r="F973" s="177"/>
      <c r="G973" s="117"/>
      <c r="H973" s="93"/>
      <c r="I973" s="41"/>
      <c r="J973" s="136"/>
    </row>
    <row r="974" spans="1:10" x14ac:dyDescent="0.35">
      <c r="A974" s="92"/>
      <c r="F974" s="177"/>
      <c r="G974" s="117"/>
      <c r="H974" s="93"/>
      <c r="I974" s="41"/>
      <c r="J974" s="136"/>
    </row>
    <row r="975" spans="1:10" x14ac:dyDescent="0.35">
      <c r="A975" s="92"/>
      <c r="F975" s="177"/>
      <c r="G975" s="117"/>
      <c r="H975" s="93"/>
      <c r="I975" s="41"/>
      <c r="J975" s="136"/>
    </row>
    <row r="976" spans="1:10" x14ac:dyDescent="0.35">
      <c r="A976" s="92"/>
      <c r="F976" s="177"/>
      <c r="G976" s="117"/>
      <c r="H976" s="93"/>
      <c r="I976" s="41"/>
      <c r="J976" s="136"/>
    </row>
    <row r="977" spans="1:10" x14ac:dyDescent="0.35">
      <c r="A977" s="92"/>
      <c r="F977" s="177"/>
      <c r="G977" s="117"/>
      <c r="H977" s="93"/>
      <c r="I977" s="41"/>
      <c r="J977" s="136"/>
    </row>
    <row r="978" spans="1:10" x14ac:dyDescent="0.35">
      <c r="A978" s="92"/>
      <c r="F978" s="177"/>
      <c r="G978" s="117"/>
      <c r="H978" s="93"/>
      <c r="I978" s="41"/>
      <c r="J978" s="136"/>
    </row>
    <row r="979" spans="1:10" x14ac:dyDescent="0.35">
      <c r="A979" s="92"/>
      <c r="F979" s="177"/>
      <c r="G979" s="117"/>
      <c r="H979" s="93"/>
      <c r="I979" s="41"/>
      <c r="J979" s="136"/>
    </row>
    <row r="980" spans="1:10" x14ac:dyDescent="0.35">
      <c r="A980" s="92"/>
      <c r="F980" s="177"/>
      <c r="G980" s="117"/>
      <c r="H980" s="93"/>
      <c r="I980" s="41"/>
      <c r="J980" s="136"/>
    </row>
    <row r="981" spans="1:10" x14ac:dyDescent="0.35">
      <c r="A981" s="92"/>
      <c r="F981" s="177"/>
      <c r="G981" s="117"/>
      <c r="H981" s="93"/>
      <c r="I981" s="41"/>
      <c r="J981" s="136"/>
    </row>
    <row r="982" spans="1:10" x14ac:dyDescent="0.35">
      <c r="A982" s="92"/>
      <c r="F982" s="177"/>
      <c r="G982" s="117"/>
      <c r="H982" s="93"/>
      <c r="I982" s="41"/>
      <c r="J982" s="136"/>
    </row>
    <row r="983" spans="1:10" x14ac:dyDescent="0.35">
      <c r="A983" s="92"/>
      <c r="F983" s="177"/>
      <c r="G983" s="117"/>
      <c r="H983" s="93"/>
      <c r="I983" s="41"/>
      <c r="J983" s="136"/>
    </row>
    <row r="984" spans="1:10" x14ac:dyDescent="0.35">
      <c r="A984" s="92"/>
      <c r="F984" s="177"/>
      <c r="G984" s="117"/>
      <c r="H984" s="93"/>
      <c r="I984" s="41"/>
      <c r="J984" s="136"/>
    </row>
    <row r="985" spans="1:10" x14ac:dyDescent="0.35">
      <c r="A985" s="92"/>
      <c r="F985" s="177"/>
      <c r="G985" s="117"/>
      <c r="H985" s="93"/>
      <c r="I985" s="41"/>
      <c r="J985" s="136"/>
    </row>
    <row r="986" spans="1:10" x14ac:dyDescent="0.35">
      <c r="A986" s="92"/>
      <c r="F986" s="177"/>
      <c r="G986" s="117"/>
      <c r="H986" s="93"/>
      <c r="I986" s="41"/>
      <c r="J986" s="136"/>
    </row>
    <row r="987" spans="1:10" x14ac:dyDescent="0.35">
      <c r="A987" s="92"/>
      <c r="F987" s="177"/>
      <c r="G987" s="117"/>
      <c r="H987" s="93"/>
      <c r="I987" s="41"/>
      <c r="J987" s="136"/>
    </row>
    <row r="988" spans="1:10" x14ac:dyDescent="0.35">
      <c r="A988" s="92"/>
      <c r="F988" s="177"/>
      <c r="G988" s="117"/>
      <c r="H988" s="93"/>
      <c r="I988" s="41"/>
      <c r="J988" s="136"/>
    </row>
    <row r="989" spans="1:10" x14ac:dyDescent="0.35">
      <c r="A989" s="92"/>
      <c r="F989" s="177"/>
      <c r="G989" s="117"/>
      <c r="H989" s="93"/>
      <c r="I989" s="41"/>
      <c r="J989" s="136"/>
    </row>
    <row r="990" spans="1:10" x14ac:dyDescent="0.35">
      <c r="A990" s="92"/>
      <c r="F990" s="177"/>
      <c r="G990" s="117"/>
      <c r="H990" s="93"/>
      <c r="I990" s="41"/>
      <c r="J990" s="136"/>
    </row>
    <row r="991" spans="1:10" x14ac:dyDescent="0.35">
      <c r="A991" s="92"/>
      <c r="F991" s="177"/>
      <c r="G991" s="117"/>
      <c r="H991" s="93"/>
      <c r="I991" s="41"/>
      <c r="J991" s="136"/>
    </row>
    <row r="992" spans="1:10" x14ac:dyDescent="0.35">
      <c r="A992" s="92"/>
      <c r="F992" s="177"/>
      <c r="G992" s="117"/>
      <c r="H992" s="93"/>
      <c r="I992" s="41"/>
      <c r="J992" s="136"/>
    </row>
    <row r="993" spans="1:10" x14ac:dyDescent="0.35">
      <c r="A993" s="92"/>
      <c r="F993" s="177"/>
      <c r="G993" s="117"/>
      <c r="H993" s="93"/>
      <c r="I993" s="41"/>
      <c r="J993" s="136"/>
    </row>
    <row r="994" spans="1:10" x14ac:dyDescent="0.35">
      <c r="A994" s="92"/>
      <c r="F994" s="177"/>
      <c r="G994" s="117"/>
      <c r="H994" s="93"/>
      <c r="I994" s="41"/>
      <c r="J994" s="136"/>
    </row>
    <row r="995" spans="1:10" x14ac:dyDescent="0.35">
      <c r="A995" s="92"/>
      <c r="F995" s="177"/>
      <c r="G995" s="117"/>
      <c r="H995" s="93"/>
      <c r="I995" s="41"/>
      <c r="J995" s="136"/>
    </row>
    <row r="996" spans="1:10" x14ac:dyDescent="0.35">
      <c r="A996" s="92"/>
      <c r="F996" s="177"/>
      <c r="G996" s="117"/>
      <c r="H996" s="93"/>
      <c r="I996" s="41"/>
      <c r="J996" s="136"/>
    </row>
    <row r="997" spans="1:10" x14ac:dyDescent="0.35">
      <c r="A997" s="92"/>
      <c r="F997" s="177"/>
      <c r="G997" s="117"/>
      <c r="H997" s="93"/>
      <c r="I997" s="41"/>
      <c r="J997" s="136"/>
    </row>
    <row r="998" spans="1:10" x14ac:dyDescent="0.35">
      <c r="A998" s="92"/>
      <c r="F998" s="177"/>
      <c r="G998" s="117"/>
      <c r="H998" s="93"/>
      <c r="I998" s="41"/>
      <c r="J998" s="136"/>
    </row>
    <row r="999" spans="1:10" x14ac:dyDescent="0.35">
      <c r="A999" s="92"/>
      <c r="F999" s="177"/>
      <c r="G999" s="117"/>
      <c r="H999" s="93"/>
      <c r="I999" s="41"/>
      <c r="J999" s="136"/>
    </row>
    <row r="1000" spans="1:10" x14ac:dyDescent="0.35">
      <c r="A1000" s="92"/>
      <c r="F1000" s="177"/>
      <c r="G1000" s="117"/>
      <c r="H1000" s="93"/>
      <c r="I1000" s="41"/>
      <c r="J1000" s="136"/>
    </row>
    <row r="1001" spans="1:10" x14ac:dyDescent="0.35">
      <c r="A1001" s="92"/>
      <c r="F1001" s="177"/>
      <c r="G1001" s="117"/>
      <c r="H1001" s="93"/>
      <c r="I1001" s="41"/>
      <c r="J1001" s="136"/>
    </row>
    <row r="1002" spans="1:10" x14ac:dyDescent="0.35">
      <c r="A1002" s="92"/>
      <c r="F1002" s="177"/>
      <c r="G1002" s="117"/>
      <c r="H1002" s="93"/>
      <c r="I1002" s="41"/>
      <c r="J1002" s="136"/>
    </row>
    <row r="1003" spans="1:10" x14ac:dyDescent="0.35">
      <c r="A1003" s="92"/>
      <c r="F1003" s="177"/>
      <c r="G1003" s="117"/>
      <c r="H1003" s="93"/>
      <c r="I1003" s="41"/>
      <c r="J1003" s="136"/>
    </row>
    <row r="1004" spans="1:10" x14ac:dyDescent="0.35">
      <c r="A1004" s="92"/>
      <c r="F1004" s="177"/>
      <c r="G1004" s="117"/>
      <c r="H1004" s="93"/>
      <c r="I1004" s="41"/>
      <c r="J1004" s="136"/>
    </row>
    <row r="1005" spans="1:10" x14ac:dyDescent="0.35">
      <c r="A1005" s="92"/>
      <c r="F1005" s="177"/>
      <c r="G1005" s="117"/>
      <c r="H1005" s="93"/>
      <c r="I1005" s="41"/>
      <c r="J1005" s="136"/>
    </row>
    <row r="1006" spans="1:10" x14ac:dyDescent="0.35">
      <c r="A1006" s="92"/>
      <c r="F1006" s="177"/>
      <c r="G1006" s="117"/>
      <c r="H1006" s="93"/>
      <c r="I1006" s="41"/>
      <c r="J1006" s="136"/>
    </row>
    <row r="1007" spans="1:10" x14ac:dyDescent="0.35">
      <c r="A1007" s="92"/>
      <c r="F1007" s="177"/>
      <c r="G1007" s="117"/>
      <c r="H1007" s="93"/>
      <c r="I1007" s="41"/>
      <c r="J1007" s="136"/>
    </row>
    <row r="1008" spans="1:10" x14ac:dyDescent="0.35">
      <c r="A1008" s="92"/>
      <c r="F1008" s="177"/>
      <c r="G1008" s="117"/>
      <c r="H1008" s="93"/>
      <c r="I1008" s="41"/>
      <c r="J1008" s="136"/>
    </row>
    <row r="1009" spans="1:10" x14ac:dyDescent="0.35">
      <c r="A1009" s="92"/>
      <c r="F1009" s="177"/>
      <c r="G1009" s="117"/>
      <c r="H1009" s="93"/>
      <c r="I1009" s="41"/>
      <c r="J1009" s="136"/>
    </row>
    <row r="1010" spans="1:10" x14ac:dyDescent="0.35">
      <c r="A1010" s="92"/>
      <c r="F1010" s="177"/>
      <c r="G1010" s="117"/>
      <c r="H1010" s="93"/>
      <c r="I1010" s="41"/>
      <c r="J1010" s="136"/>
    </row>
    <row r="1011" spans="1:10" x14ac:dyDescent="0.35">
      <c r="A1011" s="92"/>
      <c r="F1011" s="177"/>
      <c r="G1011" s="117"/>
      <c r="H1011" s="93"/>
      <c r="I1011" s="41"/>
      <c r="J1011" s="136"/>
    </row>
    <row r="1012" spans="1:10" x14ac:dyDescent="0.35">
      <c r="A1012" s="92"/>
      <c r="F1012" s="177"/>
      <c r="G1012" s="117"/>
      <c r="H1012" s="93"/>
      <c r="I1012" s="41"/>
      <c r="J1012" s="136"/>
    </row>
    <row r="1013" spans="1:10" x14ac:dyDescent="0.35">
      <c r="A1013" s="92"/>
      <c r="F1013" s="177"/>
      <c r="G1013" s="117"/>
      <c r="H1013" s="93"/>
      <c r="I1013" s="41"/>
      <c r="J1013" s="136"/>
    </row>
    <row r="1014" spans="1:10" x14ac:dyDescent="0.35">
      <c r="A1014" s="92"/>
      <c r="F1014" s="177"/>
      <c r="G1014" s="117"/>
      <c r="H1014" s="93"/>
      <c r="I1014" s="41"/>
      <c r="J1014" s="136"/>
    </row>
    <row r="1015" spans="1:10" x14ac:dyDescent="0.35">
      <c r="A1015" s="92"/>
      <c r="F1015" s="177"/>
      <c r="G1015" s="117"/>
      <c r="H1015" s="93"/>
      <c r="I1015" s="41"/>
      <c r="J1015" s="136"/>
    </row>
    <row r="1016" spans="1:10" x14ac:dyDescent="0.35">
      <c r="A1016" s="92"/>
      <c r="F1016" s="177"/>
      <c r="G1016" s="117"/>
      <c r="H1016" s="93"/>
      <c r="I1016" s="41"/>
      <c r="J1016" s="136"/>
    </row>
    <row r="1017" spans="1:10" x14ac:dyDescent="0.35">
      <c r="A1017" s="92"/>
      <c r="F1017" s="177"/>
      <c r="G1017" s="117"/>
      <c r="H1017" s="93"/>
      <c r="I1017" s="41"/>
      <c r="J1017" s="136"/>
    </row>
    <row r="1018" spans="1:10" x14ac:dyDescent="0.35">
      <c r="A1018" s="92"/>
      <c r="F1018" s="177"/>
      <c r="G1018" s="117"/>
      <c r="H1018" s="93"/>
      <c r="I1018" s="41"/>
      <c r="J1018" s="136"/>
    </row>
    <row r="1019" spans="1:10" x14ac:dyDescent="0.35">
      <c r="A1019" s="92"/>
      <c r="F1019" s="177"/>
      <c r="G1019" s="117"/>
      <c r="H1019" s="93"/>
      <c r="I1019" s="41"/>
      <c r="J1019" s="136"/>
    </row>
    <row r="1020" spans="1:10" x14ac:dyDescent="0.35">
      <c r="A1020" s="92"/>
      <c r="F1020" s="177"/>
      <c r="G1020" s="117"/>
      <c r="H1020" s="93"/>
      <c r="I1020" s="41"/>
      <c r="J1020" s="136"/>
    </row>
    <row r="1021" spans="1:10" x14ac:dyDescent="0.35">
      <c r="A1021" s="92"/>
      <c r="F1021" s="177"/>
      <c r="G1021" s="117"/>
      <c r="H1021" s="93"/>
      <c r="I1021" s="41"/>
      <c r="J1021" s="136"/>
    </row>
    <row r="1022" spans="1:10" x14ac:dyDescent="0.35">
      <c r="A1022" s="92"/>
      <c r="F1022" s="177"/>
      <c r="G1022" s="117"/>
      <c r="H1022" s="93"/>
      <c r="I1022" s="41"/>
      <c r="J1022" s="136"/>
    </row>
    <row r="1023" spans="1:10" x14ac:dyDescent="0.35">
      <c r="A1023" s="92"/>
      <c r="F1023" s="177"/>
      <c r="G1023" s="117"/>
      <c r="H1023" s="93"/>
      <c r="I1023" s="41"/>
      <c r="J1023" s="136"/>
    </row>
    <row r="1024" spans="1:10" x14ac:dyDescent="0.35">
      <c r="A1024" s="92"/>
      <c r="F1024" s="177"/>
      <c r="G1024" s="117"/>
      <c r="H1024" s="93"/>
      <c r="I1024" s="41"/>
      <c r="J1024" s="136"/>
    </row>
    <row r="1025" spans="1:10" x14ac:dyDescent="0.35">
      <c r="A1025" s="92"/>
      <c r="F1025" s="177"/>
      <c r="G1025" s="117"/>
      <c r="H1025" s="93"/>
      <c r="I1025" s="41"/>
      <c r="J1025" s="136"/>
    </row>
    <row r="1026" spans="1:10" x14ac:dyDescent="0.35">
      <c r="A1026" s="92"/>
      <c r="F1026" s="177"/>
      <c r="G1026" s="117"/>
      <c r="H1026" s="93"/>
      <c r="I1026" s="41"/>
      <c r="J1026" s="136"/>
    </row>
    <row r="1027" spans="1:10" x14ac:dyDescent="0.35">
      <c r="A1027" s="92"/>
      <c r="F1027" s="177"/>
      <c r="G1027" s="117"/>
      <c r="H1027" s="93"/>
      <c r="I1027" s="41"/>
      <c r="J1027" s="136"/>
    </row>
    <row r="1028" spans="1:10" x14ac:dyDescent="0.35">
      <c r="A1028" s="92"/>
      <c r="F1028" s="177"/>
      <c r="G1028" s="117"/>
      <c r="H1028" s="93"/>
      <c r="I1028" s="41"/>
      <c r="J1028" s="136"/>
    </row>
    <row r="1029" spans="1:10" x14ac:dyDescent="0.35">
      <c r="A1029" s="92"/>
      <c r="F1029" s="177"/>
      <c r="G1029" s="117"/>
      <c r="H1029" s="93"/>
      <c r="I1029" s="41"/>
      <c r="J1029" s="136"/>
    </row>
    <row r="1030" spans="1:10" x14ac:dyDescent="0.35">
      <c r="A1030" s="92"/>
      <c r="F1030" s="177"/>
      <c r="G1030" s="117"/>
      <c r="H1030" s="93"/>
      <c r="I1030" s="41"/>
      <c r="J1030" s="136"/>
    </row>
    <row r="1031" spans="1:10" x14ac:dyDescent="0.35">
      <c r="A1031" s="92"/>
      <c r="F1031" s="177"/>
      <c r="G1031" s="117"/>
      <c r="H1031" s="93"/>
      <c r="I1031" s="41"/>
      <c r="J1031" s="136"/>
    </row>
    <row r="1032" spans="1:10" x14ac:dyDescent="0.35">
      <c r="A1032" s="92"/>
      <c r="F1032" s="177"/>
      <c r="G1032" s="117"/>
      <c r="H1032" s="93"/>
      <c r="I1032" s="41"/>
      <c r="J1032" s="136"/>
    </row>
    <row r="1033" spans="1:10" x14ac:dyDescent="0.35">
      <c r="A1033" s="92"/>
      <c r="F1033" s="177"/>
      <c r="G1033" s="117"/>
      <c r="H1033" s="93"/>
      <c r="I1033" s="41"/>
      <c r="J1033" s="136"/>
    </row>
    <row r="1034" spans="1:10" x14ac:dyDescent="0.35">
      <c r="A1034" s="92"/>
      <c r="F1034" s="177"/>
      <c r="G1034" s="117"/>
      <c r="H1034" s="93"/>
      <c r="I1034" s="41"/>
      <c r="J1034" s="136"/>
    </row>
    <row r="1035" spans="1:10" x14ac:dyDescent="0.35">
      <c r="A1035" s="92"/>
      <c r="F1035" s="177"/>
      <c r="G1035" s="117"/>
      <c r="H1035" s="93"/>
      <c r="I1035" s="41"/>
      <c r="J1035" s="136"/>
    </row>
    <row r="1036" spans="1:10" x14ac:dyDescent="0.35">
      <c r="A1036" s="92"/>
      <c r="F1036" s="177"/>
      <c r="G1036" s="117"/>
      <c r="H1036" s="93"/>
      <c r="I1036" s="41"/>
      <c r="J1036" s="136"/>
    </row>
    <row r="1037" spans="1:10" x14ac:dyDescent="0.35">
      <c r="A1037" s="92"/>
      <c r="F1037" s="177"/>
      <c r="G1037" s="117"/>
      <c r="H1037" s="93"/>
      <c r="I1037" s="41"/>
      <c r="J1037" s="136"/>
    </row>
    <row r="1038" spans="1:10" x14ac:dyDescent="0.35">
      <c r="A1038" s="92"/>
      <c r="F1038" s="177"/>
      <c r="G1038" s="117"/>
      <c r="H1038" s="93"/>
      <c r="I1038" s="41"/>
      <c r="J1038" s="136"/>
    </row>
    <row r="1039" spans="1:10" x14ac:dyDescent="0.35">
      <c r="A1039" s="92"/>
      <c r="F1039" s="177"/>
      <c r="G1039" s="117"/>
      <c r="H1039" s="93"/>
      <c r="I1039" s="41"/>
      <c r="J1039" s="136"/>
    </row>
    <row r="1040" spans="1:10" x14ac:dyDescent="0.35">
      <c r="A1040" s="92"/>
      <c r="F1040" s="177"/>
      <c r="G1040" s="117"/>
      <c r="H1040" s="93"/>
      <c r="I1040" s="41"/>
      <c r="J1040" s="136"/>
    </row>
    <row r="1041" spans="1:10" x14ac:dyDescent="0.35">
      <c r="A1041" s="92"/>
      <c r="F1041" s="177"/>
      <c r="G1041" s="117"/>
      <c r="H1041" s="93"/>
      <c r="I1041" s="41"/>
      <c r="J1041" s="136"/>
    </row>
    <row r="1042" spans="1:10" x14ac:dyDescent="0.35">
      <c r="A1042" s="92"/>
      <c r="F1042" s="177"/>
      <c r="G1042" s="117"/>
      <c r="H1042" s="93"/>
      <c r="I1042" s="41"/>
      <c r="J1042" s="136"/>
    </row>
    <row r="1043" spans="1:10" x14ac:dyDescent="0.35">
      <c r="A1043" s="92"/>
      <c r="F1043" s="177"/>
      <c r="G1043" s="117"/>
      <c r="H1043" s="93"/>
      <c r="I1043" s="41"/>
      <c r="J1043" s="136"/>
    </row>
    <row r="1044" spans="1:10" x14ac:dyDescent="0.35">
      <c r="A1044" s="92"/>
      <c r="F1044" s="177"/>
      <c r="G1044" s="117"/>
      <c r="H1044" s="93"/>
      <c r="I1044" s="41"/>
      <c r="J1044" s="136"/>
    </row>
    <row r="1045" spans="1:10" x14ac:dyDescent="0.35">
      <c r="A1045" s="92"/>
      <c r="F1045" s="177"/>
      <c r="G1045" s="117"/>
      <c r="H1045" s="93"/>
      <c r="I1045" s="41"/>
      <c r="J1045" s="136"/>
    </row>
    <row r="1046" spans="1:10" x14ac:dyDescent="0.35">
      <c r="A1046" s="92"/>
      <c r="F1046" s="177"/>
      <c r="G1046" s="117"/>
      <c r="H1046" s="93"/>
      <c r="I1046" s="41"/>
      <c r="J1046" s="136"/>
    </row>
    <row r="1047" spans="1:10" x14ac:dyDescent="0.35">
      <c r="A1047" s="92"/>
      <c r="F1047" s="177"/>
      <c r="G1047" s="117"/>
      <c r="H1047" s="93"/>
      <c r="I1047" s="41"/>
      <c r="J1047" s="136"/>
    </row>
    <row r="1048" spans="1:10" x14ac:dyDescent="0.35">
      <c r="A1048" s="92"/>
      <c r="F1048" s="177"/>
      <c r="G1048" s="117"/>
      <c r="H1048" s="93"/>
      <c r="I1048" s="41"/>
      <c r="J1048" s="136"/>
    </row>
    <row r="1049" spans="1:10" x14ac:dyDescent="0.35">
      <c r="A1049" s="92"/>
      <c r="F1049" s="177"/>
      <c r="G1049" s="117"/>
      <c r="H1049" s="93"/>
      <c r="I1049" s="41"/>
      <c r="J1049" s="136"/>
    </row>
    <row r="1050" spans="1:10" x14ac:dyDescent="0.35">
      <c r="A1050" s="92"/>
      <c r="F1050" s="177"/>
      <c r="G1050" s="117"/>
      <c r="H1050" s="93"/>
      <c r="I1050" s="41"/>
      <c r="J1050" s="136"/>
    </row>
    <row r="1051" spans="1:10" x14ac:dyDescent="0.35">
      <c r="A1051" s="92"/>
      <c r="F1051" s="177"/>
      <c r="G1051" s="117"/>
      <c r="H1051" s="93"/>
      <c r="I1051" s="41"/>
      <c r="J1051" s="136"/>
    </row>
    <row r="1052" spans="1:10" x14ac:dyDescent="0.35">
      <c r="A1052" s="92"/>
      <c r="F1052" s="177"/>
      <c r="G1052" s="117"/>
      <c r="H1052" s="93"/>
      <c r="I1052" s="41"/>
      <c r="J1052" s="136"/>
    </row>
    <row r="1053" spans="1:10" x14ac:dyDescent="0.35">
      <c r="A1053" s="92"/>
      <c r="F1053" s="177"/>
      <c r="G1053" s="117"/>
      <c r="H1053" s="93"/>
      <c r="I1053" s="41"/>
      <c r="J1053" s="136"/>
    </row>
    <row r="1054" spans="1:10" x14ac:dyDescent="0.35">
      <c r="A1054" s="92"/>
      <c r="F1054" s="177"/>
      <c r="G1054" s="117"/>
      <c r="H1054" s="93"/>
      <c r="I1054" s="41"/>
      <c r="J1054" s="136"/>
    </row>
    <row r="1055" spans="1:10" x14ac:dyDescent="0.35">
      <c r="A1055" s="92"/>
      <c r="F1055" s="177"/>
      <c r="G1055" s="117"/>
      <c r="H1055" s="93"/>
      <c r="I1055" s="41"/>
      <c r="J1055" s="136"/>
    </row>
    <row r="1056" spans="1:10" x14ac:dyDescent="0.35">
      <c r="A1056" s="92"/>
      <c r="F1056" s="177"/>
      <c r="G1056" s="117"/>
      <c r="H1056" s="93"/>
      <c r="I1056" s="41"/>
      <c r="J1056" s="136"/>
    </row>
    <row r="1057" spans="1:10" x14ac:dyDescent="0.35">
      <c r="A1057" s="92"/>
      <c r="F1057" s="177"/>
      <c r="G1057" s="117"/>
      <c r="H1057" s="93"/>
      <c r="I1057" s="41"/>
      <c r="J1057" s="136"/>
    </row>
    <row r="1058" spans="1:10" x14ac:dyDescent="0.35">
      <c r="A1058" s="92"/>
      <c r="F1058" s="177"/>
      <c r="G1058" s="117"/>
      <c r="H1058" s="93"/>
      <c r="I1058" s="41"/>
      <c r="J1058" s="136"/>
    </row>
    <row r="1059" spans="1:10" x14ac:dyDescent="0.35">
      <c r="A1059" s="92"/>
      <c r="F1059" s="177"/>
      <c r="G1059" s="117"/>
      <c r="H1059" s="93"/>
      <c r="I1059" s="41"/>
      <c r="J1059" s="136"/>
    </row>
    <row r="1060" spans="1:10" x14ac:dyDescent="0.35">
      <c r="A1060" s="92"/>
      <c r="F1060" s="177"/>
      <c r="G1060" s="117"/>
      <c r="H1060" s="93"/>
      <c r="I1060" s="41"/>
      <c r="J1060" s="136"/>
    </row>
    <row r="1061" spans="1:10" x14ac:dyDescent="0.35">
      <c r="A1061" s="92"/>
      <c r="F1061" s="177"/>
      <c r="G1061" s="117"/>
      <c r="H1061" s="93"/>
      <c r="I1061" s="41"/>
      <c r="J1061" s="136"/>
    </row>
    <row r="1062" spans="1:10" x14ac:dyDescent="0.35">
      <c r="A1062" s="92"/>
      <c r="F1062" s="177"/>
      <c r="G1062" s="117"/>
      <c r="H1062" s="93"/>
      <c r="I1062" s="41"/>
      <c r="J1062" s="136"/>
    </row>
    <row r="1063" spans="1:10" x14ac:dyDescent="0.35">
      <c r="A1063" s="92"/>
      <c r="F1063" s="177"/>
      <c r="G1063" s="117"/>
      <c r="H1063" s="93"/>
      <c r="I1063" s="41"/>
      <c r="J1063" s="136"/>
    </row>
    <row r="1064" spans="1:10" x14ac:dyDescent="0.35">
      <c r="A1064" s="92"/>
      <c r="F1064" s="177"/>
      <c r="G1064" s="117"/>
      <c r="H1064" s="93"/>
      <c r="I1064" s="41"/>
      <c r="J1064" s="136"/>
    </row>
    <row r="1065" spans="1:10" x14ac:dyDescent="0.35">
      <c r="A1065" s="92"/>
      <c r="F1065" s="177"/>
      <c r="G1065" s="117"/>
      <c r="H1065" s="93"/>
      <c r="I1065" s="41"/>
      <c r="J1065" s="136"/>
    </row>
    <row r="1066" spans="1:10" x14ac:dyDescent="0.35">
      <c r="A1066" s="92"/>
      <c r="F1066" s="177"/>
      <c r="G1066" s="117"/>
      <c r="H1066" s="93"/>
      <c r="I1066" s="41"/>
      <c r="J1066" s="136"/>
    </row>
    <row r="1067" spans="1:10" x14ac:dyDescent="0.35">
      <c r="A1067" s="92"/>
      <c r="F1067" s="177"/>
      <c r="G1067" s="117"/>
      <c r="H1067" s="93"/>
      <c r="I1067" s="41"/>
      <c r="J1067" s="136"/>
    </row>
    <row r="1068" spans="1:10" x14ac:dyDescent="0.35">
      <c r="A1068" s="92"/>
      <c r="F1068" s="177"/>
      <c r="G1068" s="117"/>
      <c r="H1068" s="93"/>
      <c r="I1068" s="41"/>
      <c r="J1068" s="136"/>
    </row>
    <row r="1069" spans="1:10" x14ac:dyDescent="0.35">
      <c r="A1069" s="92"/>
      <c r="F1069" s="177"/>
      <c r="G1069" s="117"/>
      <c r="H1069" s="93"/>
      <c r="I1069" s="41"/>
      <c r="J1069" s="136"/>
    </row>
    <row r="1070" spans="1:10" x14ac:dyDescent="0.35">
      <c r="A1070" s="92"/>
      <c r="F1070" s="177"/>
      <c r="G1070" s="117"/>
      <c r="H1070" s="93"/>
      <c r="I1070" s="41"/>
      <c r="J1070" s="136"/>
    </row>
    <row r="1071" spans="1:10" x14ac:dyDescent="0.35">
      <c r="A1071" s="92"/>
      <c r="F1071" s="177"/>
      <c r="G1071" s="117"/>
      <c r="H1071" s="93"/>
      <c r="I1071" s="41"/>
      <c r="J1071" s="136"/>
    </row>
    <row r="1072" spans="1:10" x14ac:dyDescent="0.35">
      <c r="A1072" s="92"/>
      <c r="F1072" s="177"/>
      <c r="G1072" s="117"/>
      <c r="H1072" s="93"/>
      <c r="I1072" s="41"/>
      <c r="J1072" s="136"/>
    </row>
    <row r="1073" spans="1:10" x14ac:dyDescent="0.35">
      <c r="A1073" s="92"/>
      <c r="F1073" s="177"/>
      <c r="G1073" s="117"/>
      <c r="H1073" s="93"/>
      <c r="I1073" s="41"/>
      <c r="J1073" s="136"/>
    </row>
    <row r="1074" spans="1:10" x14ac:dyDescent="0.35">
      <c r="A1074" s="92"/>
      <c r="F1074" s="177"/>
      <c r="G1074" s="117"/>
      <c r="H1074" s="93"/>
      <c r="I1074" s="41"/>
      <c r="J1074" s="136"/>
    </row>
    <row r="1075" spans="1:10" x14ac:dyDescent="0.35">
      <c r="A1075" s="92"/>
      <c r="F1075" s="177"/>
      <c r="G1075" s="117"/>
      <c r="H1075" s="93"/>
      <c r="I1075" s="41"/>
      <c r="J1075" s="136"/>
    </row>
    <row r="1076" spans="1:10" x14ac:dyDescent="0.35">
      <c r="A1076" s="92"/>
      <c r="F1076" s="177"/>
      <c r="G1076" s="117"/>
      <c r="H1076" s="93"/>
      <c r="I1076" s="41"/>
      <c r="J1076" s="136"/>
    </row>
    <row r="1077" spans="1:10" x14ac:dyDescent="0.35">
      <c r="A1077" s="92"/>
      <c r="F1077" s="177"/>
      <c r="G1077" s="117"/>
      <c r="H1077" s="93"/>
      <c r="I1077" s="41"/>
      <c r="J1077" s="136"/>
    </row>
    <row r="1078" spans="1:10" x14ac:dyDescent="0.35">
      <c r="A1078" s="92"/>
      <c r="F1078" s="177"/>
      <c r="G1078" s="117"/>
      <c r="H1078" s="93"/>
      <c r="I1078" s="41"/>
      <c r="J1078" s="136"/>
    </row>
    <row r="1079" spans="1:10" x14ac:dyDescent="0.35">
      <c r="A1079" s="92"/>
      <c r="F1079" s="177"/>
      <c r="G1079" s="117"/>
      <c r="H1079" s="93"/>
      <c r="I1079" s="41"/>
      <c r="J1079" s="136"/>
    </row>
    <row r="1080" spans="1:10" x14ac:dyDescent="0.35">
      <c r="A1080" s="92"/>
      <c r="F1080" s="177"/>
      <c r="G1080" s="117"/>
      <c r="H1080" s="93"/>
      <c r="I1080" s="41"/>
      <c r="J1080" s="136"/>
    </row>
    <row r="1081" spans="1:10" x14ac:dyDescent="0.35">
      <c r="A1081" s="92"/>
      <c r="F1081" s="177"/>
      <c r="G1081" s="117"/>
      <c r="H1081" s="93"/>
      <c r="I1081" s="41"/>
      <c r="J1081" s="136"/>
    </row>
    <row r="1082" spans="1:10" x14ac:dyDescent="0.35">
      <c r="A1082" s="92"/>
      <c r="F1082" s="177"/>
      <c r="G1082" s="117"/>
      <c r="H1082" s="93"/>
      <c r="I1082" s="41"/>
      <c r="J1082" s="136"/>
    </row>
    <row r="1083" spans="1:10" x14ac:dyDescent="0.35">
      <c r="A1083" s="92"/>
      <c r="F1083" s="177"/>
      <c r="G1083" s="117"/>
      <c r="H1083" s="93"/>
      <c r="I1083" s="41"/>
      <c r="J1083" s="136"/>
    </row>
    <row r="1084" spans="1:10" x14ac:dyDescent="0.35">
      <c r="A1084" s="92"/>
      <c r="F1084" s="177"/>
      <c r="G1084" s="117"/>
      <c r="H1084" s="93"/>
      <c r="I1084" s="41"/>
      <c r="J1084" s="136"/>
    </row>
    <row r="1085" spans="1:10" x14ac:dyDescent="0.35">
      <c r="A1085" s="92"/>
      <c r="F1085" s="177"/>
      <c r="G1085" s="117"/>
      <c r="H1085" s="93"/>
      <c r="I1085" s="41"/>
      <c r="J1085" s="136"/>
    </row>
    <row r="1086" spans="1:10" x14ac:dyDescent="0.35">
      <c r="A1086" s="92"/>
      <c r="F1086" s="177"/>
      <c r="G1086" s="117"/>
      <c r="H1086" s="93"/>
      <c r="I1086" s="41"/>
      <c r="J1086" s="136"/>
    </row>
    <row r="1087" spans="1:10" x14ac:dyDescent="0.35">
      <c r="A1087" s="92"/>
      <c r="F1087" s="177"/>
      <c r="G1087" s="117"/>
      <c r="H1087" s="93"/>
      <c r="I1087" s="41"/>
      <c r="J1087" s="136"/>
    </row>
    <row r="1088" spans="1:10" x14ac:dyDescent="0.35">
      <c r="A1088" s="92"/>
      <c r="F1088" s="177"/>
      <c r="G1088" s="117"/>
      <c r="H1088" s="93"/>
      <c r="I1088" s="41"/>
      <c r="J1088" s="136"/>
    </row>
    <row r="1089" spans="1:10" x14ac:dyDescent="0.35">
      <c r="A1089" s="92"/>
      <c r="F1089" s="177"/>
      <c r="G1089" s="117"/>
      <c r="H1089" s="93"/>
      <c r="I1089" s="41"/>
      <c r="J1089" s="136"/>
    </row>
    <row r="1090" spans="1:10" x14ac:dyDescent="0.35">
      <c r="A1090" s="92"/>
      <c r="F1090" s="177"/>
      <c r="G1090" s="117"/>
      <c r="H1090" s="93"/>
      <c r="I1090" s="41"/>
      <c r="J1090" s="136"/>
    </row>
    <row r="1091" spans="1:10" x14ac:dyDescent="0.35">
      <c r="A1091" s="92"/>
      <c r="F1091" s="177"/>
      <c r="G1091" s="117"/>
      <c r="H1091" s="93"/>
      <c r="I1091" s="41"/>
      <c r="J1091" s="136"/>
    </row>
    <row r="1092" spans="1:10" x14ac:dyDescent="0.35">
      <c r="A1092" s="92"/>
      <c r="F1092" s="177"/>
      <c r="G1092" s="117"/>
      <c r="H1092" s="93"/>
      <c r="I1092" s="41"/>
      <c r="J1092" s="136"/>
    </row>
    <row r="1093" spans="1:10" x14ac:dyDescent="0.35">
      <c r="A1093" s="92"/>
      <c r="F1093" s="177"/>
      <c r="G1093" s="117"/>
      <c r="H1093" s="93"/>
      <c r="I1093" s="41"/>
      <c r="J1093" s="136"/>
    </row>
    <row r="1094" spans="1:10" x14ac:dyDescent="0.35">
      <c r="A1094" s="92"/>
      <c r="F1094" s="177"/>
      <c r="G1094" s="117"/>
      <c r="H1094" s="93"/>
      <c r="I1094" s="41"/>
      <c r="J1094" s="136"/>
    </row>
    <row r="1095" spans="1:10" x14ac:dyDescent="0.35">
      <c r="A1095" s="92"/>
      <c r="F1095" s="177"/>
      <c r="G1095" s="117"/>
      <c r="H1095" s="93"/>
      <c r="I1095" s="41"/>
      <c r="J1095" s="136"/>
    </row>
    <row r="1096" spans="1:10" x14ac:dyDescent="0.35">
      <c r="A1096" s="92"/>
      <c r="F1096" s="177"/>
      <c r="G1096" s="117"/>
      <c r="H1096" s="93"/>
      <c r="I1096" s="41"/>
      <c r="J1096" s="136"/>
    </row>
    <row r="1097" spans="1:10" x14ac:dyDescent="0.35">
      <c r="A1097" s="92"/>
      <c r="F1097" s="177"/>
      <c r="G1097" s="117"/>
      <c r="H1097" s="93"/>
      <c r="I1097" s="41"/>
      <c r="J1097" s="136"/>
    </row>
    <row r="1098" spans="1:10" x14ac:dyDescent="0.35">
      <c r="A1098" s="92"/>
      <c r="F1098" s="177"/>
      <c r="G1098" s="117"/>
      <c r="H1098" s="93"/>
      <c r="I1098" s="41"/>
      <c r="J1098" s="136"/>
    </row>
    <row r="1099" spans="1:10" x14ac:dyDescent="0.35">
      <c r="A1099" s="92"/>
      <c r="F1099" s="177"/>
      <c r="G1099" s="117"/>
      <c r="H1099" s="93"/>
      <c r="I1099" s="41"/>
      <c r="J1099" s="136"/>
    </row>
    <row r="1100" spans="1:10" x14ac:dyDescent="0.35">
      <c r="A1100" s="92"/>
      <c r="F1100" s="177"/>
      <c r="G1100" s="117"/>
      <c r="H1100" s="93"/>
      <c r="I1100" s="41"/>
      <c r="J1100" s="136"/>
    </row>
    <row r="1101" spans="1:10" x14ac:dyDescent="0.35">
      <c r="A1101" s="92"/>
      <c r="F1101" s="177"/>
      <c r="G1101" s="117"/>
      <c r="H1101" s="93"/>
      <c r="I1101" s="41"/>
      <c r="J1101" s="136"/>
    </row>
    <row r="1102" spans="1:10" x14ac:dyDescent="0.35">
      <c r="A1102" s="92"/>
      <c r="F1102" s="177"/>
      <c r="G1102" s="117"/>
      <c r="H1102" s="93"/>
      <c r="I1102" s="41"/>
      <c r="J1102" s="136"/>
    </row>
    <row r="1103" spans="1:10" x14ac:dyDescent="0.35">
      <c r="A1103" s="92"/>
      <c r="F1103" s="177"/>
      <c r="G1103" s="117"/>
      <c r="H1103" s="93"/>
      <c r="I1103" s="41"/>
      <c r="J1103" s="136"/>
    </row>
    <row r="1104" spans="1:10" x14ac:dyDescent="0.35">
      <c r="A1104" s="92"/>
      <c r="F1104" s="177"/>
      <c r="G1104" s="117"/>
      <c r="H1104" s="93"/>
      <c r="I1104" s="41"/>
      <c r="J1104" s="136"/>
    </row>
    <row r="1105" spans="1:10" x14ac:dyDescent="0.35">
      <c r="A1105" s="92"/>
      <c r="F1105" s="177"/>
      <c r="G1105" s="117"/>
      <c r="H1105" s="93"/>
      <c r="I1105" s="41"/>
      <c r="J1105" s="136"/>
    </row>
    <row r="1106" spans="1:10" x14ac:dyDescent="0.35">
      <c r="A1106" s="92"/>
      <c r="F1106" s="177"/>
      <c r="G1106" s="117"/>
      <c r="H1106" s="93"/>
      <c r="I1106" s="41"/>
      <c r="J1106" s="136"/>
    </row>
    <row r="1107" spans="1:10" x14ac:dyDescent="0.35">
      <c r="A1107" s="92"/>
      <c r="F1107" s="177"/>
      <c r="G1107" s="117"/>
      <c r="H1107" s="93"/>
      <c r="I1107" s="41"/>
      <c r="J1107" s="136"/>
    </row>
    <row r="1108" spans="1:10" x14ac:dyDescent="0.35">
      <c r="A1108" s="92"/>
      <c r="F1108" s="177"/>
      <c r="G1108" s="117"/>
      <c r="H1108" s="93"/>
      <c r="I1108" s="41"/>
      <c r="J1108" s="136"/>
    </row>
    <row r="1109" spans="1:10" x14ac:dyDescent="0.35">
      <c r="A1109" s="92"/>
      <c r="F1109" s="177"/>
      <c r="G1109" s="117"/>
      <c r="H1109" s="93"/>
      <c r="I1109" s="41"/>
      <c r="J1109" s="136"/>
    </row>
    <row r="1110" spans="1:10" x14ac:dyDescent="0.35">
      <c r="A1110" s="92"/>
      <c r="F1110" s="177"/>
      <c r="G1110" s="117"/>
      <c r="H1110" s="93"/>
      <c r="I1110" s="41"/>
      <c r="J1110" s="136"/>
    </row>
    <row r="1111" spans="1:10" x14ac:dyDescent="0.35">
      <c r="A1111" s="92"/>
      <c r="F1111" s="177"/>
      <c r="G1111" s="117"/>
      <c r="H1111" s="93"/>
      <c r="I1111" s="41"/>
      <c r="J1111" s="136"/>
    </row>
    <row r="1112" spans="1:10" x14ac:dyDescent="0.35">
      <c r="A1112" s="92"/>
      <c r="F1112" s="177"/>
      <c r="G1112" s="117"/>
      <c r="H1112" s="93"/>
      <c r="I1112" s="41"/>
      <c r="J1112" s="136"/>
    </row>
    <row r="1113" spans="1:10" x14ac:dyDescent="0.35">
      <c r="A1113" s="92"/>
      <c r="F1113" s="177"/>
      <c r="G1113" s="117"/>
      <c r="H1113" s="93"/>
      <c r="I1113" s="41"/>
      <c r="J1113" s="136"/>
    </row>
    <row r="1114" spans="1:10" x14ac:dyDescent="0.35">
      <c r="A1114" s="92"/>
      <c r="F1114" s="177"/>
      <c r="G1114" s="117"/>
      <c r="H1114" s="93"/>
      <c r="I1114" s="41"/>
      <c r="J1114" s="136"/>
    </row>
    <row r="1115" spans="1:10" x14ac:dyDescent="0.35">
      <c r="A1115" s="92"/>
      <c r="F1115" s="177"/>
      <c r="G1115" s="117"/>
      <c r="H1115" s="93"/>
      <c r="I1115" s="41"/>
      <c r="J1115" s="136"/>
    </row>
    <row r="1116" spans="1:10" x14ac:dyDescent="0.35">
      <c r="A1116" s="92"/>
      <c r="F1116" s="177"/>
      <c r="G1116" s="117"/>
      <c r="H1116" s="93"/>
      <c r="I1116" s="41"/>
      <c r="J1116" s="136"/>
    </row>
    <row r="1117" spans="1:10" x14ac:dyDescent="0.35">
      <c r="A1117" s="92"/>
      <c r="F1117" s="177"/>
      <c r="G1117" s="117"/>
      <c r="H1117" s="93"/>
      <c r="I1117" s="41"/>
      <c r="J1117" s="136"/>
    </row>
    <row r="1118" spans="1:10" x14ac:dyDescent="0.35">
      <c r="A1118" s="92"/>
      <c r="F1118" s="177"/>
      <c r="G1118" s="117"/>
      <c r="H1118" s="93"/>
      <c r="I1118" s="41"/>
      <c r="J1118" s="136"/>
    </row>
    <row r="1119" spans="1:10" x14ac:dyDescent="0.35">
      <c r="A1119" s="92"/>
      <c r="F1119" s="177"/>
      <c r="G1119" s="117"/>
      <c r="H1119" s="93"/>
      <c r="I1119" s="41"/>
      <c r="J1119" s="136"/>
    </row>
    <row r="1120" spans="1:10" x14ac:dyDescent="0.35">
      <c r="A1120" s="92"/>
      <c r="F1120" s="177"/>
      <c r="G1120" s="117"/>
      <c r="H1120" s="93"/>
      <c r="I1120" s="41"/>
      <c r="J1120" s="136"/>
    </row>
    <row r="1121" spans="1:10" x14ac:dyDescent="0.35">
      <c r="A1121" s="92"/>
      <c r="F1121" s="177"/>
      <c r="G1121" s="117"/>
      <c r="H1121" s="93"/>
      <c r="I1121" s="41"/>
      <c r="J1121" s="136"/>
    </row>
    <row r="1122" spans="1:10" x14ac:dyDescent="0.35">
      <c r="A1122" s="92"/>
      <c r="F1122" s="177"/>
      <c r="G1122" s="117"/>
      <c r="H1122" s="93"/>
      <c r="I1122" s="41"/>
      <c r="J1122" s="136"/>
    </row>
    <row r="1123" spans="1:10" x14ac:dyDescent="0.35">
      <c r="A1123" s="92"/>
      <c r="F1123" s="177"/>
      <c r="G1123" s="117"/>
      <c r="H1123" s="93"/>
      <c r="I1123" s="41"/>
      <c r="J1123" s="136"/>
    </row>
    <row r="1124" spans="1:10" x14ac:dyDescent="0.35">
      <c r="A1124" s="92"/>
      <c r="F1124" s="177"/>
      <c r="G1124" s="117"/>
      <c r="H1124" s="93"/>
      <c r="I1124" s="41"/>
      <c r="J1124" s="136"/>
    </row>
    <row r="1125" spans="1:10" x14ac:dyDescent="0.35">
      <c r="A1125" s="92"/>
      <c r="F1125" s="177"/>
      <c r="G1125" s="117"/>
      <c r="H1125" s="93"/>
      <c r="I1125" s="41"/>
      <c r="J1125" s="136"/>
    </row>
    <row r="1126" spans="1:10" x14ac:dyDescent="0.35">
      <c r="A1126" s="92"/>
      <c r="F1126" s="177"/>
      <c r="G1126" s="117"/>
      <c r="H1126" s="93"/>
      <c r="I1126" s="41"/>
      <c r="J1126" s="136"/>
    </row>
    <row r="1127" spans="1:10" x14ac:dyDescent="0.35">
      <c r="A1127" s="92"/>
      <c r="F1127" s="177"/>
      <c r="G1127" s="117"/>
      <c r="H1127" s="93"/>
      <c r="I1127" s="41"/>
      <c r="J1127" s="136"/>
    </row>
    <row r="1128" spans="1:10" x14ac:dyDescent="0.35">
      <c r="A1128" s="92"/>
      <c r="F1128" s="177"/>
      <c r="G1128" s="117"/>
      <c r="H1128" s="93"/>
      <c r="I1128" s="41"/>
      <c r="J1128" s="136"/>
    </row>
    <row r="1129" spans="1:10" x14ac:dyDescent="0.35">
      <c r="A1129" s="92"/>
      <c r="F1129" s="177"/>
      <c r="G1129" s="117"/>
      <c r="H1129" s="93"/>
      <c r="I1129" s="41"/>
      <c r="J1129" s="136"/>
    </row>
    <row r="1130" spans="1:10" x14ac:dyDescent="0.35">
      <c r="A1130" s="92"/>
      <c r="F1130" s="177"/>
      <c r="G1130" s="117"/>
      <c r="H1130" s="93"/>
      <c r="I1130" s="41"/>
      <c r="J1130" s="136"/>
    </row>
    <row r="1131" spans="1:10" x14ac:dyDescent="0.35">
      <c r="A1131" s="92"/>
      <c r="F1131" s="177"/>
      <c r="G1131" s="117"/>
      <c r="H1131" s="93"/>
      <c r="I1131" s="41"/>
      <c r="J1131" s="136"/>
    </row>
    <row r="1132" spans="1:10" x14ac:dyDescent="0.35">
      <c r="A1132" s="92"/>
      <c r="F1132" s="177"/>
      <c r="G1132" s="117"/>
      <c r="H1132" s="93"/>
      <c r="I1132" s="41"/>
      <c r="J1132" s="136"/>
    </row>
    <row r="1133" spans="1:10" x14ac:dyDescent="0.35">
      <c r="A1133" s="92"/>
      <c r="F1133" s="177"/>
      <c r="G1133" s="117"/>
      <c r="H1133" s="93"/>
      <c r="I1133" s="41"/>
      <c r="J1133" s="136"/>
    </row>
    <row r="1134" spans="1:10" x14ac:dyDescent="0.35">
      <c r="A1134" s="92"/>
      <c r="F1134" s="177"/>
      <c r="G1134" s="117"/>
      <c r="H1134" s="93"/>
      <c r="I1134" s="41"/>
      <c r="J1134" s="136"/>
    </row>
    <row r="1135" spans="1:10" x14ac:dyDescent="0.35">
      <c r="A1135" s="92"/>
      <c r="F1135" s="177"/>
      <c r="G1135" s="117"/>
      <c r="H1135" s="93"/>
      <c r="I1135" s="41"/>
      <c r="J1135" s="136"/>
    </row>
    <row r="1136" spans="1:10" x14ac:dyDescent="0.35">
      <c r="A1136" s="92"/>
      <c r="F1136" s="177"/>
      <c r="G1136" s="117"/>
      <c r="H1136" s="93"/>
      <c r="I1136" s="41"/>
      <c r="J1136" s="136"/>
    </row>
    <row r="1137" spans="1:10" x14ac:dyDescent="0.35">
      <c r="A1137" s="92"/>
      <c r="F1137" s="177"/>
      <c r="G1137" s="117"/>
      <c r="H1137" s="93"/>
      <c r="I1137" s="41"/>
      <c r="J1137" s="136"/>
    </row>
    <row r="1138" spans="1:10" x14ac:dyDescent="0.35">
      <c r="A1138" s="92"/>
      <c r="F1138" s="177"/>
      <c r="G1138" s="117"/>
      <c r="H1138" s="93"/>
      <c r="I1138" s="41"/>
      <c r="J1138" s="136"/>
    </row>
    <row r="1139" spans="1:10" x14ac:dyDescent="0.35">
      <c r="A1139" s="92"/>
      <c r="F1139" s="177"/>
      <c r="G1139" s="117"/>
      <c r="H1139" s="93"/>
      <c r="I1139" s="41"/>
      <c r="J1139" s="136"/>
    </row>
    <row r="1140" spans="1:10" x14ac:dyDescent="0.35">
      <c r="A1140" s="92"/>
      <c r="F1140" s="177"/>
      <c r="G1140" s="117"/>
      <c r="H1140" s="93"/>
      <c r="I1140" s="41"/>
      <c r="J1140" s="136"/>
    </row>
    <row r="1141" spans="1:10" x14ac:dyDescent="0.35">
      <c r="A1141" s="92"/>
      <c r="F1141" s="177"/>
      <c r="G1141" s="117"/>
      <c r="H1141" s="93"/>
      <c r="I1141" s="41"/>
      <c r="J1141" s="136"/>
    </row>
    <row r="1142" spans="1:10" x14ac:dyDescent="0.35">
      <c r="A1142" s="92"/>
      <c r="F1142" s="177"/>
      <c r="G1142" s="117"/>
      <c r="H1142" s="93"/>
      <c r="I1142" s="41"/>
      <c r="J1142" s="136"/>
    </row>
    <row r="1143" spans="1:10" x14ac:dyDescent="0.35">
      <c r="A1143" s="92"/>
      <c r="F1143" s="177"/>
      <c r="G1143" s="117"/>
      <c r="H1143" s="93"/>
      <c r="I1143" s="41"/>
      <c r="J1143" s="136"/>
    </row>
    <row r="1144" spans="1:10" x14ac:dyDescent="0.35">
      <c r="A1144" s="92"/>
      <c r="F1144" s="177"/>
      <c r="G1144" s="117"/>
      <c r="H1144" s="93"/>
      <c r="I1144" s="41"/>
      <c r="J1144" s="136"/>
    </row>
    <row r="1145" spans="1:10" x14ac:dyDescent="0.35">
      <c r="A1145" s="92"/>
      <c r="F1145" s="177"/>
      <c r="G1145" s="117"/>
      <c r="H1145" s="93"/>
      <c r="I1145" s="41"/>
      <c r="J1145" s="136"/>
    </row>
    <row r="1146" spans="1:10" x14ac:dyDescent="0.35">
      <c r="A1146" s="92"/>
      <c r="F1146" s="177"/>
      <c r="G1146" s="117"/>
      <c r="H1146" s="93"/>
      <c r="I1146" s="41"/>
      <c r="J1146" s="136"/>
    </row>
    <row r="1147" spans="1:10" x14ac:dyDescent="0.35">
      <c r="A1147" s="92"/>
      <c r="F1147" s="177"/>
      <c r="G1147" s="117"/>
      <c r="H1147" s="93"/>
      <c r="I1147" s="41"/>
      <c r="J1147" s="136"/>
    </row>
    <row r="1148" spans="1:10" x14ac:dyDescent="0.35">
      <c r="A1148" s="92"/>
      <c r="F1148" s="177"/>
      <c r="G1148" s="117"/>
      <c r="H1148" s="93"/>
      <c r="I1148" s="41"/>
      <c r="J1148" s="136"/>
    </row>
    <row r="1149" spans="1:10" x14ac:dyDescent="0.35">
      <c r="A1149" s="92"/>
      <c r="F1149" s="177"/>
      <c r="G1149" s="117"/>
      <c r="H1149" s="93"/>
      <c r="I1149" s="41"/>
      <c r="J1149" s="136"/>
    </row>
    <row r="1150" spans="1:10" x14ac:dyDescent="0.35">
      <c r="A1150" s="92"/>
      <c r="F1150" s="177"/>
      <c r="G1150" s="117"/>
      <c r="H1150" s="93"/>
      <c r="I1150" s="41"/>
      <c r="J1150" s="136"/>
    </row>
    <row r="1151" spans="1:10" x14ac:dyDescent="0.35">
      <c r="A1151" s="92"/>
      <c r="F1151" s="177"/>
      <c r="G1151" s="117"/>
      <c r="H1151" s="93"/>
      <c r="I1151" s="41"/>
      <c r="J1151" s="136"/>
    </row>
    <row r="1152" spans="1:10" x14ac:dyDescent="0.35">
      <c r="A1152" s="92"/>
      <c r="F1152" s="177"/>
      <c r="G1152" s="117"/>
      <c r="H1152" s="93"/>
      <c r="I1152" s="41"/>
      <c r="J1152" s="136"/>
    </row>
    <row r="1153" spans="1:10" x14ac:dyDescent="0.35">
      <c r="A1153" s="92"/>
      <c r="F1153" s="177"/>
      <c r="G1153" s="117"/>
      <c r="H1153" s="93"/>
      <c r="I1153" s="41"/>
      <c r="J1153" s="136"/>
    </row>
    <row r="1154" spans="1:10" x14ac:dyDescent="0.35">
      <c r="A1154" s="92"/>
      <c r="F1154" s="177"/>
      <c r="G1154" s="117"/>
      <c r="H1154" s="93"/>
      <c r="I1154" s="41"/>
      <c r="J1154" s="136"/>
    </row>
    <row r="1155" spans="1:10" x14ac:dyDescent="0.35">
      <c r="A1155" s="92"/>
      <c r="F1155" s="177"/>
      <c r="G1155" s="117"/>
      <c r="H1155" s="93"/>
      <c r="I1155" s="41"/>
      <c r="J1155" s="136"/>
    </row>
    <row r="1156" spans="1:10" x14ac:dyDescent="0.35">
      <c r="A1156" s="92"/>
      <c r="F1156" s="177"/>
      <c r="G1156" s="117"/>
      <c r="H1156" s="93"/>
      <c r="I1156" s="41"/>
      <c r="J1156" s="136"/>
    </row>
    <row r="1157" spans="1:10" x14ac:dyDescent="0.35">
      <c r="A1157" s="92"/>
      <c r="F1157" s="177"/>
      <c r="G1157" s="117"/>
      <c r="H1157" s="93"/>
      <c r="I1157" s="41"/>
      <c r="J1157" s="136"/>
    </row>
    <row r="1158" spans="1:10" x14ac:dyDescent="0.35">
      <c r="A1158" s="92"/>
      <c r="F1158" s="177"/>
      <c r="G1158" s="117"/>
      <c r="H1158" s="93"/>
      <c r="I1158" s="41"/>
      <c r="J1158" s="136"/>
    </row>
    <row r="1159" spans="1:10" x14ac:dyDescent="0.35">
      <c r="A1159" s="92"/>
      <c r="F1159" s="177"/>
      <c r="G1159" s="117"/>
      <c r="H1159" s="93"/>
      <c r="I1159" s="41"/>
      <c r="J1159" s="136"/>
    </row>
    <row r="1160" spans="1:10" x14ac:dyDescent="0.35">
      <c r="A1160" s="92"/>
      <c r="F1160" s="177"/>
      <c r="G1160" s="117"/>
      <c r="H1160" s="93"/>
      <c r="I1160" s="41"/>
      <c r="J1160" s="136"/>
    </row>
    <row r="1161" spans="1:10" x14ac:dyDescent="0.35">
      <c r="A1161" s="92"/>
      <c r="F1161" s="177"/>
      <c r="G1161" s="117"/>
      <c r="H1161" s="93"/>
      <c r="I1161" s="41"/>
      <c r="J1161" s="136"/>
    </row>
    <row r="1162" spans="1:10" x14ac:dyDescent="0.35">
      <c r="A1162" s="92"/>
      <c r="F1162" s="177"/>
      <c r="G1162" s="117"/>
      <c r="H1162" s="93"/>
      <c r="I1162" s="41"/>
      <c r="J1162" s="136"/>
    </row>
    <row r="1163" spans="1:10" x14ac:dyDescent="0.35">
      <c r="A1163" s="92"/>
      <c r="F1163" s="177"/>
      <c r="G1163" s="117"/>
      <c r="H1163" s="93"/>
      <c r="I1163" s="41"/>
      <c r="J1163" s="136"/>
    </row>
    <row r="1164" spans="1:10" x14ac:dyDescent="0.35">
      <c r="A1164" s="92"/>
      <c r="F1164" s="177"/>
      <c r="G1164" s="117"/>
      <c r="H1164" s="93"/>
      <c r="I1164" s="41"/>
      <c r="J1164" s="136"/>
    </row>
    <row r="1165" spans="1:10" x14ac:dyDescent="0.35">
      <c r="A1165" s="92"/>
      <c r="F1165" s="177"/>
      <c r="G1165" s="117"/>
      <c r="H1165" s="93"/>
      <c r="I1165" s="41"/>
      <c r="J1165" s="136"/>
    </row>
    <row r="1166" spans="1:10" x14ac:dyDescent="0.35">
      <c r="A1166" s="92"/>
      <c r="F1166" s="177"/>
      <c r="G1166" s="117"/>
      <c r="H1166" s="93"/>
      <c r="I1166" s="41"/>
      <c r="J1166" s="136"/>
    </row>
    <row r="1167" spans="1:10" x14ac:dyDescent="0.35">
      <c r="A1167" s="92"/>
      <c r="F1167" s="177"/>
      <c r="G1167" s="117"/>
      <c r="H1167" s="93"/>
      <c r="I1167" s="41"/>
      <c r="J1167" s="136"/>
    </row>
    <row r="1168" spans="1:10" x14ac:dyDescent="0.35">
      <c r="A1168" s="92"/>
      <c r="F1168" s="177"/>
      <c r="G1168" s="117"/>
      <c r="H1168" s="93"/>
      <c r="I1168" s="41"/>
      <c r="J1168" s="136"/>
    </row>
    <row r="1169" spans="1:10" x14ac:dyDescent="0.35">
      <c r="A1169" s="92"/>
      <c r="F1169" s="177"/>
      <c r="G1169" s="117"/>
      <c r="H1169" s="93"/>
      <c r="I1169" s="41"/>
      <c r="J1169" s="136"/>
    </row>
    <row r="1170" spans="1:10" x14ac:dyDescent="0.35">
      <c r="A1170" s="92"/>
      <c r="F1170" s="177"/>
      <c r="G1170" s="117"/>
      <c r="H1170" s="93"/>
      <c r="I1170" s="41"/>
      <c r="J1170" s="136"/>
    </row>
    <row r="1171" spans="1:10" x14ac:dyDescent="0.35">
      <c r="A1171" s="92"/>
      <c r="F1171" s="177"/>
      <c r="G1171" s="117"/>
      <c r="H1171" s="93"/>
      <c r="I1171" s="41"/>
      <c r="J1171" s="136"/>
    </row>
    <row r="1172" spans="1:10" x14ac:dyDescent="0.35">
      <c r="A1172" s="92"/>
      <c r="F1172" s="177"/>
      <c r="G1172" s="117"/>
      <c r="H1172" s="93"/>
      <c r="I1172" s="41"/>
      <c r="J1172" s="136"/>
    </row>
    <row r="1173" spans="1:10" x14ac:dyDescent="0.35">
      <c r="A1173" s="92"/>
      <c r="F1173" s="177"/>
      <c r="G1173" s="117"/>
      <c r="H1173" s="93"/>
      <c r="I1173" s="41"/>
      <c r="J1173" s="136"/>
    </row>
    <row r="1174" spans="1:10" x14ac:dyDescent="0.35">
      <c r="A1174" s="92"/>
      <c r="F1174" s="177"/>
      <c r="G1174" s="117"/>
      <c r="H1174" s="93"/>
      <c r="I1174" s="41"/>
      <c r="J1174" s="136"/>
    </row>
    <row r="1175" spans="1:10" x14ac:dyDescent="0.35">
      <c r="A1175" s="92"/>
      <c r="F1175" s="177"/>
      <c r="G1175" s="117"/>
      <c r="H1175" s="93"/>
      <c r="I1175" s="41"/>
      <c r="J1175" s="136"/>
    </row>
    <row r="1176" spans="1:10" x14ac:dyDescent="0.35">
      <c r="A1176" s="92"/>
      <c r="F1176" s="177"/>
      <c r="G1176" s="117"/>
      <c r="H1176" s="93"/>
      <c r="I1176" s="41"/>
      <c r="J1176" s="136"/>
    </row>
    <row r="1177" spans="1:10" x14ac:dyDescent="0.35">
      <c r="A1177" s="92"/>
      <c r="F1177" s="177"/>
      <c r="G1177" s="117"/>
      <c r="H1177" s="93"/>
      <c r="I1177" s="41"/>
      <c r="J1177" s="136"/>
    </row>
    <row r="1178" spans="1:10" x14ac:dyDescent="0.35">
      <c r="A1178" s="92"/>
      <c r="F1178" s="177"/>
      <c r="G1178" s="117"/>
      <c r="H1178" s="93"/>
      <c r="I1178" s="41"/>
      <c r="J1178" s="136"/>
    </row>
    <row r="1179" spans="1:10" x14ac:dyDescent="0.35">
      <c r="A1179" s="92"/>
      <c r="F1179" s="177"/>
      <c r="G1179" s="117"/>
      <c r="H1179" s="93"/>
      <c r="I1179" s="41"/>
      <c r="J1179" s="136"/>
    </row>
    <row r="1180" spans="1:10" x14ac:dyDescent="0.35">
      <c r="A1180" s="92"/>
      <c r="F1180" s="177"/>
      <c r="G1180" s="117"/>
      <c r="H1180" s="93"/>
      <c r="I1180" s="41"/>
      <c r="J1180" s="136"/>
    </row>
    <row r="1181" spans="1:10" x14ac:dyDescent="0.35">
      <c r="A1181" s="92"/>
      <c r="F1181" s="177"/>
      <c r="G1181" s="117"/>
      <c r="H1181" s="93"/>
      <c r="I1181" s="41"/>
      <c r="J1181" s="136"/>
    </row>
    <row r="1182" spans="1:10" x14ac:dyDescent="0.35">
      <c r="A1182" s="92"/>
      <c r="F1182" s="177"/>
      <c r="G1182" s="117"/>
      <c r="H1182" s="93"/>
      <c r="I1182" s="41"/>
      <c r="J1182" s="136"/>
    </row>
    <row r="1183" spans="1:10" x14ac:dyDescent="0.35">
      <c r="A1183" s="92"/>
      <c r="F1183" s="177"/>
      <c r="G1183" s="117"/>
      <c r="H1183" s="93"/>
      <c r="I1183" s="41"/>
      <c r="J1183" s="136"/>
    </row>
    <row r="1184" spans="1:10" x14ac:dyDescent="0.35">
      <c r="A1184" s="92"/>
      <c r="F1184" s="177"/>
      <c r="G1184" s="117"/>
      <c r="H1184" s="93"/>
      <c r="I1184" s="41"/>
      <c r="J1184" s="136"/>
    </row>
    <row r="1185" spans="1:10" x14ac:dyDescent="0.35">
      <c r="A1185" s="92"/>
      <c r="F1185" s="177"/>
      <c r="G1185" s="117"/>
      <c r="H1185" s="93"/>
      <c r="I1185" s="41"/>
      <c r="J1185" s="136"/>
    </row>
    <row r="1186" spans="1:10" x14ac:dyDescent="0.35">
      <c r="A1186" s="92"/>
      <c r="F1186" s="177"/>
      <c r="G1186" s="117"/>
      <c r="H1186" s="93"/>
      <c r="I1186" s="41"/>
      <c r="J1186" s="136"/>
    </row>
    <row r="1187" spans="1:10" x14ac:dyDescent="0.35">
      <c r="A1187" s="92"/>
      <c r="F1187" s="177"/>
      <c r="G1187" s="117"/>
      <c r="H1187" s="93"/>
      <c r="I1187" s="41"/>
      <c r="J1187" s="136"/>
    </row>
    <row r="1188" spans="1:10" x14ac:dyDescent="0.35">
      <c r="A1188" s="92"/>
      <c r="F1188" s="177"/>
      <c r="G1188" s="117"/>
      <c r="H1188" s="93"/>
      <c r="I1188" s="41"/>
      <c r="J1188" s="136"/>
    </row>
    <row r="1189" spans="1:10" x14ac:dyDescent="0.35">
      <c r="A1189" s="92"/>
      <c r="F1189" s="177"/>
      <c r="G1189" s="117"/>
      <c r="H1189" s="93"/>
      <c r="I1189" s="41"/>
      <c r="J1189" s="136"/>
    </row>
    <row r="1190" spans="1:10" x14ac:dyDescent="0.35">
      <c r="A1190" s="92"/>
      <c r="F1190" s="177"/>
      <c r="G1190" s="117"/>
      <c r="H1190" s="93"/>
      <c r="I1190" s="41"/>
      <c r="J1190" s="136"/>
    </row>
    <row r="1191" spans="1:10" x14ac:dyDescent="0.35">
      <c r="A1191" s="92"/>
      <c r="F1191" s="177"/>
      <c r="G1191" s="117"/>
      <c r="H1191" s="93"/>
      <c r="I1191" s="41"/>
      <c r="J1191" s="136"/>
    </row>
    <row r="1192" spans="1:10" x14ac:dyDescent="0.35">
      <c r="A1192" s="92"/>
      <c r="F1192" s="177"/>
      <c r="G1192" s="117"/>
      <c r="H1192" s="93"/>
      <c r="I1192" s="41"/>
      <c r="J1192" s="136"/>
    </row>
    <row r="1193" spans="1:10" x14ac:dyDescent="0.35">
      <c r="A1193" s="92"/>
      <c r="F1193" s="177"/>
      <c r="G1193" s="117"/>
      <c r="H1193" s="93"/>
      <c r="I1193" s="41"/>
      <c r="J1193" s="136"/>
    </row>
    <row r="1194" spans="1:10" x14ac:dyDescent="0.35">
      <c r="A1194" s="92"/>
      <c r="F1194" s="177"/>
      <c r="G1194" s="117"/>
      <c r="H1194" s="93"/>
      <c r="I1194" s="41"/>
      <c r="J1194" s="136"/>
    </row>
    <row r="1195" spans="1:10" x14ac:dyDescent="0.35">
      <c r="A1195" s="92"/>
      <c r="F1195" s="177"/>
      <c r="G1195" s="117"/>
      <c r="H1195" s="93"/>
      <c r="I1195" s="41"/>
      <c r="J1195" s="136"/>
    </row>
    <row r="1196" spans="1:10" x14ac:dyDescent="0.35">
      <c r="A1196" s="92"/>
      <c r="F1196" s="177"/>
      <c r="G1196" s="117"/>
      <c r="H1196" s="93"/>
      <c r="I1196" s="41"/>
      <c r="J1196" s="136"/>
    </row>
    <row r="1197" spans="1:10" x14ac:dyDescent="0.35">
      <c r="A1197" s="92"/>
      <c r="F1197" s="177"/>
      <c r="G1197" s="117"/>
      <c r="H1197" s="93"/>
      <c r="I1197" s="41"/>
      <c r="J1197" s="136"/>
    </row>
    <row r="1198" spans="1:10" x14ac:dyDescent="0.35">
      <c r="A1198" s="92"/>
      <c r="F1198" s="177"/>
      <c r="G1198" s="117"/>
      <c r="H1198" s="93"/>
      <c r="I1198" s="41"/>
      <c r="J1198" s="136"/>
    </row>
    <row r="1199" spans="1:10" x14ac:dyDescent="0.35">
      <c r="A1199" s="92"/>
      <c r="F1199" s="177"/>
      <c r="G1199" s="117"/>
      <c r="H1199" s="93"/>
      <c r="I1199" s="41"/>
      <c r="J1199" s="136"/>
    </row>
    <row r="1200" spans="1:10" x14ac:dyDescent="0.35">
      <c r="A1200" s="92"/>
      <c r="F1200" s="177"/>
      <c r="G1200" s="117"/>
      <c r="H1200" s="93"/>
      <c r="I1200" s="41"/>
      <c r="J1200" s="136"/>
    </row>
    <row r="1201" spans="1:10" x14ac:dyDescent="0.35">
      <c r="A1201" s="92"/>
      <c r="F1201" s="177"/>
      <c r="G1201" s="117"/>
      <c r="H1201" s="93"/>
      <c r="I1201" s="41"/>
      <c r="J1201" s="136"/>
    </row>
    <row r="1202" spans="1:10" x14ac:dyDescent="0.35">
      <c r="A1202" s="92"/>
      <c r="F1202" s="177"/>
      <c r="G1202" s="117"/>
      <c r="H1202" s="93"/>
      <c r="I1202" s="41"/>
      <c r="J1202" s="136"/>
    </row>
    <row r="1203" spans="1:10" x14ac:dyDescent="0.35">
      <c r="A1203" s="92"/>
      <c r="F1203" s="177"/>
      <c r="G1203" s="117"/>
      <c r="H1203" s="93"/>
      <c r="I1203" s="41"/>
      <c r="J1203" s="136"/>
    </row>
    <row r="1204" spans="1:10" x14ac:dyDescent="0.35">
      <c r="A1204" s="92"/>
      <c r="F1204" s="177"/>
      <c r="G1204" s="117"/>
      <c r="H1204" s="93"/>
      <c r="I1204" s="41"/>
      <c r="J1204" s="136"/>
    </row>
    <row r="1205" spans="1:10" x14ac:dyDescent="0.35">
      <c r="A1205" s="92"/>
      <c r="F1205" s="177"/>
      <c r="G1205" s="117"/>
      <c r="H1205" s="93"/>
      <c r="I1205" s="41"/>
      <c r="J1205" s="136"/>
    </row>
    <row r="1206" spans="1:10" x14ac:dyDescent="0.35">
      <c r="A1206" s="92"/>
      <c r="F1206" s="177"/>
      <c r="G1206" s="117"/>
      <c r="H1206" s="93"/>
      <c r="I1206" s="41"/>
      <c r="J1206" s="136"/>
    </row>
    <row r="1207" spans="1:10" x14ac:dyDescent="0.35">
      <c r="A1207" s="92"/>
      <c r="F1207" s="177"/>
      <c r="G1207" s="117"/>
      <c r="H1207" s="93"/>
      <c r="I1207" s="41"/>
      <c r="J1207" s="136"/>
    </row>
    <row r="1208" spans="1:10" x14ac:dyDescent="0.35">
      <c r="A1208" s="92"/>
      <c r="F1208" s="177"/>
      <c r="G1208" s="117"/>
      <c r="H1208" s="93"/>
      <c r="I1208" s="41"/>
      <c r="J1208" s="136"/>
    </row>
    <row r="1209" spans="1:10" x14ac:dyDescent="0.35">
      <c r="A1209" s="92"/>
      <c r="F1209" s="177"/>
      <c r="G1209" s="117"/>
      <c r="H1209" s="93"/>
      <c r="I1209" s="41"/>
      <c r="J1209" s="136"/>
    </row>
    <row r="1210" spans="1:10" x14ac:dyDescent="0.35">
      <c r="A1210" s="92"/>
      <c r="F1210" s="177"/>
      <c r="G1210" s="117"/>
      <c r="H1210" s="93"/>
      <c r="I1210" s="41"/>
      <c r="J1210" s="136"/>
    </row>
    <row r="1211" spans="1:10" x14ac:dyDescent="0.35">
      <c r="A1211" s="92"/>
      <c r="F1211" s="177"/>
      <c r="G1211" s="117"/>
      <c r="H1211" s="93"/>
      <c r="I1211" s="41"/>
      <c r="J1211" s="136"/>
    </row>
    <row r="1212" spans="1:10" x14ac:dyDescent="0.35">
      <c r="A1212" s="92"/>
      <c r="F1212" s="177"/>
      <c r="G1212" s="117"/>
      <c r="H1212" s="93"/>
      <c r="I1212" s="41"/>
      <c r="J1212" s="136"/>
    </row>
    <row r="1213" spans="1:10" x14ac:dyDescent="0.35">
      <c r="A1213" s="92"/>
      <c r="F1213" s="177"/>
      <c r="G1213" s="117"/>
      <c r="H1213" s="93"/>
      <c r="I1213" s="41"/>
      <c r="J1213" s="136"/>
    </row>
    <row r="1214" spans="1:10" x14ac:dyDescent="0.35">
      <c r="A1214" s="92"/>
      <c r="F1214" s="177"/>
      <c r="G1214" s="117"/>
      <c r="H1214" s="93"/>
      <c r="I1214" s="41"/>
      <c r="J1214" s="136"/>
    </row>
    <row r="1215" spans="1:10" x14ac:dyDescent="0.35">
      <c r="A1215" s="92"/>
      <c r="F1215" s="177"/>
      <c r="G1215" s="117"/>
      <c r="H1215" s="93"/>
      <c r="I1215" s="41"/>
      <c r="J1215" s="136"/>
    </row>
    <row r="1216" spans="1:10" x14ac:dyDescent="0.35">
      <c r="A1216" s="92"/>
      <c r="F1216" s="177"/>
      <c r="G1216" s="117"/>
      <c r="H1216" s="93"/>
      <c r="I1216" s="41"/>
      <c r="J1216" s="136"/>
    </row>
    <row r="1217" spans="1:10" x14ac:dyDescent="0.35">
      <c r="A1217" s="92"/>
      <c r="F1217" s="177"/>
      <c r="G1217" s="117"/>
      <c r="H1217" s="93"/>
      <c r="I1217" s="41"/>
      <c r="J1217" s="136"/>
    </row>
    <row r="1218" spans="1:10" x14ac:dyDescent="0.35">
      <c r="A1218" s="92"/>
      <c r="F1218" s="177"/>
      <c r="G1218" s="117"/>
      <c r="H1218" s="93"/>
      <c r="I1218" s="41"/>
      <c r="J1218" s="136"/>
    </row>
    <row r="1219" spans="1:10" x14ac:dyDescent="0.35">
      <c r="A1219" s="92"/>
      <c r="F1219" s="177"/>
      <c r="G1219" s="117"/>
      <c r="H1219" s="93"/>
      <c r="I1219" s="41"/>
      <c r="J1219" s="136"/>
    </row>
    <row r="1220" spans="1:10" x14ac:dyDescent="0.35">
      <c r="A1220" s="92"/>
      <c r="F1220" s="177"/>
      <c r="G1220" s="117"/>
      <c r="H1220" s="93"/>
      <c r="I1220" s="41"/>
      <c r="J1220" s="136"/>
    </row>
    <row r="1221" spans="1:10" x14ac:dyDescent="0.35">
      <c r="A1221" s="92"/>
      <c r="F1221" s="177"/>
      <c r="G1221" s="117"/>
      <c r="H1221" s="93"/>
      <c r="I1221" s="41"/>
      <c r="J1221" s="136"/>
    </row>
    <row r="1222" spans="1:10" x14ac:dyDescent="0.35">
      <c r="A1222" s="92"/>
      <c r="F1222" s="177"/>
      <c r="G1222" s="117"/>
      <c r="H1222" s="93"/>
      <c r="I1222" s="41"/>
      <c r="J1222" s="136"/>
    </row>
    <row r="1223" spans="1:10" x14ac:dyDescent="0.35">
      <c r="A1223" s="92"/>
      <c r="F1223" s="177"/>
      <c r="G1223" s="117"/>
      <c r="H1223" s="93"/>
      <c r="I1223" s="41"/>
      <c r="J1223" s="136"/>
    </row>
    <row r="1224" spans="1:10" x14ac:dyDescent="0.35">
      <c r="A1224" s="92"/>
      <c r="F1224" s="177"/>
      <c r="G1224" s="117"/>
      <c r="H1224" s="93"/>
      <c r="I1224" s="41"/>
      <c r="J1224" s="136"/>
    </row>
    <row r="1225" spans="1:10" x14ac:dyDescent="0.35">
      <c r="A1225" s="92"/>
      <c r="F1225" s="177"/>
      <c r="G1225" s="117"/>
      <c r="H1225" s="93"/>
      <c r="I1225" s="41"/>
      <c r="J1225" s="136"/>
    </row>
    <row r="1226" spans="1:10" x14ac:dyDescent="0.35">
      <c r="A1226" s="92"/>
      <c r="F1226" s="177"/>
      <c r="G1226" s="117"/>
      <c r="H1226" s="93"/>
      <c r="I1226" s="41"/>
      <c r="J1226" s="136"/>
    </row>
    <row r="1227" spans="1:10" x14ac:dyDescent="0.35">
      <c r="A1227" s="92"/>
      <c r="F1227" s="177"/>
      <c r="G1227" s="117"/>
      <c r="H1227" s="93"/>
      <c r="I1227" s="41"/>
      <c r="J1227" s="136"/>
    </row>
    <row r="1228" spans="1:10" x14ac:dyDescent="0.35">
      <c r="A1228" s="92"/>
      <c r="F1228" s="177"/>
      <c r="G1228" s="117"/>
      <c r="H1228" s="93"/>
      <c r="I1228" s="41"/>
      <c r="J1228" s="136"/>
    </row>
    <row r="1229" spans="1:10" x14ac:dyDescent="0.35">
      <c r="A1229" s="92"/>
      <c r="F1229" s="177"/>
      <c r="G1229" s="117"/>
      <c r="H1229" s="93"/>
      <c r="I1229" s="41"/>
      <c r="J1229" s="136"/>
    </row>
    <row r="1230" spans="1:10" x14ac:dyDescent="0.35">
      <c r="A1230" s="92"/>
      <c r="F1230" s="177"/>
      <c r="G1230" s="117"/>
      <c r="H1230" s="93"/>
      <c r="I1230" s="41"/>
      <c r="J1230" s="136"/>
    </row>
    <row r="1231" spans="1:10" x14ac:dyDescent="0.35">
      <c r="A1231" s="92"/>
      <c r="F1231" s="177"/>
      <c r="G1231" s="117"/>
      <c r="H1231" s="93"/>
      <c r="I1231" s="41"/>
      <c r="J1231" s="136"/>
    </row>
    <row r="1232" spans="1:10" x14ac:dyDescent="0.35">
      <c r="A1232" s="92"/>
      <c r="F1232" s="177"/>
      <c r="G1232" s="117"/>
      <c r="H1232" s="93"/>
      <c r="I1232" s="41"/>
      <c r="J1232" s="136"/>
    </row>
    <row r="1233" spans="1:10" x14ac:dyDescent="0.35">
      <c r="A1233" s="92"/>
      <c r="F1233" s="177"/>
      <c r="G1233" s="117"/>
      <c r="H1233" s="93"/>
      <c r="I1233" s="41"/>
      <c r="J1233" s="136"/>
    </row>
    <row r="1234" spans="1:10" x14ac:dyDescent="0.35">
      <c r="A1234" s="92"/>
      <c r="F1234" s="177"/>
      <c r="G1234" s="117"/>
      <c r="H1234" s="93"/>
      <c r="I1234" s="41"/>
      <c r="J1234" s="136"/>
    </row>
    <row r="1235" spans="1:10" x14ac:dyDescent="0.35">
      <c r="A1235" s="92"/>
      <c r="F1235" s="177"/>
      <c r="G1235" s="117"/>
      <c r="H1235" s="93"/>
      <c r="I1235" s="41"/>
      <c r="J1235" s="136"/>
    </row>
    <row r="1236" spans="1:10" x14ac:dyDescent="0.35">
      <c r="A1236" s="92"/>
      <c r="F1236" s="177"/>
      <c r="G1236" s="117"/>
      <c r="H1236" s="93"/>
      <c r="I1236" s="41"/>
      <c r="J1236" s="136"/>
    </row>
    <row r="1237" spans="1:10" x14ac:dyDescent="0.35">
      <c r="A1237" s="92"/>
      <c r="F1237" s="177"/>
      <c r="G1237" s="117"/>
      <c r="H1237" s="93"/>
      <c r="I1237" s="41"/>
      <c r="J1237" s="136"/>
    </row>
    <row r="1238" spans="1:10" x14ac:dyDescent="0.35">
      <c r="A1238" s="92"/>
      <c r="F1238" s="177"/>
      <c r="G1238" s="117"/>
      <c r="H1238" s="93"/>
      <c r="I1238" s="41"/>
      <c r="J1238" s="136"/>
    </row>
    <row r="1239" spans="1:10" x14ac:dyDescent="0.35">
      <c r="A1239" s="92"/>
      <c r="F1239" s="177"/>
      <c r="G1239" s="117"/>
      <c r="H1239" s="93"/>
      <c r="I1239" s="41"/>
      <c r="J1239" s="136"/>
    </row>
    <row r="1240" spans="1:10" x14ac:dyDescent="0.35">
      <c r="A1240" s="92"/>
      <c r="F1240" s="177"/>
      <c r="G1240" s="117"/>
      <c r="H1240" s="93"/>
      <c r="I1240" s="41"/>
      <c r="J1240" s="136"/>
    </row>
    <row r="1241" spans="1:10" x14ac:dyDescent="0.35">
      <c r="A1241" s="92"/>
      <c r="F1241" s="177"/>
      <c r="G1241" s="117"/>
      <c r="H1241" s="93"/>
      <c r="I1241" s="41"/>
      <c r="J1241" s="136"/>
    </row>
    <row r="1242" spans="1:10" x14ac:dyDescent="0.35">
      <c r="A1242" s="92"/>
      <c r="F1242" s="177"/>
      <c r="G1242" s="117"/>
      <c r="H1242" s="93"/>
      <c r="I1242" s="41"/>
      <c r="J1242" s="136"/>
    </row>
    <row r="1243" spans="1:10" x14ac:dyDescent="0.35">
      <c r="A1243" s="92"/>
      <c r="F1243" s="177"/>
      <c r="G1243" s="117"/>
      <c r="H1243" s="93"/>
      <c r="I1243" s="41"/>
      <c r="J1243" s="136"/>
    </row>
    <row r="1244" spans="1:10" x14ac:dyDescent="0.35">
      <c r="A1244" s="92"/>
      <c r="F1244" s="177"/>
      <c r="G1244" s="117"/>
      <c r="H1244" s="93"/>
      <c r="I1244" s="41"/>
      <c r="J1244" s="136"/>
    </row>
    <row r="1245" spans="1:10" x14ac:dyDescent="0.35">
      <c r="A1245" s="92"/>
      <c r="F1245" s="177"/>
      <c r="G1245" s="117"/>
      <c r="H1245" s="93"/>
      <c r="I1245" s="41"/>
      <c r="J1245" s="136"/>
    </row>
    <row r="1246" spans="1:10" x14ac:dyDescent="0.35">
      <c r="A1246" s="92"/>
      <c r="F1246" s="177"/>
      <c r="G1246" s="117"/>
      <c r="H1246" s="93"/>
      <c r="I1246" s="41"/>
      <c r="J1246" s="136"/>
    </row>
    <row r="1247" spans="1:10" x14ac:dyDescent="0.35">
      <c r="A1247" s="92"/>
      <c r="F1247" s="177"/>
      <c r="G1247" s="117"/>
      <c r="H1247" s="93"/>
      <c r="I1247" s="41"/>
      <c r="J1247" s="136"/>
    </row>
    <row r="1248" spans="1:10" x14ac:dyDescent="0.35">
      <c r="A1248" s="92"/>
      <c r="F1248" s="177"/>
      <c r="G1248" s="117"/>
      <c r="H1248" s="93"/>
      <c r="I1248" s="41"/>
      <c r="J1248" s="136"/>
    </row>
    <row r="1249" spans="1:10" x14ac:dyDescent="0.35">
      <c r="A1249" s="92"/>
      <c r="F1249" s="177"/>
      <c r="G1249" s="117"/>
      <c r="H1249" s="93"/>
      <c r="I1249" s="41"/>
      <c r="J1249" s="136"/>
    </row>
    <row r="1250" spans="1:10" x14ac:dyDescent="0.35">
      <c r="A1250" s="92"/>
      <c r="F1250" s="177"/>
      <c r="G1250" s="117"/>
      <c r="H1250" s="93"/>
      <c r="I1250" s="41"/>
      <c r="J1250" s="136"/>
    </row>
    <row r="1251" spans="1:10" x14ac:dyDescent="0.35">
      <c r="A1251" s="92"/>
      <c r="F1251" s="177"/>
      <c r="G1251" s="117"/>
      <c r="H1251" s="93"/>
      <c r="I1251" s="41"/>
      <c r="J1251" s="136"/>
    </row>
    <row r="1252" spans="1:10" x14ac:dyDescent="0.35">
      <c r="A1252" s="92"/>
      <c r="F1252" s="177"/>
      <c r="G1252" s="117"/>
      <c r="H1252" s="93"/>
      <c r="I1252" s="41"/>
      <c r="J1252" s="136"/>
    </row>
    <row r="1253" spans="1:10" x14ac:dyDescent="0.35">
      <c r="A1253" s="92"/>
      <c r="F1253" s="177"/>
      <c r="G1253" s="117"/>
      <c r="H1253" s="93"/>
      <c r="I1253" s="41"/>
      <c r="J1253" s="136"/>
    </row>
    <row r="1254" spans="1:10" x14ac:dyDescent="0.35">
      <c r="A1254" s="92"/>
      <c r="F1254" s="177"/>
      <c r="G1254" s="117"/>
      <c r="H1254" s="93"/>
      <c r="I1254" s="41"/>
      <c r="J1254" s="136"/>
    </row>
    <row r="1255" spans="1:10" x14ac:dyDescent="0.35">
      <c r="A1255" s="92"/>
      <c r="F1255" s="177"/>
      <c r="G1255" s="117"/>
      <c r="H1255" s="93"/>
      <c r="I1255" s="41"/>
      <c r="J1255" s="136"/>
    </row>
    <row r="1256" spans="1:10" x14ac:dyDescent="0.35">
      <c r="A1256" s="92"/>
      <c r="F1256" s="177"/>
      <c r="G1256" s="117"/>
      <c r="H1256" s="93"/>
      <c r="I1256" s="41"/>
      <c r="J1256" s="136"/>
    </row>
    <row r="1257" spans="1:10" x14ac:dyDescent="0.35">
      <c r="A1257" s="92"/>
      <c r="F1257" s="177"/>
      <c r="G1257" s="117"/>
      <c r="H1257" s="93"/>
      <c r="I1257" s="41"/>
      <c r="J1257" s="136"/>
    </row>
    <row r="1258" spans="1:10" x14ac:dyDescent="0.35">
      <c r="A1258" s="92"/>
      <c r="F1258" s="177"/>
      <c r="G1258" s="117"/>
      <c r="H1258" s="93"/>
      <c r="I1258" s="41"/>
      <c r="J1258" s="136"/>
    </row>
    <row r="1259" spans="1:10" x14ac:dyDescent="0.35">
      <c r="A1259" s="92"/>
      <c r="F1259" s="177"/>
      <c r="G1259" s="117"/>
      <c r="H1259" s="93"/>
      <c r="I1259" s="41"/>
      <c r="J1259" s="136"/>
    </row>
    <row r="1260" spans="1:10" x14ac:dyDescent="0.35">
      <c r="A1260" s="92"/>
      <c r="F1260" s="177"/>
      <c r="G1260" s="117"/>
      <c r="H1260" s="93"/>
      <c r="I1260" s="41"/>
      <c r="J1260" s="136"/>
    </row>
    <row r="1261" spans="1:10" x14ac:dyDescent="0.35">
      <c r="A1261" s="92"/>
      <c r="F1261" s="177"/>
      <c r="G1261" s="117"/>
      <c r="H1261" s="93"/>
      <c r="I1261" s="41"/>
      <c r="J1261" s="136"/>
    </row>
    <row r="1262" spans="1:10" x14ac:dyDescent="0.35">
      <c r="A1262" s="92"/>
      <c r="F1262" s="177"/>
      <c r="G1262" s="117"/>
      <c r="H1262" s="93"/>
      <c r="I1262" s="41"/>
      <c r="J1262" s="136"/>
    </row>
    <row r="1263" spans="1:10" x14ac:dyDescent="0.35">
      <c r="A1263" s="92"/>
      <c r="F1263" s="177"/>
      <c r="G1263" s="117"/>
      <c r="H1263" s="93"/>
      <c r="I1263" s="41"/>
      <c r="J1263" s="136"/>
    </row>
    <row r="1264" spans="1:10" x14ac:dyDescent="0.35">
      <c r="A1264" s="92"/>
      <c r="F1264" s="177"/>
      <c r="G1264" s="117"/>
      <c r="H1264" s="93"/>
      <c r="I1264" s="41"/>
      <c r="J1264" s="136"/>
    </row>
    <row r="1265" spans="1:10" x14ac:dyDescent="0.35">
      <c r="A1265" s="92"/>
      <c r="F1265" s="177"/>
      <c r="G1265" s="117"/>
      <c r="H1265" s="93"/>
      <c r="I1265" s="41"/>
      <c r="J1265" s="136"/>
    </row>
    <row r="1266" spans="1:10" x14ac:dyDescent="0.35">
      <c r="A1266" s="92"/>
      <c r="F1266" s="177"/>
      <c r="G1266" s="117"/>
      <c r="H1266" s="93"/>
      <c r="I1266" s="41"/>
      <c r="J1266" s="136"/>
    </row>
    <row r="1267" spans="1:10" x14ac:dyDescent="0.35">
      <c r="A1267" s="92"/>
      <c r="F1267" s="177"/>
      <c r="G1267" s="117"/>
      <c r="H1267" s="93"/>
      <c r="I1267" s="41"/>
      <c r="J1267" s="136"/>
    </row>
    <row r="1268" spans="1:10" x14ac:dyDescent="0.35">
      <c r="A1268" s="92"/>
      <c r="F1268" s="177"/>
      <c r="G1268" s="117"/>
      <c r="H1268" s="93"/>
      <c r="I1268" s="41"/>
      <c r="J1268" s="136"/>
    </row>
    <row r="1269" spans="1:10" x14ac:dyDescent="0.35">
      <c r="A1269" s="92"/>
      <c r="F1269" s="177"/>
      <c r="G1269" s="117"/>
      <c r="H1269" s="93"/>
      <c r="I1269" s="41"/>
      <c r="J1269" s="136"/>
    </row>
    <row r="1270" spans="1:10" x14ac:dyDescent="0.35">
      <c r="A1270" s="92"/>
      <c r="F1270" s="177"/>
      <c r="G1270" s="117"/>
      <c r="H1270" s="93"/>
      <c r="I1270" s="41"/>
      <c r="J1270" s="136"/>
    </row>
    <row r="1271" spans="1:10" x14ac:dyDescent="0.35">
      <c r="A1271" s="92"/>
      <c r="F1271" s="177"/>
      <c r="G1271" s="117"/>
      <c r="H1271" s="93"/>
      <c r="I1271" s="41"/>
      <c r="J1271" s="136"/>
    </row>
    <row r="1272" spans="1:10" x14ac:dyDescent="0.35">
      <c r="A1272" s="92"/>
      <c r="F1272" s="177"/>
      <c r="G1272" s="117"/>
      <c r="H1272" s="93"/>
      <c r="I1272" s="41"/>
      <c r="J1272" s="136"/>
    </row>
    <row r="1273" spans="1:10" x14ac:dyDescent="0.35">
      <c r="A1273" s="92"/>
      <c r="F1273" s="177"/>
      <c r="G1273" s="117"/>
      <c r="H1273" s="93"/>
      <c r="I1273" s="41"/>
      <c r="J1273" s="136"/>
    </row>
    <row r="1274" spans="1:10" x14ac:dyDescent="0.35">
      <c r="A1274" s="92"/>
      <c r="F1274" s="177"/>
      <c r="G1274" s="117"/>
      <c r="H1274" s="93"/>
      <c r="I1274" s="41"/>
      <c r="J1274" s="136"/>
    </row>
    <row r="1275" spans="1:10" x14ac:dyDescent="0.35">
      <c r="A1275" s="92"/>
      <c r="F1275" s="177"/>
      <c r="G1275" s="117"/>
      <c r="H1275" s="93"/>
      <c r="I1275" s="41"/>
      <c r="J1275" s="136"/>
    </row>
    <row r="1276" spans="1:10" x14ac:dyDescent="0.35">
      <c r="A1276" s="92"/>
      <c r="F1276" s="177"/>
      <c r="G1276" s="117"/>
      <c r="H1276" s="93"/>
      <c r="I1276" s="41"/>
      <c r="J1276" s="136"/>
    </row>
    <row r="1277" spans="1:10" x14ac:dyDescent="0.35">
      <c r="A1277" s="92"/>
      <c r="F1277" s="177"/>
      <c r="G1277" s="117"/>
      <c r="H1277" s="93"/>
      <c r="I1277" s="41"/>
      <c r="J1277" s="136"/>
    </row>
    <row r="1278" spans="1:10" x14ac:dyDescent="0.35">
      <c r="A1278" s="92"/>
      <c r="F1278" s="177"/>
      <c r="G1278" s="117"/>
      <c r="H1278" s="93"/>
      <c r="I1278" s="41"/>
      <c r="J1278" s="136"/>
    </row>
    <row r="1279" spans="1:10" x14ac:dyDescent="0.35">
      <c r="A1279" s="92"/>
      <c r="F1279" s="177"/>
      <c r="G1279" s="117"/>
      <c r="H1279" s="93"/>
      <c r="I1279" s="41"/>
      <c r="J1279" s="136"/>
    </row>
    <row r="1280" spans="1:10" x14ac:dyDescent="0.35">
      <c r="A1280" s="92"/>
      <c r="F1280" s="177"/>
      <c r="G1280" s="117"/>
      <c r="H1280" s="93"/>
      <c r="I1280" s="41"/>
      <c r="J1280" s="136"/>
    </row>
    <row r="1281" spans="1:10" x14ac:dyDescent="0.35">
      <c r="A1281" s="92"/>
      <c r="F1281" s="177"/>
      <c r="G1281" s="117"/>
      <c r="H1281" s="93"/>
      <c r="I1281" s="41"/>
      <c r="J1281" s="136"/>
    </row>
    <row r="1282" spans="1:10" x14ac:dyDescent="0.35">
      <c r="A1282" s="92"/>
      <c r="F1282" s="177"/>
      <c r="G1282" s="117"/>
      <c r="H1282" s="93"/>
      <c r="I1282" s="41"/>
      <c r="J1282" s="136"/>
    </row>
    <row r="1283" spans="1:10" x14ac:dyDescent="0.35">
      <c r="A1283" s="92"/>
      <c r="F1283" s="177"/>
      <c r="G1283" s="117"/>
      <c r="H1283" s="93"/>
      <c r="I1283" s="41"/>
      <c r="J1283" s="136"/>
    </row>
    <row r="1284" spans="1:10" x14ac:dyDescent="0.35">
      <c r="A1284" s="92"/>
      <c r="F1284" s="177"/>
      <c r="G1284" s="117"/>
      <c r="H1284" s="93"/>
      <c r="I1284" s="41"/>
      <c r="J1284" s="136"/>
    </row>
    <row r="1285" spans="1:10" x14ac:dyDescent="0.35">
      <c r="A1285" s="92"/>
      <c r="F1285" s="177"/>
      <c r="G1285" s="117"/>
      <c r="H1285" s="93"/>
      <c r="I1285" s="41"/>
      <c r="J1285" s="136"/>
    </row>
    <row r="1286" spans="1:10" x14ac:dyDescent="0.35">
      <c r="A1286" s="92"/>
      <c r="F1286" s="177"/>
      <c r="G1286" s="117"/>
      <c r="H1286" s="93"/>
      <c r="I1286" s="41"/>
      <c r="J1286" s="136"/>
    </row>
    <row r="1287" spans="1:10" x14ac:dyDescent="0.35">
      <c r="A1287" s="92"/>
      <c r="F1287" s="177"/>
      <c r="G1287" s="117"/>
      <c r="H1287" s="93"/>
      <c r="I1287" s="41"/>
      <c r="J1287" s="136"/>
    </row>
    <row r="1288" spans="1:10" x14ac:dyDescent="0.35">
      <c r="A1288" s="92"/>
      <c r="F1288" s="177"/>
      <c r="G1288" s="117"/>
      <c r="H1288" s="93"/>
      <c r="I1288" s="41"/>
      <c r="J1288" s="136"/>
    </row>
    <row r="1289" spans="1:10" x14ac:dyDescent="0.35">
      <c r="A1289" s="92"/>
      <c r="F1289" s="177"/>
      <c r="G1289" s="117"/>
      <c r="H1289" s="93"/>
      <c r="I1289" s="41"/>
      <c r="J1289" s="136"/>
    </row>
    <row r="1290" spans="1:10" x14ac:dyDescent="0.35">
      <c r="A1290" s="92"/>
      <c r="F1290" s="177"/>
      <c r="G1290" s="117"/>
      <c r="H1290" s="93"/>
      <c r="I1290" s="41"/>
      <c r="J1290" s="136"/>
    </row>
    <row r="1291" spans="1:10" x14ac:dyDescent="0.35">
      <c r="A1291" s="92"/>
      <c r="F1291" s="177"/>
      <c r="G1291" s="117"/>
      <c r="H1291" s="93"/>
      <c r="I1291" s="41"/>
      <c r="J1291" s="136"/>
    </row>
    <row r="1292" spans="1:10" x14ac:dyDescent="0.35">
      <c r="A1292" s="92"/>
      <c r="F1292" s="177"/>
      <c r="G1292" s="117"/>
      <c r="H1292" s="93"/>
      <c r="I1292" s="41"/>
      <c r="J1292" s="136"/>
    </row>
    <row r="1293" spans="1:10" x14ac:dyDescent="0.35">
      <c r="A1293" s="92"/>
      <c r="F1293" s="177"/>
      <c r="G1293" s="117"/>
      <c r="H1293" s="93"/>
      <c r="I1293" s="41"/>
      <c r="J1293" s="136"/>
    </row>
    <row r="1294" spans="1:10" x14ac:dyDescent="0.35">
      <c r="A1294" s="92"/>
      <c r="F1294" s="177"/>
      <c r="G1294" s="117"/>
      <c r="H1294" s="93"/>
      <c r="I1294" s="41"/>
      <c r="J1294" s="136"/>
    </row>
    <row r="1295" spans="1:10" x14ac:dyDescent="0.35">
      <c r="A1295" s="92"/>
      <c r="F1295" s="177"/>
      <c r="G1295" s="117"/>
      <c r="H1295" s="93"/>
      <c r="I1295" s="41"/>
      <c r="J1295" s="136"/>
    </row>
    <row r="1296" spans="1:10" x14ac:dyDescent="0.35">
      <c r="A1296" s="92"/>
      <c r="F1296" s="177"/>
      <c r="G1296" s="117"/>
      <c r="H1296" s="93"/>
      <c r="I1296" s="41"/>
      <c r="J1296" s="136"/>
    </row>
    <row r="1297" spans="1:10" x14ac:dyDescent="0.35">
      <c r="A1297" s="92"/>
      <c r="F1297" s="177"/>
      <c r="G1297" s="117"/>
      <c r="H1297" s="93"/>
      <c r="I1297" s="41"/>
      <c r="J1297" s="136"/>
    </row>
    <row r="1298" spans="1:10" x14ac:dyDescent="0.35">
      <c r="A1298" s="92"/>
      <c r="F1298" s="177"/>
      <c r="G1298" s="117"/>
      <c r="H1298" s="93"/>
      <c r="I1298" s="41"/>
      <c r="J1298" s="136"/>
    </row>
    <row r="1299" spans="1:10" x14ac:dyDescent="0.35">
      <c r="A1299" s="92"/>
      <c r="F1299" s="177"/>
      <c r="G1299" s="117"/>
      <c r="H1299" s="93"/>
      <c r="I1299" s="41"/>
      <c r="J1299" s="136"/>
    </row>
    <row r="1300" spans="1:10" x14ac:dyDescent="0.35">
      <c r="A1300" s="92"/>
      <c r="F1300" s="177"/>
      <c r="G1300" s="117"/>
      <c r="H1300" s="93"/>
      <c r="I1300" s="41"/>
      <c r="J1300" s="136"/>
    </row>
    <row r="1301" spans="1:10" x14ac:dyDescent="0.35">
      <c r="A1301" s="92"/>
      <c r="F1301" s="177"/>
      <c r="G1301" s="117"/>
      <c r="H1301" s="93"/>
      <c r="I1301" s="41"/>
      <c r="J1301" s="136"/>
    </row>
    <row r="1302" spans="1:10" x14ac:dyDescent="0.35">
      <c r="A1302" s="92"/>
      <c r="F1302" s="177"/>
      <c r="G1302" s="117"/>
      <c r="H1302" s="93"/>
      <c r="I1302" s="41"/>
      <c r="J1302" s="136"/>
    </row>
    <row r="1303" spans="1:10" x14ac:dyDescent="0.35">
      <c r="A1303" s="92"/>
      <c r="F1303" s="177"/>
      <c r="G1303" s="117"/>
      <c r="H1303" s="93"/>
      <c r="I1303" s="41"/>
      <c r="J1303" s="136"/>
    </row>
    <row r="1304" spans="1:10" x14ac:dyDescent="0.35">
      <c r="A1304" s="92"/>
      <c r="F1304" s="177"/>
      <c r="G1304" s="117"/>
      <c r="H1304" s="93"/>
      <c r="I1304" s="41"/>
      <c r="J1304" s="136"/>
    </row>
    <row r="1305" spans="1:10" x14ac:dyDescent="0.35">
      <c r="A1305" s="92"/>
      <c r="F1305" s="177"/>
      <c r="G1305" s="117"/>
      <c r="H1305" s="93"/>
      <c r="I1305" s="41"/>
      <c r="J1305" s="136"/>
    </row>
    <row r="1306" spans="1:10" x14ac:dyDescent="0.35">
      <c r="A1306" s="92"/>
      <c r="F1306" s="177"/>
      <c r="G1306" s="117"/>
      <c r="H1306" s="93"/>
      <c r="I1306" s="41"/>
      <c r="J1306" s="136"/>
    </row>
    <row r="1307" spans="1:10" x14ac:dyDescent="0.35">
      <c r="A1307" s="92"/>
      <c r="F1307" s="177"/>
      <c r="G1307" s="117"/>
      <c r="H1307" s="93"/>
      <c r="I1307" s="41"/>
      <c r="J1307" s="136"/>
    </row>
    <row r="1308" spans="1:10" x14ac:dyDescent="0.35">
      <c r="A1308" s="92"/>
      <c r="F1308" s="177"/>
      <c r="G1308" s="117"/>
      <c r="H1308" s="93"/>
      <c r="I1308" s="41"/>
      <c r="J1308" s="136"/>
    </row>
    <row r="1309" spans="1:10" x14ac:dyDescent="0.35">
      <c r="A1309" s="92"/>
      <c r="F1309" s="177"/>
      <c r="G1309" s="117"/>
      <c r="H1309" s="93"/>
      <c r="I1309" s="41"/>
      <c r="J1309" s="136"/>
    </row>
    <row r="1310" spans="1:10" x14ac:dyDescent="0.35">
      <c r="A1310" s="92"/>
      <c r="F1310" s="177"/>
      <c r="G1310" s="117"/>
      <c r="H1310" s="93"/>
      <c r="I1310" s="41"/>
      <c r="J1310" s="136"/>
    </row>
    <row r="1311" spans="1:10" x14ac:dyDescent="0.35">
      <c r="A1311" s="92"/>
      <c r="F1311" s="177"/>
      <c r="G1311" s="117"/>
      <c r="H1311" s="93"/>
      <c r="I1311" s="41"/>
      <c r="J1311" s="136"/>
    </row>
    <row r="1312" spans="1:10" x14ac:dyDescent="0.35">
      <c r="A1312" s="92"/>
      <c r="F1312" s="177"/>
      <c r="G1312" s="117"/>
      <c r="H1312" s="93"/>
      <c r="I1312" s="41"/>
      <c r="J1312" s="136"/>
    </row>
    <row r="1313" spans="1:10" x14ac:dyDescent="0.35">
      <c r="A1313" s="92"/>
      <c r="F1313" s="177"/>
      <c r="G1313" s="117"/>
      <c r="H1313" s="93"/>
      <c r="I1313" s="41"/>
      <c r="J1313" s="136"/>
    </row>
    <row r="1314" spans="1:10" x14ac:dyDescent="0.35">
      <c r="A1314" s="92"/>
      <c r="F1314" s="177"/>
      <c r="G1314" s="117"/>
      <c r="H1314" s="93"/>
      <c r="I1314" s="41"/>
      <c r="J1314" s="136"/>
    </row>
    <row r="1315" spans="1:10" x14ac:dyDescent="0.35">
      <c r="A1315" s="92"/>
      <c r="F1315" s="177"/>
      <c r="G1315" s="117"/>
      <c r="H1315" s="93"/>
      <c r="I1315" s="41"/>
      <c r="J1315" s="136"/>
    </row>
    <row r="1316" spans="1:10" x14ac:dyDescent="0.35">
      <c r="A1316" s="92"/>
      <c r="F1316" s="177"/>
      <c r="G1316" s="117"/>
      <c r="H1316" s="93"/>
      <c r="I1316" s="41"/>
      <c r="J1316" s="136"/>
    </row>
    <row r="1317" spans="1:10" x14ac:dyDescent="0.35">
      <c r="A1317" s="92"/>
      <c r="F1317" s="177"/>
      <c r="G1317" s="117"/>
      <c r="H1317" s="93"/>
      <c r="I1317" s="41"/>
      <c r="J1317" s="136"/>
    </row>
    <row r="1318" spans="1:10" x14ac:dyDescent="0.35">
      <c r="A1318" s="92"/>
      <c r="F1318" s="177"/>
      <c r="G1318" s="117"/>
      <c r="H1318" s="93"/>
      <c r="I1318" s="41"/>
      <c r="J1318" s="136"/>
    </row>
    <row r="1319" spans="1:10" x14ac:dyDescent="0.35">
      <c r="A1319" s="92"/>
      <c r="F1319" s="177"/>
      <c r="G1319" s="117"/>
      <c r="H1319" s="93"/>
      <c r="I1319" s="41"/>
      <c r="J1319" s="136"/>
    </row>
    <row r="1320" spans="1:10" x14ac:dyDescent="0.35">
      <c r="A1320" s="92"/>
      <c r="F1320" s="177"/>
      <c r="G1320" s="117"/>
      <c r="H1320" s="93"/>
      <c r="I1320" s="41"/>
      <c r="J1320" s="136"/>
    </row>
    <row r="1321" spans="1:10" x14ac:dyDescent="0.35">
      <c r="A1321" s="92"/>
      <c r="F1321" s="177"/>
      <c r="G1321" s="117"/>
      <c r="H1321" s="93"/>
      <c r="I1321" s="41"/>
      <c r="J1321" s="136"/>
    </row>
    <row r="1322" spans="1:10" x14ac:dyDescent="0.35">
      <c r="A1322" s="92"/>
      <c r="F1322" s="177"/>
      <c r="G1322" s="117"/>
      <c r="H1322" s="93"/>
      <c r="I1322" s="41"/>
      <c r="J1322" s="136"/>
    </row>
    <row r="1323" spans="1:10" x14ac:dyDescent="0.35">
      <c r="A1323" s="92"/>
      <c r="F1323" s="177"/>
      <c r="G1323" s="117"/>
      <c r="H1323" s="93"/>
      <c r="I1323" s="41"/>
      <c r="J1323" s="136"/>
    </row>
    <row r="1324" spans="1:10" x14ac:dyDescent="0.35">
      <c r="A1324" s="92"/>
      <c r="F1324" s="177"/>
      <c r="G1324" s="117"/>
      <c r="H1324" s="93"/>
      <c r="I1324" s="41"/>
      <c r="J1324" s="136"/>
    </row>
    <row r="1325" spans="1:10" x14ac:dyDescent="0.35">
      <c r="A1325" s="92"/>
      <c r="F1325" s="177"/>
      <c r="G1325" s="117"/>
      <c r="H1325" s="93"/>
      <c r="I1325" s="41"/>
      <c r="J1325" s="136"/>
    </row>
    <row r="1326" spans="1:10" x14ac:dyDescent="0.35">
      <c r="A1326" s="92"/>
      <c r="F1326" s="177"/>
      <c r="G1326" s="117"/>
      <c r="H1326" s="93"/>
      <c r="I1326" s="41"/>
      <c r="J1326" s="136"/>
    </row>
    <row r="1327" spans="1:10" x14ac:dyDescent="0.35">
      <c r="A1327" s="92"/>
      <c r="F1327" s="177"/>
      <c r="G1327" s="117"/>
      <c r="H1327" s="93"/>
      <c r="I1327" s="41"/>
      <c r="J1327" s="136"/>
    </row>
    <row r="1328" spans="1:10" x14ac:dyDescent="0.35">
      <c r="A1328" s="92"/>
      <c r="F1328" s="177"/>
      <c r="G1328" s="117"/>
      <c r="H1328" s="93"/>
      <c r="I1328" s="41"/>
      <c r="J1328" s="136"/>
    </row>
    <row r="1329" spans="1:10" x14ac:dyDescent="0.35">
      <c r="A1329" s="92"/>
      <c r="F1329" s="177"/>
      <c r="G1329" s="117"/>
      <c r="H1329" s="93"/>
      <c r="I1329" s="41"/>
      <c r="J1329" s="136"/>
    </row>
    <row r="1330" spans="1:10" x14ac:dyDescent="0.35">
      <c r="A1330" s="92"/>
      <c r="F1330" s="177"/>
      <c r="G1330" s="117"/>
      <c r="H1330" s="93"/>
      <c r="I1330" s="41"/>
      <c r="J1330" s="136"/>
    </row>
    <row r="1331" spans="1:10" x14ac:dyDescent="0.35">
      <c r="A1331" s="92"/>
      <c r="F1331" s="177"/>
      <c r="G1331" s="117"/>
      <c r="H1331" s="93"/>
      <c r="I1331" s="41"/>
      <c r="J1331" s="136"/>
    </row>
    <row r="1332" spans="1:10" x14ac:dyDescent="0.35">
      <c r="A1332" s="92"/>
      <c r="F1332" s="177"/>
      <c r="G1332" s="117"/>
      <c r="H1332" s="93"/>
      <c r="I1332" s="41"/>
      <c r="J1332" s="136"/>
    </row>
    <row r="1333" spans="1:10" x14ac:dyDescent="0.35">
      <c r="A1333" s="92"/>
      <c r="F1333" s="177"/>
      <c r="G1333" s="117"/>
      <c r="H1333" s="93"/>
      <c r="I1333" s="41"/>
      <c r="J1333" s="136"/>
    </row>
    <row r="1334" spans="1:10" x14ac:dyDescent="0.35">
      <c r="A1334" s="92"/>
      <c r="F1334" s="177"/>
      <c r="G1334" s="117"/>
      <c r="H1334" s="93"/>
      <c r="I1334" s="41"/>
      <c r="J1334" s="136"/>
    </row>
    <row r="1335" spans="1:10" x14ac:dyDescent="0.35">
      <c r="A1335" s="92"/>
      <c r="F1335" s="177"/>
      <c r="G1335" s="117"/>
      <c r="H1335" s="93"/>
      <c r="I1335" s="41"/>
      <c r="J1335" s="136"/>
    </row>
    <row r="1336" spans="1:10" x14ac:dyDescent="0.35">
      <c r="A1336" s="92"/>
      <c r="F1336" s="177"/>
      <c r="G1336" s="117"/>
      <c r="H1336" s="93"/>
      <c r="I1336" s="41"/>
      <c r="J1336" s="136"/>
    </row>
    <row r="1337" spans="1:10" x14ac:dyDescent="0.35">
      <c r="A1337" s="92"/>
      <c r="F1337" s="177"/>
      <c r="G1337" s="117"/>
      <c r="H1337" s="93"/>
      <c r="I1337" s="41"/>
      <c r="J1337" s="136"/>
    </row>
    <row r="1338" spans="1:10" x14ac:dyDescent="0.35">
      <c r="A1338" s="92"/>
      <c r="F1338" s="177"/>
      <c r="G1338" s="117"/>
      <c r="H1338" s="93"/>
      <c r="I1338" s="41"/>
      <c r="J1338" s="136"/>
    </row>
    <row r="1339" spans="1:10" x14ac:dyDescent="0.35">
      <c r="A1339" s="92"/>
      <c r="F1339" s="177"/>
      <c r="G1339" s="117"/>
      <c r="H1339" s="93"/>
      <c r="I1339" s="41"/>
      <c r="J1339" s="136"/>
    </row>
    <row r="1340" spans="1:10" x14ac:dyDescent="0.35">
      <c r="A1340" s="92"/>
      <c r="F1340" s="177"/>
      <c r="G1340" s="117"/>
      <c r="H1340" s="93"/>
      <c r="I1340" s="41"/>
      <c r="J1340" s="136"/>
    </row>
    <row r="1341" spans="1:10" x14ac:dyDescent="0.35">
      <c r="A1341" s="92"/>
      <c r="F1341" s="177"/>
      <c r="G1341" s="117"/>
      <c r="H1341" s="93"/>
      <c r="I1341" s="41"/>
      <c r="J1341" s="136"/>
    </row>
    <row r="1342" spans="1:10" x14ac:dyDescent="0.35">
      <c r="A1342" s="92"/>
      <c r="F1342" s="177"/>
      <c r="G1342" s="117"/>
      <c r="H1342" s="93"/>
      <c r="I1342" s="41"/>
      <c r="J1342" s="136"/>
    </row>
    <row r="1343" spans="1:10" x14ac:dyDescent="0.35">
      <c r="A1343" s="92"/>
      <c r="F1343" s="177"/>
      <c r="G1343" s="117"/>
      <c r="H1343" s="93"/>
      <c r="I1343" s="41"/>
      <c r="J1343" s="136"/>
    </row>
    <row r="1344" spans="1:10" x14ac:dyDescent="0.35">
      <c r="A1344" s="92"/>
      <c r="F1344" s="177"/>
      <c r="G1344" s="117"/>
      <c r="H1344" s="93"/>
      <c r="I1344" s="41"/>
      <c r="J1344" s="136"/>
    </row>
    <row r="1345" spans="1:10" x14ac:dyDescent="0.35">
      <c r="A1345" s="92"/>
      <c r="F1345" s="177"/>
      <c r="G1345" s="117"/>
      <c r="H1345" s="93"/>
      <c r="I1345" s="41"/>
      <c r="J1345" s="136"/>
    </row>
    <row r="1346" spans="1:10" x14ac:dyDescent="0.35">
      <c r="A1346" s="92"/>
      <c r="F1346" s="177"/>
      <c r="G1346" s="117"/>
      <c r="H1346" s="93"/>
      <c r="I1346" s="41"/>
      <c r="J1346" s="136"/>
    </row>
    <row r="1347" spans="1:10" x14ac:dyDescent="0.35">
      <c r="A1347" s="92"/>
      <c r="F1347" s="177"/>
      <c r="G1347" s="117"/>
      <c r="H1347" s="93"/>
      <c r="I1347" s="41"/>
      <c r="J1347" s="136"/>
    </row>
    <row r="1348" spans="1:10" x14ac:dyDescent="0.35">
      <c r="A1348" s="92"/>
      <c r="F1348" s="177"/>
      <c r="G1348" s="117"/>
      <c r="H1348" s="93"/>
      <c r="I1348" s="41"/>
      <c r="J1348" s="136"/>
    </row>
    <row r="1349" spans="1:10" x14ac:dyDescent="0.35">
      <c r="A1349" s="92"/>
      <c r="F1349" s="177"/>
      <c r="G1349" s="117"/>
      <c r="H1349" s="93"/>
      <c r="I1349" s="41"/>
      <c r="J1349" s="136"/>
    </row>
    <row r="1350" spans="1:10" x14ac:dyDescent="0.35">
      <c r="A1350" s="92"/>
      <c r="F1350" s="177"/>
      <c r="G1350" s="117"/>
      <c r="H1350" s="93"/>
      <c r="I1350" s="41"/>
      <c r="J1350" s="136"/>
    </row>
    <row r="1351" spans="1:10" x14ac:dyDescent="0.35">
      <c r="A1351" s="92"/>
      <c r="F1351" s="177"/>
      <c r="G1351" s="117"/>
      <c r="H1351" s="93"/>
      <c r="I1351" s="41"/>
      <c r="J1351" s="136"/>
    </row>
    <row r="1352" spans="1:10" x14ac:dyDescent="0.35">
      <c r="A1352" s="92"/>
      <c r="F1352" s="177"/>
      <c r="G1352" s="117"/>
      <c r="H1352" s="93"/>
      <c r="I1352" s="41"/>
      <c r="J1352" s="136"/>
    </row>
    <row r="1353" spans="1:10" x14ac:dyDescent="0.35">
      <c r="A1353" s="92"/>
      <c r="F1353" s="177"/>
      <c r="G1353" s="117"/>
      <c r="H1353" s="93"/>
      <c r="I1353" s="41"/>
      <c r="J1353" s="136"/>
    </row>
    <row r="1354" spans="1:10" x14ac:dyDescent="0.35">
      <c r="A1354" s="92"/>
      <c r="F1354" s="177"/>
      <c r="G1354" s="117"/>
      <c r="H1354" s="93"/>
      <c r="I1354" s="41"/>
      <c r="J1354" s="136"/>
    </row>
    <row r="1355" spans="1:10" x14ac:dyDescent="0.35">
      <c r="A1355" s="92"/>
      <c r="F1355" s="177"/>
      <c r="G1355" s="117"/>
      <c r="H1355" s="93"/>
      <c r="I1355" s="41"/>
      <c r="J1355" s="136"/>
    </row>
    <row r="1356" spans="1:10" x14ac:dyDescent="0.35">
      <c r="A1356" s="92"/>
      <c r="F1356" s="177"/>
      <c r="G1356" s="117"/>
      <c r="H1356" s="93"/>
      <c r="I1356" s="41"/>
      <c r="J1356" s="136"/>
    </row>
    <row r="1357" spans="1:10" x14ac:dyDescent="0.35">
      <c r="A1357" s="92"/>
      <c r="F1357" s="177"/>
      <c r="G1357" s="117"/>
      <c r="H1357" s="93"/>
      <c r="I1357" s="41"/>
      <c r="J1357" s="136"/>
    </row>
    <row r="1358" spans="1:10" x14ac:dyDescent="0.35">
      <c r="A1358" s="92"/>
      <c r="F1358" s="177"/>
      <c r="G1358" s="117"/>
      <c r="H1358" s="93"/>
      <c r="I1358" s="41"/>
      <c r="J1358" s="136"/>
    </row>
    <row r="1359" spans="1:10" x14ac:dyDescent="0.35">
      <c r="A1359" s="92"/>
      <c r="F1359" s="177"/>
      <c r="G1359" s="117"/>
      <c r="H1359" s="93"/>
      <c r="I1359" s="41"/>
      <c r="J1359" s="136"/>
    </row>
    <row r="1360" spans="1:10" x14ac:dyDescent="0.35">
      <c r="A1360" s="92"/>
      <c r="F1360" s="177"/>
      <c r="G1360" s="117"/>
      <c r="H1360" s="93"/>
      <c r="I1360" s="41"/>
      <c r="J1360" s="136"/>
    </row>
    <row r="1361" spans="1:10" x14ac:dyDescent="0.35">
      <c r="A1361" s="92"/>
      <c r="F1361" s="177"/>
      <c r="G1361" s="117"/>
      <c r="H1361" s="93"/>
      <c r="I1361" s="41"/>
      <c r="J1361" s="136"/>
    </row>
    <row r="1362" spans="1:10" x14ac:dyDescent="0.35">
      <c r="A1362" s="92"/>
      <c r="F1362" s="177"/>
      <c r="G1362" s="117"/>
      <c r="H1362" s="93"/>
      <c r="I1362" s="41"/>
      <c r="J1362" s="136"/>
    </row>
    <row r="1363" spans="1:10" x14ac:dyDescent="0.35">
      <c r="A1363" s="92"/>
      <c r="F1363" s="177"/>
      <c r="G1363" s="117"/>
      <c r="H1363" s="93"/>
      <c r="I1363" s="41"/>
      <c r="J1363" s="136"/>
    </row>
    <row r="1364" spans="1:10" x14ac:dyDescent="0.35">
      <c r="A1364" s="92"/>
      <c r="F1364" s="177"/>
      <c r="G1364" s="117"/>
      <c r="H1364" s="93"/>
      <c r="I1364" s="41"/>
      <c r="J1364" s="136"/>
    </row>
    <row r="1365" spans="1:10" x14ac:dyDescent="0.35">
      <c r="A1365" s="92"/>
      <c r="F1365" s="177"/>
      <c r="G1365" s="117"/>
      <c r="H1365" s="93"/>
      <c r="I1365" s="41"/>
      <c r="J1365" s="136"/>
    </row>
    <row r="1366" spans="1:10" x14ac:dyDescent="0.35">
      <c r="A1366" s="92"/>
      <c r="F1366" s="177"/>
      <c r="G1366" s="117"/>
      <c r="H1366" s="93"/>
      <c r="I1366" s="41"/>
      <c r="J1366" s="136"/>
    </row>
    <row r="1367" spans="1:10" x14ac:dyDescent="0.35">
      <c r="A1367" s="92"/>
      <c r="F1367" s="177"/>
      <c r="G1367" s="117"/>
      <c r="H1367" s="93"/>
      <c r="I1367" s="41"/>
      <c r="J1367" s="136"/>
    </row>
    <row r="1368" spans="1:10" x14ac:dyDescent="0.35">
      <c r="A1368" s="92"/>
      <c r="F1368" s="177"/>
      <c r="G1368" s="117"/>
      <c r="H1368" s="93"/>
      <c r="I1368" s="41"/>
      <c r="J1368" s="136"/>
    </row>
    <row r="1369" spans="1:10" x14ac:dyDescent="0.35">
      <c r="A1369" s="92"/>
      <c r="F1369" s="177"/>
      <c r="G1369" s="117"/>
      <c r="H1369" s="93"/>
      <c r="I1369" s="41"/>
      <c r="J1369" s="136"/>
    </row>
    <row r="1370" spans="1:10" x14ac:dyDescent="0.35">
      <c r="A1370" s="92"/>
      <c r="F1370" s="177"/>
      <c r="G1370" s="117"/>
      <c r="H1370" s="93"/>
      <c r="I1370" s="41"/>
      <c r="J1370" s="136"/>
    </row>
    <row r="1371" spans="1:10" x14ac:dyDescent="0.35">
      <c r="A1371" s="92"/>
      <c r="F1371" s="177"/>
      <c r="G1371" s="117"/>
      <c r="H1371" s="93"/>
      <c r="I1371" s="41"/>
      <c r="J1371" s="136"/>
    </row>
    <row r="1372" spans="1:10" x14ac:dyDescent="0.35">
      <c r="A1372" s="92"/>
      <c r="F1372" s="177"/>
      <c r="G1372" s="117"/>
      <c r="H1372" s="93"/>
      <c r="I1372" s="41"/>
      <c r="J1372" s="136"/>
    </row>
    <row r="1373" spans="1:10" x14ac:dyDescent="0.35">
      <c r="A1373" s="92"/>
      <c r="F1373" s="177"/>
      <c r="G1373" s="117"/>
      <c r="H1373" s="93"/>
      <c r="I1373" s="41"/>
      <c r="J1373" s="136"/>
    </row>
    <row r="1374" spans="1:10" x14ac:dyDescent="0.35">
      <c r="A1374" s="92"/>
      <c r="F1374" s="177"/>
      <c r="G1374" s="117"/>
      <c r="H1374" s="93"/>
      <c r="I1374" s="41"/>
      <c r="J1374" s="136"/>
    </row>
    <row r="1375" spans="1:10" x14ac:dyDescent="0.35">
      <c r="A1375" s="92"/>
      <c r="F1375" s="177"/>
      <c r="G1375" s="117"/>
      <c r="H1375" s="93"/>
      <c r="I1375" s="41"/>
      <c r="J1375" s="136"/>
    </row>
    <row r="1376" spans="1:10" x14ac:dyDescent="0.35">
      <c r="A1376" s="92"/>
      <c r="F1376" s="177"/>
      <c r="G1376" s="117"/>
      <c r="H1376" s="93"/>
      <c r="I1376" s="41"/>
      <c r="J1376" s="136"/>
    </row>
    <row r="1377" spans="1:10" x14ac:dyDescent="0.35">
      <c r="A1377" s="92"/>
      <c r="F1377" s="177"/>
      <c r="G1377" s="117"/>
      <c r="H1377" s="93"/>
      <c r="I1377" s="41"/>
      <c r="J1377" s="136"/>
    </row>
    <row r="1378" spans="1:10" x14ac:dyDescent="0.35">
      <c r="A1378" s="92"/>
      <c r="F1378" s="177"/>
      <c r="G1378" s="117"/>
      <c r="H1378" s="93"/>
      <c r="I1378" s="41"/>
      <c r="J1378" s="136"/>
    </row>
    <row r="1379" spans="1:10" x14ac:dyDescent="0.35">
      <c r="A1379" s="92"/>
      <c r="F1379" s="177"/>
      <c r="G1379" s="117"/>
      <c r="H1379" s="93"/>
      <c r="I1379" s="41"/>
      <c r="J1379" s="136"/>
    </row>
    <row r="1380" spans="1:10" x14ac:dyDescent="0.35">
      <c r="A1380" s="92"/>
      <c r="F1380" s="177"/>
      <c r="G1380" s="117"/>
      <c r="H1380" s="93"/>
      <c r="I1380" s="41"/>
      <c r="J1380" s="136"/>
    </row>
    <row r="1381" spans="1:10" x14ac:dyDescent="0.35">
      <c r="A1381" s="92"/>
      <c r="F1381" s="177"/>
      <c r="G1381" s="117"/>
      <c r="H1381" s="93"/>
      <c r="I1381" s="41"/>
      <c r="J1381" s="136"/>
    </row>
    <row r="1382" spans="1:10" x14ac:dyDescent="0.35">
      <c r="A1382" s="92"/>
      <c r="F1382" s="177"/>
      <c r="G1382" s="117"/>
      <c r="H1382" s="93"/>
      <c r="I1382" s="41"/>
      <c r="J1382" s="136"/>
    </row>
    <row r="1383" spans="1:10" x14ac:dyDescent="0.35">
      <c r="A1383" s="92"/>
      <c r="F1383" s="177"/>
      <c r="G1383" s="117"/>
      <c r="H1383" s="93"/>
      <c r="I1383" s="41"/>
      <c r="J1383" s="136"/>
    </row>
    <row r="1384" spans="1:10" x14ac:dyDescent="0.35">
      <c r="A1384" s="92"/>
      <c r="F1384" s="177"/>
      <c r="G1384" s="117"/>
      <c r="H1384" s="93"/>
      <c r="I1384" s="41"/>
      <c r="J1384" s="136"/>
    </row>
    <row r="1385" spans="1:10" x14ac:dyDescent="0.35">
      <c r="A1385" s="92"/>
      <c r="F1385" s="177"/>
      <c r="G1385" s="117"/>
      <c r="H1385" s="93"/>
      <c r="I1385" s="41"/>
      <c r="J1385" s="136"/>
    </row>
    <row r="1386" spans="1:10" x14ac:dyDescent="0.35">
      <c r="A1386" s="92"/>
      <c r="F1386" s="177"/>
      <c r="G1386" s="117"/>
      <c r="H1386" s="93"/>
      <c r="I1386" s="41"/>
      <c r="J1386" s="136"/>
    </row>
    <row r="1387" spans="1:10" x14ac:dyDescent="0.35">
      <c r="A1387" s="92"/>
      <c r="F1387" s="177"/>
      <c r="G1387" s="117"/>
      <c r="H1387" s="93"/>
      <c r="I1387" s="41"/>
      <c r="J1387" s="136"/>
    </row>
    <row r="1388" spans="1:10" x14ac:dyDescent="0.35">
      <c r="A1388" s="92"/>
      <c r="F1388" s="177"/>
      <c r="G1388" s="117"/>
      <c r="H1388" s="93"/>
      <c r="I1388" s="41"/>
      <c r="J1388" s="136"/>
    </row>
    <row r="1389" spans="1:10" x14ac:dyDescent="0.35">
      <c r="A1389" s="92"/>
      <c r="F1389" s="177"/>
      <c r="G1389" s="117"/>
      <c r="H1389" s="93"/>
      <c r="I1389" s="41"/>
      <c r="J1389" s="136"/>
    </row>
    <row r="1390" spans="1:10" x14ac:dyDescent="0.35">
      <c r="A1390" s="92"/>
      <c r="F1390" s="177"/>
      <c r="G1390" s="117"/>
      <c r="H1390" s="93"/>
      <c r="I1390" s="41"/>
      <c r="J1390" s="136"/>
    </row>
    <row r="1391" spans="1:10" x14ac:dyDescent="0.35">
      <c r="A1391" s="92"/>
      <c r="F1391" s="177"/>
      <c r="G1391" s="117"/>
      <c r="H1391" s="93"/>
      <c r="I1391" s="41"/>
      <c r="J1391" s="136"/>
    </row>
    <row r="1392" spans="1:10" x14ac:dyDescent="0.35">
      <c r="A1392" s="92"/>
      <c r="F1392" s="177"/>
      <c r="G1392" s="117"/>
      <c r="H1392" s="93"/>
      <c r="I1392" s="41"/>
      <c r="J1392" s="136"/>
    </row>
    <row r="1393" spans="1:10" x14ac:dyDescent="0.35">
      <c r="A1393" s="92"/>
      <c r="F1393" s="177"/>
      <c r="G1393" s="117"/>
      <c r="H1393" s="93"/>
      <c r="I1393" s="41"/>
      <c r="J1393" s="136"/>
    </row>
    <row r="1394" spans="1:10" x14ac:dyDescent="0.35">
      <c r="A1394" s="92"/>
      <c r="F1394" s="177"/>
      <c r="G1394" s="117"/>
      <c r="H1394" s="93"/>
      <c r="I1394" s="41"/>
      <c r="J1394" s="136"/>
    </row>
    <row r="1395" spans="1:10" x14ac:dyDescent="0.35">
      <c r="A1395" s="92"/>
      <c r="F1395" s="177"/>
      <c r="G1395" s="117"/>
      <c r="H1395" s="93"/>
      <c r="I1395" s="41"/>
      <c r="J1395" s="136"/>
    </row>
    <row r="1396" spans="1:10" x14ac:dyDescent="0.35">
      <c r="A1396" s="92"/>
      <c r="F1396" s="177"/>
      <c r="G1396" s="117"/>
      <c r="H1396" s="93"/>
      <c r="I1396" s="41"/>
      <c r="J1396" s="136"/>
    </row>
    <row r="1397" spans="1:10" x14ac:dyDescent="0.35">
      <c r="A1397" s="92"/>
      <c r="F1397" s="177"/>
      <c r="G1397" s="117"/>
      <c r="H1397" s="93"/>
      <c r="I1397" s="41"/>
      <c r="J1397" s="136"/>
    </row>
    <row r="1398" spans="1:10" x14ac:dyDescent="0.35">
      <c r="A1398" s="92"/>
      <c r="F1398" s="177"/>
      <c r="G1398" s="117"/>
      <c r="H1398" s="93"/>
      <c r="I1398" s="41"/>
      <c r="J1398" s="136"/>
    </row>
    <row r="1399" spans="1:10" x14ac:dyDescent="0.35">
      <c r="A1399" s="92"/>
      <c r="F1399" s="177"/>
      <c r="G1399" s="117"/>
      <c r="H1399" s="93"/>
      <c r="I1399" s="41"/>
      <c r="J1399" s="136"/>
    </row>
    <row r="1400" spans="1:10" x14ac:dyDescent="0.35">
      <c r="A1400" s="92"/>
      <c r="F1400" s="177"/>
      <c r="G1400" s="117"/>
      <c r="H1400" s="93"/>
      <c r="I1400" s="41"/>
      <c r="J1400" s="136"/>
    </row>
    <row r="1401" spans="1:10" x14ac:dyDescent="0.35">
      <c r="A1401" s="92"/>
      <c r="F1401" s="177"/>
      <c r="G1401" s="117"/>
      <c r="H1401" s="93"/>
      <c r="I1401" s="41"/>
      <c r="J1401" s="136"/>
    </row>
    <row r="1402" spans="1:10" x14ac:dyDescent="0.35">
      <c r="A1402" s="92"/>
      <c r="F1402" s="177"/>
      <c r="G1402" s="117"/>
      <c r="H1402" s="93"/>
      <c r="I1402" s="41"/>
      <c r="J1402" s="136"/>
    </row>
    <row r="1403" spans="1:10" x14ac:dyDescent="0.35">
      <c r="A1403" s="92"/>
      <c r="F1403" s="177"/>
      <c r="G1403" s="117"/>
      <c r="H1403" s="93"/>
      <c r="I1403" s="41"/>
      <c r="J1403" s="136"/>
    </row>
    <row r="1404" spans="1:10" x14ac:dyDescent="0.35">
      <c r="A1404" s="92"/>
      <c r="F1404" s="177"/>
      <c r="G1404" s="117"/>
      <c r="H1404" s="93"/>
      <c r="I1404" s="41"/>
      <c r="J1404" s="136"/>
    </row>
    <row r="1405" spans="1:10" x14ac:dyDescent="0.35">
      <c r="A1405" s="92"/>
      <c r="F1405" s="177"/>
      <c r="G1405" s="117"/>
      <c r="H1405" s="93"/>
      <c r="I1405" s="41"/>
      <c r="J1405" s="136"/>
    </row>
    <row r="1406" spans="1:10" x14ac:dyDescent="0.35">
      <c r="A1406" s="92"/>
      <c r="F1406" s="177"/>
      <c r="G1406" s="117"/>
      <c r="H1406" s="93"/>
      <c r="I1406" s="41"/>
      <c r="J1406" s="136"/>
    </row>
    <row r="1407" spans="1:10" x14ac:dyDescent="0.35">
      <c r="A1407" s="92"/>
      <c r="F1407" s="177"/>
      <c r="G1407" s="117"/>
      <c r="H1407" s="93"/>
      <c r="I1407" s="41"/>
      <c r="J1407" s="136"/>
    </row>
    <row r="1408" spans="1:10" x14ac:dyDescent="0.35">
      <c r="A1408" s="92"/>
      <c r="F1408" s="177"/>
      <c r="G1408" s="117"/>
      <c r="H1408" s="93"/>
      <c r="I1408" s="41"/>
      <c r="J1408" s="136"/>
    </row>
    <row r="1409" spans="1:10" x14ac:dyDescent="0.35">
      <c r="A1409" s="92"/>
      <c r="F1409" s="177"/>
      <c r="G1409" s="117"/>
      <c r="H1409" s="93"/>
      <c r="I1409" s="41"/>
      <c r="J1409" s="136"/>
    </row>
    <row r="1410" spans="1:10" x14ac:dyDescent="0.35">
      <c r="A1410" s="92"/>
      <c r="F1410" s="177"/>
      <c r="G1410" s="117"/>
      <c r="H1410" s="93"/>
      <c r="I1410" s="41"/>
      <c r="J1410" s="136"/>
    </row>
    <row r="1411" spans="1:10" x14ac:dyDescent="0.35">
      <c r="A1411" s="92"/>
      <c r="F1411" s="177"/>
      <c r="G1411" s="117"/>
      <c r="H1411" s="93"/>
      <c r="I1411" s="41"/>
      <c r="J1411" s="136"/>
    </row>
    <row r="1412" spans="1:10" x14ac:dyDescent="0.35">
      <c r="A1412" s="92"/>
      <c r="F1412" s="177"/>
      <c r="G1412" s="117"/>
      <c r="H1412" s="93"/>
      <c r="I1412" s="41"/>
      <c r="J1412" s="136"/>
    </row>
    <row r="1413" spans="1:10" x14ac:dyDescent="0.35">
      <c r="A1413" s="92"/>
      <c r="F1413" s="177"/>
      <c r="G1413" s="117"/>
      <c r="H1413" s="93"/>
      <c r="I1413" s="41"/>
      <c r="J1413" s="136"/>
    </row>
    <row r="1414" spans="1:10" x14ac:dyDescent="0.35">
      <c r="A1414" s="92"/>
      <c r="F1414" s="177"/>
      <c r="G1414" s="117"/>
      <c r="H1414" s="93"/>
      <c r="I1414" s="41"/>
      <c r="J1414" s="136"/>
    </row>
    <row r="1415" spans="1:10" x14ac:dyDescent="0.35">
      <c r="A1415" s="92"/>
      <c r="F1415" s="177"/>
      <c r="G1415" s="117"/>
      <c r="H1415" s="93"/>
      <c r="I1415" s="41"/>
      <c r="J1415" s="136"/>
    </row>
    <row r="1416" spans="1:10" x14ac:dyDescent="0.35">
      <c r="A1416" s="92"/>
      <c r="F1416" s="177"/>
      <c r="G1416" s="117"/>
      <c r="H1416" s="93"/>
      <c r="I1416" s="41"/>
      <c r="J1416" s="136"/>
    </row>
    <row r="1417" spans="1:10" x14ac:dyDescent="0.35">
      <c r="A1417" s="92"/>
      <c r="F1417" s="177"/>
      <c r="G1417" s="117"/>
      <c r="H1417" s="93"/>
      <c r="I1417" s="41"/>
      <c r="J1417" s="136"/>
    </row>
    <row r="1418" spans="1:10" x14ac:dyDescent="0.35">
      <c r="A1418" s="92"/>
      <c r="F1418" s="177"/>
      <c r="G1418" s="117"/>
      <c r="H1418" s="93"/>
      <c r="I1418" s="41"/>
      <c r="J1418" s="136"/>
    </row>
    <row r="1419" spans="1:10" x14ac:dyDescent="0.35">
      <c r="A1419" s="92"/>
      <c r="F1419" s="177"/>
      <c r="G1419" s="117"/>
      <c r="H1419" s="93"/>
      <c r="I1419" s="41"/>
      <c r="J1419" s="136"/>
    </row>
    <row r="1420" spans="1:10" x14ac:dyDescent="0.35">
      <c r="A1420" s="92"/>
      <c r="F1420" s="177"/>
      <c r="G1420" s="117"/>
      <c r="H1420" s="93"/>
      <c r="I1420" s="41"/>
      <c r="J1420" s="136"/>
    </row>
    <row r="1421" spans="1:10" x14ac:dyDescent="0.35">
      <c r="A1421" s="92"/>
      <c r="F1421" s="177"/>
      <c r="G1421" s="117"/>
      <c r="H1421" s="93"/>
      <c r="I1421" s="41"/>
      <c r="J1421" s="136"/>
    </row>
    <row r="1422" spans="1:10" x14ac:dyDescent="0.35">
      <c r="A1422" s="92"/>
      <c r="F1422" s="177"/>
      <c r="G1422" s="117"/>
      <c r="H1422" s="93"/>
      <c r="I1422" s="41"/>
      <c r="J1422" s="136"/>
    </row>
    <row r="1423" spans="1:10" x14ac:dyDescent="0.35">
      <c r="A1423" s="92"/>
      <c r="F1423" s="177"/>
      <c r="G1423" s="117"/>
      <c r="H1423" s="93"/>
      <c r="I1423" s="41"/>
      <c r="J1423" s="136"/>
    </row>
    <row r="1424" spans="1:10" x14ac:dyDescent="0.35">
      <c r="A1424" s="92"/>
      <c r="F1424" s="177"/>
      <c r="G1424" s="117"/>
      <c r="H1424" s="93"/>
      <c r="I1424" s="41"/>
      <c r="J1424" s="136"/>
    </row>
    <row r="1425" spans="1:10" x14ac:dyDescent="0.35">
      <c r="A1425" s="92"/>
      <c r="F1425" s="177"/>
      <c r="G1425" s="117"/>
      <c r="H1425" s="93"/>
      <c r="I1425" s="41"/>
      <c r="J1425" s="136"/>
    </row>
    <row r="1426" spans="1:10" x14ac:dyDescent="0.35">
      <c r="A1426" s="92"/>
      <c r="F1426" s="177"/>
      <c r="G1426" s="117"/>
      <c r="H1426" s="93"/>
      <c r="I1426" s="41"/>
      <c r="J1426" s="136"/>
    </row>
    <row r="1427" spans="1:10" x14ac:dyDescent="0.35">
      <c r="A1427" s="92"/>
      <c r="F1427" s="177"/>
      <c r="G1427" s="117"/>
      <c r="H1427" s="93"/>
      <c r="I1427" s="41"/>
      <c r="J1427" s="136"/>
    </row>
    <row r="1428" spans="1:10" x14ac:dyDescent="0.35">
      <c r="A1428" s="92"/>
      <c r="F1428" s="177"/>
      <c r="G1428" s="117"/>
      <c r="H1428" s="93"/>
      <c r="I1428" s="41"/>
      <c r="J1428" s="136"/>
    </row>
    <row r="1429" spans="1:10" x14ac:dyDescent="0.35">
      <c r="A1429" s="92"/>
      <c r="F1429" s="177"/>
      <c r="G1429" s="117"/>
      <c r="H1429" s="93"/>
      <c r="I1429" s="41"/>
      <c r="J1429" s="136"/>
    </row>
    <row r="1430" spans="1:10" x14ac:dyDescent="0.35">
      <c r="A1430" s="92"/>
      <c r="F1430" s="177"/>
      <c r="G1430" s="117"/>
      <c r="H1430" s="93"/>
      <c r="I1430" s="41"/>
      <c r="J1430" s="136"/>
    </row>
    <row r="1431" spans="1:10" x14ac:dyDescent="0.35">
      <c r="A1431" s="92"/>
      <c r="F1431" s="177"/>
      <c r="G1431" s="117"/>
      <c r="H1431" s="93"/>
      <c r="I1431" s="41"/>
      <c r="J1431" s="136"/>
    </row>
    <row r="1432" spans="1:10" x14ac:dyDescent="0.35">
      <c r="A1432" s="92"/>
      <c r="F1432" s="177"/>
      <c r="G1432" s="117"/>
      <c r="H1432" s="93"/>
      <c r="I1432" s="41"/>
      <c r="J1432" s="136"/>
    </row>
    <row r="1433" spans="1:10" x14ac:dyDescent="0.35">
      <c r="A1433" s="92"/>
      <c r="F1433" s="177"/>
      <c r="G1433" s="117"/>
      <c r="H1433" s="93"/>
      <c r="I1433" s="41"/>
      <c r="J1433" s="136"/>
    </row>
    <row r="1434" spans="1:10" x14ac:dyDescent="0.35">
      <c r="A1434" s="92"/>
      <c r="F1434" s="177"/>
      <c r="G1434" s="117"/>
      <c r="H1434" s="93"/>
      <c r="I1434" s="41"/>
      <c r="J1434" s="136"/>
    </row>
    <row r="1435" spans="1:10" x14ac:dyDescent="0.35">
      <c r="A1435" s="92"/>
      <c r="F1435" s="177"/>
      <c r="G1435" s="117"/>
      <c r="H1435" s="93"/>
      <c r="I1435" s="41"/>
      <c r="J1435" s="136"/>
    </row>
    <row r="1436" spans="1:10" x14ac:dyDescent="0.35">
      <c r="A1436" s="92"/>
      <c r="F1436" s="177"/>
      <c r="G1436" s="117"/>
      <c r="H1436" s="93"/>
      <c r="I1436" s="41"/>
      <c r="J1436" s="136"/>
    </row>
    <row r="1437" spans="1:10" x14ac:dyDescent="0.35">
      <c r="A1437" s="92"/>
      <c r="F1437" s="177"/>
      <c r="G1437" s="117"/>
      <c r="H1437" s="93"/>
      <c r="I1437" s="41"/>
      <c r="J1437" s="136"/>
    </row>
    <row r="1438" spans="1:10" x14ac:dyDescent="0.35">
      <c r="A1438" s="92"/>
      <c r="F1438" s="177"/>
      <c r="G1438" s="117"/>
      <c r="H1438" s="93"/>
      <c r="I1438" s="41"/>
      <c r="J1438" s="136"/>
    </row>
    <row r="1439" spans="1:10" x14ac:dyDescent="0.35">
      <c r="A1439" s="92"/>
      <c r="F1439" s="177"/>
      <c r="G1439" s="117"/>
      <c r="H1439" s="93"/>
      <c r="I1439" s="41"/>
      <c r="J1439" s="136"/>
    </row>
    <row r="1440" spans="1:10" x14ac:dyDescent="0.35">
      <c r="A1440" s="92"/>
      <c r="F1440" s="177"/>
      <c r="G1440" s="117"/>
      <c r="H1440" s="93"/>
      <c r="I1440" s="41"/>
      <c r="J1440" s="136"/>
    </row>
    <row r="1441" spans="1:10" x14ac:dyDescent="0.35">
      <c r="A1441" s="92"/>
      <c r="F1441" s="177"/>
      <c r="G1441" s="117"/>
      <c r="H1441" s="93"/>
      <c r="I1441" s="41"/>
      <c r="J1441" s="136"/>
    </row>
    <row r="1442" spans="1:10" x14ac:dyDescent="0.35">
      <c r="A1442" s="92"/>
      <c r="F1442" s="177"/>
      <c r="G1442" s="117"/>
      <c r="H1442" s="93"/>
      <c r="I1442" s="41"/>
      <c r="J1442" s="136"/>
    </row>
    <row r="1443" spans="1:10" x14ac:dyDescent="0.35">
      <c r="A1443" s="92"/>
      <c r="F1443" s="177"/>
      <c r="G1443" s="117"/>
      <c r="H1443" s="93"/>
      <c r="I1443" s="41"/>
      <c r="J1443" s="136"/>
    </row>
    <row r="1444" spans="1:10" x14ac:dyDescent="0.35">
      <c r="A1444" s="92"/>
      <c r="F1444" s="177"/>
      <c r="G1444" s="117"/>
      <c r="H1444" s="93"/>
      <c r="I1444" s="41"/>
      <c r="J1444" s="136"/>
    </row>
    <row r="1445" spans="1:10" x14ac:dyDescent="0.35">
      <c r="A1445" s="92"/>
      <c r="F1445" s="177"/>
      <c r="G1445" s="117"/>
      <c r="H1445" s="93"/>
      <c r="I1445" s="41"/>
      <c r="J1445" s="136"/>
    </row>
    <row r="1446" spans="1:10" x14ac:dyDescent="0.35">
      <c r="A1446" s="92"/>
      <c r="F1446" s="177"/>
      <c r="G1446" s="117"/>
      <c r="H1446" s="93"/>
      <c r="I1446" s="41"/>
      <c r="J1446" s="136"/>
    </row>
    <row r="1447" spans="1:10" x14ac:dyDescent="0.35">
      <c r="A1447" s="92"/>
      <c r="F1447" s="177"/>
      <c r="G1447" s="117"/>
      <c r="H1447" s="93"/>
      <c r="I1447" s="41"/>
      <c r="J1447" s="136"/>
    </row>
    <row r="1448" spans="1:10" x14ac:dyDescent="0.35">
      <c r="A1448" s="92"/>
      <c r="F1448" s="177"/>
      <c r="G1448" s="117"/>
      <c r="H1448" s="93"/>
      <c r="I1448" s="41"/>
      <c r="J1448" s="136"/>
    </row>
    <row r="1449" spans="1:10" x14ac:dyDescent="0.35">
      <c r="A1449" s="92"/>
      <c r="F1449" s="177"/>
      <c r="G1449" s="117"/>
      <c r="H1449" s="93"/>
      <c r="I1449" s="41"/>
      <c r="J1449" s="136"/>
    </row>
    <row r="1450" spans="1:10" x14ac:dyDescent="0.35">
      <c r="A1450" s="92"/>
      <c r="F1450" s="177"/>
      <c r="G1450" s="117"/>
      <c r="H1450" s="93"/>
      <c r="I1450" s="41"/>
      <c r="J1450" s="136"/>
    </row>
    <row r="1451" spans="1:10" x14ac:dyDescent="0.35">
      <c r="A1451" s="92"/>
      <c r="F1451" s="177"/>
      <c r="G1451" s="117"/>
      <c r="H1451" s="93"/>
      <c r="I1451" s="41"/>
      <c r="J1451" s="136"/>
    </row>
    <row r="1452" spans="1:10" x14ac:dyDescent="0.35">
      <c r="A1452" s="92"/>
      <c r="F1452" s="177"/>
      <c r="G1452" s="117"/>
      <c r="H1452" s="93"/>
      <c r="I1452" s="41"/>
      <c r="J1452" s="136"/>
    </row>
    <row r="1453" spans="1:10" x14ac:dyDescent="0.35">
      <c r="A1453" s="92"/>
      <c r="F1453" s="177"/>
      <c r="G1453" s="117"/>
      <c r="H1453" s="93"/>
      <c r="I1453" s="41"/>
      <c r="J1453" s="136"/>
    </row>
    <row r="1454" spans="1:10" x14ac:dyDescent="0.35">
      <c r="A1454" s="92"/>
      <c r="F1454" s="177"/>
      <c r="G1454" s="117"/>
      <c r="H1454" s="93"/>
      <c r="I1454" s="41"/>
      <c r="J1454" s="136"/>
    </row>
    <row r="1455" spans="1:10" x14ac:dyDescent="0.35">
      <c r="A1455" s="92"/>
      <c r="F1455" s="177"/>
      <c r="G1455" s="117"/>
      <c r="H1455" s="93"/>
      <c r="I1455" s="41"/>
      <c r="J1455" s="136"/>
    </row>
    <row r="1456" spans="1:10" x14ac:dyDescent="0.35">
      <c r="A1456" s="92"/>
      <c r="F1456" s="177"/>
      <c r="G1456" s="117"/>
      <c r="H1456" s="93"/>
      <c r="I1456" s="41"/>
      <c r="J1456" s="136"/>
    </row>
    <row r="1457" spans="1:10" x14ac:dyDescent="0.35">
      <c r="A1457" s="92"/>
      <c r="F1457" s="177"/>
      <c r="G1457" s="117"/>
      <c r="H1457" s="93"/>
      <c r="I1457" s="41"/>
      <c r="J1457" s="136"/>
    </row>
    <row r="1458" spans="1:10" x14ac:dyDescent="0.35">
      <c r="A1458" s="92"/>
      <c r="F1458" s="177"/>
      <c r="G1458" s="117"/>
      <c r="H1458" s="93"/>
      <c r="I1458" s="41"/>
      <c r="J1458" s="136"/>
    </row>
    <row r="1459" spans="1:10" x14ac:dyDescent="0.35">
      <c r="A1459" s="92"/>
      <c r="F1459" s="177"/>
      <c r="G1459" s="117"/>
      <c r="H1459" s="93"/>
      <c r="I1459" s="41"/>
      <c r="J1459" s="136"/>
    </row>
    <row r="1460" spans="1:10" x14ac:dyDescent="0.35">
      <c r="A1460" s="92"/>
      <c r="F1460" s="177"/>
      <c r="G1460" s="117"/>
      <c r="H1460" s="93"/>
      <c r="I1460" s="41"/>
      <c r="J1460" s="136"/>
    </row>
    <row r="1461" spans="1:10" x14ac:dyDescent="0.35">
      <c r="A1461" s="92"/>
      <c r="F1461" s="177"/>
      <c r="G1461" s="117"/>
      <c r="H1461" s="93"/>
      <c r="I1461" s="41"/>
      <c r="J1461" s="136"/>
    </row>
    <row r="1462" spans="1:10" x14ac:dyDescent="0.35">
      <c r="A1462" s="92"/>
      <c r="F1462" s="177"/>
      <c r="G1462" s="117"/>
      <c r="H1462" s="93"/>
      <c r="I1462" s="41"/>
      <c r="J1462" s="136"/>
    </row>
    <row r="1463" spans="1:10" x14ac:dyDescent="0.35">
      <c r="A1463" s="92"/>
      <c r="F1463" s="177"/>
      <c r="G1463" s="117"/>
      <c r="H1463" s="93"/>
      <c r="I1463" s="41"/>
      <c r="J1463" s="136"/>
    </row>
    <row r="1464" spans="1:10" x14ac:dyDescent="0.35">
      <c r="A1464" s="92"/>
      <c r="F1464" s="177"/>
      <c r="G1464" s="117"/>
      <c r="H1464" s="93"/>
      <c r="I1464" s="41"/>
      <c r="J1464" s="136"/>
    </row>
    <row r="1465" spans="1:10" x14ac:dyDescent="0.35">
      <c r="A1465" s="92"/>
      <c r="F1465" s="177"/>
      <c r="G1465" s="117"/>
      <c r="H1465" s="93"/>
      <c r="I1465" s="41"/>
      <c r="J1465" s="136"/>
    </row>
    <row r="1466" spans="1:10" x14ac:dyDescent="0.35">
      <c r="A1466" s="92"/>
      <c r="F1466" s="177"/>
      <c r="G1466" s="117"/>
      <c r="H1466" s="93"/>
      <c r="I1466" s="41"/>
      <c r="J1466" s="136"/>
    </row>
    <row r="1467" spans="1:10" x14ac:dyDescent="0.35">
      <c r="A1467" s="92"/>
      <c r="F1467" s="177"/>
      <c r="G1467" s="117"/>
      <c r="H1467" s="93"/>
      <c r="I1467" s="41"/>
      <c r="J1467" s="136"/>
    </row>
    <row r="1468" spans="1:10" x14ac:dyDescent="0.35">
      <c r="A1468" s="92"/>
      <c r="F1468" s="177"/>
      <c r="G1468" s="117"/>
      <c r="H1468" s="93"/>
      <c r="I1468" s="41"/>
      <c r="J1468" s="136"/>
    </row>
    <row r="1469" spans="1:10" x14ac:dyDescent="0.35">
      <c r="A1469" s="92"/>
      <c r="F1469" s="177"/>
      <c r="G1469" s="117"/>
      <c r="H1469" s="93"/>
      <c r="I1469" s="41"/>
      <c r="J1469" s="136"/>
    </row>
    <row r="1470" spans="1:10" x14ac:dyDescent="0.35">
      <c r="A1470" s="92"/>
      <c r="F1470" s="177"/>
      <c r="G1470" s="117"/>
      <c r="H1470" s="93"/>
      <c r="I1470" s="41"/>
      <c r="J1470" s="136"/>
    </row>
    <row r="1471" spans="1:10" x14ac:dyDescent="0.35">
      <c r="A1471" s="92"/>
      <c r="F1471" s="177"/>
      <c r="G1471" s="117"/>
      <c r="H1471" s="93"/>
      <c r="I1471" s="41"/>
      <c r="J1471" s="136"/>
    </row>
    <row r="1472" spans="1:10" x14ac:dyDescent="0.35">
      <c r="A1472" s="92"/>
      <c r="F1472" s="177"/>
      <c r="G1472" s="117"/>
      <c r="H1472" s="93"/>
      <c r="I1472" s="41"/>
      <c r="J1472" s="136"/>
    </row>
    <row r="1473" spans="1:10" x14ac:dyDescent="0.35">
      <c r="A1473" s="92"/>
      <c r="F1473" s="177"/>
      <c r="G1473" s="117"/>
      <c r="H1473" s="93"/>
      <c r="I1473" s="41"/>
      <c r="J1473" s="136"/>
    </row>
    <row r="1474" spans="1:10" x14ac:dyDescent="0.35">
      <c r="A1474" s="92"/>
      <c r="F1474" s="177"/>
      <c r="G1474" s="117"/>
      <c r="H1474" s="93"/>
      <c r="I1474" s="41"/>
      <c r="J1474" s="136"/>
    </row>
    <row r="1475" spans="1:10" x14ac:dyDescent="0.35">
      <c r="A1475" s="92"/>
      <c r="F1475" s="177"/>
      <c r="G1475" s="117"/>
      <c r="H1475" s="93"/>
      <c r="I1475" s="41"/>
      <c r="J1475" s="136"/>
    </row>
    <row r="1476" spans="1:10" x14ac:dyDescent="0.35">
      <c r="A1476" s="92"/>
      <c r="F1476" s="177"/>
      <c r="G1476" s="117"/>
      <c r="H1476" s="93"/>
      <c r="I1476" s="41"/>
      <c r="J1476" s="136"/>
    </row>
    <row r="1477" spans="1:10" x14ac:dyDescent="0.35">
      <c r="A1477" s="92"/>
      <c r="F1477" s="177"/>
      <c r="G1477" s="117"/>
      <c r="H1477" s="93"/>
      <c r="I1477" s="41"/>
      <c r="J1477" s="136"/>
    </row>
    <row r="1478" spans="1:10" x14ac:dyDescent="0.35">
      <c r="A1478" s="92"/>
      <c r="F1478" s="177"/>
      <c r="G1478" s="117"/>
      <c r="H1478" s="93"/>
      <c r="I1478" s="41"/>
      <c r="J1478" s="136"/>
    </row>
    <row r="1479" spans="1:10" x14ac:dyDescent="0.35">
      <c r="A1479" s="92"/>
      <c r="F1479" s="177"/>
      <c r="G1479" s="117"/>
      <c r="H1479" s="93"/>
      <c r="I1479" s="41"/>
      <c r="J1479" s="136"/>
    </row>
    <row r="1480" spans="1:10" x14ac:dyDescent="0.35">
      <c r="A1480" s="92"/>
      <c r="F1480" s="177"/>
      <c r="G1480" s="117"/>
      <c r="H1480" s="93"/>
      <c r="I1480" s="41"/>
      <c r="J1480" s="136"/>
    </row>
    <row r="1481" spans="1:10" x14ac:dyDescent="0.35">
      <c r="A1481" s="92"/>
      <c r="F1481" s="177"/>
      <c r="G1481" s="117"/>
      <c r="H1481" s="93"/>
      <c r="I1481" s="41"/>
      <c r="J1481" s="136"/>
    </row>
    <row r="1482" spans="1:10" x14ac:dyDescent="0.35">
      <c r="A1482" s="92"/>
      <c r="F1482" s="177"/>
      <c r="G1482" s="117"/>
      <c r="H1482" s="93"/>
      <c r="I1482" s="41"/>
      <c r="J1482" s="136"/>
    </row>
    <row r="1483" spans="1:10" x14ac:dyDescent="0.35">
      <c r="A1483" s="92"/>
      <c r="F1483" s="177"/>
      <c r="G1483" s="117"/>
      <c r="H1483" s="93"/>
      <c r="I1483" s="41"/>
      <c r="J1483" s="136"/>
    </row>
    <row r="1484" spans="1:10" x14ac:dyDescent="0.35">
      <c r="A1484" s="92"/>
      <c r="F1484" s="177"/>
      <c r="G1484" s="117"/>
      <c r="H1484" s="93"/>
      <c r="I1484" s="41"/>
      <c r="J1484" s="136"/>
    </row>
    <row r="1485" spans="1:10" x14ac:dyDescent="0.35">
      <c r="A1485" s="92"/>
      <c r="F1485" s="177"/>
      <c r="G1485" s="117"/>
      <c r="H1485" s="93"/>
      <c r="I1485" s="41"/>
      <c r="J1485" s="136"/>
    </row>
    <row r="1486" spans="1:10" x14ac:dyDescent="0.35">
      <c r="A1486" s="92"/>
      <c r="F1486" s="177"/>
      <c r="G1486" s="117"/>
      <c r="H1486" s="93"/>
      <c r="I1486" s="41"/>
      <c r="J1486" s="136"/>
    </row>
    <row r="1487" spans="1:10" x14ac:dyDescent="0.35">
      <c r="A1487" s="92"/>
      <c r="F1487" s="177"/>
      <c r="G1487" s="117"/>
      <c r="H1487" s="93"/>
      <c r="I1487" s="41"/>
      <c r="J1487" s="136"/>
    </row>
    <row r="1488" spans="1:10" x14ac:dyDescent="0.35">
      <c r="A1488" s="92"/>
      <c r="F1488" s="177"/>
      <c r="G1488" s="117"/>
      <c r="H1488" s="93"/>
      <c r="I1488" s="41"/>
      <c r="J1488" s="136"/>
    </row>
    <row r="1489" spans="1:10" x14ac:dyDescent="0.35">
      <c r="A1489" s="92"/>
      <c r="F1489" s="177"/>
      <c r="G1489" s="117"/>
      <c r="H1489" s="93"/>
      <c r="I1489" s="41"/>
      <c r="J1489" s="136"/>
    </row>
    <row r="1490" spans="1:10" x14ac:dyDescent="0.35">
      <c r="A1490" s="92"/>
      <c r="F1490" s="177"/>
      <c r="G1490" s="117"/>
      <c r="H1490" s="93"/>
      <c r="I1490" s="41"/>
      <c r="J1490" s="136"/>
    </row>
    <row r="1491" spans="1:10" x14ac:dyDescent="0.35">
      <c r="A1491" s="92"/>
      <c r="F1491" s="177"/>
      <c r="G1491" s="117"/>
      <c r="H1491" s="93"/>
      <c r="I1491" s="41"/>
      <c r="J1491" s="136"/>
    </row>
    <row r="1492" spans="1:10" x14ac:dyDescent="0.35">
      <c r="A1492" s="92"/>
      <c r="F1492" s="177"/>
      <c r="G1492" s="117"/>
      <c r="H1492" s="93"/>
      <c r="I1492" s="41"/>
      <c r="J1492" s="136"/>
    </row>
    <row r="1493" spans="1:10" x14ac:dyDescent="0.35">
      <c r="A1493" s="92"/>
      <c r="F1493" s="177"/>
      <c r="G1493" s="117"/>
      <c r="H1493" s="93"/>
      <c r="I1493" s="41"/>
      <c r="J1493" s="136"/>
    </row>
    <row r="1494" spans="1:10" x14ac:dyDescent="0.35">
      <c r="A1494" s="92"/>
      <c r="F1494" s="177"/>
      <c r="G1494" s="117"/>
      <c r="H1494" s="93"/>
      <c r="I1494" s="41"/>
      <c r="J1494" s="136"/>
    </row>
    <row r="1495" spans="1:10" x14ac:dyDescent="0.35">
      <c r="A1495" s="92"/>
      <c r="F1495" s="177"/>
      <c r="G1495" s="117"/>
      <c r="H1495" s="93"/>
      <c r="I1495" s="41"/>
      <c r="J1495" s="136"/>
    </row>
    <row r="1496" spans="1:10" x14ac:dyDescent="0.35">
      <c r="A1496" s="92"/>
      <c r="F1496" s="177"/>
      <c r="G1496" s="117"/>
      <c r="H1496" s="93"/>
      <c r="I1496" s="41"/>
      <c r="J1496" s="136"/>
    </row>
    <row r="1497" spans="1:10" x14ac:dyDescent="0.35">
      <c r="A1497" s="92"/>
      <c r="F1497" s="177"/>
      <c r="G1497" s="117"/>
      <c r="H1497" s="93"/>
      <c r="I1497" s="41"/>
      <c r="J1497" s="136"/>
    </row>
    <row r="1498" spans="1:10" x14ac:dyDescent="0.35">
      <c r="A1498" s="92"/>
      <c r="F1498" s="177"/>
      <c r="G1498" s="117"/>
      <c r="H1498" s="93"/>
      <c r="I1498" s="41"/>
      <c r="J1498" s="136"/>
    </row>
    <row r="1499" spans="1:10" x14ac:dyDescent="0.35">
      <c r="A1499" s="92"/>
      <c r="F1499" s="177"/>
      <c r="G1499" s="117"/>
      <c r="H1499" s="93"/>
      <c r="I1499" s="41"/>
      <c r="J1499" s="136"/>
    </row>
    <row r="1500" spans="1:10" x14ac:dyDescent="0.35">
      <c r="A1500" s="92"/>
      <c r="F1500" s="177"/>
      <c r="G1500" s="117"/>
      <c r="H1500" s="93"/>
      <c r="I1500" s="41"/>
      <c r="J1500" s="136"/>
    </row>
    <row r="1501" spans="1:10" x14ac:dyDescent="0.35">
      <c r="A1501" s="92"/>
      <c r="F1501" s="177"/>
      <c r="G1501" s="117"/>
      <c r="H1501" s="93"/>
      <c r="I1501" s="41"/>
      <c r="J1501" s="136"/>
    </row>
    <row r="1502" spans="1:10" x14ac:dyDescent="0.35">
      <c r="A1502" s="92"/>
      <c r="F1502" s="177"/>
      <c r="G1502" s="117"/>
      <c r="H1502" s="93"/>
      <c r="I1502" s="41"/>
      <c r="J1502" s="136"/>
    </row>
    <row r="1503" spans="1:10" x14ac:dyDescent="0.35">
      <c r="A1503" s="92"/>
      <c r="F1503" s="177"/>
      <c r="G1503" s="117"/>
      <c r="H1503" s="93"/>
      <c r="I1503" s="41"/>
      <c r="J1503" s="136"/>
    </row>
    <row r="1504" spans="1:10" x14ac:dyDescent="0.35">
      <c r="A1504" s="92"/>
      <c r="F1504" s="177"/>
      <c r="G1504" s="117"/>
      <c r="H1504" s="93"/>
      <c r="I1504" s="41"/>
      <c r="J1504" s="136"/>
    </row>
    <row r="1505" spans="1:10" x14ac:dyDescent="0.35">
      <c r="A1505" s="92"/>
      <c r="F1505" s="177"/>
      <c r="G1505" s="117"/>
      <c r="H1505" s="93"/>
      <c r="I1505" s="41"/>
      <c r="J1505" s="136"/>
    </row>
    <row r="1506" spans="1:10" x14ac:dyDescent="0.35">
      <c r="A1506" s="92"/>
      <c r="F1506" s="177"/>
      <c r="G1506" s="117"/>
      <c r="H1506" s="93"/>
      <c r="I1506" s="41"/>
      <c r="J1506" s="136"/>
    </row>
    <row r="1507" spans="1:10" x14ac:dyDescent="0.35">
      <c r="A1507" s="92"/>
      <c r="F1507" s="177"/>
      <c r="G1507" s="117"/>
      <c r="H1507" s="93"/>
      <c r="I1507" s="41"/>
      <c r="J1507" s="136"/>
    </row>
    <row r="1508" spans="1:10" x14ac:dyDescent="0.35">
      <c r="A1508" s="92"/>
      <c r="F1508" s="177"/>
      <c r="G1508" s="117"/>
      <c r="H1508" s="93"/>
      <c r="I1508" s="41"/>
      <c r="J1508" s="136"/>
    </row>
    <row r="1509" spans="1:10" x14ac:dyDescent="0.35">
      <c r="A1509" s="92"/>
      <c r="F1509" s="177"/>
      <c r="G1509" s="117"/>
      <c r="H1509" s="93"/>
      <c r="I1509" s="41"/>
      <c r="J1509" s="136"/>
    </row>
    <row r="1510" spans="1:10" x14ac:dyDescent="0.35">
      <c r="A1510" s="92"/>
      <c r="F1510" s="177"/>
      <c r="G1510" s="117"/>
      <c r="H1510" s="93"/>
      <c r="I1510" s="41"/>
      <c r="J1510" s="136"/>
    </row>
    <row r="1511" spans="1:10" x14ac:dyDescent="0.35">
      <c r="A1511" s="92"/>
      <c r="F1511" s="177"/>
      <c r="G1511" s="117"/>
      <c r="H1511" s="93"/>
      <c r="I1511" s="41"/>
      <c r="J1511" s="136"/>
    </row>
    <row r="1512" spans="1:10" x14ac:dyDescent="0.35">
      <c r="A1512" s="92"/>
      <c r="F1512" s="177"/>
      <c r="G1512" s="117"/>
      <c r="H1512" s="93"/>
      <c r="I1512" s="41"/>
      <c r="J1512" s="136"/>
    </row>
    <row r="1513" spans="1:10" x14ac:dyDescent="0.35">
      <c r="A1513" s="92"/>
      <c r="F1513" s="177"/>
      <c r="G1513" s="117"/>
      <c r="H1513" s="93"/>
      <c r="I1513" s="41"/>
      <c r="J1513" s="136"/>
    </row>
    <row r="1514" spans="1:10" x14ac:dyDescent="0.35">
      <c r="A1514" s="92"/>
      <c r="F1514" s="177"/>
      <c r="G1514" s="117"/>
      <c r="H1514" s="93"/>
      <c r="I1514" s="41"/>
      <c r="J1514" s="136"/>
    </row>
    <row r="1515" spans="1:10" x14ac:dyDescent="0.35">
      <c r="A1515" s="92"/>
      <c r="F1515" s="177"/>
      <c r="G1515" s="117"/>
      <c r="H1515" s="93"/>
      <c r="I1515" s="41"/>
      <c r="J1515" s="136"/>
    </row>
    <row r="1516" spans="1:10" x14ac:dyDescent="0.35">
      <c r="A1516" s="92"/>
      <c r="F1516" s="177"/>
      <c r="G1516" s="117"/>
      <c r="H1516" s="93"/>
      <c r="I1516" s="41"/>
      <c r="J1516" s="136"/>
    </row>
    <row r="1517" spans="1:10" x14ac:dyDescent="0.35">
      <c r="A1517" s="92"/>
      <c r="F1517" s="177"/>
      <c r="G1517" s="117"/>
      <c r="H1517" s="93"/>
      <c r="I1517" s="41"/>
      <c r="J1517" s="136"/>
    </row>
    <row r="1518" spans="1:10" x14ac:dyDescent="0.35">
      <c r="A1518" s="92"/>
      <c r="F1518" s="177"/>
      <c r="G1518" s="117"/>
      <c r="H1518" s="93"/>
      <c r="I1518" s="41"/>
      <c r="J1518" s="136"/>
    </row>
    <row r="1519" spans="1:10" x14ac:dyDescent="0.35">
      <c r="A1519" s="92"/>
      <c r="F1519" s="177"/>
      <c r="G1519" s="117"/>
      <c r="H1519" s="93"/>
      <c r="I1519" s="41"/>
      <c r="J1519" s="136"/>
    </row>
    <row r="1520" spans="1:10" x14ac:dyDescent="0.35">
      <c r="A1520" s="92"/>
      <c r="F1520" s="177"/>
      <c r="G1520" s="117"/>
      <c r="H1520" s="93"/>
      <c r="I1520" s="41"/>
      <c r="J1520" s="136"/>
    </row>
    <row r="1521" spans="1:10" x14ac:dyDescent="0.35">
      <c r="A1521" s="92"/>
      <c r="F1521" s="177"/>
      <c r="G1521" s="117"/>
      <c r="H1521" s="93"/>
      <c r="I1521" s="41"/>
      <c r="J1521" s="136"/>
    </row>
    <row r="1522" spans="1:10" x14ac:dyDescent="0.35">
      <c r="A1522" s="92"/>
      <c r="F1522" s="177"/>
      <c r="G1522" s="117"/>
      <c r="H1522" s="93"/>
      <c r="I1522" s="41"/>
      <c r="J1522" s="136"/>
    </row>
    <row r="1523" spans="1:10" x14ac:dyDescent="0.35">
      <c r="A1523" s="92"/>
      <c r="F1523" s="177"/>
      <c r="G1523" s="117"/>
      <c r="H1523" s="93"/>
      <c r="I1523" s="41"/>
      <c r="J1523" s="136"/>
    </row>
    <row r="1524" spans="1:10" x14ac:dyDescent="0.35">
      <c r="A1524" s="92"/>
      <c r="F1524" s="177"/>
      <c r="G1524" s="117"/>
      <c r="H1524" s="93"/>
      <c r="I1524" s="41"/>
      <c r="J1524" s="136"/>
    </row>
    <row r="1525" spans="1:10" x14ac:dyDescent="0.35">
      <c r="A1525" s="92"/>
      <c r="F1525" s="177"/>
      <c r="G1525" s="117"/>
      <c r="H1525" s="93"/>
      <c r="I1525" s="41"/>
      <c r="J1525" s="136"/>
    </row>
    <row r="1526" spans="1:10" x14ac:dyDescent="0.35">
      <c r="A1526" s="92"/>
      <c r="F1526" s="177"/>
      <c r="G1526" s="117"/>
      <c r="H1526" s="93"/>
      <c r="I1526" s="41"/>
      <c r="J1526" s="136"/>
    </row>
    <row r="1527" spans="1:10" x14ac:dyDescent="0.35">
      <c r="A1527" s="92"/>
      <c r="F1527" s="177"/>
      <c r="G1527" s="117"/>
      <c r="H1527" s="93"/>
      <c r="I1527" s="41"/>
      <c r="J1527" s="136"/>
    </row>
    <row r="1528" spans="1:10" x14ac:dyDescent="0.35">
      <c r="A1528" s="92"/>
      <c r="F1528" s="177"/>
      <c r="G1528" s="117"/>
      <c r="H1528" s="93"/>
      <c r="I1528" s="41"/>
      <c r="J1528" s="136"/>
    </row>
    <row r="1529" spans="1:10" x14ac:dyDescent="0.35">
      <c r="A1529" s="92"/>
      <c r="F1529" s="177"/>
      <c r="G1529" s="117"/>
      <c r="H1529" s="93"/>
      <c r="I1529" s="41"/>
      <c r="J1529" s="136"/>
    </row>
    <row r="1530" spans="1:10" x14ac:dyDescent="0.35">
      <c r="A1530" s="92"/>
      <c r="F1530" s="177"/>
      <c r="G1530" s="117"/>
      <c r="H1530" s="93"/>
      <c r="I1530" s="41"/>
      <c r="J1530" s="136"/>
    </row>
    <row r="1531" spans="1:10" x14ac:dyDescent="0.35">
      <c r="A1531" s="92"/>
      <c r="F1531" s="177"/>
      <c r="G1531" s="117"/>
      <c r="H1531" s="93"/>
      <c r="I1531" s="41"/>
      <c r="J1531" s="136"/>
    </row>
    <row r="1532" spans="1:10" x14ac:dyDescent="0.35">
      <c r="A1532" s="92"/>
      <c r="F1532" s="177"/>
      <c r="G1532" s="117"/>
      <c r="H1532" s="93"/>
      <c r="I1532" s="41"/>
      <c r="J1532" s="136"/>
    </row>
    <row r="1533" spans="1:10" x14ac:dyDescent="0.35">
      <c r="A1533" s="92"/>
      <c r="F1533" s="177"/>
      <c r="G1533" s="117"/>
      <c r="H1533" s="93"/>
      <c r="I1533" s="41"/>
      <c r="J1533" s="136"/>
    </row>
    <row r="1534" spans="1:10" x14ac:dyDescent="0.35">
      <c r="A1534" s="92"/>
      <c r="F1534" s="177"/>
      <c r="G1534" s="117"/>
      <c r="H1534" s="93"/>
      <c r="I1534" s="41"/>
      <c r="J1534" s="136"/>
    </row>
    <row r="1535" spans="1:10" x14ac:dyDescent="0.35">
      <c r="A1535" s="92"/>
      <c r="F1535" s="177"/>
      <c r="G1535" s="117"/>
      <c r="H1535" s="93"/>
      <c r="I1535" s="41"/>
      <c r="J1535" s="136"/>
    </row>
    <row r="1536" spans="1:10" x14ac:dyDescent="0.35">
      <c r="A1536" s="92"/>
      <c r="F1536" s="177"/>
      <c r="G1536" s="117"/>
      <c r="H1536" s="93"/>
      <c r="I1536" s="41"/>
      <c r="J1536" s="136"/>
    </row>
    <row r="1537" spans="1:10" x14ac:dyDescent="0.35">
      <c r="A1537" s="92"/>
      <c r="F1537" s="177"/>
      <c r="G1537" s="117"/>
      <c r="H1537" s="93"/>
      <c r="I1537" s="41"/>
      <c r="J1537" s="136"/>
    </row>
    <row r="1538" spans="1:10" x14ac:dyDescent="0.35">
      <c r="A1538" s="92"/>
      <c r="F1538" s="177"/>
      <c r="G1538" s="117"/>
      <c r="H1538" s="93"/>
      <c r="I1538" s="41"/>
      <c r="J1538" s="136"/>
    </row>
    <row r="1539" spans="1:10" x14ac:dyDescent="0.35">
      <c r="A1539" s="92"/>
      <c r="F1539" s="177"/>
      <c r="G1539" s="117"/>
      <c r="H1539" s="93"/>
      <c r="I1539" s="41"/>
      <c r="J1539" s="136"/>
    </row>
    <row r="1540" spans="1:10" x14ac:dyDescent="0.35">
      <c r="A1540" s="92"/>
      <c r="F1540" s="177"/>
      <c r="G1540" s="117"/>
      <c r="H1540" s="93"/>
      <c r="I1540" s="41"/>
      <c r="J1540" s="136"/>
    </row>
    <row r="1541" spans="1:10" x14ac:dyDescent="0.35">
      <c r="A1541" s="92"/>
      <c r="F1541" s="177"/>
      <c r="G1541" s="117"/>
      <c r="H1541" s="93"/>
      <c r="I1541" s="41"/>
      <c r="J1541" s="136"/>
    </row>
    <row r="1542" spans="1:10" x14ac:dyDescent="0.35">
      <c r="A1542" s="92"/>
      <c r="F1542" s="177"/>
      <c r="G1542" s="117"/>
      <c r="H1542" s="93"/>
      <c r="I1542" s="41"/>
      <c r="J1542" s="136"/>
    </row>
    <row r="1543" spans="1:10" x14ac:dyDescent="0.35">
      <c r="A1543" s="92"/>
      <c r="F1543" s="177"/>
      <c r="G1543" s="117"/>
      <c r="H1543" s="93"/>
      <c r="I1543" s="41"/>
      <c r="J1543" s="136"/>
    </row>
    <row r="1544" spans="1:10" x14ac:dyDescent="0.35">
      <c r="A1544" s="92"/>
      <c r="F1544" s="177"/>
      <c r="G1544" s="117"/>
      <c r="H1544" s="93"/>
      <c r="I1544" s="41"/>
      <c r="J1544" s="136"/>
    </row>
    <row r="1545" spans="1:10" x14ac:dyDescent="0.35">
      <c r="A1545" s="92"/>
      <c r="F1545" s="177"/>
      <c r="G1545" s="117"/>
      <c r="H1545" s="93"/>
      <c r="I1545" s="41"/>
      <c r="J1545" s="136"/>
    </row>
    <row r="1546" spans="1:10" x14ac:dyDescent="0.35">
      <c r="A1546" s="92"/>
      <c r="F1546" s="177"/>
      <c r="G1546" s="117"/>
      <c r="H1546" s="93"/>
      <c r="I1546" s="41"/>
      <c r="J1546" s="136"/>
    </row>
    <row r="1547" spans="1:10" x14ac:dyDescent="0.35">
      <c r="A1547" s="92"/>
      <c r="F1547" s="177"/>
      <c r="G1547" s="117"/>
      <c r="H1547" s="93"/>
      <c r="I1547" s="41"/>
      <c r="J1547" s="136"/>
    </row>
    <row r="1548" spans="1:10" x14ac:dyDescent="0.35">
      <c r="A1548" s="92"/>
      <c r="F1548" s="177"/>
      <c r="G1548" s="117"/>
      <c r="H1548" s="93"/>
      <c r="I1548" s="41"/>
      <c r="J1548" s="136"/>
    </row>
    <row r="1549" spans="1:10" x14ac:dyDescent="0.35">
      <c r="A1549" s="92"/>
      <c r="F1549" s="177"/>
      <c r="G1549" s="117"/>
      <c r="H1549" s="93"/>
      <c r="I1549" s="41"/>
      <c r="J1549" s="136"/>
    </row>
    <row r="1550" spans="1:10" x14ac:dyDescent="0.35">
      <c r="A1550" s="92"/>
      <c r="F1550" s="177"/>
      <c r="G1550" s="117"/>
      <c r="H1550" s="93"/>
      <c r="I1550" s="41"/>
      <c r="J1550" s="136"/>
    </row>
    <row r="1551" spans="1:10" x14ac:dyDescent="0.35">
      <c r="A1551" s="92"/>
      <c r="F1551" s="177"/>
      <c r="G1551" s="117"/>
      <c r="H1551" s="93"/>
      <c r="I1551" s="41"/>
      <c r="J1551" s="136"/>
    </row>
    <row r="1552" spans="1:10" x14ac:dyDescent="0.35">
      <c r="A1552" s="92"/>
      <c r="F1552" s="177"/>
      <c r="G1552" s="117"/>
      <c r="H1552" s="93"/>
      <c r="I1552" s="41"/>
      <c r="J1552" s="136"/>
    </row>
    <row r="1553" spans="1:10" x14ac:dyDescent="0.35">
      <c r="A1553" s="92"/>
      <c r="F1553" s="177"/>
      <c r="G1553" s="117"/>
      <c r="H1553" s="93"/>
      <c r="I1553" s="41"/>
      <c r="J1553" s="136"/>
    </row>
    <row r="1554" spans="1:10" x14ac:dyDescent="0.35">
      <c r="A1554" s="92"/>
      <c r="F1554" s="177"/>
      <c r="G1554" s="117"/>
      <c r="H1554" s="93"/>
      <c r="I1554" s="41"/>
      <c r="J1554" s="136"/>
    </row>
    <row r="1555" spans="1:10" x14ac:dyDescent="0.35">
      <c r="A1555" s="92"/>
      <c r="F1555" s="177"/>
      <c r="G1555" s="117"/>
      <c r="H1555" s="93"/>
      <c r="I1555" s="41"/>
      <c r="J1555" s="136"/>
    </row>
    <row r="1556" spans="1:10" x14ac:dyDescent="0.35">
      <c r="A1556" s="92"/>
      <c r="F1556" s="177"/>
      <c r="G1556" s="117"/>
      <c r="H1556" s="93"/>
      <c r="I1556" s="41"/>
      <c r="J1556" s="136"/>
    </row>
    <row r="1557" spans="1:10" x14ac:dyDescent="0.35">
      <c r="A1557" s="92"/>
      <c r="F1557" s="177"/>
      <c r="G1557" s="117"/>
      <c r="H1557" s="93"/>
      <c r="I1557" s="41"/>
      <c r="J1557" s="136"/>
    </row>
    <row r="1558" spans="1:10" x14ac:dyDescent="0.35">
      <c r="A1558" s="92"/>
      <c r="F1558" s="177"/>
      <c r="G1558" s="117"/>
      <c r="H1558" s="93"/>
      <c r="I1558" s="41"/>
      <c r="J1558" s="136"/>
    </row>
    <row r="1559" spans="1:10" x14ac:dyDescent="0.35">
      <c r="A1559" s="92"/>
      <c r="F1559" s="177"/>
      <c r="G1559" s="117"/>
      <c r="H1559" s="93"/>
      <c r="I1559" s="41"/>
      <c r="J1559" s="136"/>
    </row>
    <row r="1560" spans="1:10" x14ac:dyDescent="0.35">
      <c r="A1560" s="92"/>
      <c r="F1560" s="177"/>
      <c r="G1560" s="117"/>
      <c r="H1560" s="93"/>
      <c r="I1560" s="41"/>
      <c r="J1560" s="136"/>
    </row>
    <row r="1561" spans="1:10" x14ac:dyDescent="0.35">
      <c r="A1561" s="92"/>
      <c r="F1561" s="177"/>
      <c r="G1561" s="117"/>
      <c r="H1561" s="93"/>
      <c r="I1561" s="41"/>
      <c r="J1561" s="136"/>
    </row>
    <row r="1562" spans="1:10" x14ac:dyDescent="0.35">
      <c r="A1562" s="92"/>
      <c r="F1562" s="177"/>
      <c r="G1562" s="117"/>
      <c r="H1562" s="93"/>
      <c r="I1562" s="41"/>
      <c r="J1562" s="136"/>
    </row>
    <row r="1563" spans="1:10" x14ac:dyDescent="0.35">
      <c r="A1563" s="92"/>
      <c r="F1563" s="177"/>
      <c r="G1563" s="117"/>
      <c r="H1563" s="93"/>
      <c r="I1563" s="41"/>
      <c r="J1563" s="136"/>
    </row>
    <row r="1564" spans="1:10" x14ac:dyDescent="0.35">
      <c r="A1564" s="92"/>
      <c r="F1564" s="177"/>
      <c r="G1564" s="117"/>
      <c r="H1564" s="93"/>
      <c r="I1564" s="41"/>
      <c r="J1564" s="136"/>
    </row>
    <row r="1565" spans="1:10" x14ac:dyDescent="0.35">
      <c r="A1565" s="92"/>
      <c r="F1565" s="177"/>
      <c r="G1565" s="117"/>
      <c r="H1565" s="93"/>
      <c r="I1565" s="41"/>
      <c r="J1565" s="136"/>
    </row>
    <row r="1566" spans="1:10" x14ac:dyDescent="0.35">
      <c r="A1566" s="92"/>
      <c r="F1566" s="177"/>
      <c r="G1566" s="117"/>
      <c r="H1566" s="93"/>
      <c r="I1566" s="41"/>
      <c r="J1566" s="136"/>
    </row>
    <row r="1567" spans="1:10" x14ac:dyDescent="0.35">
      <c r="A1567" s="92"/>
      <c r="F1567" s="177"/>
      <c r="G1567" s="117"/>
      <c r="H1567" s="93"/>
      <c r="I1567" s="41"/>
      <c r="J1567" s="136"/>
    </row>
    <row r="1568" spans="1:10" x14ac:dyDescent="0.35">
      <c r="A1568" s="92"/>
      <c r="F1568" s="177"/>
      <c r="G1568" s="117"/>
      <c r="H1568" s="93"/>
      <c r="I1568" s="41"/>
      <c r="J1568" s="136"/>
    </row>
    <row r="1569" spans="1:10" x14ac:dyDescent="0.35">
      <c r="A1569" s="92"/>
      <c r="F1569" s="177"/>
      <c r="G1569" s="117"/>
      <c r="H1569" s="93"/>
      <c r="I1569" s="41"/>
      <c r="J1569" s="136"/>
    </row>
    <row r="1570" spans="1:10" x14ac:dyDescent="0.35">
      <c r="A1570" s="92"/>
      <c r="F1570" s="177"/>
      <c r="G1570" s="117"/>
      <c r="H1570" s="93"/>
      <c r="I1570" s="41"/>
      <c r="J1570" s="136"/>
    </row>
    <row r="1571" spans="1:10" x14ac:dyDescent="0.35">
      <c r="A1571" s="92"/>
      <c r="F1571" s="177"/>
      <c r="G1571" s="117"/>
      <c r="H1571" s="93"/>
      <c r="I1571" s="41"/>
      <c r="J1571" s="136"/>
    </row>
    <row r="1572" spans="1:10" x14ac:dyDescent="0.35">
      <c r="A1572" s="92"/>
      <c r="F1572" s="177"/>
      <c r="G1572" s="117"/>
      <c r="H1572" s="93"/>
      <c r="I1572" s="41"/>
      <c r="J1572" s="136"/>
    </row>
    <row r="1573" spans="1:10" x14ac:dyDescent="0.35">
      <c r="A1573" s="92"/>
      <c r="F1573" s="177"/>
      <c r="G1573" s="117"/>
      <c r="H1573" s="93"/>
      <c r="I1573" s="41"/>
      <c r="J1573" s="136"/>
    </row>
    <row r="1574" spans="1:10" x14ac:dyDescent="0.35">
      <c r="A1574" s="92"/>
      <c r="F1574" s="177"/>
      <c r="G1574" s="117"/>
      <c r="H1574" s="93"/>
      <c r="I1574" s="41"/>
      <c r="J1574" s="136"/>
    </row>
    <row r="1575" spans="1:10" x14ac:dyDescent="0.35">
      <c r="A1575" s="92"/>
      <c r="F1575" s="177"/>
      <c r="G1575" s="117"/>
      <c r="H1575" s="93"/>
      <c r="I1575" s="41"/>
      <c r="J1575" s="136"/>
    </row>
    <row r="1576" spans="1:10" x14ac:dyDescent="0.35">
      <c r="A1576" s="92"/>
      <c r="F1576" s="177"/>
      <c r="G1576" s="117"/>
      <c r="H1576" s="93"/>
      <c r="I1576" s="41"/>
      <c r="J1576" s="136"/>
    </row>
    <row r="1577" spans="1:10" x14ac:dyDescent="0.35">
      <c r="A1577" s="92"/>
      <c r="F1577" s="177"/>
      <c r="G1577" s="117"/>
      <c r="H1577" s="93"/>
      <c r="I1577" s="41"/>
      <c r="J1577" s="136"/>
    </row>
    <row r="1578" spans="1:10" x14ac:dyDescent="0.35">
      <c r="A1578" s="92"/>
      <c r="F1578" s="177"/>
      <c r="G1578" s="117"/>
      <c r="H1578" s="93"/>
      <c r="I1578" s="41"/>
      <c r="J1578" s="136"/>
    </row>
    <row r="1579" spans="1:10" x14ac:dyDescent="0.35">
      <c r="A1579" s="92"/>
      <c r="F1579" s="177"/>
      <c r="G1579" s="117"/>
      <c r="H1579" s="93"/>
      <c r="I1579" s="41"/>
      <c r="J1579" s="136"/>
    </row>
    <row r="1580" spans="1:10" x14ac:dyDescent="0.35">
      <c r="A1580" s="92"/>
      <c r="F1580" s="177"/>
      <c r="G1580" s="117"/>
      <c r="H1580" s="93"/>
      <c r="I1580" s="41"/>
      <c r="J1580" s="136"/>
    </row>
    <row r="1581" spans="1:10" x14ac:dyDescent="0.35">
      <c r="A1581" s="92"/>
      <c r="F1581" s="177"/>
      <c r="G1581" s="117"/>
      <c r="H1581" s="93"/>
      <c r="I1581" s="41"/>
      <c r="J1581" s="136"/>
    </row>
    <row r="1582" spans="1:10" x14ac:dyDescent="0.35">
      <c r="A1582" s="92"/>
      <c r="F1582" s="177"/>
      <c r="G1582" s="117"/>
      <c r="H1582" s="93"/>
      <c r="I1582" s="41"/>
      <c r="J1582" s="136"/>
    </row>
    <row r="1583" spans="1:10" x14ac:dyDescent="0.35">
      <c r="A1583" s="92"/>
      <c r="F1583" s="177"/>
      <c r="G1583" s="117"/>
      <c r="H1583" s="93"/>
      <c r="I1583" s="41"/>
      <c r="J1583" s="136"/>
    </row>
    <row r="1584" spans="1:10" x14ac:dyDescent="0.35">
      <c r="A1584" s="92"/>
      <c r="F1584" s="177"/>
      <c r="G1584" s="117"/>
      <c r="H1584" s="93"/>
      <c r="I1584" s="41"/>
      <c r="J1584" s="136"/>
    </row>
    <row r="1585" spans="1:10" x14ac:dyDescent="0.35">
      <c r="A1585" s="92"/>
      <c r="F1585" s="177"/>
      <c r="G1585" s="117"/>
      <c r="H1585" s="93"/>
      <c r="I1585" s="41"/>
      <c r="J1585" s="136"/>
    </row>
    <row r="1586" spans="1:10" x14ac:dyDescent="0.35">
      <c r="A1586" s="92"/>
      <c r="F1586" s="177"/>
      <c r="G1586" s="117"/>
      <c r="H1586" s="93"/>
      <c r="I1586" s="41"/>
      <c r="J1586" s="136"/>
    </row>
    <row r="1587" spans="1:10" x14ac:dyDescent="0.35">
      <c r="A1587" s="92"/>
      <c r="F1587" s="177"/>
      <c r="G1587" s="117"/>
      <c r="H1587" s="93"/>
      <c r="I1587" s="41"/>
      <c r="J1587" s="136"/>
    </row>
    <row r="1588" spans="1:10" x14ac:dyDescent="0.35">
      <c r="A1588" s="92"/>
      <c r="F1588" s="177"/>
      <c r="G1588" s="117"/>
      <c r="H1588" s="93"/>
      <c r="I1588" s="41"/>
      <c r="J1588" s="136"/>
    </row>
    <row r="1589" spans="1:10" x14ac:dyDescent="0.35">
      <c r="A1589" s="92"/>
      <c r="F1589" s="177"/>
      <c r="G1589" s="117"/>
      <c r="H1589" s="93"/>
      <c r="I1589" s="41"/>
      <c r="J1589" s="136"/>
    </row>
    <row r="1590" spans="1:10" x14ac:dyDescent="0.35">
      <c r="A1590" s="92"/>
      <c r="F1590" s="177"/>
      <c r="G1590" s="117"/>
      <c r="H1590" s="93"/>
      <c r="I1590" s="41"/>
      <c r="J1590" s="136"/>
    </row>
    <row r="1591" spans="1:10" x14ac:dyDescent="0.35">
      <c r="A1591" s="92"/>
      <c r="F1591" s="177"/>
      <c r="G1591" s="117"/>
      <c r="H1591" s="93"/>
      <c r="I1591" s="41"/>
      <c r="J1591" s="136"/>
    </row>
    <row r="1592" spans="1:10" x14ac:dyDescent="0.35">
      <c r="A1592" s="92"/>
      <c r="F1592" s="177"/>
      <c r="G1592" s="117"/>
      <c r="H1592" s="93"/>
      <c r="I1592" s="41"/>
      <c r="J1592" s="136"/>
    </row>
    <row r="1593" spans="1:10" x14ac:dyDescent="0.35">
      <c r="A1593" s="92"/>
      <c r="F1593" s="177"/>
      <c r="G1593" s="117"/>
      <c r="H1593" s="93"/>
      <c r="I1593" s="41"/>
      <c r="J1593" s="136"/>
    </row>
    <row r="1594" spans="1:10" x14ac:dyDescent="0.35">
      <c r="A1594" s="92"/>
      <c r="F1594" s="177"/>
      <c r="G1594" s="117"/>
      <c r="H1594" s="93"/>
      <c r="I1594" s="41"/>
      <c r="J1594" s="136"/>
    </row>
    <row r="1595" spans="1:10" x14ac:dyDescent="0.35">
      <c r="A1595" s="92"/>
      <c r="F1595" s="177"/>
      <c r="G1595" s="117"/>
      <c r="H1595" s="93"/>
      <c r="I1595" s="41"/>
      <c r="J1595" s="136"/>
    </row>
    <row r="1596" spans="1:10" x14ac:dyDescent="0.35">
      <c r="A1596" s="92"/>
      <c r="F1596" s="177"/>
      <c r="G1596" s="117"/>
      <c r="H1596" s="93"/>
      <c r="I1596" s="41"/>
      <c r="J1596" s="136"/>
    </row>
    <row r="1597" spans="1:10" x14ac:dyDescent="0.35">
      <c r="A1597" s="92"/>
      <c r="F1597" s="177"/>
      <c r="G1597" s="117"/>
      <c r="H1597" s="93"/>
      <c r="I1597" s="41"/>
      <c r="J1597" s="136"/>
    </row>
    <row r="1598" spans="1:10" x14ac:dyDescent="0.35">
      <c r="A1598" s="92"/>
      <c r="F1598" s="177"/>
      <c r="G1598" s="117"/>
      <c r="H1598" s="93"/>
      <c r="I1598" s="41"/>
      <c r="J1598" s="136"/>
    </row>
    <row r="1599" spans="1:10" x14ac:dyDescent="0.35">
      <c r="A1599" s="92"/>
      <c r="F1599" s="177"/>
      <c r="G1599" s="117"/>
      <c r="H1599" s="93"/>
      <c r="I1599" s="41"/>
      <c r="J1599" s="136"/>
    </row>
    <row r="1600" spans="1:10" x14ac:dyDescent="0.35">
      <c r="A1600" s="92"/>
      <c r="F1600" s="177"/>
      <c r="G1600" s="117"/>
      <c r="H1600" s="93"/>
      <c r="I1600" s="41"/>
      <c r="J1600" s="136"/>
    </row>
    <row r="1601" spans="1:10" x14ac:dyDescent="0.35">
      <c r="A1601" s="92"/>
      <c r="F1601" s="177"/>
      <c r="G1601" s="117"/>
      <c r="H1601" s="93"/>
      <c r="I1601" s="41"/>
      <c r="J1601" s="136"/>
    </row>
    <row r="1602" spans="1:10" x14ac:dyDescent="0.35">
      <c r="A1602" s="92"/>
      <c r="F1602" s="177"/>
      <c r="G1602" s="117"/>
      <c r="H1602" s="93"/>
      <c r="I1602" s="41"/>
      <c r="J1602" s="136"/>
    </row>
    <row r="1603" spans="1:10" x14ac:dyDescent="0.35">
      <c r="A1603" s="92"/>
      <c r="F1603" s="177"/>
      <c r="G1603" s="117"/>
      <c r="H1603" s="93"/>
      <c r="I1603" s="41"/>
      <c r="J1603" s="136"/>
    </row>
    <row r="1604" spans="1:10" x14ac:dyDescent="0.35">
      <c r="A1604" s="92"/>
      <c r="F1604" s="177"/>
      <c r="G1604" s="117"/>
      <c r="H1604" s="93"/>
      <c r="I1604" s="41"/>
      <c r="J1604" s="136"/>
    </row>
    <row r="1605" spans="1:10" x14ac:dyDescent="0.35">
      <c r="A1605" s="92"/>
      <c r="F1605" s="177"/>
      <c r="G1605" s="117"/>
      <c r="H1605" s="93"/>
      <c r="I1605" s="41"/>
      <c r="J1605" s="136"/>
    </row>
    <row r="1606" spans="1:10" x14ac:dyDescent="0.35">
      <c r="A1606" s="92"/>
      <c r="F1606" s="177"/>
      <c r="G1606" s="117"/>
      <c r="H1606" s="93"/>
      <c r="I1606" s="41"/>
      <c r="J1606" s="136"/>
    </row>
    <row r="1607" spans="1:10" x14ac:dyDescent="0.35">
      <c r="A1607" s="92"/>
      <c r="F1607" s="177"/>
      <c r="G1607" s="117"/>
      <c r="H1607" s="93"/>
      <c r="I1607" s="41"/>
      <c r="J1607" s="136"/>
    </row>
    <row r="1608" spans="1:10" x14ac:dyDescent="0.35">
      <c r="A1608" s="92"/>
      <c r="F1608" s="177"/>
      <c r="G1608" s="117"/>
      <c r="H1608" s="93"/>
      <c r="I1608" s="41"/>
      <c r="J1608" s="136"/>
    </row>
    <row r="1609" spans="1:10" x14ac:dyDescent="0.35">
      <c r="A1609" s="92"/>
      <c r="F1609" s="177"/>
      <c r="G1609" s="117"/>
      <c r="H1609" s="93"/>
      <c r="I1609" s="41"/>
      <c r="J1609" s="136"/>
    </row>
    <row r="1610" spans="1:10" x14ac:dyDescent="0.35">
      <c r="A1610" s="92"/>
      <c r="F1610" s="177"/>
      <c r="G1610" s="117"/>
      <c r="H1610" s="93"/>
      <c r="I1610" s="41"/>
      <c r="J1610" s="136"/>
    </row>
    <row r="1611" spans="1:10" x14ac:dyDescent="0.35">
      <c r="A1611" s="92"/>
      <c r="F1611" s="177"/>
      <c r="G1611" s="117"/>
      <c r="H1611" s="93"/>
      <c r="I1611" s="41"/>
      <c r="J1611" s="136"/>
    </row>
    <row r="1612" spans="1:10" x14ac:dyDescent="0.35">
      <c r="A1612" s="92"/>
      <c r="F1612" s="177"/>
      <c r="G1612" s="117"/>
      <c r="H1612" s="93"/>
      <c r="I1612" s="41"/>
      <c r="J1612" s="136"/>
    </row>
    <row r="1613" spans="1:10" x14ac:dyDescent="0.35">
      <c r="A1613" s="92"/>
      <c r="F1613" s="177"/>
      <c r="G1613" s="117"/>
      <c r="H1613" s="93"/>
      <c r="I1613" s="41"/>
      <c r="J1613" s="136"/>
    </row>
    <row r="1614" spans="1:10" x14ac:dyDescent="0.35">
      <c r="A1614" s="92"/>
      <c r="F1614" s="177"/>
      <c r="G1614" s="117"/>
      <c r="H1614" s="93"/>
      <c r="I1614" s="41"/>
      <c r="J1614" s="136"/>
    </row>
    <row r="1615" spans="1:10" x14ac:dyDescent="0.35">
      <c r="A1615" s="92"/>
      <c r="F1615" s="177"/>
      <c r="G1615" s="117"/>
      <c r="H1615" s="93"/>
      <c r="I1615" s="41"/>
      <c r="J1615" s="136"/>
    </row>
    <row r="1616" spans="1:10" x14ac:dyDescent="0.35">
      <c r="A1616" s="92"/>
      <c r="F1616" s="177"/>
      <c r="G1616" s="117"/>
      <c r="H1616" s="93"/>
      <c r="I1616" s="41"/>
      <c r="J1616" s="136"/>
    </row>
    <row r="1617" spans="1:10" x14ac:dyDescent="0.35">
      <c r="A1617" s="92"/>
      <c r="F1617" s="177"/>
      <c r="G1617" s="117"/>
      <c r="H1617" s="93"/>
      <c r="I1617" s="41"/>
      <c r="J1617" s="136"/>
    </row>
    <row r="1618" spans="1:10" x14ac:dyDescent="0.35">
      <c r="A1618" s="92"/>
      <c r="F1618" s="177"/>
      <c r="G1618" s="117"/>
      <c r="H1618" s="93"/>
      <c r="I1618" s="41"/>
      <c r="J1618" s="136"/>
    </row>
    <row r="1619" spans="1:10" x14ac:dyDescent="0.35">
      <c r="A1619" s="92"/>
      <c r="F1619" s="177"/>
      <c r="G1619" s="117"/>
      <c r="H1619" s="93"/>
      <c r="I1619" s="41"/>
      <c r="J1619" s="136"/>
    </row>
    <row r="1620" spans="1:10" x14ac:dyDescent="0.35">
      <c r="A1620" s="92"/>
      <c r="F1620" s="177"/>
      <c r="G1620" s="117"/>
      <c r="H1620" s="93"/>
      <c r="I1620" s="41"/>
      <c r="J1620" s="136"/>
    </row>
    <row r="1621" spans="1:10" x14ac:dyDescent="0.35">
      <c r="A1621" s="92"/>
      <c r="F1621" s="177"/>
      <c r="G1621" s="117"/>
      <c r="H1621" s="93"/>
      <c r="I1621" s="41"/>
      <c r="J1621" s="136"/>
    </row>
    <row r="1622" spans="1:10" x14ac:dyDescent="0.35">
      <c r="A1622" s="92"/>
      <c r="F1622" s="177"/>
      <c r="G1622" s="117"/>
      <c r="H1622" s="93"/>
      <c r="I1622" s="41"/>
      <c r="J1622" s="136"/>
    </row>
    <row r="1623" spans="1:10" x14ac:dyDescent="0.35">
      <c r="A1623" s="92"/>
      <c r="F1623" s="177"/>
      <c r="G1623" s="117"/>
      <c r="H1623" s="93"/>
      <c r="I1623" s="41"/>
      <c r="J1623" s="136"/>
    </row>
    <row r="1624" spans="1:10" x14ac:dyDescent="0.35">
      <c r="A1624" s="92"/>
      <c r="F1624" s="177"/>
      <c r="G1624" s="117"/>
      <c r="H1624" s="93"/>
      <c r="I1624" s="41"/>
      <c r="J1624" s="136"/>
    </row>
    <row r="1625" spans="1:10" x14ac:dyDescent="0.35">
      <c r="A1625" s="92"/>
      <c r="F1625" s="177"/>
      <c r="G1625" s="117"/>
      <c r="H1625" s="93"/>
      <c r="I1625" s="41"/>
      <c r="J1625" s="136"/>
    </row>
    <row r="1626" spans="1:10" x14ac:dyDescent="0.35">
      <c r="A1626" s="92"/>
      <c r="F1626" s="177"/>
      <c r="G1626" s="117"/>
      <c r="H1626" s="93"/>
      <c r="I1626" s="41"/>
      <c r="J1626" s="136"/>
    </row>
    <row r="1627" spans="1:10" x14ac:dyDescent="0.35">
      <c r="A1627" s="92"/>
      <c r="F1627" s="177"/>
      <c r="G1627" s="117"/>
      <c r="H1627" s="93"/>
      <c r="I1627" s="41"/>
      <c r="J1627" s="136"/>
    </row>
    <row r="1628" spans="1:10" x14ac:dyDescent="0.35">
      <c r="A1628" s="92"/>
      <c r="F1628" s="177"/>
      <c r="G1628" s="117"/>
      <c r="H1628" s="93"/>
      <c r="I1628" s="41"/>
      <c r="J1628" s="136"/>
    </row>
    <row r="1629" spans="1:10" x14ac:dyDescent="0.35">
      <c r="A1629" s="92"/>
      <c r="F1629" s="177"/>
      <c r="G1629" s="117"/>
      <c r="H1629" s="93"/>
      <c r="I1629" s="41"/>
      <c r="J1629" s="136"/>
    </row>
    <row r="1630" spans="1:10" x14ac:dyDescent="0.35">
      <c r="A1630" s="92"/>
      <c r="F1630" s="177"/>
      <c r="G1630" s="117"/>
      <c r="H1630" s="93"/>
      <c r="I1630" s="41"/>
      <c r="J1630" s="136"/>
    </row>
    <row r="1631" spans="1:10" x14ac:dyDescent="0.35">
      <c r="A1631" s="92"/>
      <c r="F1631" s="177"/>
      <c r="G1631" s="117"/>
      <c r="H1631" s="93"/>
      <c r="I1631" s="41"/>
      <c r="J1631" s="136"/>
    </row>
    <row r="1632" spans="1:10" x14ac:dyDescent="0.35">
      <c r="A1632" s="92"/>
      <c r="F1632" s="177"/>
      <c r="G1632" s="117"/>
      <c r="H1632" s="93"/>
      <c r="I1632" s="41"/>
      <c r="J1632" s="136"/>
    </row>
    <row r="1633" spans="1:10" x14ac:dyDescent="0.35">
      <c r="A1633" s="92"/>
      <c r="F1633" s="177"/>
      <c r="G1633" s="117"/>
      <c r="H1633" s="93"/>
      <c r="I1633" s="41"/>
      <c r="J1633" s="136"/>
    </row>
    <row r="1634" spans="1:10" x14ac:dyDescent="0.35">
      <c r="A1634" s="92"/>
      <c r="F1634" s="177"/>
      <c r="G1634" s="117"/>
      <c r="H1634" s="93"/>
      <c r="I1634" s="41"/>
      <c r="J1634" s="136"/>
    </row>
    <row r="1635" spans="1:10" x14ac:dyDescent="0.35">
      <c r="A1635" s="92"/>
      <c r="F1635" s="177"/>
      <c r="G1635" s="117"/>
      <c r="H1635" s="93"/>
      <c r="I1635" s="41"/>
      <c r="J1635" s="136"/>
    </row>
    <row r="1636" spans="1:10" x14ac:dyDescent="0.35">
      <c r="A1636" s="92"/>
      <c r="F1636" s="177"/>
      <c r="G1636" s="117"/>
      <c r="H1636" s="93"/>
      <c r="I1636" s="41"/>
      <c r="J1636" s="136"/>
    </row>
    <row r="1637" spans="1:10" x14ac:dyDescent="0.35">
      <c r="A1637" s="92"/>
      <c r="F1637" s="177"/>
      <c r="G1637" s="117"/>
      <c r="H1637" s="93"/>
      <c r="I1637" s="41"/>
      <c r="J1637" s="136"/>
    </row>
    <row r="1638" spans="1:10" x14ac:dyDescent="0.35">
      <c r="A1638" s="92"/>
      <c r="F1638" s="177"/>
      <c r="G1638" s="117"/>
      <c r="H1638" s="93"/>
      <c r="I1638" s="41"/>
      <c r="J1638" s="136"/>
    </row>
    <row r="1639" spans="1:10" x14ac:dyDescent="0.35">
      <c r="A1639" s="92"/>
      <c r="F1639" s="177"/>
      <c r="G1639" s="117"/>
      <c r="H1639" s="93"/>
      <c r="I1639" s="41"/>
      <c r="J1639" s="136"/>
    </row>
    <row r="1640" spans="1:10" x14ac:dyDescent="0.35">
      <c r="A1640" s="92"/>
      <c r="F1640" s="177"/>
      <c r="G1640" s="117"/>
      <c r="H1640" s="93"/>
      <c r="I1640" s="41"/>
      <c r="J1640" s="136"/>
    </row>
    <row r="1641" spans="1:10" x14ac:dyDescent="0.35">
      <c r="A1641" s="92"/>
      <c r="F1641" s="177"/>
      <c r="G1641" s="117"/>
      <c r="H1641" s="93"/>
      <c r="I1641" s="41"/>
      <c r="J1641" s="136"/>
    </row>
    <row r="1642" spans="1:10" x14ac:dyDescent="0.35">
      <c r="A1642" s="92"/>
      <c r="F1642" s="177"/>
      <c r="G1642" s="117"/>
      <c r="H1642" s="93"/>
      <c r="I1642" s="41"/>
      <c r="J1642" s="136"/>
    </row>
    <row r="1643" spans="1:10" x14ac:dyDescent="0.35">
      <c r="A1643" s="92"/>
      <c r="F1643" s="177"/>
      <c r="G1643" s="117"/>
      <c r="H1643" s="93"/>
      <c r="I1643" s="41"/>
      <c r="J1643" s="136"/>
    </row>
    <row r="1644" spans="1:10" x14ac:dyDescent="0.35">
      <c r="A1644" s="92"/>
      <c r="F1644" s="177"/>
      <c r="G1644" s="117"/>
      <c r="H1644" s="93"/>
      <c r="I1644" s="41"/>
      <c r="J1644" s="136"/>
    </row>
    <row r="1645" spans="1:10" x14ac:dyDescent="0.35">
      <c r="A1645" s="92"/>
      <c r="F1645" s="177"/>
      <c r="G1645" s="117"/>
      <c r="H1645" s="93"/>
      <c r="I1645" s="41"/>
      <c r="J1645" s="136"/>
    </row>
    <row r="1646" spans="1:10" x14ac:dyDescent="0.35">
      <c r="A1646" s="92"/>
      <c r="F1646" s="177"/>
      <c r="G1646" s="117"/>
      <c r="H1646" s="93"/>
      <c r="I1646" s="41"/>
      <c r="J1646" s="136"/>
    </row>
    <row r="1647" spans="1:10" x14ac:dyDescent="0.35">
      <c r="A1647" s="92"/>
      <c r="F1647" s="177"/>
      <c r="G1647" s="117"/>
      <c r="H1647" s="93"/>
      <c r="I1647" s="41"/>
      <c r="J1647" s="136"/>
    </row>
    <row r="1648" spans="1:10" x14ac:dyDescent="0.35">
      <c r="A1648" s="92"/>
      <c r="F1648" s="177"/>
      <c r="G1648" s="117"/>
      <c r="H1648" s="93"/>
      <c r="I1648" s="41"/>
      <c r="J1648" s="136"/>
    </row>
    <row r="1649" spans="1:10" x14ac:dyDescent="0.35">
      <c r="A1649" s="92"/>
      <c r="F1649" s="177"/>
      <c r="G1649" s="117"/>
      <c r="H1649" s="93"/>
      <c r="I1649" s="41"/>
      <c r="J1649" s="136"/>
    </row>
    <row r="1650" spans="1:10" x14ac:dyDescent="0.35">
      <c r="A1650" s="92"/>
      <c r="F1650" s="177"/>
      <c r="G1650" s="117"/>
      <c r="H1650" s="93"/>
      <c r="I1650" s="41"/>
      <c r="J1650" s="136"/>
    </row>
    <row r="1651" spans="1:10" x14ac:dyDescent="0.35">
      <c r="A1651" s="92"/>
      <c r="F1651" s="177"/>
      <c r="G1651" s="117"/>
      <c r="H1651" s="93"/>
      <c r="I1651" s="41"/>
      <c r="J1651" s="136"/>
    </row>
    <row r="1652" spans="1:10" x14ac:dyDescent="0.35">
      <c r="A1652" s="92"/>
      <c r="F1652" s="177"/>
      <c r="G1652" s="117"/>
      <c r="H1652" s="93"/>
      <c r="I1652" s="41"/>
      <c r="J1652" s="136"/>
    </row>
    <row r="1653" spans="1:10" x14ac:dyDescent="0.35">
      <c r="A1653" s="92"/>
      <c r="F1653" s="177"/>
      <c r="G1653" s="117"/>
      <c r="H1653" s="93"/>
      <c r="I1653" s="41"/>
      <c r="J1653" s="136"/>
    </row>
    <row r="1654" spans="1:10" x14ac:dyDescent="0.35">
      <c r="A1654" s="92"/>
      <c r="F1654" s="177"/>
      <c r="G1654" s="117"/>
      <c r="H1654" s="93"/>
      <c r="I1654" s="41"/>
      <c r="J1654" s="136"/>
    </row>
    <row r="1655" spans="1:10" x14ac:dyDescent="0.35">
      <c r="A1655" s="92"/>
      <c r="F1655" s="177"/>
      <c r="G1655" s="117"/>
      <c r="H1655" s="93"/>
      <c r="I1655" s="41"/>
      <c r="J1655" s="136"/>
    </row>
    <row r="1656" spans="1:10" x14ac:dyDescent="0.35">
      <c r="A1656" s="92"/>
      <c r="F1656" s="177"/>
      <c r="G1656" s="117"/>
      <c r="H1656" s="93"/>
      <c r="I1656" s="41"/>
      <c r="J1656" s="136"/>
    </row>
    <row r="1657" spans="1:10" x14ac:dyDescent="0.35">
      <c r="A1657" s="92"/>
      <c r="F1657" s="177"/>
      <c r="G1657" s="117"/>
      <c r="H1657" s="93"/>
      <c r="I1657" s="41"/>
      <c r="J1657" s="136"/>
    </row>
    <row r="1658" spans="1:10" x14ac:dyDescent="0.35">
      <c r="A1658" s="92"/>
      <c r="F1658" s="177"/>
      <c r="G1658" s="117"/>
      <c r="H1658" s="93"/>
      <c r="I1658" s="41"/>
      <c r="J1658" s="136"/>
    </row>
    <row r="1659" spans="1:10" x14ac:dyDescent="0.35">
      <c r="A1659" s="92"/>
      <c r="F1659" s="177"/>
      <c r="G1659" s="117"/>
      <c r="H1659" s="93"/>
      <c r="I1659" s="41"/>
      <c r="J1659" s="136"/>
    </row>
    <row r="1660" spans="1:10" x14ac:dyDescent="0.35">
      <c r="A1660" s="92"/>
      <c r="F1660" s="177"/>
      <c r="G1660" s="117"/>
      <c r="H1660" s="93"/>
      <c r="I1660" s="41"/>
      <c r="J1660" s="136"/>
    </row>
    <row r="1661" spans="1:10" x14ac:dyDescent="0.35">
      <c r="A1661" s="92"/>
      <c r="F1661" s="177"/>
      <c r="G1661" s="117"/>
      <c r="H1661" s="93"/>
      <c r="I1661" s="41"/>
      <c r="J1661" s="136"/>
    </row>
    <row r="1662" spans="1:10" x14ac:dyDescent="0.35">
      <c r="A1662" s="92"/>
      <c r="F1662" s="177"/>
      <c r="G1662" s="117"/>
      <c r="H1662" s="93"/>
      <c r="I1662" s="41"/>
      <c r="J1662" s="136"/>
    </row>
    <row r="1663" spans="1:10" x14ac:dyDescent="0.35">
      <c r="A1663" s="92"/>
      <c r="F1663" s="177"/>
      <c r="G1663" s="117"/>
      <c r="H1663" s="93"/>
      <c r="I1663" s="41"/>
      <c r="J1663" s="136"/>
    </row>
    <row r="1664" spans="1:10" x14ac:dyDescent="0.35">
      <c r="A1664" s="92"/>
      <c r="F1664" s="177"/>
      <c r="G1664" s="117"/>
      <c r="H1664" s="93"/>
      <c r="I1664" s="41"/>
      <c r="J1664" s="136"/>
    </row>
    <row r="1665" spans="1:10" x14ac:dyDescent="0.35">
      <c r="A1665" s="92"/>
      <c r="F1665" s="177"/>
      <c r="G1665" s="117"/>
      <c r="H1665" s="93"/>
      <c r="I1665" s="41"/>
      <c r="J1665" s="136"/>
    </row>
    <row r="1666" spans="1:10" x14ac:dyDescent="0.35">
      <c r="A1666" s="92"/>
      <c r="F1666" s="177"/>
      <c r="G1666" s="117"/>
      <c r="H1666" s="93"/>
      <c r="I1666" s="41"/>
      <c r="J1666" s="136"/>
    </row>
    <row r="1667" spans="1:10" x14ac:dyDescent="0.35">
      <c r="A1667" s="92"/>
      <c r="F1667" s="177"/>
      <c r="G1667" s="117"/>
      <c r="H1667" s="93"/>
      <c r="I1667" s="41"/>
      <c r="J1667" s="136"/>
    </row>
    <row r="1668" spans="1:10" x14ac:dyDescent="0.35">
      <c r="A1668" s="92"/>
      <c r="F1668" s="177"/>
      <c r="G1668" s="117"/>
      <c r="H1668" s="93"/>
      <c r="I1668" s="41"/>
      <c r="J1668" s="136"/>
    </row>
    <row r="1669" spans="1:10" x14ac:dyDescent="0.35">
      <c r="A1669" s="92"/>
      <c r="F1669" s="177"/>
      <c r="G1669" s="117"/>
      <c r="H1669" s="93"/>
      <c r="I1669" s="41"/>
      <c r="J1669" s="136"/>
    </row>
    <row r="1670" spans="1:10" x14ac:dyDescent="0.35">
      <c r="A1670" s="92"/>
      <c r="F1670" s="177"/>
      <c r="G1670" s="117"/>
      <c r="H1670" s="93"/>
      <c r="I1670" s="41"/>
      <c r="J1670" s="136"/>
    </row>
    <row r="1671" spans="1:10" x14ac:dyDescent="0.35">
      <c r="A1671" s="92"/>
      <c r="F1671" s="177"/>
      <c r="G1671" s="117"/>
      <c r="H1671" s="93"/>
      <c r="I1671" s="41"/>
      <c r="J1671" s="136"/>
    </row>
    <row r="1672" spans="1:10" x14ac:dyDescent="0.35">
      <c r="A1672" s="92"/>
      <c r="F1672" s="177"/>
      <c r="G1672" s="117"/>
      <c r="H1672" s="93"/>
      <c r="I1672" s="41"/>
      <c r="J1672" s="136"/>
    </row>
    <row r="1673" spans="1:10" x14ac:dyDescent="0.35">
      <c r="A1673" s="92"/>
      <c r="F1673" s="177"/>
      <c r="G1673" s="117"/>
      <c r="H1673" s="93"/>
      <c r="I1673" s="41"/>
      <c r="J1673" s="136"/>
    </row>
    <row r="1674" spans="1:10" x14ac:dyDescent="0.35">
      <c r="A1674" s="92"/>
      <c r="F1674" s="177"/>
      <c r="G1674" s="117"/>
      <c r="H1674" s="93"/>
      <c r="I1674" s="41"/>
      <c r="J1674" s="136"/>
    </row>
    <row r="1675" spans="1:10" x14ac:dyDescent="0.35">
      <c r="A1675" s="92"/>
      <c r="F1675" s="177"/>
      <c r="G1675" s="117"/>
      <c r="H1675" s="93"/>
      <c r="I1675" s="41"/>
      <c r="J1675" s="136"/>
    </row>
    <row r="1676" spans="1:10" x14ac:dyDescent="0.35">
      <c r="A1676" s="92"/>
      <c r="F1676" s="177"/>
      <c r="G1676" s="117"/>
      <c r="H1676" s="93"/>
      <c r="I1676" s="41"/>
      <c r="J1676" s="136"/>
    </row>
    <row r="1677" spans="1:10" x14ac:dyDescent="0.35">
      <c r="A1677" s="92"/>
      <c r="F1677" s="177"/>
      <c r="G1677" s="117"/>
      <c r="H1677" s="93"/>
      <c r="I1677" s="41"/>
      <c r="J1677" s="136"/>
    </row>
    <row r="1678" spans="1:10" x14ac:dyDescent="0.35">
      <c r="A1678" s="92"/>
      <c r="F1678" s="177"/>
      <c r="G1678" s="117"/>
      <c r="H1678" s="93"/>
      <c r="I1678" s="41"/>
      <c r="J1678" s="136"/>
    </row>
    <row r="1679" spans="1:10" x14ac:dyDescent="0.35">
      <c r="A1679" s="92"/>
      <c r="F1679" s="177"/>
      <c r="G1679" s="117"/>
      <c r="H1679" s="93"/>
      <c r="I1679" s="41"/>
      <c r="J1679" s="136"/>
    </row>
    <row r="1680" spans="1:10" x14ac:dyDescent="0.35">
      <c r="A1680" s="92"/>
      <c r="F1680" s="177"/>
      <c r="G1680" s="117"/>
      <c r="H1680" s="93"/>
      <c r="I1680" s="41"/>
      <c r="J1680" s="136"/>
    </row>
    <row r="1681" spans="1:10" x14ac:dyDescent="0.35">
      <c r="A1681" s="92"/>
      <c r="F1681" s="177"/>
      <c r="G1681" s="117"/>
      <c r="H1681" s="93"/>
      <c r="I1681" s="41"/>
      <c r="J1681" s="136"/>
    </row>
    <row r="1682" spans="1:10" x14ac:dyDescent="0.35">
      <c r="A1682" s="92"/>
      <c r="F1682" s="177"/>
      <c r="G1682" s="117"/>
      <c r="H1682" s="93"/>
      <c r="I1682" s="41"/>
      <c r="J1682" s="136"/>
    </row>
    <row r="1683" spans="1:10" x14ac:dyDescent="0.35">
      <c r="A1683" s="92"/>
      <c r="F1683" s="177"/>
      <c r="G1683" s="117"/>
      <c r="H1683" s="93"/>
      <c r="I1683" s="41"/>
      <c r="J1683" s="136"/>
    </row>
    <row r="1684" spans="1:10" x14ac:dyDescent="0.35">
      <c r="A1684" s="92"/>
      <c r="F1684" s="177"/>
      <c r="G1684" s="117"/>
      <c r="H1684" s="93"/>
      <c r="I1684" s="41"/>
      <c r="J1684" s="136"/>
    </row>
    <row r="1685" spans="1:10" x14ac:dyDescent="0.35">
      <c r="A1685" s="92"/>
      <c r="F1685" s="177"/>
      <c r="G1685" s="117"/>
      <c r="H1685" s="93"/>
      <c r="I1685" s="41"/>
      <c r="J1685" s="136"/>
    </row>
    <row r="1686" spans="1:10" x14ac:dyDescent="0.35">
      <c r="A1686" s="92"/>
      <c r="F1686" s="177"/>
      <c r="G1686" s="117"/>
      <c r="H1686" s="93"/>
      <c r="I1686" s="41"/>
      <c r="J1686" s="136"/>
    </row>
    <row r="1687" spans="1:10" x14ac:dyDescent="0.35">
      <c r="A1687" s="92"/>
      <c r="F1687" s="177"/>
      <c r="G1687" s="117"/>
      <c r="H1687" s="93"/>
      <c r="I1687" s="41"/>
      <c r="J1687" s="136"/>
    </row>
    <row r="1688" spans="1:10" x14ac:dyDescent="0.35">
      <c r="A1688" s="92"/>
      <c r="F1688" s="177"/>
      <c r="G1688" s="117"/>
      <c r="H1688" s="93"/>
      <c r="I1688" s="41"/>
      <c r="J1688" s="136"/>
    </row>
    <row r="1689" spans="1:10" x14ac:dyDescent="0.35">
      <c r="A1689" s="92"/>
      <c r="F1689" s="177"/>
      <c r="G1689" s="117"/>
      <c r="H1689" s="93"/>
      <c r="I1689" s="41"/>
      <c r="J1689" s="136"/>
    </row>
    <row r="1690" spans="1:10" x14ac:dyDescent="0.35">
      <c r="A1690" s="92"/>
      <c r="F1690" s="177"/>
      <c r="G1690" s="117"/>
      <c r="H1690" s="93"/>
      <c r="I1690" s="41"/>
      <c r="J1690" s="136"/>
    </row>
    <row r="1691" spans="1:10" x14ac:dyDescent="0.35">
      <c r="A1691" s="92"/>
      <c r="F1691" s="177"/>
      <c r="G1691" s="117"/>
      <c r="H1691" s="93"/>
      <c r="I1691" s="41"/>
      <c r="J1691" s="136"/>
    </row>
    <row r="1692" spans="1:10" x14ac:dyDescent="0.35">
      <c r="A1692" s="92"/>
      <c r="F1692" s="177"/>
      <c r="G1692" s="117"/>
      <c r="H1692" s="93"/>
      <c r="I1692" s="41"/>
      <c r="J1692" s="136"/>
    </row>
    <row r="1693" spans="1:10" x14ac:dyDescent="0.35">
      <c r="A1693" s="92"/>
      <c r="F1693" s="177"/>
      <c r="G1693" s="117"/>
      <c r="H1693" s="93"/>
      <c r="I1693" s="41"/>
      <c r="J1693" s="136"/>
    </row>
    <row r="1694" spans="1:10" x14ac:dyDescent="0.35">
      <c r="A1694" s="92"/>
      <c r="F1694" s="177"/>
      <c r="G1694" s="117"/>
      <c r="H1694" s="93"/>
      <c r="I1694" s="41"/>
      <c r="J1694" s="136"/>
    </row>
    <row r="1695" spans="1:10" x14ac:dyDescent="0.35">
      <c r="A1695" s="92"/>
      <c r="F1695" s="177"/>
      <c r="G1695" s="117"/>
      <c r="H1695" s="93"/>
      <c r="I1695" s="41"/>
      <c r="J1695" s="136"/>
    </row>
    <row r="1696" spans="1:10" x14ac:dyDescent="0.35">
      <c r="A1696" s="92"/>
      <c r="F1696" s="177"/>
      <c r="G1696" s="117"/>
      <c r="H1696" s="93"/>
      <c r="I1696" s="41"/>
      <c r="J1696" s="136"/>
    </row>
    <row r="1697" spans="1:10" x14ac:dyDescent="0.35">
      <c r="A1697" s="92"/>
      <c r="F1697" s="177"/>
      <c r="G1697" s="117"/>
      <c r="H1697" s="93"/>
      <c r="I1697" s="41"/>
      <c r="J1697" s="136"/>
    </row>
    <row r="1698" spans="1:10" x14ac:dyDescent="0.35">
      <c r="A1698" s="92"/>
      <c r="F1698" s="177"/>
      <c r="G1698" s="117"/>
      <c r="H1698" s="93"/>
      <c r="I1698" s="41"/>
      <c r="J1698" s="136"/>
    </row>
    <row r="1699" spans="1:10" x14ac:dyDescent="0.35">
      <c r="A1699" s="92"/>
      <c r="F1699" s="177"/>
      <c r="G1699" s="117"/>
      <c r="H1699" s="93"/>
      <c r="I1699" s="41"/>
      <c r="J1699" s="136"/>
    </row>
    <row r="1700" spans="1:10" x14ac:dyDescent="0.35">
      <c r="A1700" s="92"/>
      <c r="F1700" s="177"/>
      <c r="G1700" s="117"/>
      <c r="H1700" s="93"/>
      <c r="I1700" s="41"/>
      <c r="J1700" s="136"/>
    </row>
    <row r="1701" spans="1:10" x14ac:dyDescent="0.35">
      <c r="A1701" s="92"/>
      <c r="F1701" s="177"/>
      <c r="G1701" s="117"/>
      <c r="H1701" s="93"/>
      <c r="I1701" s="41"/>
      <c r="J1701" s="136"/>
    </row>
    <row r="1702" spans="1:10" x14ac:dyDescent="0.35">
      <c r="A1702" s="92"/>
      <c r="F1702" s="177"/>
      <c r="G1702" s="117"/>
      <c r="H1702" s="93"/>
      <c r="I1702" s="41"/>
      <c r="J1702" s="136"/>
    </row>
    <row r="1703" spans="1:10" x14ac:dyDescent="0.35">
      <c r="A1703" s="92"/>
      <c r="F1703" s="177"/>
      <c r="G1703" s="117"/>
      <c r="H1703" s="93"/>
      <c r="I1703" s="41"/>
      <c r="J1703" s="136"/>
    </row>
    <row r="1704" spans="1:10" x14ac:dyDescent="0.35">
      <c r="A1704" s="92"/>
      <c r="F1704" s="177"/>
      <c r="G1704" s="117"/>
      <c r="H1704" s="93"/>
      <c r="I1704" s="41"/>
      <c r="J1704" s="136"/>
    </row>
    <row r="1705" spans="1:10" x14ac:dyDescent="0.35">
      <c r="A1705" s="92"/>
      <c r="F1705" s="177"/>
      <c r="G1705" s="117"/>
      <c r="H1705" s="93"/>
      <c r="I1705" s="41"/>
      <c r="J1705" s="136"/>
    </row>
    <row r="1706" spans="1:10" x14ac:dyDescent="0.35">
      <c r="A1706" s="92"/>
      <c r="F1706" s="177"/>
      <c r="G1706" s="117"/>
      <c r="H1706" s="93"/>
      <c r="I1706" s="41"/>
      <c r="J1706" s="136"/>
    </row>
    <row r="1707" spans="1:10" x14ac:dyDescent="0.35">
      <c r="A1707" s="92"/>
      <c r="F1707" s="177"/>
      <c r="G1707" s="117"/>
      <c r="H1707" s="93"/>
      <c r="I1707" s="41"/>
      <c r="J1707" s="136"/>
    </row>
    <row r="1708" spans="1:10" x14ac:dyDescent="0.35">
      <c r="A1708" s="92"/>
      <c r="F1708" s="177"/>
      <c r="G1708" s="117"/>
      <c r="H1708" s="93"/>
      <c r="I1708" s="41"/>
      <c r="J1708" s="136"/>
    </row>
    <row r="1709" spans="1:10" x14ac:dyDescent="0.35">
      <c r="A1709" s="92"/>
      <c r="F1709" s="177"/>
      <c r="G1709" s="117"/>
      <c r="H1709" s="93"/>
      <c r="I1709" s="41"/>
      <c r="J1709" s="136"/>
    </row>
    <row r="1710" spans="1:10" x14ac:dyDescent="0.35">
      <c r="A1710" s="92"/>
      <c r="F1710" s="177"/>
      <c r="G1710" s="117"/>
      <c r="H1710" s="93"/>
      <c r="I1710" s="41"/>
      <c r="J1710" s="136"/>
    </row>
    <row r="1711" spans="1:10" x14ac:dyDescent="0.35">
      <c r="A1711" s="92"/>
      <c r="F1711" s="177"/>
      <c r="G1711" s="117"/>
      <c r="H1711" s="93"/>
      <c r="I1711" s="41"/>
      <c r="J1711" s="136"/>
    </row>
    <row r="1712" spans="1:10" x14ac:dyDescent="0.35">
      <c r="A1712" s="92"/>
      <c r="F1712" s="177"/>
      <c r="G1712" s="117"/>
      <c r="H1712" s="93"/>
      <c r="I1712" s="41"/>
      <c r="J1712" s="136"/>
    </row>
    <row r="1713" spans="1:10" x14ac:dyDescent="0.35">
      <c r="A1713" s="92"/>
      <c r="F1713" s="177"/>
      <c r="G1713" s="117"/>
      <c r="H1713" s="93"/>
      <c r="I1713" s="41"/>
      <c r="J1713" s="136"/>
    </row>
    <row r="1714" spans="1:10" x14ac:dyDescent="0.35">
      <c r="A1714" s="92"/>
      <c r="F1714" s="177"/>
      <c r="G1714" s="117"/>
      <c r="H1714" s="93"/>
      <c r="I1714" s="41"/>
      <c r="J1714" s="136"/>
    </row>
    <row r="1715" spans="1:10" x14ac:dyDescent="0.35">
      <c r="A1715" s="92"/>
      <c r="F1715" s="177"/>
      <c r="G1715" s="117"/>
      <c r="H1715" s="93"/>
      <c r="I1715" s="41"/>
      <c r="J1715" s="136"/>
    </row>
    <row r="1716" spans="1:10" x14ac:dyDescent="0.35">
      <c r="A1716" s="92"/>
      <c r="F1716" s="177"/>
      <c r="G1716" s="117"/>
      <c r="H1716" s="93"/>
      <c r="I1716" s="41"/>
      <c r="J1716" s="136"/>
    </row>
    <row r="1717" spans="1:10" x14ac:dyDescent="0.35">
      <c r="A1717" s="92"/>
      <c r="F1717" s="177"/>
      <c r="G1717" s="117"/>
      <c r="H1717" s="93"/>
      <c r="I1717" s="41"/>
      <c r="J1717" s="136"/>
    </row>
    <row r="1718" spans="1:10" x14ac:dyDescent="0.35">
      <c r="A1718" s="92"/>
      <c r="F1718" s="177"/>
      <c r="G1718" s="117"/>
      <c r="H1718" s="93"/>
      <c r="I1718" s="41"/>
      <c r="J1718" s="136"/>
    </row>
    <row r="1719" spans="1:10" x14ac:dyDescent="0.35">
      <c r="A1719" s="92"/>
      <c r="F1719" s="177"/>
      <c r="G1719" s="117"/>
      <c r="H1719" s="93"/>
      <c r="I1719" s="41"/>
      <c r="J1719" s="136"/>
    </row>
    <row r="1720" spans="1:10" x14ac:dyDescent="0.35">
      <c r="A1720" s="92"/>
      <c r="F1720" s="177"/>
      <c r="G1720" s="117"/>
      <c r="H1720" s="93"/>
      <c r="I1720" s="41"/>
      <c r="J1720" s="136"/>
    </row>
    <row r="1721" spans="1:10" x14ac:dyDescent="0.35">
      <c r="A1721" s="92"/>
      <c r="F1721" s="177"/>
      <c r="G1721" s="117"/>
      <c r="H1721" s="93"/>
      <c r="I1721" s="41"/>
      <c r="J1721" s="136"/>
    </row>
    <row r="1722" spans="1:10" x14ac:dyDescent="0.35">
      <c r="A1722" s="92"/>
      <c r="F1722" s="177"/>
      <c r="G1722" s="117"/>
      <c r="H1722" s="93"/>
      <c r="I1722" s="41"/>
      <c r="J1722" s="136"/>
    </row>
    <row r="1723" spans="1:10" x14ac:dyDescent="0.35">
      <c r="A1723" s="92"/>
      <c r="F1723" s="177"/>
      <c r="G1723" s="117"/>
      <c r="H1723" s="93"/>
      <c r="I1723" s="41"/>
      <c r="J1723" s="136"/>
    </row>
    <row r="1724" spans="1:10" x14ac:dyDescent="0.35">
      <c r="A1724" s="92"/>
      <c r="F1724" s="177"/>
      <c r="G1724" s="117"/>
      <c r="H1724" s="93"/>
      <c r="I1724" s="41"/>
      <c r="J1724" s="136"/>
    </row>
    <row r="1725" spans="1:10" x14ac:dyDescent="0.35">
      <c r="A1725" s="92"/>
      <c r="F1725" s="177"/>
      <c r="G1725" s="117"/>
      <c r="H1725" s="93"/>
      <c r="I1725" s="41"/>
      <c r="J1725" s="136"/>
    </row>
    <row r="1726" spans="1:10" x14ac:dyDescent="0.35">
      <c r="A1726" s="92"/>
      <c r="F1726" s="177"/>
      <c r="G1726" s="117"/>
      <c r="H1726" s="93"/>
      <c r="I1726" s="41"/>
      <c r="J1726" s="136"/>
    </row>
    <row r="1727" spans="1:10" x14ac:dyDescent="0.35">
      <c r="A1727" s="92"/>
      <c r="F1727" s="177"/>
      <c r="G1727" s="117"/>
      <c r="H1727" s="93"/>
      <c r="I1727" s="41"/>
      <c r="J1727" s="136"/>
    </row>
    <row r="1728" spans="1:10" x14ac:dyDescent="0.35">
      <c r="A1728" s="92"/>
      <c r="F1728" s="177"/>
      <c r="G1728" s="117"/>
      <c r="H1728" s="93"/>
      <c r="I1728" s="41"/>
      <c r="J1728" s="136"/>
    </row>
    <row r="1729" spans="1:10" x14ac:dyDescent="0.35">
      <c r="A1729" s="92"/>
      <c r="F1729" s="177"/>
      <c r="G1729" s="117"/>
      <c r="H1729" s="93"/>
      <c r="I1729" s="41"/>
      <c r="J1729" s="136"/>
    </row>
    <row r="1730" spans="1:10" x14ac:dyDescent="0.35">
      <c r="A1730" s="92"/>
      <c r="F1730" s="177"/>
      <c r="G1730" s="117"/>
      <c r="H1730" s="93"/>
      <c r="I1730" s="41"/>
      <c r="J1730" s="136"/>
    </row>
    <row r="1731" spans="1:10" x14ac:dyDescent="0.35">
      <c r="A1731" s="92"/>
      <c r="F1731" s="177"/>
      <c r="G1731" s="117"/>
      <c r="H1731" s="93"/>
      <c r="I1731" s="41"/>
      <c r="J1731" s="136"/>
    </row>
    <row r="1732" spans="1:10" x14ac:dyDescent="0.35">
      <c r="A1732" s="92"/>
      <c r="F1732" s="177"/>
      <c r="G1732" s="117"/>
      <c r="H1732" s="93"/>
      <c r="I1732" s="41"/>
      <c r="J1732" s="136"/>
    </row>
    <row r="1733" spans="1:10" x14ac:dyDescent="0.35">
      <c r="A1733" s="92"/>
      <c r="F1733" s="177"/>
      <c r="G1733" s="117"/>
      <c r="H1733" s="93"/>
      <c r="I1733" s="41"/>
      <c r="J1733" s="136"/>
    </row>
    <row r="1734" spans="1:10" x14ac:dyDescent="0.35">
      <c r="A1734" s="92"/>
      <c r="F1734" s="177"/>
      <c r="G1734" s="117"/>
      <c r="H1734" s="93"/>
      <c r="I1734" s="41"/>
      <c r="J1734" s="136"/>
    </row>
    <row r="1735" spans="1:10" x14ac:dyDescent="0.35">
      <c r="A1735" s="92"/>
      <c r="F1735" s="177"/>
      <c r="G1735" s="117"/>
      <c r="H1735" s="93"/>
      <c r="I1735" s="41"/>
      <c r="J1735" s="136"/>
    </row>
    <row r="1736" spans="1:10" x14ac:dyDescent="0.35">
      <c r="A1736" s="92"/>
      <c r="F1736" s="177"/>
      <c r="G1736" s="117"/>
      <c r="H1736" s="93"/>
      <c r="I1736" s="41"/>
      <c r="J1736" s="136"/>
    </row>
    <row r="1737" spans="1:10" x14ac:dyDescent="0.35">
      <c r="A1737" s="92"/>
      <c r="F1737" s="177"/>
      <c r="G1737" s="117"/>
      <c r="H1737" s="93"/>
      <c r="I1737" s="41"/>
      <c r="J1737" s="136"/>
    </row>
    <row r="1738" spans="1:10" x14ac:dyDescent="0.35">
      <c r="A1738" s="92"/>
      <c r="F1738" s="177"/>
      <c r="G1738" s="117"/>
      <c r="H1738" s="93"/>
      <c r="I1738" s="41"/>
      <c r="J1738" s="136"/>
    </row>
    <row r="1739" spans="1:10" x14ac:dyDescent="0.35">
      <c r="A1739" s="92"/>
      <c r="F1739" s="177"/>
      <c r="G1739" s="117"/>
      <c r="H1739" s="93"/>
      <c r="I1739" s="41"/>
      <c r="J1739" s="136"/>
    </row>
    <row r="1740" spans="1:10" x14ac:dyDescent="0.35">
      <c r="A1740" s="92"/>
      <c r="F1740" s="177"/>
      <c r="G1740" s="117"/>
      <c r="H1740" s="93"/>
      <c r="I1740" s="41"/>
      <c r="J1740" s="136"/>
    </row>
    <row r="1741" spans="1:10" x14ac:dyDescent="0.35">
      <c r="A1741" s="92"/>
      <c r="F1741" s="177"/>
      <c r="G1741" s="117"/>
      <c r="H1741" s="93"/>
      <c r="I1741" s="41"/>
      <c r="J1741" s="136"/>
    </row>
    <row r="1742" spans="1:10" x14ac:dyDescent="0.35">
      <c r="A1742" s="92"/>
      <c r="F1742" s="177"/>
      <c r="G1742" s="117"/>
      <c r="H1742" s="93"/>
      <c r="I1742" s="41"/>
      <c r="J1742" s="136"/>
    </row>
    <row r="1743" spans="1:10" x14ac:dyDescent="0.35">
      <c r="A1743" s="92"/>
      <c r="F1743" s="177"/>
      <c r="G1743" s="117"/>
      <c r="H1743" s="93"/>
      <c r="I1743" s="41"/>
      <c r="J1743" s="136"/>
    </row>
    <row r="1744" spans="1:10" x14ac:dyDescent="0.35">
      <c r="A1744" s="92"/>
      <c r="F1744" s="177"/>
      <c r="G1744" s="117"/>
      <c r="H1744" s="93"/>
      <c r="I1744" s="41"/>
      <c r="J1744" s="136"/>
    </row>
    <row r="1745" spans="1:10" x14ac:dyDescent="0.35">
      <c r="A1745" s="92"/>
      <c r="F1745" s="177"/>
      <c r="G1745" s="117"/>
      <c r="H1745" s="93"/>
      <c r="I1745" s="41"/>
      <c r="J1745" s="136"/>
    </row>
    <row r="1746" spans="1:10" x14ac:dyDescent="0.35">
      <c r="A1746" s="92"/>
      <c r="F1746" s="177"/>
      <c r="G1746" s="117"/>
      <c r="H1746" s="93"/>
      <c r="I1746" s="41"/>
      <c r="J1746" s="136"/>
    </row>
    <row r="1747" spans="1:10" x14ac:dyDescent="0.35">
      <c r="A1747" s="92"/>
      <c r="F1747" s="177"/>
      <c r="G1747" s="117"/>
      <c r="H1747" s="93"/>
      <c r="I1747" s="41"/>
      <c r="J1747" s="136"/>
    </row>
    <row r="1748" spans="1:10" x14ac:dyDescent="0.35">
      <c r="A1748" s="92"/>
      <c r="F1748" s="177"/>
      <c r="G1748" s="117"/>
      <c r="H1748" s="93"/>
      <c r="I1748" s="41"/>
      <c r="J1748" s="136"/>
    </row>
    <row r="1749" spans="1:10" x14ac:dyDescent="0.35">
      <c r="A1749" s="92"/>
      <c r="F1749" s="177"/>
      <c r="G1749" s="117"/>
      <c r="H1749" s="93"/>
      <c r="I1749" s="41"/>
      <c r="J1749" s="136"/>
    </row>
    <row r="1750" spans="1:10" x14ac:dyDescent="0.35">
      <c r="A1750" s="92"/>
      <c r="F1750" s="177"/>
      <c r="G1750" s="117"/>
      <c r="H1750" s="93"/>
      <c r="I1750" s="41"/>
      <c r="J1750" s="136"/>
    </row>
    <row r="1751" spans="1:10" x14ac:dyDescent="0.35">
      <c r="A1751" s="92"/>
      <c r="F1751" s="177"/>
      <c r="G1751" s="117"/>
      <c r="H1751" s="93"/>
      <c r="I1751" s="41"/>
      <c r="J1751" s="136"/>
    </row>
    <row r="1752" spans="1:10" x14ac:dyDescent="0.35">
      <c r="A1752" s="92"/>
      <c r="F1752" s="177"/>
      <c r="G1752" s="117"/>
      <c r="H1752" s="93"/>
      <c r="I1752" s="41"/>
      <c r="J1752" s="136"/>
    </row>
    <row r="1753" spans="1:10" x14ac:dyDescent="0.35">
      <c r="A1753" s="92"/>
      <c r="F1753" s="177"/>
      <c r="G1753" s="117"/>
      <c r="H1753" s="93"/>
      <c r="I1753" s="41"/>
      <c r="J1753" s="136"/>
    </row>
    <row r="1754" spans="1:10" x14ac:dyDescent="0.35">
      <c r="A1754" s="92"/>
      <c r="F1754" s="177"/>
      <c r="G1754" s="117"/>
      <c r="H1754" s="93"/>
      <c r="I1754" s="41"/>
      <c r="J1754" s="136"/>
    </row>
    <row r="1755" spans="1:10" x14ac:dyDescent="0.35">
      <c r="A1755" s="92"/>
      <c r="F1755" s="177"/>
      <c r="G1755" s="117"/>
      <c r="H1755" s="93"/>
      <c r="I1755" s="41"/>
      <c r="J1755" s="136"/>
    </row>
    <row r="1756" spans="1:10" x14ac:dyDescent="0.35">
      <c r="A1756" s="92"/>
      <c r="F1756" s="177"/>
      <c r="G1756" s="117"/>
      <c r="H1756" s="93"/>
      <c r="I1756" s="41"/>
      <c r="J1756" s="136"/>
    </row>
    <row r="1757" spans="1:10" x14ac:dyDescent="0.35">
      <c r="A1757" s="92"/>
      <c r="F1757" s="177"/>
      <c r="G1757" s="117"/>
      <c r="H1757" s="93"/>
      <c r="I1757" s="41"/>
      <c r="J1757" s="136"/>
    </row>
    <row r="1758" spans="1:10" x14ac:dyDescent="0.35">
      <c r="A1758" s="92"/>
      <c r="F1758" s="177"/>
      <c r="G1758" s="117"/>
      <c r="H1758" s="93"/>
      <c r="I1758" s="41"/>
      <c r="J1758" s="136"/>
    </row>
    <row r="1759" spans="1:10" x14ac:dyDescent="0.35">
      <c r="A1759" s="92"/>
      <c r="F1759" s="177"/>
      <c r="G1759" s="117"/>
      <c r="H1759" s="93"/>
      <c r="I1759" s="41"/>
      <c r="J1759" s="136"/>
    </row>
    <row r="1760" spans="1:10" x14ac:dyDescent="0.35">
      <c r="A1760" s="92"/>
      <c r="F1760" s="177"/>
      <c r="G1760" s="117"/>
      <c r="H1760" s="93"/>
      <c r="I1760" s="41"/>
      <c r="J1760" s="136"/>
    </row>
    <row r="1761" spans="1:10" x14ac:dyDescent="0.35">
      <c r="A1761" s="92"/>
      <c r="F1761" s="177"/>
      <c r="G1761" s="117"/>
      <c r="H1761" s="93"/>
      <c r="I1761" s="41"/>
      <c r="J1761" s="136"/>
    </row>
    <row r="1762" spans="1:10" x14ac:dyDescent="0.35">
      <c r="A1762" s="92"/>
      <c r="F1762" s="177"/>
      <c r="G1762" s="117"/>
      <c r="H1762" s="93"/>
      <c r="I1762" s="41"/>
      <c r="J1762" s="136"/>
    </row>
    <row r="1763" spans="1:10" x14ac:dyDescent="0.35">
      <c r="A1763" s="92"/>
      <c r="F1763" s="177"/>
      <c r="G1763" s="117"/>
      <c r="H1763" s="93"/>
      <c r="I1763" s="41"/>
      <c r="J1763" s="136"/>
    </row>
    <row r="1764" spans="1:10" x14ac:dyDescent="0.35">
      <c r="A1764" s="92"/>
      <c r="F1764" s="177"/>
      <c r="G1764" s="117"/>
      <c r="H1764" s="93"/>
      <c r="I1764" s="41"/>
      <c r="J1764" s="136"/>
    </row>
    <row r="1765" spans="1:10" x14ac:dyDescent="0.35">
      <c r="A1765" s="92"/>
      <c r="F1765" s="177"/>
      <c r="G1765" s="117"/>
      <c r="H1765" s="93"/>
      <c r="I1765" s="41"/>
      <c r="J1765" s="136"/>
    </row>
    <row r="1766" spans="1:10" x14ac:dyDescent="0.35">
      <c r="A1766" s="92"/>
      <c r="F1766" s="177"/>
      <c r="G1766" s="117"/>
      <c r="H1766" s="93"/>
      <c r="I1766" s="41"/>
      <c r="J1766" s="136"/>
    </row>
    <row r="1767" spans="1:10" x14ac:dyDescent="0.35">
      <c r="A1767" s="92"/>
      <c r="F1767" s="177"/>
      <c r="G1767" s="117"/>
      <c r="H1767" s="93"/>
      <c r="I1767" s="41"/>
      <c r="J1767" s="136"/>
    </row>
    <row r="1768" spans="1:10" x14ac:dyDescent="0.35">
      <c r="A1768" s="92"/>
      <c r="F1768" s="177"/>
      <c r="G1768" s="117"/>
      <c r="H1768" s="93"/>
      <c r="I1768" s="41"/>
      <c r="J1768" s="136"/>
    </row>
    <row r="1769" spans="1:10" x14ac:dyDescent="0.35">
      <c r="A1769" s="92"/>
      <c r="F1769" s="177"/>
      <c r="G1769" s="117"/>
      <c r="H1769" s="93"/>
      <c r="I1769" s="41"/>
      <c r="J1769" s="136"/>
    </row>
    <row r="1770" spans="1:10" x14ac:dyDescent="0.35">
      <c r="A1770" s="92"/>
      <c r="F1770" s="177"/>
      <c r="G1770" s="117"/>
      <c r="H1770" s="93"/>
      <c r="I1770" s="41"/>
      <c r="J1770" s="136"/>
    </row>
    <row r="1771" spans="1:10" x14ac:dyDescent="0.35">
      <c r="A1771" s="92"/>
      <c r="F1771" s="177"/>
      <c r="G1771" s="117"/>
      <c r="H1771" s="93"/>
      <c r="I1771" s="41"/>
      <c r="J1771" s="136"/>
    </row>
    <row r="1772" spans="1:10" x14ac:dyDescent="0.35">
      <c r="A1772" s="92"/>
      <c r="F1772" s="177"/>
      <c r="G1772" s="117"/>
      <c r="H1772" s="93"/>
      <c r="I1772" s="41"/>
      <c r="J1772" s="136"/>
    </row>
    <row r="1773" spans="1:10" x14ac:dyDescent="0.35">
      <c r="A1773" s="92"/>
      <c r="F1773" s="177"/>
      <c r="G1773" s="117"/>
      <c r="H1773" s="93"/>
      <c r="I1773" s="41"/>
      <c r="J1773" s="136"/>
    </row>
    <row r="1774" spans="1:10" x14ac:dyDescent="0.35">
      <c r="A1774" s="92"/>
      <c r="F1774" s="177"/>
      <c r="G1774" s="117"/>
      <c r="H1774" s="93"/>
      <c r="I1774" s="41"/>
      <c r="J1774" s="136"/>
    </row>
    <row r="1775" spans="1:10" x14ac:dyDescent="0.35">
      <c r="A1775" s="92"/>
      <c r="F1775" s="177"/>
      <c r="G1775" s="117"/>
      <c r="H1775" s="93"/>
      <c r="I1775" s="41"/>
      <c r="J1775" s="136"/>
    </row>
    <row r="1776" spans="1:10" x14ac:dyDescent="0.35">
      <c r="A1776" s="92"/>
      <c r="F1776" s="177"/>
      <c r="G1776" s="117"/>
      <c r="H1776" s="93"/>
      <c r="I1776" s="41"/>
      <c r="J1776" s="136"/>
    </row>
    <row r="1777" spans="1:10" x14ac:dyDescent="0.35">
      <c r="A1777" s="92"/>
      <c r="F1777" s="177"/>
      <c r="G1777" s="117"/>
      <c r="H1777" s="93"/>
      <c r="I1777" s="41"/>
      <c r="J1777" s="136"/>
    </row>
    <row r="1778" spans="1:10" x14ac:dyDescent="0.35">
      <c r="A1778" s="92"/>
      <c r="F1778" s="177"/>
      <c r="G1778" s="117"/>
      <c r="H1778" s="93"/>
      <c r="I1778" s="41"/>
      <c r="J1778" s="136"/>
    </row>
    <row r="1779" spans="1:10" x14ac:dyDescent="0.35">
      <c r="A1779" s="92"/>
      <c r="F1779" s="177"/>
      <c r="G1779" s="117"/>
      <c r="H1779" s="93"/>
      <c r="I1779" s="41"/>
      <c r="J1779" s="136"/>
    </row>
    <row r="1780" spans="1:10" x14ac:dyDescent="0.35">
      <c r="A1780" s="92"/>
      <c r="F1780" s="177"/>
      <c r="G1780" s="117"/>
      <c r="H1780" s="93"/>
      <c r="I1780" s="41"/>
      <c r="J1780" s="136"/>
    </row>
    <row r="1781" spans="1:10" x14ac:dyDescent="0.35">
      <c r="A1781" s="92"/>
      <c r="F1781" s="177"/>
      <c r="G1781" s="117"/>
      <c r="H1781" s="93"/>
      <c r="I1781" s="41"/>
      <c r="J1781" s="136"/>
    </row>
    <row r="1782" spans="1:10" x14ac:dyDescent="0.35">
      <c r="A1782" s="92"/>
      <c r="F1782" s="177"/>
      <c r="G1782" s="117"/>
      <c r="H1782" s="93"/>
      <c r="I1782" s="41"/>
      <c r="J1782" s="136"/>
    </row>
    <row r="1783" spans="1:10" x14ac:dyDescent="0.35">
      <c r="A1783" s="92"/>
      <c r="F1783" s="177"/>
      <c r="G1783" s="117"/>
      <c r="H1783" s="93"/>
      <c r="I1783" s="41"/>
      <c r="J1783" s="136"/>
    </row>
    <row r="1784" spans="1:10" x14ac:dyDescent="0.35">
      <c r="A1784" s="92"/>
      <c r="F1784" s="177"/>
      <c r="G1784" s="117"/>
      <c r="H1784" s="93"/>
      <c r="I1784" s="41"/>
      <c r="J1784" s="136"/>
    </row>
    <row r="1785" spans="1:10" x14ac:dyDescent="0.35">
      <c r="A1785" s="92"/>
      <c r="F1785" s="177"/>
      <c r="G1785" s="117"/>
      <c r="H1785" s="93"/>
      <c r="I1785" s="41"/>
      <c r="J1785" s="136"/>
    </row>
    <row r="1786" spans="1:10" x14ac:dyDescent="0.35">
      <c r="A1786" s="92"/>
      <c r="F1786" s="177"/>
      <c r="G1786" s="117"/>
      <c r="H1786" s="93"/>
      <c r="I1786" s="41"/>
      <c r="J1786" s="136"/>
    </row>
    <row r="1787" spans="1:10" x14ac:dyDescent="0.35">
      <c r="A1787" s="92"/>
      <c r="F1787" s="177"/>
      <c r="G1787" s="117"/>
      <c r="H1787" s="93"/>
      <c r="I1787" s="41"/>
      <c r="J1787" s="136"/>
    </row>
    <row r="1788" spans="1:10" x14ac:dyDescent="0.35">
      <c r="A1788" s="92"/>
      <c r="F1788" s="177"/>
      <c r="G1788" s="117"/>
      <c r="H1788" s="93"/>
      <c r="I1788" s="41"/>
      <c r="J1788" s="136"/>
    </row>
    <row r="1789" spans="1:10" x14ac:dyDescent="0.35">
      <c r="A1789" s="92"/>
      <c r="F1789" s="177"/>
      <c r="G1789" s="117"/>
      <c r="H1789" s="93"/>
      <c r="I1789" s="41"/>
      <c r="J1789" s="136"/>
    </row>
    <row r="1790" spans="1:10" x14ac:dyDescent="0.35">
      <c r="A1790" s="92"/>
      <c r="F1790" s="177"/>
      <c r="G1790" s="117"/>
      <c r="H1790" s="93"/>
      <c r="I1790" s="41"/>
      <c r="J1790" s="136"/>
    </row>
    <row r="1791" spans="1:10" x14ac:dyDescent="0.35">
      <c r="A1791" s="92"/>
      <c r="F1791" s="177"/>
      <c r="G1791" s="117"/>
      <c r="H1791" s="93"/>
      <c r="I1791" s="41"/>
      <c r="J1791" s="136"/>
    </row>
    <row r="1792" spans="1:10" x14ac:dyDescent="0.35">
      <c r="A1792" s="92"/>
      <c r="F1792" s="177"/>
      <c r="G1792" s="117"/>
      <c r="H1792" s="93"/>
      <c r="I1792" s="41"/>
      <c r="J1792" s="136"/>
    </row>
    <row r="1793" spans="1:10" x14ac:dyDescent="0.35">
      <c r="A1793" s="92"/>
      <c r="F1793" s="177"/>
      <c r="G1793" s="117"/>
      <c r="H1793" s="93"/>
      <c r="I1793" s="41"/>
      <c r="J1793" s="136"/>
    </row>
    <row r="1794" spans="1:10" x14ac:dyDescent="0.35">
      <c r="A1794" s="92"/>
      <c r="F1794" s="177"/>
      <c r="G1794" s="117"/>
      <c r="H1794" s="93"/>
      <c r="I1794" s="41"/>
      <c r="J1794" s="136"/>
    </row>
    <row r="1795" spans="1:10" x14ac:dyDescent="0.35">
      <c r="A1795" s="92"/>
      <c r="F1795" s="177"/>
      <c r="G1795" s="117"/>
      <c r="H1795" s="93"/>
      <c r="I1795" s="41"/>
      <c r="J1795" s="136"/>
    </row>
    <row r="1796" spans="1:10" x14ac:dyDescent="0.35">
      <c r="A1796" s="92"/>
      <c r="F1796" s="177"/>
      <c r="G1796" s="117"/>
      <c r="H1796" s="93"/>
      <c r="I1796" s="41"/>
      <c r="J1796" s="136"/>
    </row>
    <row r="1797" spans="1:10" x14ac:dyDescent="0.35">
      <c r="A1797" s="92"/>
      <c r="F1797" s="177"/>
      <c r="G1797" s="117"/>
      <c r="H1797" s="93"/>
      <c r="I1797" s="41"/>
      <c r="J1797" s="136"/>
    </row>
    <row r="1798" spans="1:10" x14ac:dyDescent="0.35">
      <c r="A1798" s="92"/>
      <c r="F1798" s="177"/>
      <c r="G1798" s="117"/>
      <c r="H1798" s="93"/>
      <c r="I1798" s="41"/>
      <c r="J1798" s="136"/>
    </row>
    <row r="1799" spans="1:10" x14ac:dyDescent="0.35">
      <c r="A1799" s="92"/>
      <c r="F1799" s="177"/>
      <c r="G1799" s="117"/>
      <c r="H1799" s="93"/>
      <c r="I1799" s="41"/>
      <c r="J1799" s="136"/>
    </row>
    <row r="1800" spans="1:10" x14ac:dyDescent="0.35">
      <c r="A1800" s="92"/>
      <c r="F1800" s="177"/>
      <c r="G1800" s="117"/>
      <c r="H1800" s="93"/>
      <c r="I1800" s="41"/>
      <c r="J1800" s="136"/>
    </row>
    <row r="1801" spans="1:10" x14ac:dyDescent="0.35">
      <c r="A1801" s="92"/>
      <c r="F1801" s="177"/>
      <c r="G1801" s="117"/>
      <c r="H1801" s="93"/>
      <c r="I1801" s="41"/>
      <c r="J1801" s="136"/>
    </row>
    <row r="1802" spans="1:10" x14ac:dyDescent="0.35">
      <c r="A1802" s="92"/>
      <c r="F1802" s="177"/>
      <c r="G1802" s="117"/>
      <c r="H1802" s="93"/>
      <c r="I1802" s="41"/>
      <c r="J1802" s="136"/>
    </row>
    <row r="1803" spans="1:10" x14ac:dyDescent="0.35">
      <c r="A1803" s="92"/>
      <c r="F1803" s="177"/>
      <c r="G1803" s="117"/>
      <c r="H1803" s="93"/>
      <c r="I1803" s="41"/>
      <c r="J1803" s="136"/>
    </row>
    <row r="1804" spans="1:10" x14ac:dyDescent="0.35">
      <c r="A1804" s="92"/>
      <c r="F1804" s="177"/>
      <c r="G1804" s="117"/>
      <c r="H1804" s="93"/>
      <c r="I1804" s="41"/>
      <c r="J1804" s="136"/>
    </row>
    <row r="1805" spans="1:10" x14ac:dyDescent="0.35">
      <c r="A1805" s="92"/>
      <c r="F1805" s="177"/>
      <c r="G1805" s="117"/>
      <c r="H1805" s="93"/>
      <c r="I1805" s="41"/>
      <c r="J1805" s="136"/>
    </row>
    <row r="1806" spans="1:10" x14ac:dyDescent="0.35">
      <c r="A1806" s="92"/>
      <c r="F1806" s="177"/>
      <c r="G1806" s="117"/>
      <c r="H1806" s="93"/>
      <c r="I1806" s="41"/>
      <c r="J1806" s="136"/>
    </row>
    <row r="1807" spans="1:10" x14ac:dyDescent="0.35">
      <c r="A1807" s="92"/>
      <c r="F1807" s="177"/>
      <c r="G1807" s="117"/>
      <c r="H1807" s="93"/>
      <c r="I1807" s="41"/>
      <c r="J1807" s="136"/>
    </row>
    <row r="1808" spans="1:10" x14ac:dyDescent="0.35">
      <c r="A1808" s="92"/>
      <c r="F1808" s="177"/>
      <c r="G1808" s="117"/>
      <c r="H1808" s="93"/>
      <c r="I1808" s="41"/>
      <c r="J1808" s="136"/>
    </row>
    <row r="1809" spans="1:10" x14ac:dyDescent="0.35">
      <c r="A1809" s="92"/>
      <c r="F1809" s="177"/>
      <c r="G1809" s="117"/>
      <c r="H1809" s="93"/>
      <c r="I1809" s="41"/>
      <c r="J1809" s="136"/>
    </row>
    <row r="1810" spans="1:10" x14ac:dyDescent="0.35">
      <c r="A1810" s="92"/>
      <c r="F1810" s="177"/>
      <c r="G1810" s="117"/>
      <c r="H1810" s="93"/>
      <c r="I1810" s="41"/>
      <c r="J1810" s="136"/>
    </row>
    <row r="1811" spans="1:10" x14ac:dyDescent="0.35">
      <c r="A1811" s="92"/>
      <c r="F1811" s="177"/>
      <c r="G1811" s="117"/>
      <c r="H1811" s="93"/>
      <c r="I1811" s="41"/>
      <c r="J1811" s="136"/>
    </row>
    <row r="1812" spans="1:10" x14ac:dyDescent="0.35">
      <c r="A1812" s="92"/>
      <c r="F1812" s="177"/>
      <c r="G1812" s="117"/>
      <c r="H1812" s="93"/>
      <c r="I1812" s="41"/>
      <c r="J1812" s="136"/>
    </row>
    <row r="1813" spans="1:10" x14ac:dyDescent="0.35">
      <c r="A1813" s="92"/>
      <c r="F1813" s="177"/>
      <c r="G1813" s="117"/>
      <c r="H1813" s="93"/>
      <c r="I1813" s="41"/>
      <c r="J1813" s="136"/>
    </row>
    <row r="1814" spans="1:10" x14ac:dyDescent="0.35">
      <c r="A1814" s="92"/>
      <c r="F1814" s="177"/>
      <c r="G1814" s="117"/>
      <c r="H1814" s="93"/>
      <c r="I1814" s="41"/>
      <c r="J1814" s="136"/>
    </row>
    <row r="1815" spans="1:10" x14ac:dyDescent="0.35">
      <c r="A1815" s="92"/>
      <c r="F1815" s="177"/>
      <c r="G1815" s="117"/>
      <c r="H1815" s="93"/>
      <c r="I1815" s="41"/>
      <c r="J1815" s="136"/>
    </row>
    <row r="1816" spans="1:10" x14ac:dyDescent="0.35">
      <c r="A1816" s="92"/>
      <c r="F1816" s="177"/>
      <c r="G1816" s="117"/>
      <c r="H1816" s="93"/>
      <c r="I1816" s="41"/>
      <c r="J1816" s="136"/>
    </row>
    <row r="1817" spans="1:10" x14ac:dyDescent="0.35">
      <c r="A1817" s="92"/>
      <c r="F1817" s="177"/>
      <c r="G1817" s="117"/>
      <c r="H1817" s="93"/>
      <c r="I1817" s="41"/>
      <c r="J1817" s="136"/>
    </row>
    <row r="1818" spans="1:10" x14ac:dyDescent="0.35">
      <c r="A1818" s="92"/>
      <c r="F1818" s="177"/>
      <c r="G1818" s="117"/>
      <c r="H1818" s="93"/>
      <c r="I1818" s="41"/>
      <c r="J1818" s="136"/>
    </row>
    <row r="1819" spans="1:10" x14ac:dyDescent="0.35">
      <c r="A1819" s="92"/>
      <c r="F1819" s="177"/>
      <c r="G1819" s="117"/>
      <c r="H1819" s="93"/>
      <c r="I1819" s="41"/>
      <c r="J1819" s="136"/>
    </row>
    <row r="1820" spans="1:10" x14ac:dyDescent="0.35">
      <c r="A1820" s="92"/>
      <c r="F1820" s="177"/>
      <c r="G1820" s="117"/>
      <c r="H1820" s="93"/>
      <c r="I1820" s="41"/>
      <c r="J1820" s="136"/>
    </row>
    <row r="1821" spans="1:10" x14ac:dyDescent="0.35">
      <c r="A1821" s="92"/>
      <c r="F1821" s="177"/>
      <c r="G1821" s="117"/>
      <c r="H1821" s="93"/>
      <c r="I1821" s="41"/>
      <c r="J1821" s="136"/>
    </row>
    <row r="1822" spans="1:10" x14ac:dyDescent="0.35">
      <c r="A1822" s="92"/>
      <c r="F1822" s="177"/>
      <c r="G1822" s="117"/>
      <c r="H1822" s="93"/>
      <c r="I1822" s="41"/>
      <c r="J1822" s="136"/>
    </row>
    <row r="1823" spans="1:10" x14ac:dyDescent="0.35">
      <c r="A1823" s="92"/>
      <c r="F1823" s="177"/>
      <c r="G1823" s="117"/>
      <c r="H1823" s="93"/>
      <c r="I1823" s="41"/>
      <c r="J1823" s="136"/>
    </row>
    <row r="1824" spans="1:10" x14ac:dyDescent="0.35">
      <c r="A1824" s="92"/>
      <c r="F1824" s="177"/>
      <c r="G1824" s="117"/>
      <c r="H1824" s="93"/>
      <c r="I1824" s="41"/>
      <c r="J1824" s="136"/>
    </row>
    <row r="1825" spans="1:10" x14ac:dyDescent="0.35">
      <c r="A1825" s="92"/>
      <c r="F1825" s="177"/>
      <c r="G1825" s="117"/>
      <c r="H1825" s="93"/>
      <c r="I1825" s="41"/>
      <c r="J1825" s="136"/>
    </row>
    <row r="1826" spans="1:10" x14ac:dyDescent="0.35">
      <c r="A1826" s="92"/>
      <c r="F1826" s="177"/>
      <c r="G1826" s="117"/>
      <c r="H1826" s="93"/>
      <c r="I1826" s="41"/>
      <c r="J1826" s="136"/>
    </row>
    <row r="1827" spans="1:10" x14ac:dyDescent="0.35">
      <c r="A1827" s="92"/>
      <c r="F1827" s="177"/>
      <c r="G1827" s="117"/>
      <c r="H1827" s="93"/>
      <c r="I1827" s="41"/>
      <c r="J1827" s="136"/>
    </row>
    <row r="1828" spans="1:10" x14ac:dyDescent="0.35">
      <c r="A1828" s="92"/>
      <c r="F1828" s="177"/>
      <c r="G1828" s="117"/>
      <c r="H1828" s="93"/>
      <c r="I1828" s="41"/>
      <c r="J1828" s="136"/>
    </row>
    <row r="1829" spans="1:10" x14ac:dyDescent="0.35">
      <c r="A1829" s="92"/>
      <c r="F1829" s="177"/>
      <c r="G1829" s="117"/>
      <c r="H1829" s="93"/>
      <c r="I1829" s="41"/>
      <c r="J1829" s="136"/>
    </row>
    <row r="1830" spans="1:10" x14ac:dyDescent="0.35">
      <c r="A1830" s="92"/>
      <c r="F1830" s="177"/>
      <c r="G1830" s="117"/>
      <c r="H1830" s="93"/>
      <c r="I1830" s="41"/>
      <c r="J1830" s="136"/>
    </row>
    <row r="1831" spans="1:10" x14ac:dyDescent="0.35">
      <c r="A1831" s="92"/>
      <c r="F1831" s="177"/>
      <c r="G1831" s="117"/>
      <c r="H1831" s="93"/>
      <c r="I1831" s="41"/>
      <c r="J1831" s="136"/>
    </row>
    <row r="1832" spans="1:10" x14ac:dyDescent="0.35">
      <c r="A1832" s="92"/>
      <c r="F1832" s="177"/>
      <c r="G1832" s="117"/>
      <c r="H1832" s="93"/>
      <c r="I1832" s="41"/>
      <c r="J1832" s="136"/>
    </row>
    <row r="1833" spans="1:10" x14ac:dyDescent="0.35">
      <c r="A1833" s="92"/>
      <c r="F1833" s="177"/>
      <c r="G1833" s="117"/>
      <c r="H1833" s="93"/>
      <c r="I1833" s="41"/>
      <c r="J1833" s="136"/>
    </row>
    <row r="1834" spans="1:10" x14ac:dyDescent="0.35">
      <c r="A1834" s="92"/>
      <c r="F1834" s="177"/>
      <c r="G1834" s="117"/>
      <c r="H1834" s="93"/>
      <c r="I1834" s="41"/>
      <c r="J1834" s="136"/>
    </row>
    <row r="1835" spans="1:10" x14ac:dyDescent="0.35">
      <c r="A1835" s="92"/>
      <c r="F1835" s="177"/>
      <c r="G1835" s="117"/>
      <c r="H1835" s="93"/>
      <c r="I1835" s="41"/>
      <c r="J1835" s="136"/>
    </row>
    <row r="1836" spans="1:10" x14ac:dyDescent="0.35">
      <c r="A1836" s="92"/>
      <c r="F1836" s="177"/>
      <c r="G1836" s="117"/>
      <c r="H1836" s="93"/>
      <c r="I1836" s="41"/>
      <c r="J1836" s="136"/>
    </row>
    <row r="1837" spans="1:10" x14ac:dyDescent="0.35">
      <c r="A1837" s="92"/>
      <c r="F1837" s="177"/>
      <c r="G1837" s="117"/>
      <c r="H1837" s="93"/>
      <c r="I1837" s="41"/>
      <c r="J1837" s="136"/>
    </row>
    <row r="1838" spans="1:10" x14ac:dyDescent="0.35">
      <c r="A1838" s="92"/>
      <c r="F1838" s="177"/>
      <c r="G1838" s="117"/>
      <c r="H1838" s="93"/>
      <c r="I1838" s="41"/>
      <c r="J1838" s="136"/>
    </row>
    <row r="1839" spans="1:10" x14ac:dyDescent="0.35">
      <c r="A1839" s="92"/>
      <c r="F1839" s="177"/>
      <c r="G1839" s="117"/>
      <c r="H1839" s="93"/>
      <c r="I1839" s="41"/>
      <c r="J1839" s="136"/>
    </row>
    <row r="1840" spans="1:10" x14ac:dyDescent="0.35">
      <c r="A1840" s="92"/>
      <c r="F1840" s="177"/>
      <c r="G1840" s="117"/>
      <c r="H1840" s="93"/>
      <c r="I1840" s="41"/>
      <c r="J1840" s="136"/>
    </row>
    <row r="1841" spans="1:10" x14ac:dyDescent="0.35">
      <c r="A1841" s="92"/>
      <c r="F1841" s="177"/>
      <c r="G1841" s="117"/>
      <c r="H1841" s="93"/>
      <c r="I1841" s="41"/>
      <c r="J1841" s="136"/>
    </row>
    <row r="1842" spans="1:10" x14ac:dyDescent="0.35">
      <c r="A1842" s="92"/>
      <c r="F1842" s="177"/>
      <c r="G1842" s="117"/>
      <c r="H1842" s="93"/>
      <c r="I1842" s="41"/>
      <c r="J1842" s="136"/>
    </row>
    <row r="1843" spans="1:10" x14ac:dyDescent="0.35">
      <c r="A1843" s="92"/>
      <c r="F1843" s="177"/>
      <c r="G1843" s="117"/>
      <c r="H1843" s="93"/>
      <c r="I1843" s="41"/>
      <c r="J1843" s="136"/>
    </row>
    <row r="1844" spans="1:10" x14ac:dyDescent="0.35">
      <c r="A1844" s="92"/>
      <c r="F1844" s="177"/>
      <c r="G1844" s="117"/>
      <c r="H1844" s="93"/>
      <c r="I1844" s="41"/>
      <c r="J1844" s="136"/>
    </row>
    <row r="1845" spans="1:10" x14ac:dyDescent="0.35">
      <c r="A1845" s="92"/>
      <c r="F1845" s="177"/>
      <c r="G1845" s="117"/>
      <c r="H1845" s="93"/>
      <c r="I1845" s="41"/>
      <c r="J1845" s="136"/>
    </row>
    <row r="1846" spans="1:10" x14ac:dyDescent="0.35">
      <c r="A1846" s="92"/>
      <c r="F1846" s="177"/>
      <c r="G1846" s="117"/>
      <c r="H1846" s="93"/>
      <c r="I1846" s="41"/>
      <c r="J1846" s="136"/>
    </row>
    <row r="1847" spans="1:10" x14ac:dyDescent="0.35">
      <c r="A1847" s="92"/>
      <c r="F1847" s="177"/>
      <c r="G1847" s="117"/>
      <c r="H1847" s="93"/>
      <c r="I1847" s="41"/>
      <c r="J1847" s="136"/>
    </row>
    <row r="1848" spans="1:10" x14ac:dyDescent="0.35">
      <c r="A1848" s="92"/>
      <c r="F1848" s="177"/>
      <c r="G1848" s="117"/>
      <c r="H1848" s="93"/>
      <c r="I1848" s="41"/>
      <c r="J1848" s="136"/>
    </row>
    <row r="1849" spans="1:10" x14ac:dyDescent="0.35">
      <c r="A1849" s="92"/>
      <c r="F1849" s="177"/>
      <c r="G1849" s="117"/>
      <c r="H1849" s="93"/>
      <c r="I1849" s="41"/>
      <c r="J1849" s="136"/>
    </row>
    <row r="1850" spans="1:10" x14ac:dyDescent="0.35">
      <c r="A1850" s="92"/>
      <c r="F1850" s="177"/>
      <c r="G1850" s="117"/>
      <c r="H1850" s="93"/>
      <c r="I1850" s="41"/>
      <c r="J1850" s="136"/>
    </row>
    <row r="1851" spans="1:10" x14ac:dyDescent="0.35">
      <c r="A1851" s="92"/>
      <c r="F1851" s="177"/>
      <c r="G1851" s="117"/>
      <c r="H1851" s="93"/>
      <c r="I1851" s="41"/>
      <c r="J1851" s="136"/>
    </row>
    <row r="1852" spans="1:10" x14ac:dyDescent="0.35">
      <c r="A1852" s="92"/>
      <c r="F1852" s="177"/>
      <c r="G1852" s="117"/>
      <c r="H1852" s="93"/>
      <c r="I1852" s="41"/>
      <c r="J1852" s="136"/>
    </row>
    <row r="1853" spans="1:10" x14ac:dyDescent="0.35">
      <c r="A1853" s="92"/>
      <c r="F1853" s="177"/>
      <c r="G1853" s="117"/>
      <c r="H1853" s="93"/>
      <c r="I1853" s="41"/>
      <c r="J1853" s="136"/>
    </row>
    <row r="1854" spans="1:10" x14ac:dyDescent="0.35">
      <c r="A1854" s="92"/>
      <c r="F1854" s="177"/>
      <c r="G1854" s="117"/>
      <c r="H1854" s="93"/>
      <c r="I1854" s="41"/>
      <c r="J1854" s="136"/>
    </row>
    <row r="1855" spans="1:10" x14ac:dyDescent="0.35">
      <c r="A1855" s="92"/>
      <c r="F1855" s="177"/>
      <c r="G1855" s="117"/>
      <c r="H1855" s="93"/>
      <c r="I1855" s="41"/>
      <c r="J1855" s="136"/>
    </row>
    <row r="1856" spans="1:10" x14ac:dyDescent="0.35">
      <c r="A1856" s="92"/>
      <c r="F1856" s="177"/>
      <c r="G1856" s="117"/>
      <c r="H1856" s="93"/>
      <c r="I1856" s="41"/>
      <c r="J1856" s="136"/>
    </row>
    <row r="1857" spans="1:10" x14ac:dyDescent="0.35">
      <c r="A1857" s="92"/>
      <c r="F1857" s="177"/>
      <c r="G1857" s="117"/>
      <c r="H1857" s="93"/>
      <c r="I1857" s="41"/>
      <c r="J1857" s="136"/>
    </row>
    <row r="1858" spans="1:10" x14ac:dyDescent="0.35">
      <c r="A1858" s="92"/>
      <c r="F1858" s="177"/>
      <c r="G1858" s="117"/>
      <c r="H1858" s="93"/>
      <c r="I1858" s="41"/>
      <c r="J1858" s="136"/>
    </row>
    <row r="1859" spans="1:10" x14ac:dyDescent="0.35">
      <c r="A1859" s="92"/>
      <c r="F1859" s="177"/>
      <c r="G1859" s="117"/>
      <c r="H1859" s="93"/>
      <c r="I1859" s="41"/>
      <c r="J1859" s="136"/>
    </row>
    <row r="1860" spans="1:10" x14ac:dyDescent="0.35">
      <c r="A1860" s="92"/>
      <c r="F1860" s="177"/>
      <c r="G1860" s="117"/>
      <c r="H1860" s="93"/>
      <c r="I1860" s="41"/>
      <c r="J1860" s="136"/>
    </row>
    <row r="1861" spans="1:10" x14ac:dyDescent="0.35">
      <c r="A1861" s="92"/>
      <c r="F1861" s="177"/>
      <c r="G1861" s="117"/>
      <c r="H1861" s="93"/>
      <c r="I1861" s="41"/>
      <c r="J1861" s="136"/>
    </row>
    <row r="1862" spans="1:10" x14ac:dyDescent="0.35">
      <c r="A1862" s="92"/>
      <c r="F1862" s="177"/>
      <c r="G1862" s="117"/>
      <c r="H1862" s="93"/>
      <c r="I1862" s="41"/>
      <c r="J1862" s="136"/>
    </row>
    <row r="1863" spans="1:10" x14ac:dyDescent="0.35">
      <c r="A1863" s="92"/>
      <c r="F1863" s="177"/>
      <c r="G1863" s="117"/>
      <c r="H1863" s="93"/>
      <c r="I1863" s="41"/>
      <c r="J1863" s="136"/>
    </row>
    <row r="1864" spans="1:10" x14ac:dyDescent="0.35">
      <c r="A1864" s="92"/>
      <c r="F1864" s="177"/>
      <c r="G1864" s="117"/>
      <c r="H1864" s="93"/>
      <c r="I1864" s="41"/>
      <c r="J1864" s="136"/>
    </row>
    <row r="1865" spans="1:10" x14ac:dyDescent="0.35">
      <c r="A1865" s="92"/>
      <c r="F1865" s="177"/>
      <c r="G1865" s="117"/>
      <c r="H1865" s="93"/>
      <c r="I1865" s="41"/>
      <c r="J1865" s="136"/>
    </row>
    <row r="1866" spans="1:10" x14ac:dyDescent="0.35">
      <c r="A1866" s="92"/>
      <c r="F1866" s="177"/>
      <c r="G1866" s="117"/>
      <c r="H1866" s="93"/>
      <c r="I1866" s="41"/>
      <c r="J1866" s="136"/>
    </row>
    <row r="1867" spans="1:10" x14ac:dyDescent="0.35">
      <c r="A1867" s="92"/>
      <c r="F1867" s="177"/>
      <c r="G1867" s="117"/>
      <c r="H1867" s="93"/>
      <c r="I1867" s="41"/>
      <c r="J1867" s="136"/>
    </row>
    <row r="1868" spans="1:10" x14ac:dyDescent="0.35">
      <c r="A1868" s="92"/>
      <c r="F1868" s="177"/>
      <c r="G1868" s="117"/>
      <c r="H1868" s="93"/>
      <c r="I1868" s="41"/>
      <c r="J1868" s="136"/>
    </row>
    <row r="1869" spans="1:10" x14ac:dyDescent="0.35">
      <c r="A1869" s="92"/>
      <c r="F1869" s="177"/>
      <c r="G1869" s="117"/>
      <c r="H1869" s="93"/>
      <c r="I1869" s="41"/>
      <c r="J1869" s="136"/>
    </row>
    <row r="1870" spans="1:10" x14ac:dyDescent="0.35">
      <c r="A1870" s="92"/>
      <c r="F1870" s="177"/>
      <c r="G1870" s="117"/>
      <c r="H1870" s="93"/>
      <c r="I1870" s="41"/>
      <c r="J1870" s="136"/>
    </row>
    <row r="1871" spans="1:10" x14ac:dyDescent="0.35">
      <c r="A1871" s="92"/>
      <c r="F1871" s="177"/>
      <c r="G1871" s="117"/>
      <c r="H1871" s="93"/>
      <c r="I1871" s="41"/>
      <c r="J1871" s="136"/>
    </row>
    <row r="1872" spans="1:10" x14ac:dyDescent="0.35">
      <c r="A1872" s="92"/>
      <c r="F1872" s="177"/>
      <c r="G1872" s="117"/>
      <c r="H1872" s="93"/>
      <c r="I1872" s="41"/>
      <c r="J1872" s="136"/>
    </row>
    <row r="1873" spans="1:10" x14ac:dyDescent="0.35">
      <c r="A1873" s="92"/>
      <c r="F1873" s="177"/>
      <c r="G1873" s="117"/>
      <c r="H1873" s="93"/>
      <c r="I1873" s="41"/>
      <c r="J1873" s="136"/>
    </row>
    <row r="1874" spans="1:10" x14ac:dyDescent="0.35">
      <c r="A1874" s="92"/>
      <c r="F1874" s="177"/>
      <c r="G1874" s="117"/>
      <c r="H1874" s="93"/>
      <c r="I1874" s="41"/>
      <c r="J1874" s="136"/>
    </row>
    <row r="1875" spans="1:10" x14ac:dyDescent="0.35">
      <c r="A1875" s="92"/>
      <c r="F1875" s="177"/>
      <c r="G1875" s="117"/>
      <c r="H1875" s="93"/>
      <c r="I1875" s="41"/>
      <c r="J1875" s="136"/>
    </row>
    <row r="1876" spans="1:10" x14ac:dyDescent="0.35">
      <c r="A1876" s="92"/>
      <c r="F1876" s="177"/>
      <c r="G1876" s="117"/>
      <c r="H1876" s="93"/>
      <c r="I1876" s="41"/>
      <c r="J1876" s="136"/>
    </row>
    <row r="1877" spans="1:10" x14ac:dyDescent="0.35">
      <c r="A1877" s="92"/>
      <c r="F1877" s="177"/>
      <c r="G1877" s="117"/>
      <c r="H1877" s="93"/>
      <c r="I1877" s="41"/>
      <c r="J1877" s="136"/>
    </row>
    <row r="1878" spans="1:10" x14ac:dyDescent="0.35">
      <c r="A1878" s="92"/>
      <c r="F1878" s="177"/>
      <c r="G1878" s="117"/>
      <c r="H1878" s="93"/>
      <c r="I1878" s="41"/>
      <c r="J1878" s="136"/>
    </row>
    <row r="1879" spans="1:10" x14ac:dyDescent="0.35">
      <c r="A1879" s="92"/>
      <c r="F1879" s="177"/>
      <c r="G1879" s="117"/>
      <c r="H1879" s="93"/>
      <c r="I1879" s="41"/>
      <c r="J1879" s="136"/>
    </row>
    <row r="1880" spans="1:10" x14ac:dyDescent="0.35">
      <c r="A1880" s="92"/>
      <c r="F1880" s="177"/>
      <c r="G1880" s="117"/>
      <c r="H1880" s="93"/>
      <c r="I1880" s="41"/>
      <c r="J1880" s="136"/>
    </row>
    <row r="1881" spans="1:10" x14ac:dyDescent="0.35">
      <c r="A1881" s="92"/>
      <c r="F1881" s="177"/>
      <c r="G1881" s="117"/>
      <c r="H1881" s="93"/>
      <c r="I1881" s="41"/>
      <c r="J1881" s="136"/>
    </row>
    <row r="1882" spans="1:10" x14ac:dyDescent="0.3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5" x14ac:dyDescent="0.35"/>
  <cols>
    <col min="1" max="1" width="11.7265625" style="29" customWidth="1"/>
    <col min="2" max="2" width="19.08984375" style="20" customWidth="1"/>
    <col min="3" max="3" width="24.7265625" style="21" customWidth="1"/>
    <col min="4" max="4" width="16.7265625" style="122" customWidth="1"/>
    <col min="5" max="5" width="12.7265625" style="936" customWidth="1"/>
    <col min="6" max="6" width="15.7265625" style="165" customWidth="1"/>
    <col min="7" max="7" width="24.08984375" style="115" customWidth="1"/>
    <col min="8" max="8" width="15.7265625" style="10" customWidth="1"/>
    <col min="9" max="9" width="12.7265625" customWidth="1"/>
    <col min="10" max="10" width="14.36328125" style="131" customWidth="1"/>
    <col min="11" max="11" width="14.36328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3">
      <c r="A1" s="1"/>
      <c r="B1" s="1178"/>
      <c r="C1" s="1179"/>
      <c r="D1" s="123" t="s">
        <v>0</v>
      </c>
      <c r="E1" s="929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3">
      <c r="A2" s="60"/>
      <c r="B2" s="61"/>
      <c r="C2" s="62"/>
      <c r="D2" s="124" t="s">
        <v>151</v>
      </c>
      <c r="E2" s="930">
        <f>SUM(D6:D203)-SUM(E6:E203)</f>
        <v>3800</v>
      </c>
      <c r="F2" s="175" t="s">
        <v>152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3">
      <c r="A3" s="60"/>
      <c r="B3" s="61"/>
      <c r="C3" s="62"/>
      <c r="D3" s="125"/>
      <c r="E3" s="930"/>
      <c r="F3" s="175" t="s">
        <v>150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35">
      <c r="A4" s="1"/>
      <c r="B4" s="4"/>
      <c r="C4" s="5"/>
      <c r="D4" s="125" t="s">
        <v>173</v>
      </c>
      <c r="E4" s="930">
        <v>64925.07</v>
      </c>
      <c r="F4" s="175" t="s">
        <v>149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35">
      <c r="A5" s="1"/>
      <c r="B5" s="7" t="s">
        <v>7</v>
      </c>
      <c r="C5" s="8" t="s">
        <v>8</v>
      </c>
      <c r="D5" s="126" t="s">
        <v>9</v>
      </c>
      <c r="E5" s="931" t="s">
        <v>63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35">
      <c r="A6" s="94" t="s">
        <v>11</v>
      </c>
      <c r="B6" s="95">
        <v>42736</v>
      </c>
      <c r="C6" s="94" t="s">
        <v>12</v>
      </c>
      <c r="D6" s="172">
        <v>1000</v>
      </c>
      <c r="E6" s="932"/>
      <c r="F6" s="176"/>
      <c r="G6" s="113"/>
    </row>
    <row r="7" spans="1:12" x14ac:dyDescent="0.35">
      <c r="A7" s="94"/>
      <c r="B7" s="95">
        <v>42738</v>
      </c>
      <c r="C7" s="94" t="s">
        <v>13</v>
      </c>
      <c r="D7" s="172">
        <v>16000</v>
      </c>
      <c r="E7" s="932"/>
      <c r="F7" s="176"/>
      <c r="G7" s="114"/>
      <c r="H7" s="11"/>
      <c r="I7" s="12"/>
    </row>
    <row r="8" spans="1:12" x14ac:dyDescent="0.35">
      <c r="A8" s="94"/>
      <c r="B8" s="95">
        <v>42753</v>
      </c>
      <c r="C8" s="94" t="s">
        <v>135</v>
      </c>
      <c r="D8" s="172">
        <v>3800</v>
      </c>
      <c r="E8" s="932">
        <v>3800</v>
      </c>
      <c r="F8" s="176"/>
      <c r="G8" s="114"/>
      <c r="H8" s="91"/>
      <c r="I8" s="12"/>
    </row>
    <row r="9" spans="1:12" x14ac:dyDescent="0.35">
      <c r="A9" s="94"/>
      <c r="B9" s="95">
        <v>42745</v>
      </c>
      <c r="C9" s="94" t="s">
        <v>135</v>
      </c>
      <c r="D9" s="172">
        <v>1500</v>
      </c>
      <c r="E9" s="932">
        <v>1500</v>
      </c>
      <c r="F9" s="176"/>
      <c r="G9" s="114"/>
      <c r="H9" s="11"/>
      <c r="I9" s="12"/>
    </row>
    <row r="10" spans="1:12" x14ac:dyDescent="0.35">
      <c r="A10" s="94"/>
      <c r="B10" s="95">
        <v>42762</v>
      </c>
      <c r="C10" s="94" t="s">
        <v>135</v>
      </c>
      <c r="D10" s="172">
        <v>2700</v>
      </c>
      <c r="E10" s="932">
        <v>2700</v>
      </c>
      <c r="F10" s="176"/>
      <c r="G10" s="114"/>
      <c r="H10" s="11"/>
      <c r="I10" s="12"/>
    </row>
    <row r="11" spans="1:12" x14ac:dyDescent="0.35">
      <c r="A11" s="94"/>
      <c r="B11" s="95">
        <v>42749</v>
      </c>
      <c r="C11" s="94" t="s">
        <v>127</v>
      </c>
      <c r="D11" s="172">
        <v>2500</v>
      </c>
      <c r="E11" s="932">
        <v>2500</v>
      </c>
      <c r="F11" s="176"/>
      <c r="G11" s="114"/>
      <c r="H11" s="11"/>
      <c r="I11" s="12"/>
    </row>
    <row r="12" spans="1:12" x14ac:dyDescent="0.35">
      <c r="A12" s="94"/>
      <c r="B12" s="95">
        <v>42745</v>
      </c>
      <c r="C12" s="94" t="s">
        <v>128</v>
      </c>
      <c r="D12" s="172">
        <v>3500</v>
      </c>
      <c r="E12" s="932">
        <v>3500</v>
      </c>
      <c r="F12" s="176"/>
      <c r="G12" s="114"/>
      <c r="H12" s="11"/>
      <c r="I12" s="12"/>
    </row>
    <row r="13" spans="1:12" x14ac:dyDescent="0.35">
      <c r="A13" s="94"/>
      <c r="B13" s="95">
        <v>42739</v>
      </c>
      <c r="C13" s="94" t="s">
        <v>115</v>
      </c>
      <c r="D13" s="172"/>
      <c r="E13" s="932">
        <v>500</v>
      </c>
      <c r="F13" s="176"/>
      <c r="G13" s="114"/>
      <c r="H13" s="11"/>
      <c r="I13" s="12"/>
    </row>
    <row r="14" spans="1:12" x14ac:dyDescent="0.35">
      <c r="A14" s="94"/>
      <c r="B14" s="95">
        <v>42745</v>
      </c>
      <c r="C14" s="94" t="s">
        <v>14</v>
      </c>
      <c r="D14" s="172"/>
      <c r="E14" s="932">
        <v>4000</v>
      </c>
      <c r="F14" s="176"/>
      <c r="G14" s="114"/>
      <c r="H14" s="11"/>
      <c r="I14" s="12"/>
    </row>
    <row r="15" spans="1:12" x14ac:dyDescent="0.35">
      <c r="A15" s="94"/>
      <c r="B15" s="95">
        <v>42739</v>
      </c>
      <c r="C15" s="94" t="s">
        <v>129</v>
      </c>
      <c r="D15" s="172"/>
      <c r="E15" s="932">
        <v>300</v>
      </c>
      <c r="F15" s="176"/>
      <c r="G15" s="114"/>
      <c r="H15" s="11"/>
      <c r="I15" s="12"/>
    </row>
    <row r="16" spans="1:12" x14ac:dyDescent="0.35">
      <c r="A16" s="94"/>
      <c r="B16" s="95">
        <v>42739</v>
      </c>
      <c r="C16" s="94" t="s">
        <v>38</v>
      </c>
      <c r="D16" s="172"/>
      <c r="E16" s="932">
        <v>700</v>
      </c>
      <c r="F16" s="176"/>
      <c r="G16" s="114"/>
      <c r="H16" s="11"/>
      <c r="I16" s="12"/>
    </row>
    <row r="17" spans="1:12" x14ac:dyDescent="0.35">
      <c r="A17" s="94"/>
      <c r="B17" s="95">
        <v>42766</v>
      </c>
      <c r="C17" s="94" t="s">
        <v>100</v>
      </c>
      <c r="D17" s="172"/>
      <c r="E17" s="932">
        <v>600</v>
      </c>
      <c r="F17" s="176"/>
      <c r="G17" s="114"/>
      <c r="H17" s="11"/>
      <c r="I17" s="12"/>
    </row>
    <row r="18" spans="1:12" x14ac:dyDescent="0.35">
      <c r="A18" s="94"/>
      <c r="B18" s="95">
        <v>42766</v>
      </c>
      <c r="C18" s="94" t="s">
        <v>146</v>
      </c>
      <c r="D18" s="172"/>
      <c r="E18" s="932">
        <v>400</v>
      </c>
      <c r="F18" s="176"/>
      <c r="G18" s="114"/>
      <c r="H18" s="11"/>
      <c r="I18" s="12"/>
    </row>
    <row r="19" spans="1:12" x14ac:dyDescent="0.35">
      <c r="A19" s="96"/>
      <c r="B19" s="95">
        <v>42766</v>
      </c>
      <c r="C19" s="94" t="s">
        <v>15</v>
      </c>
      <c r="D19" s="172"/>
      <c r="E19" s="932">
        <v>4500</v>
      </c>
      <c r="F19" s="176"/>
      <c r="G19" s="114"/>
      <c r="H19" s="13"/>
      <c r="I19" s="12"/>
    </row>
    <row r="20" spans="1:12" x14ac:dyDescent="0.35">
      <c r="A20" s="96"/>
      <c r="B20" s="95">
        <v>42739</v>
      </c>
      <c r="C20" s="94" t="s">
        <v>53</v>
      </c>
      <c r="D20" s="172"/>
      <c r="E20" s="932">
        <v>4500</v>
      </c>
      <c r="F20" s="176"/>
      <c r="G20" s="114"/>
      <c r="H20" s="13"/>
      <c r="I20" s="12"/>
      <c r="K20" s="28"/>
      <c r="L20" s="28"/>
    </row>
    <row r="21" spans="1:12" x14ac:dyDescent="0.35">
      <c r="A21" s="96"/>
      <c r="B21" s="95"/>
      <c r="C21" s="94"/>
      <c r="D21" s="172"/>
      <c r="E21" s="93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35">
      <c r="A22" s="94" t="s">
        <v>16</v>
      </c>
      <c r="B22" s="95">
        <v>42772</v>
      </c>
      <c r="C22" s="94" t="s">
        <v>13</v>
      </c>
      <c r="D22" s="172">
        <v>16000</v>
      </c>
      <c r="E22" s="932"/>
      <c r="F22" s="176"/>
      <c r="G22" s="114"/>
      <c r="H22" s="11"/>
      <c r="I22" s="90"/>
      <c r="K22" s="28"/>
      <c r="L22" s="28"/>
    </row>
    <row r="23" spans="1:12" x14ac:dyDescent="0.35">
      <c r="A23" s="94"/>
      <c r="B23" s="95">
        <v>42777</v>
      </c>
      <c r="C23" s="94" t="s">
        <v>147</v>
      </c>
      <c r="D23" s="172"/>
      <c r="E23" s="932">
        <v>1350</v>
      </c>
      <c r="F23" s="176"/>
      <c r="G23" s="114"/>
      <c r="H23" s="11"/>
      <c r="I23" s="90"/>
      <c r="K23" s="28"/>
      <c r="L23" s="28"/>
    </row>
    <row r="24" spans="1:12" x14ac:dyDescent="0.35">
      <c r="A24" s="94"/>
      <c r="B24" s="95">
        <v>42772</v>
      </c>
      <c r="C24" s="94" t="s">
        <v>100</v>
      </c>
      <c r="D24" s="172"/>
      <c r="E24" s="932">
        <v>100</v>
      </c>
      <c r="F24" s="176"/>
      <c r="G24" s="114"/>
      <c r="H24" s="11"/>
      <c r="I24" s="99"/>
      <c r="K24" s="28"/>
      <c r="L24" s="28"/>
    </row>
    <row r="25" spans="1:12" x14ac:dyDescent="0.35">
      <c r="A25" s="94"/>
      <c r="B25" s="95">
        <v>42774</v>
      </c>
      <c r="C25" s="94" t="s">
        <v>148</v>
      </c>
      <c r="D25" s="172"/>
      <c r="E25" s="932">
        <v>500</v>
      </c>
      <c r="F25" s="176"/>
      <c r="G25" s="114"/>
      <c r="H25" s="11"/>
      <c r="I25" s="90"/>
      <c r="K25" s="28"/>
      <c r="L25" s="28"/>
    </row>
    <row r="26" spans="1:12" x14ac:dyDescent="0.35">
      <c r="A26" s="94"/>
      <c r="B26" s="95">
        <v>42774</v>
      </c>
      <c r="C26" s="94" t="s">
        <v>115</v>
      </c>
      <c r="D26" s="172"/>
      <c r="E26" s="932">
        <v>400</v>
      </c>
      <c r="F26" s="176"/>
      <c r="G26" s="114"/>
      <c r="H26" s="98"/>
      <c r="I26" s="75"/>
      <c r="K26" s="28"/>
      <c r="L26" s="28"/>
    </row>
    <row r="27" spans="1:12" x14ac:dyDescent="0.35">
      <c r="A27" s="94"/>
      <c r="B27" s="95">
        <v>42775</v>
      </c>
      <c r="C27" s="94" t="s">
        <v>14</v>
      </c>
      <c r="D27" s="172"/>
      <c r="E27" s="932">
        <v>1250</v>
      </c>
      <c r="F27" s="176"/>
      <c r="G27" s="114"/>
      <c r="H27" s="98"/>
      <c r="I27" s="75"/>
      <c r="K27" s="28"/>
      <c r="L27" s="28"/>
    </row>
    <row r="28" spans="1:12" x14ac:dyDescent="0.35">
      <c r="A28" s="94"/>
      <c r="B28" s="95">
        <v>42773</v>
      </c>
      <c r="C28" s="94" t="s">
        <v>53</v>
      </c>
      <c r="D28" s="172"/>
      <c r="E28" s="932">
        <v>7800</v>
      </c>
      <c r="F28" s="176"/>
      <c r="G28" s="114"/>
      <c r="H28" s="98"/>
      <c r="I28" s="75"/>
      <c r="K28" s="28"/>
      <c r="L28" s="28"/>
    </row>
    <row r="29" spans="1:12" x14ac:dyDescent="0.35">
      <c r="A29" s="94"/>
      <c r="B29" s="95">
        <v>42773</v>
      </c>
      <c r="C29" s="94" t="s">
        <v>38</v>
      </c>
      <c r="D29" s="172"/>
      <c r="E29" s="932">
        <v>600</v>
      </c>
      <c r="F29" s="176"/>
      <c r="G29" s="114"/>
      <c r="H29" s="98"/>
      <c r="I29" s="75"/>
      <c r="K29" s="28"/>
      <c r="L29" s="28"/>
    </row>
    <row r="30" spans="1:12" x14ac:dyDescent="0.35">
      <c r="A30" s="96"/>
      <c r="B30" s="95">
        <v>42794</v>
      </c>
      <c r="C30" s="94" t="s">
        <v>15</v>
      </c>
      <c r="D30" s="172"/>
      <c r="E30" s="932">
        <v>5500</v>
      </c>
      <c r="F30" s="176"/>
      <c r="G30" s="114"/>
      <c r="H30" s="11"/>
      <c r="I30" s="75"/>
      <c r="K30" s="28"/>
      <c r="L30" s="28"/>
    </row>
    <row r="31" spans="1:12" x14ac:dyDescent="0.35">
      <c r="A31" s="96"/>
      <c r="B31" s="95"/>
      <c r="C31" s="94"/>
      <c r="D31" s="172"/>
      <c r="E31" s="93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35">
      <c r="A32" s="94" t="s">
        <v>17</v>
      </c>
      <c r="B32" s="95">
        <v>42797</v>
      </c>
      <c r="C32" s="94" t="s">
        <v>13</v>
      </c>
      <c r="D32" s="172">
        <v>16000</v>
      </c>
      <c r="E32" s="932"/>
      <c r="F32" s="176"/>
      <c r="G32" s="114"/>
      <c r="H32" s="11"/>
      <c r="I32" s="12"/>
      <c r="K32" s="28"/>
      <c r="L32" s="28"/>
    </row>
    <row r="33" spans="1:12" x14ac:dyDescent="0.35">
      <c r="A33" s="94"/>
      <c r="B33" s="95">
        <v>42807</v>
      </c>
      <c r="C33" s="94" t="s">
        <v>136</v>
      </c>
      <c r="D33" s="172"/>
      <c r="E33" s="932">
        <v>600</v>
      </c>
      <c r="F33" s="176"/>
      <c r="G33" s="114"/>
      <c r="H33" s="11"/>
      <c r="I33" s="12"/>
      <c r="K33" s="28"/>
      <c r="L33" s="28"/>
    </row>
    <row r="34" spans="1:12" x14ac:dyDescent="0.35">
      <c r="A34" s="94"/>
      <c r="B34" s="95">
        <v>42801</v>
      </c>
      <c r="C34" s="94" t="s">
        <v>115</v>
      </c>
      <c r="D34" s="172"/>
      <c r="E34" s="932">
        <v>600</v>
      </c>
      <c r="F34" s="176"/>
      <c r="G34" s="114"/>
      <c r="H34" s="11"/>
      <c r="I34" s="12"/>
      <c r="K34" s="28"/>
      <c r="L34" s="28"/>
    </row>
    <row r="35" spans="1:12" x14ac:dyDescent="0.35">
      <c r="A35" s="94"/>
      <c r="B35" s="95">
        <v>42807</v>
      </c>
      <c r="C35" s="94" t="s">
        <v>14</v>
      </c>
      <c r="D35" s="172"/>
      <c r="E35" s="932">
        <v>1500</v>
      </c>
      <c r="F35" s="176"/>
      <c r="G35" s="114"/>
      <c r="H35" s="11"/>
      <c r="I35" s="12"/>
      <c r="K35" s="28"/>
      <c r="L35" s="28"/>
    </row>
    <row r="36" spans="1:12" x14ac:dyDescent="0.35">
      <c r="A36" s="94"/>
      <c r="B36" s="95">
        <v>42807</v>
      </c>
      <c r="C36" s="94" t="s">
        <v>154</v>
      </c>
      <c r="D36" s="172"/>
      <c r="E36" s="932">
        <v>3800</v>
      </c>
      <c r="F36" s="176"/>
      <c r="G36" s="114"/>
      <c r="H36" s="11"/>
      <c r="I36" s="12"/>
      <c r="K36" s="28"/>
      <c r="L36" s="28"/>
    </row>
    <row r="37" spans="1:12" x14ac:dyDescent="0.35">
      <c r="A37" s="94"/>
      <c r="B37" s="95">
        <v>42800</v>
      </c>
      <c r="C37" s="94" t="s">
        <v>155</v>
      </c>
      <c r="D37" s="172"/>
      <c r="E37" s="932">
        <v>2200</v>
      </c>
      <c r="F37" s="176"/>
      <c r="G37" s="114"/>
      <c r="H37" s="11"/>
      <c r="I37" s="12"/>
    </row>
    <row r="38" spans="1:12" x14ac:dyDescent="0.35">
      <c r="A38" s="96"/>
      <c r="B38" s="95">
        <v>42800</v>
      </c>
      <c r="C38" s="94" t="s">
        <v>38</v>
      </c>
      <c r="D38" s="172"/>
      <c r="E38" s="932">
        <v>500</v>
      </c>
      <c r="F38" s="176"/>
      <c r="G38" s="114"/>
      <c r="H38" s="13"/>
      <c r="I38" s="12"/>
    </row>
    <row r="39" spans="1:12" x14ac:dyDescent="0.35">
      <c r="A39" s="96"/>
      <c r="B39" s="95">
        <v>42817</v>
      </c>
      <c r="C39" s="94" t="s">
        <v>160</v>
      </c>
      <c r="D39" s="172"/>
      <c r="E39" s="932">
        <f>500+300+200+300</f>
        <v>1300</v>
      </c>
      <c r="F39" s="176"/>
      <c r="G39" s="114"/>
      <c r="H39" s="13"/>
      <c r="I39" s="12"/>
    </row>
    <row r="40" spans="1:12" x14ac:dyDescent="0.35">
      <c r="A40" s="96"/>
      <c r="B40" s="95">
        <v>42819</v>
      </c>
      <c r="C40" s="94" t="s">
        <v>159</v>
      </c>
      <c r="D40" s="172"/>
      <c r="E40" s="932">
        <v>800</v>
      </c>
      <c r="F40" s="176"/>
      <c r="G40" s="114"/>
      <c r="H40" s="13"/>
      <c r="I40" s="12"/>
    </row>
    <row r="41" spans="1:12" x14ac:dyDescent="0.35">
      <c r="A41" s="96"/>
      <c r="B41" s="95">
        <v>42825</v>
      </c>
      <c r="C41" s="94" t="s">
        <v>15</v>
      </c>
      <c r="D41" s="172"/>
      <c r="E41" s="932">
        <v>3700</v>
      </c>
      <c r="F41" s="176"/>
      <c r="G41" s="114"/>
      <c r="H41" s="13"/>
      <c r="I41" s="12"/>
    </row>
    <row r="42" spans="1:12" x14ac:dyDescent="0.35">
      <c r="A42" s="96"/>
      <c r="B42" s="95"/>
      <c r="C42" s="94"/>
      <c r="D42" s="172"/>
      <c r="E42" s="932"/>
      <c r="F42" s="176">
        <f>SUM(D31:D42)-SUM(E31:E42)</f>
        <v>1000</v>
      </c>
      <c r="G42" s="114">
        <v>123337.05</v>
      </c>
      <c r="H42" s="13"/>
      <c r="I42" s="12"/>
    </row>
    <row r="43" spans="1:12" x14ac:dyDescent="0.3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932"/>
      <c r="F43" s="176"/>
      <c r="G43" s="114"/>
      <c r="H43" s="13"/>
      <c r="I43" s="12"/>
    </row>
    <row r="44" spans="1:12" x14ac:dyDescent="0.35">
      <c r="A44" s="94"/>
      <c r="B44" s="95">
        <v>42842</v>
      </c>
      <c r="C44" s="94" t="s">
        <v>154</v>
      </c>
      <c r="D44" s="173">
        <v>3800</v>
      </c>
      <c r="E44" s="934"/>
      <c r="F44" s="176"/>
      <c r="G44" s="114"/>
      <c r="H44" s="13"/>
      <c r="I44" s="12"/>
    </row>
    <row r="45" spans="1:12" x14ac:dyDescent="0.35">
      <c r="A45" s="94"/>
      <c r="B45" s="95">
        <v>42846</v>
      </c>
      <c r="C45" s="94" t="s">
        <v>161</v>
      </c>
      <c r="D45" s="173">
        <v>25800</v>
      </c>
      <c r="E45" s="934"/>
      <c r="F45" s="176"/>
      <c r="G45" s="114"/>
      <c r="H45" s="13"/>
      <c r="I45" s="12"/>
    </row>
    <row r="46" spans="1:12" x14ac:dyDescent="0.35">
      <c r="A46" s="94"/>
      <c r="B46" s="95">
        <v>42842</v>
      </c>
      <c r="C46" s="94" t="s">
        <v>94</v>
      </c>
      <c r="D46" s="174"/>
      <c r="E46" s="933">
        <v>3400</v>
      </c>
      <c r="F46" s="176"/>
      <c r="G46" s="114"/>
      <c r="H46" s="13"/>
      <c r="I46" s="12"/>
    </row>
    <row r="47" spans="1:12" x14ac:dyDescent="0.35">
      <c r="A47" s="94"/>
      <c r="B47" s="95">
        <v>42843</v>
      </c>
      <c r="C47" s="94" t="s">
        <v>162</v>
      </c>
      <c r="D47" s="172"/>
      <c r="E47" s="933">
        <v>1500</v>
      </c>
      <c r="F47" s="176"/>
      <c r="G47" s="114"/>
      <c r="H47" s="13"/>
      <c r="I47" s="12"/>
    </row>
    <row r="48" spans="1:12" x14ac:dyDescent="0.35">
      <c r="A48" s="94"/>
      <c r="B48" s="95">
        <v>42837</v>
      </c>
      <c r="C48" s="94" t="s">
        <v>158</v>
      </c>
      <c r="D48" s="172"/>
      <c r="E48" s="932">
        <v>2000</v>
      </c>
      <c r="F48" s="176"/>
      <c r="G48" s="114"/>
      <c r="H48" s="13"/>
      <c r="I48" s="12"/>
    </row>
    <row r="49" spans="1:16" x14ac:dyDescent="0.35">
      <c r="A49" s="94"/>
      <c r="B49" s="95">
        <v>42842</v>
      </c>
      <c r="C49" s="94" t="s">
        <v>163</v>
      </c>
      <c r="D49" s="172"/>
      <c r="E49" s="933">
        <f>1200+4600</f>
        <v>5800</v>
      </c>
      <c r="F49" s="176"/>
      <c r="G49" s="114"/>
      <c r="H49" s="13"/>
      <c r="I49" s="12"/>
    </row>
    <row r="50" spans="1:16" x14ac:dyDescent="0.35">
      <c r="A50" s="94"/>
      <c r="B50" s="95">
        <v>42847</v>
      </c>
      <c r="C50" s="94" t="s">
        <v>157</v>
      </c>
      <c r="D50" s="172"/>
      <c r="E50" s="932">
        <v>800</v>
      </c>
      <c r="F50" s="176"/>
      <c r="G50" s="114"/>
      <c r="H50" s="13"/>
      <c r="I50" s="12"/>
    </row>
    <row r="51" spans="1:16" x14ac:dyDescent="0.35">
      <c r="A51" s="94"/>
      <c r="B51" s="95">
        <v>42838</v>
      </c>
      <c r="C51" s="94" t="s">
        <v>166</v>
      </c>
      <c r="D51" s="172"/>
      <c r="E51" s="932">
        <v>700</v>
      </c>
      <c r="F51" s="176"/>
      <c r="G51" s="114"/>
      <c r="H51" s="13"/>
      <c r="I51" s="12"/>
    </row>
    <row r="52" spans="1:16" x14ac:dyDescent="0.35">
      <c r="A52" s="94"/>
      <c r="B52" s="95">
        <v>42839</v>
      </c>
      <c r="C52" s="94" t="s">
        <v>170</v>
      </c>
      <c r="D52" s="172"/>
      <c r="E52" s="932">
        <f>800+700</f>
        <v>1500</v>
      </c>
      <c r="F52" s="176"/>
      <c r="G52" s="114"/>
      <c r="H52" s="13"/>
      <c r="I52" s="12"/>
    </row>
    <row r="53" spans="1:16" x14ac:dyDescent="0.35">
      <c r="A53" s="94"/>
      <c r="B53" s="95">
        <v>42868</v>
      </c>
      <c r="C53" s="94" t="s">
        <v>170</v>
      </c>
      <c r="D53" s="172"/>
      <c r="E53" s="932">
        <f>1500+1500</f>
        <v>3000</v>
      </c>
      <c r="F53" s="176"/>
      <c r="G53" s="114"/>
      <c r="H53" s="13"/>
      <c r="I53" s="12"/>
    </row>
    <row r="54" spans="1:16" x14ac:dyDescent="0.35">
      <c r="A54" s="94"/>
      <c r="B54" s="95">
        <v>42899</v>
      </c>
      <c r="C54" s="94" t="s">
        <v>170</v>
      </c>
      <c r="D54" s="172"/>
      <c r="E54" s="932">
        <f>1500+1800+3600</f>
        <v>6900</v>
      </c>
      <c r="F54" s="176"/>
      <c r="G54" s="114"/>
      <c r="H54" s="13"/>
      <c r="I54" s="12"/>
    </row>
    <row r="55" spans="1:16" x14ac:dyDescent="0.35">
      <c r="A55" s="94"/>
      <c r="B55" s="95">
        <v>42840</v>
      </c>
      <c r="C55" s="94" t="s">
        <v>165</v>
      </c>
      <c r="D55" s="172"/>
      <c r="E55" s="932">
        <v>700</v>
      </c>
      <c r="F55" s="176"/>
      <c r="G55" s="114"/>
      <c r="H55" s="13"/>
      <c r="I55" s="12"/>
    </row>
    <row r="56" spans="1:16" x14ac:dyDescent="0.35">
      <c r="A56" s="94"/>
      <c r="B56" s="95">
        <v>42840</v>
      </c>
      <c r="C56" s="94" t="s">
        <v>164</v>
      </c>
      <c r="D56" s="172"/>
      <c r="E56" s="932">
        <v>800</v>
      </c>
      <c r="F56" s="176"/>
      <c r="G56" s="114"/>
      <c r="H56" s="13"/>
      <c r="I56" s="12"/>
    </row>
    <row r="57" spans="1:16" x14ac:dyDescent="0.35">
      <c r="A57" s="94"/>
      <c r="B57" s="95">
        <v>42849</v>
      </c>
      <c r="C57" s="94" t="s">
        <v>167</v>
      </c>
      <c r="D57" s="172"/>
      <c r="E57" s="932">
        <v>1000</v>
      </c>
      <c r="F57" s="176"/>
      <c r="G57" s="114"/>
      <c r="H57" s="11"/>
      <c r="I57" s="12"/>
    </row>
    <row r="58" spans="1:16" x14ac:dyDescent="0.35">
      <c r="A58" s="94"/>
      <c r="B58" s="95">
        <v>42845</v>
      </c>
      <c r="C58" s="94" t="s">
        <v>115</v>
      </c>
      <c r="D58" s="172"/>
      <c r="E58" s="932">
        <v>1000</v>
      </c>
      <c r="F58" s="176"/>
      <c r="G58" s="114"/>
      <c r="H58" s="11"/>
      <c r="I58" s="12"/>
    </row>
    <row r="59" spans="1:16" x14ac:dyDescent="0.35">
      <c r="A59" s="94"/>
      <c r="B59" s="95">
        <v>42835</v>
      </c>
      <c r="C59" s="94" t="s">
        <v>38</v>
      </c>
      <c r="D59" s="172"/>
      <c r="E59" s="932">
        <v>500</v>
      </c>
      <c r="F59" s="176"/>
      <c r="G59" s="114"/>
      <c r="H59" s="11"/>
      <c r="I59" s="12"/>
    </row>
    <row r="60" spans="1:16" x14ac:dyDescent="0.35">
      <c r="A60" s="96"/>
      <c r="B60" s="95">
        <v>42855</v>
      </c>
      <c r="C60" s="94" t="s">
        <v>15</v>
      </c>
      <c r="D60" s="172"/>
      <c r="E60" s="932">
        <v>3400</v>
      </c>
      <c r="F60" s="176"/>
      <c r="G60" s="114"/>
      <c r="H60" s="11"/>
      <c r="I60" s="12"/>
    </row>
    <row r="61" spans="1:16" x14ac:dyDescent="0.35">
      <c r="A61" s="96"/>
      <c r="B61" s="95"/>
      <c r="C61" s="94"/>
      <c r="D61" s="172"/>
      <c r="E61" s="93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35">
      <c r="A62" s="94" t="s">
        <v>20</v>
      </c>
      <c r="B62" s="95">
        <v>42859</v>
      </c>
      <c r="C62" s="94" t="s">
        <v>13</v>
      </c>
      <c r="D62" s="172">
        <v>16000</v>
      </c>
      <c r="E62" s="932"/>
      <c r="F62" s="176"/>
      <c r="G62" s="114"/>
      <c r="H62" s="11"/>
      <c r="I62" s="12"/>
      <c r="N62" s="77"/>
      <c r="O62" s="77"/>
      <c r="P62" s="77"/>
    </row>
    <row r="63" spans="1:16" x14ac:dyDescent="0.35">
      <c r="A63" s="94"/>
      <c r="B63" s="95">
        <v>42870</v>
      </c>
      <c r="C63" s="94" t="s">
        <v>14</v>
      </c>
      <c r="D63" s="172"/>
      <c r="E63" s="93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35">
      <c r="A64" s="94"/>
      <c r="B64" s="95">
        <v>42860</v>
      </c>
      <c r="C64" s="94" t="s">
        <v>115</v>
      </c>
      <c r="D64" s="172"/>
      <c r="E64" s="932">
        <v>1300</v>
      </c>
      <c r="F64" s="176"/>
      <c r="G64" s="114"/>
      <c r="H64" s="76"/>
      <c r="I64" s="14"/>
      <c r="N64" s="77"/>
      <c r="O64" s="77"/>
      <c r="P64" s="77"/>
    </row>
    <row r="65" spans="1:16" x14ac:dyDescent="0.35">
      <c r="A65" s="94"/>
      <c r="B65" s="95">
        <v>42861</v>
      </c>
      <c r="C65" s="94" t="s">
        <v>156</v>
      </c>
      <c r="D65" s="172"/>
      <c r="E65" s="932">
        <v>3000</v>
      </c>
      <c r="F65" s="176"/>
      <c r="G65" s="114"/>
      <c r="H65" s="76"/>
      <c r="I65" s="12"/>
      <c r="N65" s="77"/>
      <c r="O65" s="77"/>
      <c r="P65" s="77"/>
    </row>
    <row r="66" spans="1:16" x14ac:dyDescent="0.35">
      <c r="A66" s="94"/>
      <c r="B66" s="95">
        <v>42868</v>
      </c>
      <c r="C66" s="94" t="s">
        <v>168</v>
      </c>
      <c r="D66" s="172"/>
      <c r="E66" s="932">
        <v>2000</v>
      </c>
      <c r="F66" s="176"/>
      <c r="G66" s="114"/>
      <c r="H66" s="76"/>
      <c r="I66" s="12"/>
      <c r="N66" s="77"/>
      <c r="O66" s="77"/>
      <c r="P66" s="77"/>
    </row>
    <row r="67" spans="1:16" x14ac:dyDescent="0.35">
      <c r="A67" s="94"/>
      <c r="B67" s="95">
        <v>42870</v>
      </c>
      <c r="C67" s="94" t="s">
        <v>53</v>
      </c>
      <c r="D67" s="172"/>
      <c r="E67" s="93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35">
      <c r="A68" s="94"/>
      <c r="B68" s="95">
        <v>42859</v>
      </c>
      <c r="C68" s="94" t="s">
        <v>38</v>
      </c>
      <c r="D68" s="172"/>
      <c r="E68" s="932">
        <v>500</v>
      </c>
      <c r="F68" s="176"/>
      <c r="G68" s="114"/>
      <c r="H68" s="76"/>
      <c r="I68" s="12"/>
    </row>
    <row r="69" spans="1:16" x14ac:dyDescent="0.35">
      <c r="A69" s="96"/>
      <c r="B69" s="95">
        <v>42886</v>
      </c>
      <c r="C69" s="94" t="s">
        <v>15</v>
      </c>
      <c r="D69" s="172"/>
      <c r="E69" s="932">
        <v>2900</v>
      </c>
      <c r="F69" s="176"/>
      <c r="G69" s="114"/>
      <c r="H69" s="76"/>
      <c r="I69" s="12"/>
    </row>
    <row r="70" spans="1:16" x14ac:dyDescent="0.35">
      <c r="A70" s="96"/>
      <c r="B70" s="95"/>
      <c r="C70" s="94"/>
      <c r="D70" s="172"/>
      <c r="E70" s="932"/>
      <c r="F70" s="176">
        <f>SUM(D61:D70)-SUM(E61:E70)</f>
        <v>-2200</v>
      </c>
      <c r="G70" s="114">
        <v>144077.47</v>
      </c>
      <c r="H70" s="76"/>
      <c r="I70" s="12"/>
    </row>
    <row r="71" spans="1:16" x14ac:dyDescent="0.3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932"/>
      <c r="F71" s="176"/>
      <c r="G71" s="114"/>
      <c r="H71" s="13"/>
      <c r="I71" s="14"/>
    </row>
    <row r="72" spans="1:16" x14ac:dyDescent="0.35">
      <c r="A72" s="94"/>
      <c r="B72" s="95">
        <v>42894</v>
      </c>
      <c r="C72" s="94" t="s">
        <v>115</v>
      </c>
      <c r="D72" s="172"/>
      <c r="E72" s="932">
        <v>1200</v>
      </c>
      <c r="F72" s="176"/>
      <c r="G72" s="114"/>
      <c r="H72" s="13"/>
      <c r="I72" s="39"/>
      <c r="J72" s="132"/>
      <c r="K72" s="18"/>
      <c r="L72" s="18"/>
    </row>
    <row r="73" spans="1:16" x14ac:dyDescent="0.35">
      <c r="A73" s="94"/>
      <c r="B73" s="95">
        <v>42893</v>
      </c>
      <c r="C73" s="94" t="s">
        <v>163</v>
      </c>
      <c r="D73" s="172"/>
      <c r="E73" s="932">
        <f>6900+1800</f>
        <v>8700</v>
      </c>
      <c r="F73" s="176"/>
      <c r="G73" s="114"/>
      <c r="H73" s="13"/>
      <c r="I73" s="39"/>
      <c r="J73" s="132"/>
      <c r="L73" s="103"/>
    </row>
    <row r="74" spans="1:16" x14ac:dyDescent="0.35">
      <c r="A74" s="94"/>
      <c r="B74" s="95">
        <v>42896</v>
      </c>
      <c r="C74" s="94" t="s">
        <v>171</v>
      </c>
      <c r="D74" s="172"/>
      <c r="E74" s="932">
        <v>800</v>
      </c>
      <c r="F74" s="176"/>
      <c r="G74" s="114"/>
      <c r="H74" s="13"/>
      <c r="I74" s="39"/>
      <c r="J74" s="132"/>
      <c r="K74" s="18"/>
      <c r="L74" s="103"/>
    </row>
    <row r="75" spans="1:16" x14ac:dyDescent="0.35">
      <c r="A75" s="94"/>
      <c r="B75" s="95">
        <v>42894</v>
      </c>
      <c r="C75" s="94" t="s">
        <v>53</v>
      </c>
      <c r="D75" s="172"/>
      <c r="E75" s="932">
        <v>1000</v>
      </c>
      <c r="F75" s="176"/>
      <c r="G75" s="114"/>
      <c r="H75" s="13"/>
      <c r="I75" s="39"/>
      <c r="J75" s="132"/>
      <c r="K75" s="18"/>
    </row>
    <row r="76" spans="1:16" x14ac:dyDescent="0.35">
      <c r="A76" s="94"/>
      <c r="B76" s="95">
        <v>42906</v>
      </c>
      <c r="C76" s="94" t="s">
        <v>53</v>
      </c>
      <c r="D76" s="172"/>
      <c r="E76" s="932">
        <v>400</v>
      </c>
      <c r="F76" s="176"/>
      <c r="G76" s="114"/>
      <c r="H76" s="13"/>
      <c r="I76" s="39"/>
      <c r="J76" s="132"/>
    </row>
    <row r="77" spans="1:16" x14ac:dyDescent="0.35">
      <c r="A77" s="96"/>
      <c r="B77" s="95">
        <v>42893</v>
      </c>
      <c r="C77" s="94" t="s">
        <v>38</v>
      </c>
      <c r="D77" s="172"/>
      <c r="E77" s="932">
        <v>500</v>
      </c>
      <c r="F77" s="176"/>
      <c r="G77" s="114"/>
      <c r="H77" s="13"/>
      <c r="I77" s="39"/>
      <c r="J77" s="132"/>
    </row>
    <row r="78" spans="1:16" x14ac:dyDescent="0.35">
      <c r="A78" s="96"/>
      <c r="B78" s="95">
        <v>42892</v>
      </c>
      <c r="C78" s="94" t="s">
        <v>170</v>
      </c>
      <c r="D78" s="172"/>
      <c r="E78" s="932">
        <v>2700</v>
      </c>
      <c r="F78" s="176"/>
      <c r="G78" s="114"/>
      <c r="H78" s="13"/>
      <c r="I78" s="39"/>
      <c r="J78" s="132"/>
    </row>
    <row r="79" spans="1:16" x14ac:dyDescent="0.35">
      <c r="A79" s="96"/>
      <c r="B79" s="95">
        <v>42916</v>
      </c>
      <c r="C79" s="94" t="s">
        <v>15</v>
      </c>
      <c r="D79" s="172"/>
      <c r="E79" s="932">
        <v>2400</v>
      </c>
      <c r="F79" s="176"/>
      <c r="G79" s="114"/>
      <c r="H79" s="11"/>
      <c r="I79" s="39"/>
      <c r="J79" s="132"/>
    </row>
    <row r="80" spans="1:16" x14ac:dyDescent="0.35">
      <c r="A80" s="96"/>
      <c r="B80" s="95"/>
      <c r="C80" s="94"/>
      <c r="D80" s="172"/>
      <c r="E80" s="93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3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932"/>
      <c r="F81" s="176"/>
      <c r="G81" s="114"/>
      <c r="H81" s="13"/>
      <c r="I81" s="39"/>
      <c r="J81" s="132"/>
    </row>
    <row r="82" spans="1:11" x14ac:dyDescent="0.35">
      <c r="A82" s="94"/>
      <c r="B82" s="95">
        <v>42923</v>
      </c>
      <c r="C82" s="94" t="s">
        <v>163</v>
      </c>
      <c r="D82" s="172"/>
      <c r="E82" s="932">
        <f>6000+1700</f>
        <v>7700</v>
      </c>
      <c r="F82" s="176"/>
      <c r="G82" s="114"/>
      <c r="H82" s="17"/>
      <c r="I82" s="12"/>
      <c r="J82" s="132"/>
    </row>
    <row r="83" spans="1:11" x14ac:dyDescent="0.35">
      <c r="A83" s="94"/>
      <c r="B83" s="95">
        <v>42924</v>
      </c>
      <c r="C83" s="94" t="s">
        <v>156</v>
      </c>
      <c r="D83" s="172"/>
      <c r="E83" s="932">
        <v>3200</v>
      </c>
      <c r="F83" s="176"/>
      <c r="G83" s="114"/>
      <c r="H83" s="17"/>
      <c r="I83" s="12"/>
    </row>
    <row r="84" spans="1:11" x14ac:dyDescent="0.35">
      <c r="A84" s="94"/>
      <c r="B84" s="95">
        <v>42917</v>
      </c>
      <c r="C84" s="94" t="s">
        <v>172</v>
      </c>
      <c r="D84" s="172"/>
      <c r="E84" s="932">
        <v>1000</v>
      </c>
      <c r="F84" s="176"/>
      <c r="G84" s="114"/>
      <c r="H84" s="17"/>
      <c r="I84" s="12"/>
    </row>
    <row r="85" spans="1:11" x14ac:dyDescent="0.35">
      <c r="A85" s="94"/>
      <c r="B85" s="95">
        <v>42923</v>
      </c>
      <c r="C85" s="94" t="s">
        <v>170</v>
      </c>
      <c r="D85" s="172"/>
      <c r="E85" s="932">
        <v>3000</v>
      </c>
      <c r="F85" s="176"/>
      <c r="G85" s="114"/>
      <c r="H85" s="17"/>
      <c r="I85" s="12"/>
    </row>
    <row r="86" spans="1:11" x14ac:dyDescent="0.35">
      <c r="A86" s="97"/>
      <c r="B86" s="95">
        <v>42923</v>
      </c>
      <c r="C86" s="94" t="s">
        <v>38</v>
      </c>
      <c r="D86" s="172"/>
      <c r="E86" s="932">
        <v>500</v>
      </c>
      <c r="F86" s="176"/>
      <c r="G86" s="114"/>
      <c r="H86" s="11"/>
      <c r="I86" s="14"/>
      <c r="K86" s="16"/>
    </row>
    <row r="87" spans="1:11" x14ac:dyDescent="0.35">
      <c r="A87" s="97"/>
      <c r="B87" s="95">
        <v>42947</v>
      </c>
      <c r="C87" s="94" t="s">
        <v>15</v>
      </c>
      <c r="D87" s="172"/>
      <c r="E87" s="932">
        <v>5800</v>
      </c>
      <c r="F87" s="176"/>
      <c r="G87" s="114"/>
      <c r="H87" s="11"/>
      <c r="I87" s="57"/>
      <c r="J87" s="133"/>
      <c r="K87" s="16"/>
    </row>
    <row r="88" spans="1:11" x14ac:dyDescent="0.35">
      <c r="A88" s="97"/>
      <c r="B88" s="95"/>
      <c r="C88" s="94"/>
      <c r="D88" s="172"/>
      <c r="E88" s="93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3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932"/>
      <c r="F89" s="176"/>
      <c r="G89" s="114"/>
      <c r="H89" s="11"/>
      <c r="I89" s="12"/>
      <c r="J89" s="133"/>
      <c r="K89" s="16"/>
    </row>
    <row r="90" spans="1:11" x14ac:dyDescent="0.35">
      <c r="A90" s="94"/>
      <c r="B90" s="95">
        <v>42947</v>
      </c>
      <c r="C90" s="94" t="s">
        <v>19</v>
      </c>
      <c r="D90" s="172">
        <v>10000</v>
      </c>
      <c r="E90" s="932"/>
      <c r="F90" s="176"/>
      <c r="G90" s="114"/>
      <c r="H90" s="11"/>
      <c r="I90" s="12"/>
      <c r="J90" s="133"/>
      <c r="K90" s="36"/>
    </row>
    <row r="91" spans="1:11" x14ac:dyDescent="0.35">
      <c r="A91" s="94"/>
      <c r="B91" s="95">
        <v>42977</v>
      </c>
      <c r="C91" s="94" t="s">
        <v>177</v>
      </c>
      <c r="D91" s="172"/>
      <c r="E91" s="932">
        <v>2500</v>
      </c>
      <c r="F91" s="176"/>
      <c r="G91" s="114"/>
      <c r="H91" s="11"/>
      <c r="I91" s="12"/>
      <c r="J91" s="133"/>
      <c r="K91" s="36"/>
    </row>
    <row r="92" spans="1:11" x14ac:dyDescent="0.35">
      <c r="A92" s="94"/>
      <c r="B92" s="95">
        <v>42948</v>
      </c>
      <c r="C92" s="94" t="s">
        <v>172</v>
      </c>
      <c r="D92" s="172"/>
      <c r="E92" s="932">
        <v>1000</v>
      </c>
      <c r="F92" s="176"/>
      <c r="G92" s="114"/>
      <c r="H92" s="11"/>
      <c r="I92" s="12"/>
      <c r="J92" s="133"/>
      <c r="K92" s="16"/>
    </row>
    <row r="93" spans="1:11" x14ac:dyDescent="0.35">
      <c r="A93" s="94"/>
      <c r="B93" s="95">
        <v>42949</v>
      </c>
      <c r="C93" s="94" t="s">
        <v>14</v>
      </c>
      <c r="D93" s="172"/>
      <c r="E93" s="932">
        <f>1300+1400</f>
        <v>2700</v>
      </c>
      <c r="F93" s="176"/>
      <c r="G93" s="114"/>
      <c r="H93" s="11"/>
      <c r="I93" s="12"/>
      <c r="J93" s="133"/>
      <c r="K93" s="16"/>
    </row>
    <row r="94" spans="1:11" x14ac:dyDescent="0.35">
      <c r="A94" s="94"/>
      <c r="B94" s="95">
        <v>42957</v>
      </c>
      <c r="C94" s="94" t="s">
        <v>163</v>
      </c>
      <c r="D94" s="172"/>
      <c r="E94" s="93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35">
      <c r="A95" s="94"/>
      <c r="B95" s="95">
        <v>42978</v>
      </c>
      <c r="C95" s="94" t="s">
        <v>53</v>
      </c>
      <c r="D95" s="172"/>
      <c r="E95" s="932">
        <v>5000</v>
      </c>
      <c r="F95" s="176"/>
      <c r="G95" s="114"/>
      <c r="H95" s="11"/>
      <c r="I95" s="12"/>
      <c r="J95" s="133"/>
      <c r="K95" s="16"/>
    </row>
    <row r="96" spans="1:11" x14ac:dyDescent="0.35">
      <c r="A96" s="94"/>
      <c r="B96" s="95">
        <v>42959</v>
      </c>
      <c r="C96" s="94" t="s">
        <v>178</v>
      </c>
      <c r="D96" s="172"/>
      <c r="E96" s="93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35">
      <c r="A97" s="97"/>
      <c r="B97" s="95">
        <v>42950</v>
      </c>
      <c r="C97" s="94" t="s">
        <v>38</v>
      </c>
      <c r="D97" s="172"/>
      <c r="E97" s="932">
        <v>500</v>
      </c>
      <c r="F97" s="176"/>
      <c r="G97" s="114"/>
      <c r="H97" s="11"/>
      <c r="I97" s="82"/>
      <c r="J97" s="133"/>
      <c r="K97" s="16"/>
    </row>
    <row r="98" spans="1:12" x14ac:dyDescent="0.35">
      <c r="A98" s="97"/>
      <c r="B98" s="95">
        <v>42977</v>
      </c>
      <c r="C98" s="94" t="s">
        <v>15</v>
      </c>
      <c r="D98" s="172"/>
      <c r="E98" s="932">
        <v>9000</v>
      </c>
      <c r="F98" s="176"/>
      <c r="G98" s="114"/>
      <c r="H98" s="11"/>
      <c r="I98" s="82"/>
      <c r="J98" s="133"/>
      <c r="K98" s="16"/>
    </row>
    <row r="99" spans="1:12" x14ac:dyDescent="0.35">
      <c r="A99" s="97"/>
      <c r="B99" s="95"/>
      <c r="C99" s="94"/>
      <c r="D99" s="172"/>
      <c r="E99" s="93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3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932"/>
      <c r="F100" s="176"/>
      <c r="G100" s="114"/>
      <c r="H100" s="11"/>
      <c r="I100" s="12"/>
      <c r="J100" s="133"/>
      <c r="K100" s="15"/>
    </row>
    <row r="101" spans="1:12" x14ac:dyDescent="0.35">
      <c r="A101" s="94"/>
      <c r="B101" s="95">
        <v>42986</v>
      </c>
      <c r="C101" s="94" t="s">
        <v>177</v>
      </c>
      <c r="D101" s="172"/>
      <c r="E101" s="932">
        <v>4600</v>
      </c>
      <c r="F101" s="176"/>
      <c r="G101" s="114"/>
      <c r="H101" s="11"/>
      <c r="I101" s="12"/>
      <c r="J101" s="133"/>
      <c r="K101" s="15"/>
    </row>
    <row r="102" spans="1:12" x14ac:dyDescent="0.35">
      <c r="A102" s="94"/>
      <c r="B102" s="95">
        <v>42986</v>
      </c>
      <c r="C102" s="94" t="s">
        <v>172</v>
      </c>
      <c r="D102" s="172"/>
      <c r="E102" s="932">
        <v>1000</v>
      </c>
      <c r="F102" s="176"/>
      <c r="G102" s="114"/>
      <c r="H102" s="11"/>
      <c r="I102" s="12"/>
      <c r="J102" s="133"/>
      <c r="K102" s="15"/>
    </row>
    <row r="103" spans="1:12" x14ac:dyDescent="0.35">
      <c r="A103" s="94"/>
      <c r="B103" s="95">
        <v>42986</v>
      </c>
      <c r="C103" s="94" t="s">
        <v>14</v>
      </c>
      <c r="D103" s="172"/>
      <c r="E103" s="93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35">
      <c r="A104" s="94"/>
      <c r="B104" s="95">
        <v>42986</v>
      </c>
      <c r="C104" s="94" t="s">
        <v>163</v>
      </c>
      <c r="D104" s="172"/>
      <c r="E104" s="93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35">
      <c r="A105" s="94"/>
      <c r="B105" s="95">
        <v>42996</v>
      </c>
      <c r="C105" s="94" t="s">
        <v>187</v>
      </c>
      <c r="D105" s="172"/>
      <c r="E105" s="93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35">
      <c r="A106" s="94"/>
      <c r="B106" s="95">
        <v>42987</v>
      </c>
      <c r="C106" s="94" t="s">
        <v>179</v>
      </c>
      <c r="D106" s="172"/>
      <c r="E106" s="93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35">
      <c r="A107" s="94"/>
      <c r="B107" s="95">
        <v>42992</v>
      </c>
      <c r="C107" s="94" t="s">
        <v>174</v>
      </c>
      <c r="D107" s="172"/>
      <c r="E107" s="93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35">
      <c r="A108" s="97"/>
      <c r="B108" s="95">
        <v>42993</v>
      </c>
      <c r="C108" s="94" t="s">
        <v>180</v>
      </c>
      <c r="D108" s="172"/>
      <c r="E108" s="93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35">
      <c r="A109" s="97"/>
      <c r="B109" s="95">
        <v>42986</v>
      </c>
      <c r="C109" s="94" t="s">
        <v>38</v>
      </c>
      <c r="D109" s="172"/>
      <c r="E109" s="93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35">
      <c r="A110" s="97"/>
      <c r="B110" s="95">
        <v>43008</v>
      </c>
      <c r="C110" s="94" t="s">
        <v>15</v>
      </c>
      <c r="D110" s="172"/>
      <c r="E110" s="93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35">
      <c r="A111" s="97"/>
      <c r="B111" s="95"/>
      <c r="C111" s="94"/>
      <c r="D111" s="172"/>
      <c r="E111" s="93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3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932"/>
      <c r="F112" s="176"/>
      <c r="H112" s="17"/>
      <c r="I112" s="12"/>
      <c r="J112" s="133"/>
      <c r="K112" s="105"/>
      <c r="L112" s="18"/>
    </row>
    <row r="113" spans="1:13" x14ac:dyDescent="0.35">
      <c r="A113" s="94"/>
      <c r="B113" s="95">
        <v>43018</v>
      </c>
      <c r="C113" s="94" t="s">
        <v>177</v>
      </c>
      <c r="D113" s="172"/>
      <c r="E113" s="932">
        <v>4500</v>
      </c>
      <c r="F113" s="176"/>
      <c r="H113" s="98"/>
      <c r="I113" s="12"/>
      <c r="J113" s="133"/>
      <c r="K113" s="106"/>
      <c r="L113" s="103"/>
    </row>
    <row r="114" spans="1:13" x14ac:dyDescent="0.35">
      <c r="A114" s="94"/>
      <c r="B114" s="95">
        <v>43009</v>
      </c>
      <c r="C114" s="94" t="s">
        <v>172</v>
      </c>
      <c r="D114" s="172"/>
      <c r="E114" s="932">
        <v>1000</v>
      </c>
      <c r="F114" s="176"/>
      <c r="H114" s="17"/>
      <c r="I114" s="12"/>
      <c r="J114" s="133"/>
      <c r="K114" s="105"/>
      <c r="L114" s="18"/>
    </row>
    <row r="115" spans="1:13" x14ac:dyDescent="0.35">
      <c r="A115" s="94"/>
      <c r="B115" s="95">
        <v>43018</v>
      </c>
      <c r="C115" s="94" t="s">
        <v>14</v>
      </c>
      <c r="D115" s="172"/>
      <c r="E115" s="93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35">
      <c r="A116" s="94"/>
      <c r="B116" s="95">
        <v>43018</v>
      </c>
      <c r="C116" s="94" t="s">
        <v>163</v>
      </c>
      <c r="D116" s="172"/>
      <c r="E116" s="93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35">
      <c r="A117" s="94"/>
      <c r="B117" s="95">
        <v>43017</v>
      </c>
      <c r="C117" s="94" t="s">
        <v>169</v>
      </c>
      <c r="D117" s="172"/>
      <c r="E117" s="93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35">
      <c r="A118" s="94"/>
      <c r="B118" s="95">
        <v>43009</v>
      </c>
      <c r="C118" s="94" t="s">
        <v>188</v>
      </c>
      <c r="D118" s="172"/>
      <c r="E118" s="93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35">
      <c r="A119" s="94"/>
      <c r="B119" s="95">
        <v>43020</v>
      </c>
      <c r="C119" s="94" t="s">
        <v>174</v>
      </c>
      <c r="D119" s="172"/>
      <c r="E119" s="93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35">
      <c r="A120" s="97"/>
      <c r="B120" s="95">
        <v>43017</v>
      </c>
      <c r="C120" s="94" t="s">
        <v>38</v>
      </c>
      <c r="D120" s="172"/>
      <c r="E120" s="93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35">
      <c r="A121" s="97"/>
      <c r="B121" s="95">
        <v>43023</v>
      </c>
      <c r="C121" s="94" t="s">
        <v>185</v>
      </c>
      <c r="D121" s="172"/>
      <c r="E121" s="93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35">
      <c r="A122" s="97"/>
      <c r="B122" s="95">
        <v>43020</v>
      </c>
      <c r="C122" s="94" t="s">
        <v>184</v>
      </c>
      <c r="D122" s="172"/>
      <c r="E122" s="93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35">
      <c r="A123" s="97"/>
      <c r="B123" s="95">
        <v>43029</v>
      </c>
      <c r="C123" s="94" t="s">
        <v>186</v>
      </c>
      <c r="D123" s="172"/>
      <c r="E123" s="93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35">
      <c r="A124" s="97"/>
      <c r="B124" s="95">
        <v>43039</v>
      </c>
      <c r="C124" s="94" t="s">
        <v>54</v>
      </c>
      <c r="D124" s="172"/>
      <c r="E124" s="93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35">
      <c r="A125" s="97"/>
      <c r="B125" s="95">
        <v>43039</v>
      </c>
      <c r="C125" s="94" t="s">
        <v>15</v>
      </c>
      <c r="D125" s="172"/>
      <c r="E125" s="93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35">
      <c r="A126" s="97"/>
      <c r="B126" s="95"/>
      <c r="C126" s="94"/>
      <c r="D126" s="172"/>
      <c r="E126" s="93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35">
      <c r="A127" s="94" t="s">
        <v>26</v>
      </c>
      <c r="B127" s="95">
        <v>43045</v>
      </c>
      <c r="C127" s="94" t="s">
        <v>13</v>
      </c>
      <c r="D127" s="172">
        <v>20000</v>
      </c>
      <c r="E127" s="93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35">
      <c r="A128" s="94"/>
      <c r="B128" s="95">
        <v>43040</v>
      </c>
      <c r="C128" s="94" t="s">
        <v>172</v>
      </c>
      <c r="D128" s="172"/>
      <c r="E128" s="93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35">
      <c r="A129" s="94"/>
      <c r="B129" s="95">
        <v>43046</v>
      </c>
      <c r="C129" s="94" t="s">
        <v>177</v>
      </c>
      <c r="D129" s="172"/>
      <c r="E129" s="93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35">
      <c r="A130" s="94"/>
      <c r="B130" s="95">
        <v>43049</v>
      </c>
      <c r="C130" s="94" t="s">
        <v>14</v>
      </c>
      <c r="D130" s="172"/>
      <c r="E130" s="93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35">
      <c r="A131" s="94"/>
      <c r="B131" s="95">
        <v>43049</v>
      </c>
      <c r="C131" s="94" t="s">
        <v>163</v>
      </c>
      <c r="D131" s="172"/>
      <c r="E131" s="93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35">
      <c r="A132" s="94"/>
      <c r="B132" s="95">
        <v>43045</v>
      </c>
      <c r="C132" s="94" t="s">
        <v>169</v>
      </c>
      <c r="D132" s="172"/>
      <c r="E132" s="93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35">
      <c r="A133" s="94"/>
      <c r="B133" s="95">
        <v>43069</v>
      </c>
      <c r="C133" s="94" t="s">
        <v>54</v>
      </c>
      <c r="D133" s="172"/>
      <c r="E133" s="93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35">
      <c r="A134" s="97"/>
      <c r="B134" s="95">
        <v>43049</v>
      </c>
      <c r="C134" s="94" t="s">
        <v>38</v>
      </c>
      <c r="D134" s="172"/>
      <c r="E134" s="93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35">
      <c r="A135" s="97"/>
      <c r="B135" s="95">
        <v>43069</v>
      </c>
      <c r="C135" s="94" t="s">
        <v>174</v>
      </c>
      <c r="D135" s="172"/>
      <c r="E135" s="93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35">
      <c r="A136" s="97"/>
      <c r="B136" s="95">
        <v>43069</v>
      </c>
      <c r="C136" s="94" t="s">
        <v>15</v>
      </c>
      <c r="D136" s="172"/>
      <c r="E136" s="932">
        <v>3600</v>
      </c>
      <c r="F136" s="176"/>
      <c r="G136" s="114"/>
      <c r="H136" s="13"/>
      <c r="I136" s="14"/>
      <c r="K136" s="88"/>
      <c r="L136" s="88"/>
    </row>
    <row r="137" spans="1:13" x14ac:dyDescent="0.35">
      <c r="A137" s="97"/>
      <c r="B137" s="95"/>
      <c r="C137" s="94"/>
      <c r="D137" s="172"/>
      <c r="E137" s="93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35">
      <c r="A138" s="94" t="s">
        <v>27</v>
      </c>
      <c r="B138" s="95">
        <v>43074</v>
      </c>
      <c r="C138" s="94" t="s">
        <v>13</v>
      </c>
      <c r="D138" s="172">
        <v>20000</v>
      </c>
      <c r="E138" s="932"/>
      <c r="F138" s="176"/>
      <c r="G138" s="114"/>
      <c r="H138" s="11"/>
      <c r="I138" s="12"/>
      <c r="K138" s="88"/>
      <c r="L138" s="88"/>
    </row>
    <row r="139" spans="1:13" x14ac:dyDescent="0.35">
      <c r="A139" s="94"/>
      <c r="B139" s="95">
        <v>43083</v>
      </c>
      <c r="C139" s="94" t="s">
        <v>189</v>
      </c>
      <c r="D139" s="172">
        <v>9700</v>
      </c>
      <c r="E139" s="932"/>
      <c r="F139" s="176"/>
      <c r="G139" s="114"/>
      <c r="H139" s="11"/>
      <c r="I139" s="12"/>
      <c r="K139" s="88"/>
      <c r="L139" s="88"/>
    </row>
    <row r="140" spans="1:13" x14ac:dyDescent="0.35">
      <c r="A140" s="94"/>
      <c r="B140" s="95">
        <v>43074</v>
      </c>
      <c r="C140" s="94" t="s">
        <v>191</v>
      </c>
      <c r="D140" s="172"/>
      <c r="E140" s="932">
        <v>1000</v>
      </c>
      <c r="F140" s="176"/>
      <c r="G140" s="114"/>
      <c r="H140" s="11"/>
      <c r="I140" s="12"/>
      <c r="K140" s="88"/>
      <c r="L140" s="88"/>
    </row>
    <row r="141" spans="1:13" x14ac:dyDescent="0.35">
      <c r="A141" s="94"/>
      <c r="B141" s="95">
        <v>43073</v>
      </c>
      <c r="C141" s="94" t="s">
        <v>177</v>
      </c>
      <c r="D141" s="172"/>
      <c r="E141" s="932">
        <v>1100</v>
      </c>
      <c r="F141" s="176"/>
      <c r="G141" s="114"/>
      <c r="H141" s="11"/>
      <c r="I141" s="12"/>
      <c r="K141" s="88"/>
      <c r="L141" s="88"/>
    </row>
    <row r="142" spans="1:13" x14ac:dyDescent="0.35">
      <c r="A142" s="94"/>
      <c r="B142" s="95">
        <v>43070</v>
      </c>
      <c r="C142" s="94" t="s">
        <v>172</v>
      </c>
      <c r="D142" s="172"/>
      <c r="E142" s="932">
        <v>1000</v>
      </c>
      <c r="F142" s="176"/>
      <c r="G142" s="114"/>
      <c r="H142" s="11"/>
      <c r="I142" s="12"/>
      <c r="K142" s="88"/>
      <c r="L142" s="104"/>
    </row>
    <row r="143" spans="1:13" x14ac:dyDescent="0.35">
      <c r="A143" s="94"/>
      <c r="B143" s="95">
        <v>43084</v>
      </c>
      <c r="C143" s="94" t="s">
        <v>14</v>
      </c>
      <c r="D143" s="172"/>
      <c r="E143" s="93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35">
      <c r="A144" s="94"/>
      <c r="B144" s="95">
        <v>43073</v>
      </c>
      <c r="C144" s="94" t="s">
        <v>163</v>
      </c>
      <c r="D144" s="172"/>
      <c r="E144" s="93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35">
      <c r="A145" s="94"/>
      <c r="B145" s="95">
        <v>43074</v>
      </c>
      <c r="C145" s="94" t="s">
        <v>169</v>
      </c>
      <c r="D145" s="172"/>
      <c r="E145" s="93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35">
      <c r="A146" s="94"/>
      <c r="B146" s="95">
        <v>43100</v>
      </c>
      <c r="C146" s="94" t="s">
        <v>54</v>
      </c>
      <c r="D146" s="172"/>
      <c r="E146" s="93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35">
      <c r="A147" s="94"/>
      <c r="B147" s="95">
        <v>43081</v>
      </c>
      <c r="C147" s="94" t="s">
        <v>195</v>
      </c>
      <c r="D147" s="172"/>
      <c r="E147" s="93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35">
      <c r="A148" s="97"/>
      <c r="B148" s="95">
        <v>43070</v>
      </c>
      <c r="C148" s="94" t="s">
        <v>38</v>
      </c>
      <c r="D148" s="172"/>
      <c r="E148" s="932">
        <v>500</v>
      </c>
      <c r="F148" s="176"/>
      <c r="G148" s="114"/>
      <c r="H148" s="13"/>
      <c r="I148" s="12"/>
      <c r="L148" s="104"/>
      <c r="M148" s="103"/>
    </row>
    <row r="149" spans="1:13" x14ac:dyDescent="0.35">
      <c r="A149" s="97"/>
      <c r="B149" s="95">
        <v>43086</v>
      </c>
      <c r="C149" s="94" t="s">
        <v>194</v>
      </c>
      <c r="D149" s="172"/>
      <c r="E149" s="932">
        <v>4000</v>
      </c>
      <c r="F149" s="176"/>
      <c r="G149" s="114"/>
      <c r="H149" s="98"/>
      <c r="I149" s="12"/>
      <c r="L149" s="104"/>
      <c r="M149" s="103"/>
    </row>
    <row r="150" spans="1:13" x14ac:dyDescent="0.35">
      <c r="A150" s="97"/>
      <c r="B150" s="95">
        <v>43074</v>
      </c>
      <c r="C150" s="94" t="s">
        <v>174</v>
      </c>
      <c r="D150" s="172"/>
      <c r="E150" s="932">
        <v>1600</v>
      </c>
      <c r="F150" s="176"/>
      <c r="G150" s="114"/>
      <c r="H150" s="98"/>
      <c r="I150" s="12"/>
      <c r="L150" s="104"/>
      <c r="M150" s="103"/>
    </row>
    <row r="151" spans="1:13" x14ac:dyDescent="0.35">
      <c r="A151" s="97"/>
      <c r="B151" s="95">
        <v>43100</v>
      </c>
      <c r="C151" s="94" t="s">
        <v>15</v>
      </c>
      <c r="D151" s="172"/>
      <c r="E151" s="932">
        <v>6500</v>
      </c>
      <c r="F151" s="176"/>
      <c r="G151" s="114"/>
      <c r="H151" s="13"/>
      <c r="I151" s="12"/>
      <c r="L151" s="104"/>
      <c r="M151" s="103"/>
    </row>
    <row r="152" spans="1:13" x14ac:dyDescent="0.35">
      <c r="A152" s="97"/>
      <c r="B152" s="95"/>
      <c r="C152" s="94"/>
      <c r="D152" s="172"/>
      <c r="E152" s="93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35">
      <c r="A153" s="19"/>
      <c r="D153" s="121"/>
      <c r="E153" s="935"/>
      <c r="H153" s="13"/>
      <c r="I153" s="12"/>
      <c r="L153" s="105"/>
      <c r="M153" s="103"/>
    </row>
    <row r="154" spans="1:13" x14ac:dyDescent="0.35">
      <c r="A154" s="19"/>
      <c r="D154" s="121"/>
      <c r="E154" s="935"/>
      <c r="L154" s="15"/>
      <c r="M154" s="103"/>
    </row>
    <row r="155" spans="1:13" x14ac:dyDescent="0.35">
      <c r="A155" s="19"/>
      <c r="D155" s="121"/>
      <c r="E155" s="935"/>
      <c r="L155" s="88"/>
      <c r="M155" s="103"/>
    </row>
    <row r="156" spans="1:13" x14ac:dyDescent="0.35">
      <c r="A156" s="19"/>
      <c r="D156" s="121"/>
      <c r="E156" s="935"/>
      <c r="L156" s="88"/>
      <c r="M156" s="103"/>
    </row>
    <row r="157" spans="1:13" x14ac:dyDescent="0.35">
      <c r="A157" s="19"/>
      <c r="D157" s="121"/>
      <c r="E157" s="935"/>
      <c r="I157" s="587" t="s">
        <v>28</v>
      </c>
      <c r="J157" s="586">
        <f>+J158/20</f>
        <v>4264.1930000000002</v>
      </c>
      <c r="K157" s="587"/>
      <c r="L157" s="88"/>
      <c r="M157" s="103"/>
    </row>
    <row r="158" spans="1:13" x14ac:dyDescent="0.35">
      <c r="A158" s="19"/>
      <c r="D158" s="121"/>
      <c r="E158" s="935"/>
      <c r="I158" s="587"/>
      <c r="J158" s="586">
        <v>85283.86</v>
      </c>
      <c r="K158" s="587"/>
      <c r="L158" s="88"/>
      <c r="M158" s="103"/>
    </row>
    <row r="159" spans="1:13" x14ac:dyDescent="0.35">
      <c r="A159" s="19"/>
      <c r="D159" s="121"/>
      <c r="E159" s="935"/>
      <c r="I159" s="587" t="s">
        <v>137</v>
      </c>
      <c r="J159" s="586" t="s">
        <v>138</v>
      </c>
      <c r="K159" s="587" t="s">
        <v>139</v>
      </c>
      <c r="L159" s="88"/>
      <c r="M159" s="103"/>
    </row>
    <row r="160" spans="1:13" x14ac:dyDescent="0.35">
      <c r="A160" s="19"/>
      <c r="D160" s="121"/>
      <c r="E160" s="935"/>
      <c r="I160" s="588">
        <f>_ENE17v</f>
        <v>102814.2</v>
      </c>
      <c r="J160" s="586">
        <f>+I160-J158</f>
        <v>17530.34</v>
      </c>
      <c r="K160" s="589">
        <f>(+J160*100/J158)/100</f>
        <v>0.2056</v>
      </c>
      <c r="L160" s="88"/>
      <c r="M160" s="103"/>
    </row>
    <row r="161" spans="1:14" x14ac:dyDescent="0.35">
      <c r="A161" s="19"/>
      <c r="D161" s="121"/>
      <c r="E161" s="935"/>
      <c r="I161" s="588">
        <f>_FEB17v</f>
        <v>119276.91</v>
      </c>
      <c r="J161" s="586">
        <f t="shared" ref="J161:J171" si="0">+I161-I160</f>
        <v>16462.71</v>
      </c>
      <c r="K161" s="589">
        <f t="shared" ref="K161:K171" si="1">(+J161*100/I160)/100</f>
        <v>0.16009999999999999</v>
      </c>
      <c r="L161" s="88"/>
      <c r="M161" s="103"/>
    </row>
    <row r="162" spans="1:14" x14ac:dyDescent="0.35">
      <c r="A162" s="19"/>
      <c r="D162" s="121"/>
      <c r="E162" s="935"/>
      <c r="I162" s="588">
        <f>_MAR17v</f>
        <v>123337.05</v>
      </c>
      <c r="J162" s="586">
        <f t="shared" si="0"/>
        <v>4060.14</v>
      </c>
      <c r="K162" s="589">
        <f t="shared" si="1"/>
        <v>3.4000000000000002E-2</v>
      </c>
      <c r="L162" s="88"/>
      <c r="M162" s="103"/>
    </row>
    <row r="163" spans="1:14" x14ac:dyDescent="0.35">
      <c r="A163" s="19"/>
      <c r="D163" s="121"/>
      <c r="E163" s="935"/>
      <c r="I163" s="588">
        <f>_ABR17v</f>
        <v>147216.97</v>
      </c>
      <c r="J163" s="586">
        <f t="shared" si="0"/>
        <v>23879.919999999998</v>
      </c>
      <c r="K163" s="589">
        <f t="shared" si="1"/>
        <v>0.19359999999999999</v>
      </c>
    </row>
    <row r="164" spans="1:14" x14ac:dyDescent="0.35">
      <c r="A164" s="19"/>
      <c r="D164" s="121"/>
      <c r="E164" s="935"/>
      <c r="I164" s="588">
        <f>_MAY17v</f>
        <v>144077.47</v>
      </c>
      <c r="J164" s="586">
        <f t="shared" si="0"/>
        <v>-3139.5</v>
      </c>
      <c r="K164" s="589">
        <f t="shared" si="1"/>
        <v>-2.1299999999999999E-2</v>
      </c>
    </row>
    <row r="165" spans="1:14" x14ac:dyDescent="0.35">
      <c r="A165" s="19"/>
      <c r="D165" s="121"/>
      <c r="E165" s="935"/>
      <c r="I165" s="588">
        <f>_JUN17v</f>
        <v>153813.94</v>
      </c>
      <c r="J165" s="586">
        <f t="shared" si="0"/>
        <v>9736.4699999999993</v>
      </c>
      <c r="K165" s="589">
        <f t="shared" si="1"/>
        <v>6.7599999999999993E-2</v>
      </c>
    </row>
    <row r="166" spans="1:14" x14ac:dyDescent="0.35">
      <c r="A166" s="19"/>
      <c r="D166" s="121"/>
      <c r="E166" s="935"/>
      <c r="I166" s="588">
        <f>_JUL17v</f>
        <v>153213.94</v>
      </c>
      <c r="J166" s="586">
        <f t="shared" si="0"/>
        <v>-600</v>
      </c>
      <c r="K166" s="589">
        <f t="shared" si="1"/>
        <v>-3.8999999999999998E-3</v>
      </c>
    </row>
    <row r="167" spans="1:14" x14ac:dyDescent="0.35">
      <c r="A167" s="19"/>
      <c r="D167" s="121"/>
      <c r="E167" s="935"/>
      <c r="I167" s="588">
        <f>_AGO17v</f>
        <v>162171.39000000001</v>
      </c>
      <c r="J167" s="586">
        <f t="shared" si="0"/>
        <v>8957.4500000000007</v>
      </c>
      <c r="K167" s="589">
        <f t="shared" si="1"/>
        <v>5.8500000000000003E-2</v>
      </c>
    </row>
    <row r="168" spans="1:14" x14ac:dyDescent="0.35">
      <c r="A168" s="19"/>
      <c r="D168" s="121"/>
      <c r="E168" s="935"/>
      <c r="I168" s="588">
        <f>_SEP17v</f>
        <v>166486.39999999999</v>
      </c>
      <c r="J168" s="586">
        <f t="shared" si="0"/>
        <v>4315.01</v>
      </c>
      <c r="K168" s="589">
        <f t="shared" si="1"/>
        <v>2.6599999999999999E-2</v>
      </c>
    </row>
    <row r="169" spans="1:14" x14ac:dyDescent="0.35">
      <c r="A169" s="19"/>
      <c r="D169" s="121"/>
      <c r="E169" s="935"/>
      <c r="I169" s="588">
        <f>_OCT17v</f>
        <v>167821.9</v>
      </c>
      <c r="J169" s="586">
        <f t="shared" si="0"/>
        <v>1335.5</v>
      </c>
      <c r="K169" s="589">
        <f t="shared" si="1"/>
        <v>8.0000000000000002E-3</v>
      </c>
    </row>
    <row r="170" spans="1:14" x14ac:dyDescent="0.35">
      <c r="A170" s="19"/>
      <c r="D170" s="121"/>
      <c r="E170" s="935"/>
      <c r="I170" s="588">
        <f>_NOV17v</f>
        <v>169252.44</v>
      </c>
      <c r="J170" s="586">
        <f t="shared" si="0"/>
        <v>1430.54</v>
      </c>
      <c r="K170" s="589">
        <f t="shared" si="1"/>
        <v>8.5000000000000006E-3</v>
      </c>
    </row>
    <row r="171" spans="1:14" x14ac:dyDescent="0.35">
      <c r="A171" s="19"/>
      <c r="D171" s="121"/>
      <c r="E171" s="935"/>
      <c r="I171" s="588">
        <f>_DIC17v</f>
        <v>167300.07</v>
      </c>
      <c r="J171" s="586">
        <f t="shared" si="0"/>
        <v>-1952.37</v>
      </c>
      <c r="K171" s="589">
        <f t="shared" si="1"/>
        <v>-1.15E-2</v>
      </c>
    </row>
    <row r="172" spans="1:14" x14ac:dyDescent="0.35">
      <c r="A172" s="19"/>
      <c r="D172" s="121"/>
      <c r="E172" s="935"/>
      <c r="I172" s="588"/>
      <c r="J172" s="586">
        <f>SUM(J160:J171)</f>
        <v>82016.210000000006</v>
      </c>
      <c r="K172" s="589">
        <f>SUM(K160:K171)</f>
        <v>0.7258</v>
      </c>
      <c r="L172" s="28"/>
    </row>
    <row r="173" spans="1:14" x14ac:dyDescent="0.35">
      <c r="A173" s="19"/>
      <c r="D173" s="121"/>
      <c r="E173" s="935"/>
      <c r="G173" s="116"/>
      <c r="I173" s="23"/>
      <c r="J173" s="133"/>
      <c r="K173" s="15"/>
      <c r="M173" s="25"/>
    </row>
    <row r="174" spans="1:14" x14ac:dyDescent="0.3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3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35">
      <c r="A176" s="92"/>
      <c r="D176" s="121"/>
      <c r="E176" s="935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35">
      <c r="A177" s="92"/>
      <c r="F177" s="177"/>
      <c r="G177" s="117"/>
      <c r="H177" s="34"/>
      <c r="I177" s="35"/>
      <c r="J177" s="132"/>
    </row>
    <row r="178" spans="1:15" x14ac:dyDescent="0.3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3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3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3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35">
      <c r="A182" s="92"/>
      <c r="F182" s="177"/>
      <c r="G182" s="117"/>
      <c r="H182" s="93"/>
      <c r="I182" s="38"/>
      <c r="J182" s="135"/>
    </row>
    <row r="183" spans="1:15" x14ac:dyDescent="0.35">
      <c r="A183" s="92"/>
      <c r="F183" s="177"/>
      <c r="G183" s="117"/>
      <c r="H183" s="93"/>
      <c r="I183" s="41"/>
      <c r="J183" s="136"/>
    </row>
    <row r="184" spans="1:15" x14ac:dyDescent="0.35">
      <c r="A184" s="92"/>
      <c r="F184" s="177"/>
      <c r="G184" s="117"/>
      <c r="H184" s="93"/>
      <c r="I184" s="41"/>
      <c r="J184" s="136"/>
    </row>
    <row r="185" spans="1:15" x14ac:dyDescent="0.35">
      <c r="A185" s="92"/>
      <c r="F185" s="177"/>
      <c r="G185" s="117"/>
      <c r="H185" s="93"/>
      <c r="I185" s="41"/>
      <c r="J185" s="136"/>
    </row>
    <row r="186" spans="1:15" x14ac:dyDescent="0.35">
      <c r="A186" s="92"/>
      <c r="F186" s="177"/>
      <c r="G186" s="117"/>
      <c r="H186" s="93"/>
      <c r="I186" s="41"/>
      <c r="J186" s="136"/>
    </row>
    <row r="187" spans="1:15" x14ac:dyDescent="0.35">
      <c r="A187" s="92"/>
      <c r="F187" s="177"/>
      <c r="G187" s="117"/>
      <c r="H187" s="93"/>
      <c r="I187" s="41"/>
      <c r="J187" s="136"/>
    </row>
    <row r="188" spans="1:15" x14ac:dyDescent="0.35">
      <c r="A188" s="92"/>
      <c r="F188" s="177"/>
      <c r="G188" s="117"/>
      <c r="H188" s="93"/>
      <c r="I188" s="41"/>
      <c r="J188" s="136"/>
    </row>
    <row r="189" spans="1:15" x14ac:dyDescent="0.35">
      <c r="A189" s="92"/>
      <c r="F189" s="177"/>
      <c r="G189" s="117"/>
      <c r="H189" s="93"/>
      <c r="I189" s="41"/>
      <c r="J189" s="136"/>
    </row>
    <row r="190" spans="1:15" x14ac:dyDescent="0.35">
      <c r="A190" s="92"/>
      <c r="F190" s="177"/>
      <c r="G190" s="117"/>
      <c r="H190" s="93"/>
      <c r="I190" s="41"/>
      <c r="J190" s="136"/>
    </row>
    <row r="191" spans="1:15" x14ac:dyDescent="0.35">
      <c r="A191" s="92"/>
      <c r="F191" s="177"/>
      <c r="G191" s="117"/>
      <c r="H191" s="93"/>
      <c r="I191" s="41"/>
      <c r="J191" s="136"/>
    </row>
    <row r="192" spans="1:15" x14ac:dyDescent="0.35">
      <c r="A192" s="92"/>
      <c r="F192" s="177"/>
      <c r="G192" s="117"/>
      <c r="H192" s="93"/>
      <c r="I192" s="41"/>
      <c r="J192" s="136"/>
    </row>
    <row r="193" spans="1:10" x14ac:dyDescent="0.35">
      <c r="A193" s="92"/>
      <c r="F193" s="177"/>
      <c r="G193" s="117"/>
      <c r="H193" s="93"/>
      <c r="I193" s="41"/>
      <c r="J193" s="136"/>
    </row>
    <row r="194" spans="1:10" x14ac:dyDescent="0.3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3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3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35">
      <c r="A197" s="92"/>
      <c r="F197" s="177"/>
      <c r="G197" s="117"/>
      <c r="H197" s="93"/>
      <c r="I197" s="41"/>
      <c r="J197" s="136"/>
    </row>
    <row r="198" spans="1:10" x14ac:dyDescent="0.35">
      <c r="A198" s="92"/>
      <c r="F198" s="177"/>
      <c r="G198" s="117"/>
      <c r="H198" s="93"/>
      <c r="I198" s="41"/>
      <c r="J198" s="136"/>
    </row>
    <row r="199" spans="1:10" x14ac:dyDescent="0.35">
      <c r="A199" s="92"/>
      <c r="F199" s="177"/>
      <c r="G199" s="117"/>
      <c r="H199" s="93"/>
      <c r="I199" s="41"/>
      <c r="J199" s="136"/>
    </row>
    <row r="200" spans="1:10" x14ac:dyDescent="0.35">
      <c r="A200" s="92"/>
      <c r="F200" s="177"/>
      <c r="G200" s="117"/>
      <c r="H200" s="93"/>
      <c r="I200" s="41"/>
      <c r="J200" s="136"/>
    </row>
    <row r="201" spans="1:10" x14ac:dyDescent="0.35">
      <c r="A201" s="92"/>
      <c r="F201" s="177"/>
      <c r="G201" s="117"/>
      <c r="H201" s="93"/>
      <c r="I201" s="41"/>
      <c r="J201" s="136"/>
    </row>
    <row r="202" spans="1:10" x14ac:dyDescent="0.35">
      <c r="A202" s="92"/>
      <c r="F202" s="177"/>
      <c r="G202" s="117"/>
      <c r="H202" s="93"/>
      <c r="I202" s="41"/>
      <c r="J202" s="136"/>
    </row>
    <row r="203" spans="1:10" x14ac:dyDescent="0.35">
      <c r="A203" s="92"/>
      <c r="F203" s="177"/>
      <c r="G203" s="117"/>
      <c r="H203" s="93"/>
      <c r="I203" s="41"/>
      <c r="J203" s="136"/>
    </row>
    <row r="204" spans="1:10" x14ac:dyDescent="0.35">
      <c r="A204" s="92"/>
      <c r="F204" s="177"/>
      <c r="G204" s="117"/>
      <c r="H204" s="93"/>
      <c r="I204" s="41"/>
      <c r="J204" s="136"/>
    </row>
    <row r="205" spans="1:10" x14ac:dyDescent="0.35">
      <c r="A205" s="92"/>
      <c r="F205" s="177"/>
      <c r="G205" s="117"/>
      <c r="H205" s="93"/>
      <c r="I205" s="41"/>
      <c r="J205" s="136"/>
    </row>
    <row r="206" spans="1:10" x14ac:dyDescent="0.35">
      <c r="A206" s="92"/>
      <c r="F206" s="177"/>
      <c r="G206" s="117"/>
      <c r="H206" s="93"/>
      <c r="I206" s="41"/>
      <c r="J206" s="136"/>
    </row>
    <row r="207" spans="1:10" x14ac:dyDescent="0.35">
      <c r="A207" s="92"/>
      <c r="F207" s="177"/>
      <c r="G207" s="117"/>
      <c r="H207" s="93"/>
      <c r="I207" s="41"/>
      <c r="J207" s="136"/>
    </row>
    <row r="208" spans="1:10" x14ac:dyDescent="0.35">
      <c r="A208" s="92"/>
      <c r="F208" s="177"/>
      <c r="G208" s="117"/>
      <c r="H208" s="93"/>
      <c r="I208" s="41"/>
      <c r="J208" s="136"/>
    </row>
    <row r="209" spans="1:10" x14ac:dyDescent="0.35">
      <c r="A209" s="92"/>
      <c r="F209" s="177"/>
      <c r="G209" s="117"/>
      <c r="H209" s="93"/>
      <c r="I209" s="41"/>
      <c r="J209" s="136"/>
    </row>
    <row r="210" spans="1:10" x14ac:dyDescent="0.35">
      <c r="A210" s="92"/>
      <c r="F210" s="177"/>
      <c r="G210" s="117"/>
      <c r="H210" s="93"/>
      <c r="I210" s="41"/>
      <c r="J210" s="136"/>
    </row>
    <row r="211" spans="1:10" x14ac:dyDescent="0.35">
      <c r="A211" s="92"/>
      <c r="F211" s="177"/>
      <c r="G211" s="117"/>
      <c r="H211" s="93"/>
      <c r="I211" s="41"/>
      <c r="J211" s="136"/>
    </row>
    <row r="212" spans="1:10" x14ac:dyDescent="0.35">
      <c r="A212" s="92"/>
      <c r="F212" s="177"/>
      <c r="G212" s="117"/>
      <c r="H212" s="93"/>
      <c r="I212" s="41"/>
      <c r="J212" s="136"/>
    </row>
    <row r="213" spans="1:10" x14ac:dyDescent="0.35">
      <c r="A213" s="92"/>
      <c r="F213" s="177"/>
      <c r="G213" s="117"/>
      <c r="H213" s="93"/>
      <c r="I213" s="41"/>
      <c r="J213" s="136"/>
    </row>
    <row r="214" spans="1:10" x14ac:dyDescent="0.35">
      <c r="A214" s="92"/>
      <c r="F214" s="177"/>
      <c r="G214" s="117"/>
      <c r="H214" s="93"/>
      <c r="I214" s="41"/>
      <c r="J214" s="136"/>
    </row>
    <row r="215" spans="1:10" x14ac:dyDescent="0.35">
      <c r="A215" s="92"/>
      <c r="F215" s="177"/>
      <c r="G215" s="117"/>
      <c r="H215" s="93"/>
      <c r="I215" s="41"/>
      <c r="J215" s="136"/>
    </row>
    <row r="216" spans="1:10" x14ac:dyDescent="0.35">
      <c r="A216" s="92"/>
      <c r="F216" s="177"/>
      <c r="G216" s="117"/>
      <c r="H216" s="93"/>
      <c r="I216" s="41"/>
      <c r="J216" s="136"/>
    </row>
    <row r="217" spans="1:10" x14ac:dyDescent="0.35">
      <c r="A217" s="92"/>
      <c r="F217" s="177"/>
      <c r="G217" s="117"/>
      <c r="H217" s="93"/>
      <c r="I217" s="41"/>
      <c r="J217" s="136"/>
    </row>
    <row r="218" spans="1:10" x14ac:dyDescent="0.35">
      <c r="A218" s="92"/>
      <c r="F218" s="177"/>
      <c r="G218" s="117"/>
      <c r="H218" s="93"/>
      <c r="I218" s="41"/>
      <c r="J218" s="136"/>
    </row>
    <row r="219" spans="1:10" x14ac:dyDescent="0.35">
      <c r="A219" s="92"/>
      <c r="F219" s="177"/>
      <c r="G219" s="117"/>
      <c r="H219" s="93"/>
      <c r="I219" s="41"/>
      <c r="J219" s="136"/>
    </row>
    <row r="220" spans="1:10" x14ac:dyDescent="0.35">
      <c r="A220" s="92"/>
      <c r="F220" s="177"/>
      <c r="G220" s="117"/>
      <c r="H220" s="93"/>
      <c r="I220" s="41"/>
      <c r="J220" s="136"/>
    </row>
    <row r="221" spans="1:10" x14ac:dyDescent="0.35">
      <c r="A221" s="92"/>
      <c r="F221" s="177"/>
      <c r="G221" s="117"/>
      <c r="H221" s="93"/>
      <c r="I221" s="41"/>
      <c r="J221" s="136"/>
    </row>
    <row r="222" spans="1:10" x14ac:dyDescent="0.35">
      <c r="A222" s="92"/>
      <c r="F222" s="177"/>
      <c r="G222" s="117"/>
      <c r="H222" s="93"/>
      <c r="I222" s="41"/>
      <c r="J222" s="136"/>
    </row>
    <row r="223" spans="1:10" x14ac:dyDescent="0.35">
      <c r="A223" s="92"/>
      <c r="F223" s="177"/>
      <c r="G223" s="117"/>
      <c r="H223" s="93"/>
      <c r="I223" s="41"/>
      <c r="J223" s="136"/>
    </row>
    <row r="224" spans="1:10" x14ac:dyDescent="0.35">
      <c r="A224" s="92"/>
      <c r="F224" s="177"/>
      <c r="G224" s="117"/>
      <c r="H224" s="93"/>
      <c r="I224" s="41"/>
      <c r="J224" s="136"/>
    </row>
    <row r="225" spans="1:10" x14ac:dyDescent="0.35">
      <c r="A225" s="92"/>
      <c r="F225" s="177"/>
      <c r="G225" s="117"/>
      <c r="H225" s="93"/>
      <c r="I225" s="41"/>
      <c r="J225" s="136"/>
    </row>
    <row r="226" spans="1:10" x14ac:dyDescent="0.35">
      <c r="A226" s="92"/>
      <c r="F226" s="177"/>
      <c r="G226" s="117"/>
      <c r="H226" s="93"/>
      <c r="I226" s="41"/>
      <c r="J226" s="136"/>
    </row>
    <row r="227" spans="1:10" x14ac:dyDescent="0.35">
      <c r="A227" s="92"/>
      <c r="F227" s="177"/>
      <c r="G227" s="117"/>
      <c r="H227" s="93"/>
      <c r="I227" s="41"/>
      <c r="J227" s="136"/>
    </row>
    <row r="228" spans="1:10" x14ac:dyDescent="0.35">
      <c r="A228" s="92"/>
      <c r="F228" s="177"/>
      <c r="G228" s="117"/>
      <c r="H228" s="93"/>
      <c r="I228" s="41"/>
      <c r="J228" s="136"/>
    </row>
    <row r="229" spans="1:10" x14ac:dyDescent="0.35">
      <c r="A229" s="92"/>
      <c r="F229" s="177"/>
      <c r="G229" s="117"/>
      <c r="H229" s="93"/>
      <c r="I229" s="41"/>
      <c r="J229" s="136"/>
    </row>
    <row r="230" spans="1:10" x14ac:dyDescent="0.35">
      <c r="A230" s="92"/>
      <c r="F230" s="177"/>
      <c r="G230" s="117"/>
      <c r="H230" s="93"/>
      <c r="I230" s="41"/>
      <c r="J230" s="136"/>
    </row>
    <row r="231" spans="1:10" x14ac:dyDescent="0.35">
      <c r="A231" s="92"/>
      <c r="F231" s="177"/>
      <c r="G231" s="117"/>
      <c r="H231" s="93"/>
      <c r="I231" s="41"/>
      <c r="J231" s="136"/>
    </row>
    <row r="232" spans="1:10" x14ac:dyDescent="0.35">
      <c r="A232" s="92"/>
      <c r="F232" s="177"/>
      <c r="G232" s="117"/>
      <c r="H232" s="93"/>
      <c r="I232" s="41"/>
      <c r="J232" s="136"/>
    </row>
    <row r="233" spans="1:10" x14ac:dyDescent="0.35">
      <c r="A233" s="92"/>
      <c r="F233" s="177"/>
      <c r="G233" s="117"/>
      <c r="H233" s="93"/>
      <c r="I233" s="41"/>
      <c r="J233" s="136"/>
    </row>
    <row r="234" spans="1:10" x14ac:dyDescent="0.35">
      <c r="A234" s="92"/>
      <c r="F234" s="177"/>
      <c r="G234" s="117"/>
      <c r="H234" s="93"/>
      <c r="I234" s="41"/>
      <c r="J234" s="136"/>
    </row>
    <row r="235" spans="1:10" x14ac:dyDescent="0.35">
      <c r="A235" s="92"/>
      <c r="F235" s="177"/>
      <c r="G235" s="117"/>
      <c r="H235" s="93"/>
      <c r="I235" s="41"/>
      <c r="J235" s="136"/>
    </row>
    <row r="236" spans="1:10" x14ac:dyDescent="0.35">
      <c r="A236" s="92"/>
      <c r="F236" s="177"/>
      <c r="G236" s="117"/>
      <c r="H236" s="93"/>
      <c r="I236" s="41"/>
      <c r="J236" s="136"/>
    </row>
    <row r="237" spans="1:10" x14ac:dyDescent="0.35">
      <c r="A237" s="92"/>
      <c r="F237" s="177"/>
      <c r="G237" s="117"/>
      <c r="H237" s="93"/>
      <c r="I237" s="41"/>
      <c r="J237" s="136"/>
    </row>
    <row r="238" spans="1:10" x14ac:dyDescent="0.35">
      <c r="A238" s="92"/>
      <c r="F238" s="177"/>
      <c r="G238" s="117"/>
      <c r="H238" s="93"/>
      <c r="I238" s="41"/>
      <c r="J238" s="136"/>
    </row>
    <row r="239" spans="1:10" x14ac:dyDescent="0.35">
      <c r="A239" s="92"/>
      <c r="F239" s="177"/>
      <c r="G239" s="117"/>
      <c r="H239" s="93"/>
      <c r="I239" s="41"/>
      <c r="J239" s="136"/>
    </row>
    <row r="240" spans="1:10" x14ac:dyDescent="0.35">
      <c r="A240" s="92"/>
      <c r="F240" s="177"/>
      <c r="G240" s="117"/>
      <c r="H240" s="93"/>
      <c r="I240" s="41"/>
      <c r="J240" s="136"/>
    </row>
    <row r="241" spans="1:10" x14ac:dyDescent="0.35">
      <c r="A241" s="92"/>
      <c r="F241" s="177"/>
      <c r="G241" s="117"/>
      <c r="H241" s="93"/>
      <c r="I241" s="41"/>
      <c r="J241" s="136"/>
    </row>
    <row r="242" spans="1:10" x14ac:dyDescent="0.35">
      <c r="A242" s="92"/>
      <c r="F242" s="177"/>
      <c r="G242" s="117"/>
      <c r="H242" s="93"/>
      <c r="I242" s="41"/>
      <c r="J242" s="136"/>
    </row>
    <row r="243" spans="1:10" x14ac:dyDescent="0.35">
      <c r="A243" s="92"/>
      <c r="F243" s="177"/>
      <c r="G243" s="117"/>
      <c r="H243" s="93"/>
      <c r="I243" s="41"/>
      <c r="J243" s="136"/>
    </row>
    <row r="244" spans="1:10" x14ac:dyDescent="0.35">
      <c r="A244" s="92"/>
      <c r="F244" s="177"/>
      <c r="G244" s="117"/>
      <c r="H244" s="93"/>
      <c r="I244" s="41"/>
      <c r="J244" s="136"/>
    </row>
    <row r="245" spans="1:10" x14ac:dyDescent="0.35">
      <c r="A245" s="92"/>
      <c r="F245" s="177"/>
      <c r="G245" s="117"/>
      <c r="H245" s="93"/>
      <c r="I245" s="41"/>
      <c r="J245" s="136"/>
    </row>
    <row r="246" spans="1:10" x14ac:dyDescent="0.35">
      <c r="A246" s="92"/>
      <c r="F246" s="177"/>
      <c r="G246" s="117"/>
      <c r="H246" s="93"/>
      <c r="I246" s="41"/>
      <c r="J246" s="136"/>
    </row>
    <row r="247" spans="1:10" x14ac:dyDescent="0.35">
      <c r="A247" s="92"/>
      <c r="F247" s="177"/>
      <c r="G247" s="117"/>
      <c r="H247" s="93"/>
      <c r="I247" s="41"/>
      <c r="J247" s="136"/>
    </row>
    <row r="248" spans="1:10" x14ac:dyDescent="0.35">
      <c r="A248" s="92"/>
      <c r="F248" s="177"/>
      <c r="G248" s="117"/>
      <c r="H248" s="93"/>
      <c r="I248" s="41"/>
      <c r="J248" s="136"/>
    </row>
    <row r="249" spans="1:10" x14ac:dyDescent="0.35">
      <c r="A249" s="92"/>
      <c r="F249" s="177"/>
      <c r="G249" s="117"/>
      <c r="H249" s="93"/>
      <c r="I249" s="41"/>
      <c r="J249" s="136"/>
    </row>
    <row r="250" spans="1:10" x14ac:dyDescent="0.35">
      <c r="A250" s="92"/>
      <c r="F250" s="177"/>
      <c r="G250" s="117"/>
      <c r="H250" s="93"/>
      <c r="I250" s="41"/>
      <c r="J250" s="136"/>
    </row>
    <row r="251" spans="1:10" x14ac:dyDescent="0.35">
      <c r="A251" s="92"/>
      <c r="F251" s="177"/>
      <c r="G251" s="117"/>
      <c r="H251" s="93"/>
      <c r="I251" s="41"/>
      <c r="J251" s="136"/>
    </row>
    <row r="252" spans="1:10" x14ac:dyDescent="0.35">
      <c r="A252" s="92"/>
      <c r="F252" s="177"/>
      <c r="G252" s="117"/>
      <c r="H252" s="93"/>
      <c r="I252" s="41"/>
      <c r="J252" s="136"/>
    </row>
    <row r="253" spans="1:10" x14ac:dyDescent="0.35">
      <c r="A253" s="92"/>
      <c r="F253" s="177"/>
      <c r="G253" s="117"/>
      <c r="H253" s="93"/>
      <c r="I253" s="41"/>
      <c r="J253" s="136"/>
    </row>
    <row r="254" spans="1:10" x14ac:dyDescent="0.35">
      <c r="A254" s="92"/>
      <c r="F254" s="177"/>
      <c r="G254" s="117"/>
      <c r="H254" s="93"/>
      <c r="I254" s="41"/>
      <c r="J254" s="136"/>
    </row>
    <row r="255" spans="1:10" x14ac:dyDescent="0.35">
      <c r="A255" s="92"/>
      <c r="F255" s="177"/>
      <c r="G255" s="117"/>
      <c r="H255" s="93"/>
      <c r="I255" s="41"/>
      <c r="J255" s="136"/>
    </row>
    <row r="256" spans="1:10" x14ac:dyDescent="0.35">
      <c r="A256" s="92"/>
      <c r="F256" s="177"/>
      <c r="G256" s="117"/>
      <c r="H256" s="93"/>
      <c r="I256" s="41"/>
      <c r="J256" s="136"/>
    </row>
    <row r="257" spans="1:10" x14ac:dyDescent="0.35">
      <c r="A257" s="92"/>
      <c r="F257" s="177"/>
      <c r="G257" s="117"/>
      <c r="H257" s="93"/>
      <c r="I257" s="41"/>
      <c r="J257" s="136"/>
    </row>
    <row r="258" spans="1:10" x14ac:dyDescent="0.35">
      <c r="A258" s="92"/>
      <c r="F258" s="177"/>
      <c r="G258" s="117"/>
      <c r="H258" s="93"/>
      <c r="I258" s="41"/>
      <c r="J258" s="136"/>
    </row>
    <row r="259" spans="1:10" x14ac:dyDescent="0.35">
      <c r="A259" s="92"/>
      <c r="F259" s="177"/>
      <c r="G259" s="117"/>
      <c r="H259" s="93"/>
      <c r="I259" s="41"/>
      <c r="J259" s="136"/>
    </row>
    <row r="260" spans="1:10" x14ac:dyDescent="0.35">
      <c r="A260" s="92"/>
      <c r="F260" s="177"/>
      <c r="G260" s="117"/>
      <c r="H260" s="93"/>
      <c r="I260" s="41"/>
      <c r="J260" s="136"/>
    </row>
    <row r="261" spans="1:10" x14ac:dyDescent="0.35">
      <c r="A261" s="92"/>
      <c r="F261" s="177"/>
      <c r="G261" s="117"/>
      <c r="H261" s="93"/>
      <c r="I261" s="41"/>
      <c r="J261" s="136"/>
    </row>
    <row r="262" spans="1:10" x14ac:dyDescent="0.35">
      <c r="A262" s="92"/>
      <c r="F262" s="177"/>
      <c r="G262" s="117"/>
      <c r="H262" s="93"/>
      <c r="I262" s="41"/>
      <c r="J262" s="136"/>
    </row>
    <row r="263" spans="1:10" x14ac:dyDescent="0.35">
      <c r="A263" s="92"/>
      <c r="F263" s="177"/>
      <c r="G263" s="117"/>
      <c r="H263" s="93"/>
      <c r="I263" s="41"/>
      <c r="J263" s="136"/>
    </row>
    <row r="264" spans="1:10" x14ac:dyDescent="0.35">
      <c r="A264" s="92"/>
      <c r="F264" s="177"/>
      <c r="G264" s="117"/>
      <c r="H264" s="93"/>
      <c r="I264" s="41"/>
      <c r="J264" s="136"/>
    </row>
    <row r="265" spans="1:10" x14ac:dyDescent="0.35">
      <c r="A265" s="92"/>
      <c r="F265" s="177"/>
      <c r="G265" s="117"/>
      <c r="H265" s="93"/>
      <c r="I265" s="41"/>
      <c r="J265" s="136"/>
    </row>
    <row r="266" spans="1:10" x14ac:dyDescent="0.35">
      <c r="A266" s="92"/>
      <c r="F266" s="177"/>
      <c r="G266" s="117"/>
      <c r="H266" s="93"/>
      <c r="I266" s="41"/>
      <c r="J266" s="136"/>
    </row>
    <row r="267" spans="1:10" x14ac:dyDescent="0.35">
      <c r="A267" s="92"/>
      <c r="F267" s="177"/>
      <c r="G267" s="117"/>
      <c r="H267" s="93"/>
      <c r="I267" s="41"/>
      <c r="J267" s="136"/>
    </row>
    <row r="268" spans="1:10" x14ac:dyDescent="0.35">
      <c r="A268" s="92"/>
      <c r="F268" s="177"/>
      <c r="G268" s="117"/>
      <c r="H268" s="93"/>
      <c r="I268" s="41"/>
      <c r="J268" s="136"/>
    </row>
    <row r="269" spans="1:10" x14ac:dyDescent="0.35">
      <c r="A269" s="92"/>
      <c r="F269" s="177"/>
      <c r="G269" s="117"/>
      <c r="H269" s="93"/>
      <c r="I269" s="41"/>
      <c r="J269" s="136"/>
    </row>
    <row r="270" spans="1:10" x14ac:dyDescent="0.35">
      <c r="A270" s="92"/>
      <c r="F270" s="177"/>
      <c r="G270" s="117"/>
      <c r="H270" s="93"/>
      <c r="I270" s="41"/>
      <c r="J270" s="136"/>
    </row>
    <row r="271" spans="1:10" x14ac:dyDescent="0.35">
      <c r="A271" s="92"/>
      <c r="F271" s="177"/>
      <c r="G271" s="117"/>
      <c r="H271" s="93"/>
      <c r="I271" s="41"/>
      <c r="J271" s="136"/>
    </row>
    <row r="272" spans="1:10" x14ac:dyDescent="0.35">
      <c r="A272" s="92"/>
      <c r="F272" s="177"/>
      <c r="G272" s="117"/>
      <c r="H272" s="93"/>
      <c r="I272" s="41"/>
      <c r="J272" s="136"/>
    </row>
    <row r="273" spans="1:10" x14ac:dyDescent="0.35">
      <c r="A273" s="92"/>
      <c r="F273" s="177"/>
      <c r="G273" s="117"/>
      <c r="H273" s="93"/>
      <c r="I273" s="41"/>
      <c r="J273" s="136"/>
    </row>
    <row r="274" spans="1:10" x14ac:dyDescent="0.35">
      <c r="A274" s="92"/>
      <c r="F274" s="177"/>
      <c r="G274" s="117"/>
      <c r="H274" s="93"/>
      <c r="I274" s="41"/>
      <c r="J274" s="136"/>
    </row>
    <row r="275" spans="1:10" x14ac:dyDescent="0.35">
      <c r="A275" s="92"/>
      <c r="F275" s="177"/>
      <c r="G275" s="117"/>
      <c r="H275" s="93"/>
      <c r="I275" s="41"/>
      <c r="J275" s="136"/>
    </row>
    <row r="276" spans="1:10" x14ac:dyDescent="0.35">
      <c r="A276" s="92"/>
      <c r="F276" s="177"/>
      <c r="G276" s="117"/>
      <c r="H276" s="93"/>
      <c r="I276" s="41"/>
      <c r="J276" s="136"/>
    </row>
    <row r="277" spans="1:10" x14ac:dyDescent="0.35">
      <c r="A277" s="92"/>
      <c r="F277" s="177"/>
      <c r="G277" s="117"/>
      <c r="H277" s="93"/>
      <c r="I277" s="41"/>
      <c r="J277" s="136"/>
    </row>
    <row r="278" spans="1:10" x14ac:dyDescent="0.35">
      <c r="A278" s="92"/>
      <c r="F278" s="177"/>
      <c r="G278" s="117"/>
      <c r="H278" s="93"/>
      <c r="I278" s="41"/>
      <c r="J278" s="136"/>
    </row>
    <row r="279" spans="1:10" x14ac:dyDescent="0.35">
      <c r="A279" s="92"/>
      <c r="F279" s="177"/>
      <c r="G279" s="117"/>
      <c r="H279" s="93"/>
      <c r="I279" s="41"/>
      <c r="J279" s="136"/>
    </row>
    <row r="280" spans="1:10" x14ac:dyDescent="0.35">
      <c r="A280" s="92"/>
      <c r="F280" s="177"/>
      <c r="G280" s="117"/>
      <c r="H280" s="93"/>
      <c r="I280" s="41"/>
      <c r="J280" s="136"/>
    </row>
    <row r="281" spans="1:10" x14ac:dyDescent="0.35">
      <c r="A281" s="92"/>
      <c r="F281" s="177"/>
      <c r="G281" s="117"/>
      <c r="H281" s="93"/>
      <c r="I281" s="41"/>
      <c r="J281" s="136"/>
    </row>
    <row r="282" spans="1:10" x14ac:dyDescent="0.35">
      <c r="A282" s="92"/>
      <c r="F282" s="177"/>
      <c r="G282" s="117"/>
      <c r="H282" s="93"/>
      <c r="I282" s="41"/>
      <c r="J282" s="136"/>
    </row>
    <row r="283" spans="1:10" x14ac:dyDescent="0.35">
      <c r="A283" s="92"/>
      <c r="F283" s="177"/>
      <c r="G283" s="117"/>
      <c r="H283" s="93"/>
      <c r="I283" s="41"/>
      <c r="J283" s="136"/>
    </row>
    <row r="284" spans="1:10" x14ac:dyDescent="0.35">
      <c r="A284" s="92"/>
      <c r="F284" s="177"/>
      <c r="G284" s="117"/>
      <c r="H284" s="93"/>
      <c r="I284" s="41"/>
      <c r="J284" s="136"/>
    </row>
    <row r="285" spans="1:10" x14ac:dyDescent="0.35">
      <c r="A285" s="92"/>
      <c r="F285" s="177"/>
      <c r="G285" s="117"/>
      <c r="H285" s="93"/>
      <c r="I285" s="41"/>
      <c r="J285" s="136"/>
    </row>
    <row r="286" spans="1:10" x14ac:dyDescent="0.35">
      <c r="A286" s="92"/>
      <c r="F286" s="177"/>
      <c r="G286" s="117"/>
      <c r="H286" s="93"/>
      <c r="I286" s="41"/>
      <c r="J286" s="136"/>
    </row>
    <row r="287" spans="1:10" x14ac:dyDescent="0.35">
      <c r="A287" s="92"/>
      <c r="F287" s="177"/>
      <c r="G287" s="117"/>
      <c r="H287" s="93"/>
      <c r="I287" s="41"/>
      <c r="J287" s="136"/>
    </row>
    <row r="288" spans="1:10" x14ac:dyDescent="0.35">
      <c r="A288" s="92"/>
      <c r="F288" s="177"/>
      <c r="G288" s="117"/>
      <c r="H288" s="93"/>
      <c r="I288" s="41"/>
      <c r="J288" s="136"/>
    </row>
    <row r="289" spans="1:10" x14ac:dyDescent="0.35">
      <c r="A289" s="92"/>
      <c r="F289" s="177"/>
      <c r="G289" s="117"/>
      <c r="H289" s="93"/>
      <c r="I289" s="41"/>
      <c r="J289" s="136"/>
    </row>
    <row r="290" spans="1:10" x14ac:dyDescent="0.35">
      <c r="A290" s="92"/>
      <c r="F290" s="177"/>
      <c r="G290" s="117"/>
      <c r="H290" s="93"/>
      <c r="I290" s="41"/>
      <c r="J290" s="136"/>
    </row>
    <row r="291" spans="1:10" x14ac:dyDescent="0.35">
      <c r="A291" s="92"/>
      <c r="F291" s="177"/>
      <c r="G291" s="117"/>
      <c r="H291" s="93"/>
      <c r="I291" s="41"/>
      <c r="J291" s="136"/>
    </row>
    <row r="292" spans="1:10" x14ac:dyDescent="0.35">
      <c r="A292" s="92"/>
      <c r="F292" s="177"/>
      <c r="G292" s="117"/>
      <c r="H292" s="93"/>
      <c r="I292" s="41"/>
      <c r="J292" s="136"/>
    </row>
    <row r="293" spans="1:10" x14ac:dyDescent="0.35">
      <c r="A293" s="92"/>
      <c r="F293" s="177"/>
      <c r="G293" s="117"/>
      <c r="H293" s="93"/>
      <c r="I293" s="41"/>
      <c r="J293" s="136"/>
    </row>
    <row r="294" spans="1:10" x14ac:dyDescent="0.35">
      <c r="A294" s="92"/>
      <c r="F294" s="177"/>
      <c r="G294" s="117"/>
      <c r="H294" s="93"/>
      <c r="I294" s="41"/>
      <c r="J294" s="136"/>
    </row>
    <row r="295" spans="1:10" x14ac:dyDescent="0.35">
      <c r="A295" s="92"/>
      <c r="F295" s="177"/>
      <c r="G295" s="117"/>
      <c r="H295" s="93"/>
      <c r="I295" s="41"/>
      <c r="J295" s="136"/>
    </row>
    <row r="296" spans="1:10" x14ac:dyDescent="0.35">
      <c r="A296" s="92"/>
      <c r="F296" s="177"/>
      <c r="G296" s="117"/>
      <c r="H296" s="93"/>
      <c r="I296" s="41"/>
      <c r="J296" s="136"/>
    </row>
    <row r="297" spans="1:10" x14ac:dyDescent="0.35">
      <c r="A297" s="92"/>
      <c r="F297" s="177"/>
      <c r="G297" s="117"/>
      <c r="H297" s="93"/>
      <c r="I297" s="41"/>
      <c r="J297" s="136"/>
    </row>
    <row r="298" spans="1:10" x14ac:dyDescent="0.35">
      <c r="A298" s="92"/>
      <c r="F298" s="177"/>
      <c r="G298" s="117"/>
      <c r="H298" s="93"/>
      <c r="I298" s="41"/>
      <c r="J298" s="136"/>
    </row>
    <row r="299" spans="1:10" x14ac:dyDescent="0.35">
      <c r="A299" s="92"/>
      <c r="F299" s="177"/>
      <c r="G299" s="117"/>
      <c r="H299" s="93"/>
      <c r="I299" s="41"/>
      <c r="J299" s="136"/>
    </row>
    <row r="300" spans="1:10" x14ac:dyDescent="0.35">
      <c r="A300" s="92"/>
      <c r="F300" s="177"/>
      <c r="G300" s="117"/>
      <c r="H300" s="93"/>
      <c r="I300" s="41"/>
      <c r="J300" s="136"/>
    </row>
    <row r="301" spans="1:10" x14ac:dyDescent="0.35">
      <c r="A301" s="92"/>
      <c r="F301" s="177"/>
      <c r="G301" s="117"/>
      <c r="H301" s="93"/>
      <c r="I301" s="41"/>
      <c r="J301" s="136"/>
    </row>
    <row r="302" spans="1:10" x14ac:dyDescent="0.35">
      <c r="A302" s="92"/>
      <c r="F302" s="177"/>
      <c r="G302" s="117"/>
      <c r="H302" s="93"/>
      <c r="I302" s="41"/>
      <c r="J302" s="136"/>
    </row>
    <row r="303" spans="1:10" x14ac:dyDescent="0.35">
      <c r="A303" s="92"/>
      <c r="F303" s="177"/>
      <c r="G303" s="117"/>
      <c r="H303" s="93"/>
      <c r="I303" s="41"/>
      <c r="J303" s="136"/>
    </row>
    <row r="304" spans="1:10" x14ac:dyDescent="0.35">
      <c r="A304" s="92"/>
      <c r="F304" s="177"/>
      <c r="G304" s="117"/>
      <c r="H304" s="93"/>
      <c r="I304" s="41"/>
      <c r="J304" s="136"/>
    </row>
    <row r="305" spans="1:10" x14ac:dyDescent="0.35">
      <c r="A305" s="92"/>
      <c r="F305" s="177"/>
      <c r="G305" s="117"/>
      <c r="H305" s="93"/>
      <c r="I305" s="41"/>
      <c r="J305" s="136"/>
    </row>
    <row r="306" spans="1:10" x14ac:dyDescent="0.35">
      <c r="A306" s="92"/>
      <c r="F306" s="177"/>
      <c r="G306" s="117"/>
      <c r="H306" s="93"/>
      <c r="I306" s="41"/>
      <c r="J306" s="136"/>
    </row>
    <row r="307" spans="1:10" x14ac:dyDescent="0.35">
      <c r="A307" s="92"/>
      <c r="F307" s="177"/>
      <c r="G307" s="117"/>
      <c r="H307" s="93"/>
      <c r="I307" s="41"/>
      <c r="J307" s="136"/>
    </row>
    <row r="308" spans="1:10" x14ac:dyDescent="0.35">
      <c r="A308" s="92"/>
      <c r="F308" s="177"/>
      <c r="G308" s="117"/>
      <c r="H308" s="93"/>
      <c r="I308" s="41"/>
      <c r="J308" s="136"/>
    </row>
    <row r="309" spans="1:10" x14ac:dyDescent="0.35">
      <c r="A309" s="92"/>
      <c r="F309" s="177"/>
      <c r="G309" s="117"/>
      <c r="H309" s="93"/>
      <c r="I309" s="41"/>
      <c r="J309" s="136"/>
    </row>
    <row r="310" spans="1:10" x14ac:dyDescent="0.35">
      <c r="A310" s="92"/>
      <c r="F310" s="177"/>
      <c r="G310" s="117"/>
      <c r="H310" s="93"/>
      <c r="I310" s="41"/>
      <c r="J310" s="136"/>
    </row>
    <row r="311" spans="1:10" x14ac:dyDescent="0.35">
      <c r="A311" s="92"/>
      <c r="F311" s="177"/>
      <c r="G311" s="117"/>
      <c r="H311" s="93"/>
      <c r="I311" s="41"/>
      <c r="J311" s="136"/>
    </row>
    <row r="312" spans="1:10" x14ac:dyDescent="0.35">
      <c r="A312" s="92"/>
      <c r="F312" s="177"/>
      <c r="G312" s="117"/>
      <c r="H312" s="93"/>
      <c r="I312" s="41"/>
      <c r="J312" s="136"/>
    </row>
    <row r="313" spans="1:10" x14ac:dyDescent="0.35">
      <c r="A313" s="92"/>
      <c r="F313" s="177"/>
      <c r="G313" s="117"/>
      <c r="H313" s="93"/>
      <c r="I313" s="41"/>
      <c r="J313" s="136"/>
    </row>
    <row r="314" spans="1:10" x14ac:dyDescent="0.35">
      <c r="A314" s="92"/>
      <c r="F314" s="177"/>
      <c r="G314" s="117"/>
      <c r="H314" s="93"/>
      <c r="I314" s="41"/>
      <c r="J314" s="136"/>
    </row>
    <row r="315" spans="1:10" x14ac:dyDescent="0.35">
      <c r="A315" s="92"/>
      <c r="F315" s="177"/>
      <c r="G315" s="117"/>
      <c r="H315" s="93"/>
      <c r="I315" s="41"/>
      <c r="J315" s="136"/>
    </row>
    <row r="316" spans="1:10" x14ac:dyDescent="0.35">
      <c r="A316" s="92"/>
      <c r="F316" s="177"/>
      <c r="G316" s="117"/>
      <c r="H316" s="93"/>
      <c r="I316" s="41"/>
      <c r="J316" s="136"/>
    </row>
    <row r="317" spans="1:10" x14ac:dyDescent="0.35">
      <c r="A317" s="92"/>
      <c r="F317" s="177"/>
      <c r="G317" s="117"/>
      <c r="H317" s="93"/>
      <c r="I317" s="41"/>
      <c r="J317" s="136"/>
    </row>
    <row r="318" spans="1:10" x14ac:dyDescent="0.35">
      <c r="A318" s="92"/>
      <c r="F318" s="177"/>
      <c r="G318" s="117"/>
      <c r="H318" s="93"/>
      <c r="I318" s="41"/>
      <c r="J318" s="136"/>
    </row>
    <row r="319" spans="1:10" x14ac:dyDescent="0.35">
      <c r="A319" s="92"/>
      <c r="F319" s="177"/>
      <c r="G319" s="117"/>
      <c r="H319" s="93"/>
      <c r="I319" s="41"/>
      <c r="J319" s="136"/>
    </row>
    <row r="320" spans="1:10" x14ac:dyDescent="0.35">
      <c r="A320" s="92"/>
      <c r="F320" s="177"/>
      <c r="G320" s="117"/>
      <c r="H320" s="93"/>
      <c r="I320" s="41"/>
      <c r="J320" s="136"/>
    </row>
    <row r="321" spans="1:10" x14ac:dyDescent="0.35">
      <c r="A321" s="92"/>
      <c r="F321" s="177"/>
      <c r="G321" s="117"/>
      <c r="H321" s="93"/>
      <c r="I321" s="41"/>
      <c r="J321" s="136"/>
    </row>
    <row r="322" spans="1:10" x14ac:dyDescent="0.35">
      <c r="A322" s="92"/>
      <c r="F322" s="177"/>
      <c r="G322" s="117"/>
      <c r="H322" s="93"/>
      <c r="I322" s="41"/>
      <c r="J322" s="136"/>
    </row>
    <row r="323" spans="1:10" x14ac:dyDescent="0.35">
      <c r="A323" s="92"/>
      <c r="F323" s="177"/>
      <c r="G323" s="117"/>
      <c r="H323" s="93"/>
      <c r="I323" s="41"/>
      <c r="J323" s="136"/>
    </row>
    <row r="324" spans="1:10" x14ac:dyDescent="0.35">
      <c r="A324" s="92"/>
      <c r="F324" s="177"/>
      <c r="G324" s="117"/>
      <c r="H324" s="93"/>
      <c r="I324" s="41"/>
      <c r="J324" s="136"/>
    </row>
    <row r="325" spans="1:10" x14ac:dyDescent="0.35">
      <c r="A325" s="92"/>
      <c r="F325" s="177"/>
      <c r="G325" s="117"/>
      <c r="H325" s="93"/>
      <c r="I325" s="41"/>
      <c r="J325" s="136"/>
    </row>
    <row r="326" spans="1:10" x14ac:dyDescent="0.35">
      <c r="A326" s="92"/>
      <c r="F326" s="177"/>
      <c r="G326" s="117"/>
      <c r="H326" s="93"/>
      <c r="I326" s="41"/>
      <c r="J326" s="136"/>
    </row>
    <row r="327" spans="1:10" x14ac:dyDescent="0.35">
      <c r="A327" s="92"/>
      <c r="F327" s="177"/>
      <c r="G327" s="117"/>
      <c r="H327" s="93"/>
      <c r="I327" s="41"/>
      <c r="J327" s="136"/>
    </row>
    <row r="328" spans="1:10" x14ac:dyDescent="0.35">
      <c r="A328" s="92"/>
      <c r="F328" s="177"/>
      <c r="G328" s="117"/>
      <c r="H328" s="93"/>
      <c r="I328" s="41"/>
      <c r="J328" s="136"/>
    </row>
    <row r="329" spans="1:10" x14ac:dyDescent="0.35">
      <c r="A329" s="92"/>
      <c r="F329" s="177"/>
      <c r="G329" s="117"/>
      <c r="H329" s="93"/>
      <c r="I329" s="41"/>
      <c r="J329" s="136"/>
    </row>
    <row r="330" spans="1:10" x14ac:dyDescent="0.35">
      <c r="A330" s="92"/>
      <c r="F330" s="177"/>
      <c r="G330" s="117"/>
      <c r="H330" s="93"/>
      <c r="I330" s="41"/>
      <c r="J330" s="136"/>
    </row>
    <row r="331" spans="1:10" x14ac:dyDescent="0.35">
      <c r="A331" s="92"/>
      <c r="F331" s="177"/>
      <c r="G331" s="117"/>
      <c r="H331" s="93"/>
      <c r="I331" s="41"/>
      <c r="J331" s="136"/>
    </row>
    <row r="332" spans="1:10" x14ac:dyDescent="0.35">
      <c r="A332" s="92"/>
      <c r="F332" s="177"/>
      <c r="G332" s="117"/>
      <c r="H332" s="93"/>
      <c r="I332" s="41"/>
      <c r="J332" s="136"/>
    </row>
    <row r="333" spans="1:10" x14ac:dyDescent="0.35">
      <c r="A333" s="92"/>
      <c r="F333" s="177"/>
      <c r="G333" s="117"/>
      <c r="H333" s="93"/>
      <c r="I333" s="41"/>
      <c r="J333" s="136"/>
    </row>
    <row r="334" spans="1:10" x14ac:dyDescent="0.35">
      <c r="A334" s="92"/>
      <c r="F334" s="177"/>
      <c r="G334" s="117"/>
      <c r="H334" s="93"/>
      <c r="I334" s="41"/>
      <c r="J334" s="136"/>
    </row>
    <row r="335" spans="1:10" x14ac:dyDescent="0.35">
      <c r="A335" s="92"/>
      <c r="F335" s="177"/>
      <c r="G335" s="117"/>
      <c r="H335" s="93"/>
      <c r="I335" s="41"/>
      <c r="J335" s="136"/>
    </row>
    <row r="336" spans="1:10" x14ac:dyDescent="0.35">
      <c r="A336" s="92"/>
      <c r="F336" s="177"/>
      <c r="G336" s="117"/>
      <c r="H336" s="93"/>
      <c r="I336" s="41"/>
      <c r="J336" s="136"/>
    </row>
    <row r="337" spans="1:10" x14ac:dyDescent="0.35">
      <c r="A337" s="92"/>
      <c r="F337" s="177"/>
      <c r="G337" s="117"/>
      <c r="H337" s="93"/>
      <c r="I337" s="41"/>
      <c r="J337" s="136"/>
    </row>
    <row r="338" spans="1:10" x14ac:dyDescent="0.35">
      <c r="A338" s="92"/>
      <c r="F338" s="177"/>
      <c r="G338" s="117"/>
      <c r="H338" s="93"/>
      <c r="I338" s="41"/>
      <c r="J338" s="136"/>
    </row>
    <row r="339" spans="1:10" x14ac:dyDescent="0.35">
      <c r="A339" s="92"/>
      <c r="F339" s="177"/>
      <c r="G339" s="117"/>
      <c r="H339" s="93"/>
      <c r="I339" s="41"/>
      <c r="J339" s="136"/>
    </row>
    <row r="340" spans="1:10" x14ac:dyDescent="0.35">
      <c r="A340" s="92"/>
      <c r="F340" s="177"/>
      <c r="G340" s="117"/>
      <c r="H340" s="93"/>
      <c r="I340" s="41"/>
      <c r="J340" s="136"/>
    </row>
    <row r="341" spans="1:10" x14ac:dyDescent="0.35">
      <c r="A341" s="92"/>
      <c r="F341" s="177"/>
      <c r="G341" s="117"/>
      <c r="H341" s="93"/>
      <c r="I341" s="41"/>
      <c r="J341" s="136"/>
    </row>
    <row r="342" spans="1:10" x14ac:dyDescent="0.35">
      <c r="A342" s="92"/>
      <c r="F342" s="177"/>
      <c r="G342" s="117"/>
      <c r="H342" s="93"/>
      <c r="I342" s="41"/>
      <c r="J342" s="136"/>
    </row>
    <row r="343" spans="1:10" x14ac:dyDescent="0.35">
      <c r="A343" s="92"/>
      <c r="F343" s="177"/>
      <c r="G343" s="117"/>
      <c r="H343" s="93"/>
      <c r="I343" s="41"/>
      <c r="J343" s="136"/>
    </row>
    <row r="344" spans="1:10" x14ac:dyDescent="0.35">
      <c r="A344" s="92"/>
      <c r="F344" s="177"/>
      <c r="G344" s="117"/>
      <c r="H344" s="93"/>
      <c r="I344" s="41"/>
      <c r="J344" s="136"/>
    </row>
    <row r="345" spans="1:10" x14ac:dyDescent="0.35">
      <c r="A345" s="92"/>
      <c r="F345" s="177"/>
      <c r="G345" s="117"/>
      <c r="H345" s="93"/>
      <c r="I345" s="41"/>
      <c r="J345" s="136"/>
    </row>
    <row r="346" spans="1:10" x14ac:dyDescent="0.35">
      <c r="A346" s="92"/>
      <c r="F346" s="177"/>
      <c r="G346" s="117"/>
      <c r="H346" s="93"/>
      <c r="I346" s="41"/>
      <c r="J346" s="136"/>
    </row>
    <row r="347" spans="1:10" x14ac:dyDescent="0.35">
      <c r="A347" s="92"/>
      <c r="F347" s="177"/>
      <c r="G347" s="117"/>
      <c r="H347" s="93"/>
      <c r="I347" s="41"/>
      <c r="J347" s="136"/>
    </row>
    <row r="348" spans="1:10" x14ac:dyDescent="0.35">
      <c r="A348" s="92"/>
      <c r="F348" s="177"/>
      <c r="G348" s="117"/>
      <c r="H348" s="93"/>
      <c r="I348" s="41"/>
      <c r="J348" s="136"/>
    </row>
    <row r="349" spans="1:10" x14ac:dyDescent="0.35">
      <c r="A349" s="92"/>
      <c r="F349" s="177"/>
      <c r="G349" s="117"/>
      <c r="H349" s="93"/>
      <c r="I349" s="41"/>
      <c r="J349" s="136"/>
    </row>
    <row r="350" spans="1:10" x14ac:dyDescent="0.35">
      <c r="A350" s="92"/>
      <c r="F350" s="177"/>
      <c r="G350" s="117"/>
      <c r="H350" s="93"/>
      <c r="I350" s="41"/>
      <c r="J350" s="136"/>
    </row>
    <row r="351" spans="1:10" x14ac:dyDescent="0.35">
      <c r="A351" s="92"/>
      <c r="F351" s="177"/>
      <c r="G351" s="117"/>
      <c r="H351" s="93"/>
      <c r="I351" s="41"/>
      <c r="J351" s="136"/>
    </row>
    <row r="352" spans="1:10" x14ac:dyDescent="0.35">
      <c r="A352" s="92"/>
      <c r="F352" s="177"/>
      <c r="G352" s="117"/>
      <c r="H352" s="93"/>
      <c r="I352" s="41"/>
      <c r="J352" s="136"/>
    </row>
    <row r="353" spans="1:10" x14ac:dyDescent="0.35">
      <c r="A353" s="92"/>
      <c r="F353" s="177"/>
      <c r="G353" s="117"/>
      <c r="H353" s="93"/>
      <c r="I353" s="41"/>
      <c r="J353" s="136"/>
    </row>
    <row r="354" spans="1:10" x14ac:dyDescent="0.35">
      <c r="A354" s="92"/>
      <c r="F354" s="177"/>
      <c r="G354" s="117"/>
      <c r="H354" s="93"/>
      <c r="I354" s="41"/>
      <c r="J354" s="136"/>
    </row>
    <row r="355" spans="1:10" x14ac:dyDescent="0.35">
      <c r="A355" s="92"/>
      <c r="F355" s="177"/>
      <c r="G355" s="117"/>
      <c r="H355" s="93"/>
      <c r="I355" s="41"/>
      <c r="J355" s="136"/>
    </row>
    <row r="356" spans="1:10" x14ac:dyDescent="0.35">
      <c r="A356" s="92"/>
      <c r="F356" s="177"/>
      <c r="G356" s="117"/>
      <c r="H356" s="93"/>
      <c r="I356" s="41"/>
      <c r="J356" s="136"/>
    </row>
    <row r="357" spans="1:10" x14ac:dyDescent="0.35">
      <c r="A357" s="92"/>
      <c r="F357" s="177"/>
      <c r="G357" s="117"/>
      <c r="H357" s="93"/>
      <c r="I357" s="41"/>
      <c r="J357" s="136"/>
    </row>
    <row r="358" spans="1:10" x14ac:dyDescent="0.35">
      <c r="A358" s="92"/>
      <c r="F358" s="177"/>
      <c r="G358" s="117"/>
      <c r="H358" s="93"/>
      <c r="I358" s="41"/>
      <c r="J358" s="136"/>
    </row>
    <row r="359" spans="1:10" x14ac:dyDescent="0.35">
      <c r="A359" s="92"/>
      <c r="F359" s="177"/>
      <c r="G359" s="117"/>
      <c r="H359" s="93"/>
      <c r="I359" s="41"/>
      <c r="J359" s="136"/>
    </row>
    <row r="360" spans="1:10" x14ac:dyDescent="0.35">
      <c r="A360" s="92"/>
      <c r="F360" s="177"/>
      <c r="G360" s="117"/>
      <c r="H360" s="93"/>
      <c r="I360" s="41"/>
      <c r="J360" s="136"/>
    </row>
    <row r="361" spans="1:10" x14ac:dyDescent="0.35">
      <c r="A361" s="92"/>
      <c r="F361" s="177"/>
      <c r="G361" s="117"/>
      <c r="H361" s="93"/>
      <c r="I361" s="41"/>
      <c r="J361" s="136"/>
    </row>
    <row r="362" spans="1:10" x14ac:dyDescent="0.35">
      <c r="A362" s="92"/>
      <c r="F362" s="177"/>
      <c r="G362" s="117"/>
      <c r="H362" s="93"/>
      <c r="I362" s="41"/>
      <c r="J362" s="136"/>
    </row>
    <row r="363" spans="1:10" x14ac:dyDescent="0.35">
      <c r="A363" s="92"/>
      <c r="F363" s="177"/>
      <c r="G363" s="117"/>
      <c r="H363" s="93"/>
      <c r="I363" s="41"/>
      <c r="J363" s="136"/>
    </row>
    <row r="364" spans="1:10" x14ac:dyDescent="0.35">
      <c r="A364" s="92"/>
      <c r="F364" s="177"/>
      <c r="G364" s="117"/>
      <c r="H364" s="93"/>
      <c r="I364" s="41"/>
      <c r="J364" s="136"/>
    </row>
    <row r="365" spans="1:10" x14ac:dyDescent="0.35">
      <c r="A365" s="92"/>
      <c r="F365" s="177"/>
      <c r="G365" s="117"/>
      <c r="H365" s="93"/>
      <c r="I365" s="41"/>
      <c r="J365" s="136"/>
    </row>
    <row r="366" spans="1:10" x14ac:dyDescent="0.35">
      <c r="A366" s="92"/>
      <c r="F366" s="177"/>
      <c r="G366" s="117"/>
      <c r="H366" s="93"/>
      <c r="I366" s="41"/>
      <c r="J366" s="136"/>
    </row>
    <row r="367" spans="1:10" x14ac:dyDescent="0.35">
      <c r="A367" s="92"/>
      <c r="F367" s="177"/>
      <c r="G367" s="117"/>
      <c r="H367" s="93"/>
      <c r="I367" s="41"/>
      <c r="J367" s="136"/>
    </row>
    <row r="368" spans="1:10" x14ac:dyDescent="0.35">
      <c r="A368" s="92"/>
      <c r="F368" s="177"/>
      <c r="G368" s="117"/>
      <c r="H368" s="93"/>
      <c r="I368" s="41"/>
      <c r="J368" s="136"/>
    </row>
    <row r="369" spans="1:10" x14ac:dyDescent="0.35">
      <c r="A369" s="92"/>
      <c r="F369" s="177"/>
      <c r="G369" s="117"/>
      <c r="H369" s="93"/>
      <c r="I369" s="41"/>
      <c r="J369" s="136"/>
    </row>
    <row r="370" spans="1:10" x14ac:dyDescent="0.35">
      <c r="A370" s="92"/>
      <c r="F370" s="177"/>
      <c r="G370" s="117"/>
      <c r="H370" s="93"/>
      <c r="I370" s="41"/>
      <c r="J370" s="136"/>
    </row>
    <row r="371" spans="1:10" x14ac:dyDescent="0.35">
      <c r="A371" s="92"/>
      <c r="F371" s="177"/>
      <c r="G371" s="117"/>
      <c r="H371" s="93"/>
      <c r="I371" s="41"/>
      <c r="J371" s="136"/>
    </row>
    <row r="372" spans="1:10" x14ac:dyDescent="0.35">
      <c r="A372" s="92"/>
      <c r="F372" s="177"/>
      <c r="G372" s="117"/>
      <c r="H372" s="93"/>
      <c r="I372" s="41"/>
      <c r="J372" s="136"/>
    </row>
    <row r="373" spans="1:10" x14ac:dyDescent="0.35">
      <c r="A373" s="92"/>
      <c r="F373" s="177"/>
      <c r="G373" s="117"/>
      <c r="H373" s="93"/>
      <c r="I373" s="41"/>
      <c r="J373" s="136"/>
    </row>
    <row r="374" spans="1:10" x14ac:dyDescent="0.35">
      <c r="A374" s="92"/>
      <c r="F374" s="177"/>
      <c r="G374" s="117"/>
      <c r="H374" s="93"/>
      <c r="I374" s="41"/>
      <c r="J374" s="136"/>
    </row>
    <row r="375" spans="1:10" x14ac:dyDescent="0.35">
      <c r="A375" s="92"/>
      <c r="F375" s="177"/>
      <c r="G375" s="117"/>
      <c r="H375" s="93"/>
      <c r="I375" s="41"/>
      <c r="J375" s="136"/>
    </row>
    <row r="376" spans="1:10" x14ac:dyDescent="0.35">
      <c r="A376" s="92"/>
      <c r="F376" s="177"/>
      <c r="G376" s="117"/>
      <c r="H376" s="93"/>
      <c r="I376" s="41"/>
      <c r="J376" s="136"/>
    </row>
    <row r="377" spans="1:10" x14ac:dyDescent="0.35">
      <c r="A377" s="92"/>
      <c r="F377" s="177"/>
      <c r="G377" s="117"/>
      <c r="H377" s="93"/>
      <c r="I377" s="41"/>
      <c r="J377" s="136"/>
    </row>
    <row r="378" spans="1:10" x14ac:dyDescent="0.35">
      <c r="A378" s="92"/>
      <c r="F378" s="177"/>
      <c r="G378" s="117"/>
      <c r="H378" s="93"/>
      <c r="I378" s="41"/>
      <c r="J378" s="136"/>
    </row>
    <row r="379" spans="1:10" x14ac:dyDescent="0.35">
      <c r="A379" s="92"/>
      <c r="F379" s="177"/>
      <c r="G379" s="117"/>
      <c r="H379" s="93"/>
      <c r="I379" s="41"/>
      <c r="J379" s="136"/>
    </row>
    <row r="380" spans="1:10" x14ac:dyDescent="0.35">
      <c r="A380" s="92"/>
      <c r="F380" s="177"/>
      <c r="G380" s="117"/>
      <c r="H380" s="93"/>
      <c r="I380" s="41"/>
      <c r="J380" s="136"/>
    </row>
    <row r="381" spans="1:10" x14ac:dyDescent="0.35">
      <c r="A381" s="92"/>
      <c r="F381" s="177"/>
      <c r="G381" s="117"/>
      <c r="H381" s="93"/>
      <c r="I381" s="41"/>
      <c r="J381" s="136"/>
    </row>
    <row r="382" spans="1:10" x14ac:dyDescent="0.35">
      <c r="A382" s="92"/>
      <c r="F382" s="177"/>
      <c r="G382" s="117"/>
      <c r="H382" s="93"/>
      <c r="I382" s="41"/>
      <c r="J382" s="136"/>
    </row>
    <row r="383" spans="1:10" x14ac:dyDescent="0.35">
      <c r="A383" s="92"/>
      <c r="F383" s="177"/>
      <c r="G383" s="117"/>
      <c r="H383" s="93"/>
      <c r="I383" s="41"/>
      <c r="J383" s="136"/>
    </row>
    <row r="384" spans="1:10" x14ac:dyDescent="0.35">
      <c r="A384" s="92"/>
      <c r="F384" s="177"/>
      <c r="G384" s="117"/>
      <c r="H384" s="93"/>
      <c r="I384" s="41"/>
      <c r="J384" s="136"/>
    </row>
    <row r="385" spans="1:10" x14ac:dyDescent="0.35">
      <c r="A385" s="92"/>
      <c r="F385" s="177"/>
      <c r="G385" s="117"/>
      <c r="H385" s="93"/>
      <c r="I385" s="41"/>
      <c r="J385" s="136"/>
    </row>
    <row r="386" spans="1:10" x14ac:dyDescent="0.35">
      <c r="A386" s="92"/>
      <c r="F386" s="177"/>
      <c r="G386" s="117"/>
      <c r="H386" s="93"/>
      <c r="I386" s="41"/>
      <c r="J386" s="136"/>
    </row>
    <row r="387" spans="1:10" x14ac:dyDescent="0.35">
      <c r="A387" s="92"/>
      <c r="F387" s="177"/>
      <c r="G387" s="117"/>
      <c r="H387" s="93"/>
      <c r="I387" s="41"/>
      <c r="J387" s="136"/>
    </row>
    <row r="388" spans="1:10" x14ac:dyDescent="0.35">
      <c r="A388" s="92"/>
      <c r="F388" s="177"/>
      <c r="G388" s="117"/>
      <c r="H388" s="93"/>
      <c r="I388" s="41"/>
      <c r="J388" s="136"/>
    </row>
    <row r="389" spans="1:10" x14ac:dyDescent="0.35">
      <c r="A389" s="92"/>
      <c r="F389" s="177"/>
      <c r="G389" s="117"/>
      <c r="H389" s="93"/>
      <c r="I389" s="41"/>
      <c r="J389" s="136"/>
    </row>
    <row r="390" spans="1:10" x14ac:dyDescent="0.35">
      <c r="A390" s="92"/>
      <c r="F390" s="177"/>
      <c r="G390" s="117"/>
      <c r="H390" s="93"/>
      <c r="I390" s="41"/>
      <c r="J390" s="136"/>
    </row>
    <row r="391" spans="1:10" x14ac:dyDescent="0.35">
      <c r="A391" s="92"/>
      <c r="F391" s="177"/>
      <c r="G391" s="117"/>
      <c r="H391" s="93"/>
      <c r="I391" s="41"/>
      <c r="J391" s="136"/>
    </row>
    <row r="392" spans="1:10" x14ac:dyDescent="0.35">
      <c r="A392" s="92"/>
      <c r="F392" s="177"/>
      <c r="G392" s="117"/>
      <c r="H392" s="93"/>
      <c r="I392" s="41"/>
      <c r="J392" s="136"/>
    </row>
    <row r="393" spans="1:10" x14ac:dyDescent="0.35">
      <c r="A393" s="92"/>
      <c r="F393" s="177"/>
      <c r="G393" s="117"/>
      <c r="H393" s="93"/>
      <c r="I393" s="41"/>
      <c r="J393" s="136"/>
    </row>
    <row r="394" spans="1:10" x14ac:dyDescent="0.35">
      <c r="A394" s="92"/>
      <c r="F394" s="177"/>
      <c r="G394" s="117"/>
      <c r="H394" s="93"/>
      <c r="I394" s="41"/>
      <c r="J394" s="136"/>
    </row>
    <row r="395" spans="1:10" x14ac:dyDescent="0.35">
      <c r="A395" s="92"/>
      <c r="F395" s="177"/>
      <c r="G395" s="117"/>
      <c r="H395" s="93"/>
      <c r="I395" s="41"/>
      <c r="J395" s="136"/>
    </row>
    <row r="396" spans="1:10" x14ac:dyDescent="0.35">
      <c r="A396" s="92"/>
      <c r="F396" s="177"/>
      <c r="G396" s="117"/>
      <c r="H396" s="93"/>
      <c r="I396" s="41"/>
      <c r="J396" s="136"/>
    </row>
    <row r="397" spans="1:10" x14ac:dyDescent="0.35">
      <c r="A397" s="92"/>
      <c r="F397" s="177"/>
      <c r="G397" s="117"/>
      <c r="H397" s="93"/>
      <c r="I397" s="41"/>
      <c r="J397" s="136"/>
    </row>
    <row r="398" spans="1:10" x14ac:dyDescent="0.35">
      <c r="A398" s="92"/>
      <c r="F398" s="177"/>
      <c r="G398" s="117"/>
      <c r="H398" s="93"/>
      <c r="I398" s="41"/>
      <c r="J398" s="136"/>
    </row>
    <row r="399" spans="1:10" x14ac:dyDescent="0.35">
      <c r="A399" s="92"/>
      <c r="F399" s="177"/>
      <c r="G399" s="117"/>
      <c r="H399" s="93"/>
      <c r="I399" s="41"/>
      <c r="J399" s="136"/>
    </row>
    <row r="400" spans="1:10" x14ac:dyDescent="0.35">
      <c r="A400" s="92"/>
      <c r="F400" s="177"/>
      <c r="G400" s="117"/>
      <c r="H400" s="93"/>
      <c r="I400" s="41"/>
      <c r="J400" s="136"/>
    </row>
    <row r="401" spans="1:10" x14ac:dyDescent="0.35">
      <c r="A401" s="92"/>
      <c r="F401" s="177"/>
      <c r="G401" s="117"/>
      <c r="H401" s="93"/>
      <c r="I401" s="41"/>
      <c r="J401" s="136"/>
    </row>
    <row r="402" spans="1:10" x14ac:dyDescent="0.35">
      <c r="A402" s="92"/>
      <c r="F402" s="177"/>
      <c r="G402" s="117"/>
      <c r="H402" s="93"/>
      <c r="I402" s="41"/>
      <c r="J402" s="136"/>
    </row>
    <row r="403" spans="1:10" x14ac:dyDescent="0.35">
      <c r="A403" s="92"/>
      <c r="F403" s="177"/>
      <c r="G403" s="117"/>
      <c r="H403" s="93"/>
      <c r="I403" s="41"/>
      <c r="J403" s="136"/>
    </row>
    <row r="404" spans="1:10" x14ac:dyDescent="0.35">
      <c r="A404" s="92"/>
      <c r="F404" s="177"/>
      <c r="G404" s="117"/>
      <c r="H404" s="93"/>
      <c r="I404" s="41"/>
      <c r="J404" s="136"/>
    </row>
    <row r="405" spans="1:10" x14ac:dyDescent="0.35">
      <c r="A405" s="92"/>
      <c r="F405" s="177"/>
      <c r="G405" s="117"/>
      <c r="H405" s="93"/>
      <c r="I405" s="41"/>
      <c r="J405" s="136"/>
    </row>
    <row r="406" spans="1:10" x14ac:dyDescent="0.35">
      <c r="A406" s="92"/>
      <c r="F406" s="177"/>
      <c r="G406" s="117"/>
      <c r="H406" s="93"/>
      <c r="I406" s="41"/>
      <c r="J406" s="136"/>
    </row>
    <row r="407" spans="1:10" x14ac:dyDescent="0.35">
      <c r="A407" s="92"/>
      <c r="F407" s="177"/>
      <c r="G407" s="117"/>
      <c r="H407" s="93"/>
      <c r="I407" s="41"/>
      <c r="J407" s="136"/>
    </row>
    <row r="408" spans="1:10" x14ac:dyDescent="0.35">
      <c r="A408" s="92"/>
      <c r="F408" s="177"/>
      <c r="G408" s="117"/>
      <c r="H408" s="93"/>
      <c r="I408" s="41"/>
      <c r="J408" s="136"/>
    </row>
    <row r="409" spans="1:10" x14ac:dyDescent="0.35">
      <c r="A409" s="92"/>
      <c r="F409" s="177"/>
      <c r="G409" s="117"/>
      <c r="H409" s="93"/>
      <c r="I409" s="41"/>
      <c r="J409" s="136"/>
    </row>
    <row r="410" spans="1:10" x14ac:dyDescent="0.35">
      <c r="A410" s="92"/>
      <c r="F410" s="177"/>
      <c r="G410" s="117"/>
      <c r="H410" s="93"/>
      <c r="I410" s="41"/>
      <c r="J410" s="136"/>
    </row>
    <row r="411" spans="1:10" x14ac:dyDescent="0.35">
      <c r="A411" s="92"/>
      <c r="F411" s="177"/>
      <c r="G411" s="117"/>
      <c r="H411" s="93"/>
      <c r="I411" s="41"/>
      <c r="J411" s="136"/>
    </row>
    <row r="412" spans="1:10" x14ac:dyDescent="0.35">
      <c r="A412" s="92"/>
      <c r="F412" s="177"/>
      <c r="G412" s="117"/>
      <c r="H412" s="93"/>
      <c r="I412" s="41"/>
      <c r="J412" s="136"/>
    </row>
    <row r="413" spans="1:10" x14ac:dyDescent="0.35">
      <c r="A413" s="92"/>
      <c r="F413" s="177"/>
      <c r="G413" s="117"/>
      <c r="H413" s="93"/>
      <c r="I413" s="41"/>
      <c r="J413" s="136"/>
    </row>
    <row r="414" spans="1:10" x14ac:dyDescent="0.35">
      <c r="A414" s="92"/>
      <c r="F414" s="177"/>
      <c r="G414" s="117"/>
      <c r="H414" s="93"/>
      <c r="I414" s="41"/>
      <c r="J414" s="136"/>
    </row>
    <row r="415" spans="1:10" x14ac:dyDescent="0.35">
      <c r="A415" s="92"/>
      <c r="F415" s="177"/>
      <c r="G415" s="117"/>
      <c r="H415" s="93"/>
      <c r="I415" s="41"/>
      <c r="J415" s="136"/>
    </row>
    <row r="416" spans="1:10" x14ac:dyDescent="0.35">
      <c r="A416" s="92"/>
      <c r="F416" s="177"/>
      <c r="G416" s="117"/>
      <c r="H416" s="93"/>
      <c r="I416" s="41"/>
      <c r="J416" s="136"/>
    </row>
    <row r="417" spans="1:10" x14ac:dyDescent="0.35">
      <c r="A417" s="92"/>
      <c r="F417" s="177"/>
      <c r="G417" s="117"/>
      <c r="H417" s="93"/>
      <c r="I417" s="41"/>
      <c r="J417" s="136"/>
    </row>
    <row r="418" spans="1:10" x14ac:dyDescent="0.35">
      <c r="A418" s="92"/>
      <c r="F418" s="177"/>
      <c r="G418" s="117"/>
      <c r="H418" s="93"/>
      <c r="I418" s="41"/>
      <c r="J418" s="136"/>
    </row>
    <row r="419" spans="1:10" x14ac:dyDescent="0.35">
      <c r="A419" s="92"/>
      <c r="F419" s="177"/>
      <c r="G419" s="117"/>
      <c r="H419" s="93"/>
      <c r="I419" s="41"/>
      <c r="J419" s="136"/>
    </row>
    <row r="420" spans="1:10" x14ac:dyDescent="0.35">
      <c r="A420" s="92"/>
      <c r="F420" s="177"/>
      <c r="G420" s="117"/>
      <c r="H420" s="93"/>
      <c r="I420" s="41"/>
      <c r="J420" s="136"/>
    </row>
    <row r="421" spans="1:10" x14ac:dyDescent="0.35">
      <c r="A421" s="92"/>
      <c r="F421" s="177"/>
      <c r="G421" s="117"/>
      <c r="H421" s="93"/>
      <c r="I421" s="41"/>
      <c r="J421" s="136"/>
    </row>
    <row r="422" spans="1:10" x14ac:dyDescent="0.35">
      <c r="A422" s="92"/>
      <c r="F422" s="177"/>
      <c r="G422" s="117"/>
      <c r="H422" s="93"/>
      <c r="I422" s="41"/>
      <c r="J422" s="136"/>
    </row>
    <row r="423" spans="1:10" x14ac:dyDescent="0.35">
      <c r="A423" s="92"/>
      <c r="F423" s="177"/>
      <c r="G423" s="117"/>
      <c r="H423" s="93"/>
      <c r="I423" s="41"/>
      <c r="J423" s="136"/>
    </row>
    <row r="424" spans="1:10" x14ac:dyDescent="0.35">
      <c r="A424" s="92"/>
      <c r="F424" s="177"/>
      <c r="G424" s="117"/>
      <c r="H424" s="93"/>
      <c r="I424" s="41"/>
      <c r="J424" s="136"/>
    </row>
    <row r="425" spans="1:10" x14ac:dyDescent="0.35">
      <c r="A425" s="92"/>
      <c r="F425" s="177"/>
      <c r="G425" s="117"/>
      <c r="H425" s="93"/>
      <c r="I425" s="41"/>
      <c r="J425" s="136"/>
    </row>
    <row r="426" spans="1:10" x14ac:dyDescent="0.35">
      <c r="A426" s="92"/>
      <c r="F426" s="177"/>
      <c r="G426" s="117"/>
      <c r="H426" s="93"/>
      <c r="I426" s="41"/>
      <c r="J426" s="136"/>
    </row>
    <row r="427" spans="1:10" x14ac:dyDescent="0.35">
      <c r="A427" s="92"/>
      <c r="F427" s="177"/>
      <c r="G427" s="117"/>
      <c r="H427" s="93"/>
      <c r="I427" s="41"/>
      <c r="J427" s="136"/>
    </row>
    <row r="428" spans="1:10" x14ac:dyDescent="0.35">
      <c r="A428" s="92"/>
      <c r="F428" s="177"/>
      <c r="G428" s="117"/>
      <c r="H428" s="93"/>
      <c r="I428" s="41"/>
      <c r="J428" s="136"/>
    </row>
    <row r="429" spans="1:10" x14ac:dyDescent="0.35">
      <c r="A429" s="92"/>
      <c r="F429" s="177"/>
      <c r="G429" s="117"/>
      <c r="H429" s="93"/>
      <c r="I429" s="41"/>
      <c r="J429" s="136"/>
    </row>
    <row r="430" spans="1:10" x14ac:dyDescent="0.35">
      <c r="A430" s="92"/>
      <c r="F430" s="177"/>
      <c r="G430" s="117"/>
      <c r="H430" s="93"/>
      <c r="I430" s="41"/>
      <c r="J430" s="136"/>
    </row>
    <row r="431" spans="1:10" x14ac:dyDescent="0.35">
      <c r="A431" s="92"/>
      <c r="F431" s="177"/>
      <c r="G431" s="117"/>
      <c r="H431" s="93"/>
      <c r="I431" s="41"/>
      <c r="J431" s="136"/>
    </row>
    <row r="432" spans="1:10" x14ac:dyDescent="0.35">
      <c r="A432" s="92"/>
      <c r="F432" s="177"/>
      <c r="G432" s="117"/>
      <c r="H432" s="93"/>
      <c r="I432" s="41"/>
      <c r="J432" s="136"/>
    </row>
    <row r="433" spans="1:10" x14ac:dyDescent="0.35">
      <c r="A433" s="92"/>
      <c r="F433" s="177"/>
      <c r="G433" s="117"/>
      <c r="H433" s="93"/>
      <c r="I433" s="41"/>
      <c r="J433" s="136"/>
    </row>
    <row r="434" spans="1:10" x14ac:dyDescent="0.35">
      <c r="A434" s="92"/>
      <c r="F434" s="177"/>
      <c r="G434" s="117"/>
      <c r="H434" s="93"/>
      <c r="I434" s="41"/>
      <c r="J434" s="136"/>
    </row>
    <row r="435" spans="1:10" x14ac:dyDescent="0.35">
      <c r="A435" s="92"/>
      <c r="F435" s="177"/>
      <c r="G435" s="117"/>
      <c r="H435" s="93"/>
      <c r="I435" s="41"/>
      <c r="J435" s="136"/>
    </row>
    <row r="436" spans="1:10" x14ac:dyDescent="0.35">
      <c r="A436" s="92"/>
      <c r="F436" s="177"/>
      <c r="G436" s="117"/>
      <c r="H436" s="93"/>
      <c r="I436" s="41"/>
      <c r="J436" s="136"/>
    </row>
    <row r="437" spans="1:10" x14ac:dyDescent="0.35">
      <c r="A437" s="92"/>
      <c r="F437" s="177"/>
      <c r="G437" s="117"/>
      <c r="H437" s="93"/>
      <c r="I437" s="41"/>
      <c r="J437" s="136"/>
    </row>
    <row r="438" spans="1:10" x14ac:dyDescent="0.35">
      <c r="A438" s="92"/>
      <c r="F438" s="177"/>
      <c r="G438" s="117"/>
      <c r="H438" s="93"/>
      <c r="I438" s="41"/>
      <c r="J438" s="136"/>
    </row>
    <row r="439" spans="1:10" x14ac:dyDescent="0.35">
      <c r="A439" s="92"/>
      <c r="F439" s="177"/>
      <c r="G439" s="117"/>
      <c r="H439" s="93"/>
      <c r="I439" s="41"/>
      <c r="J439" s="136"/>
    </row>
    <row r="440" spans="1:10" x14ac:dyDescent="0.35">
      <c r="A440" s="92"/>
      <c r="F440" s="177"/>
      <c r="G440" s="117"/>
      <c r="H440" s="93"/>
      <c r="I440" s="41"/>
      <c r="J440" s="136"/>
    </row>
    <row r="441" spans="1:10" x14ac:dyDescent="0.35">
      <c r="A441" s="92"/>
      <c r="F441" s="177"/>
      <c r="G441" s="117"/>
      <c r="H441" s="93"/>
      <c r="I441" s="41"/>
      <c r="J441" s="136"/>
    </row>
    <row r="442" spans="1:10" x14ac:dyDescent="0.35">
      <c r="A442" s="92"/>
      <c r="F442" s="177"/>
      <c r="G442" s="117"/>
      <c r="H442" s="93"/>
      <c r="I442" s="41"/>
      <c r="J442" s="136"/>
    </row>
    <row r="443" spans="1:10" x14ac:dyDescent="0.35">
      <c r="A443" s="92"/>
      <c r="F443" s="177"/>
      <c r="G443" s="117"/>
      <c r="H443" s="93"/>
      <c r="I443" s="41"/>
      <c r="J443" s="136"/>
    </row>
    <row r="444" spans="1:10" x14ac:dyDescent="0.35">
      <c r="A444" s="92"/>
      <c r="F444" s="177"/>
      <c r="G444" s="117"/>
      <c r="H444" s="93"/>
      <c r="I444" s="41"/>
      <c r="J444" s="136"/>
    </row>
    <row r="445" spans="1:10" x14ac:dyDescent="0.35">
      <c r="A445" s="92"/>
      <c r="F445" s="177"/>
      <c r="G445" s="117"/>
      <c r="H445" s="93"/>
      <c r="I445" s="41"/>
      <c r="J445" s="136"/>
    </row>
    <row r="446" spans="1:10" x14ac:dyDescent="0.35">
      <c r="A446" s="92"/>
      <c r="F446" s="177"/>
      <c r="G446" s="117"/>
      <c r="H446" s="93"/>
      <c r="I446" s="41"/>
      <c r="J446" s="136"/>
    </row>
    <row r="447" spans="1:10" x14ac:dyDescent="0.35">
      <c r="A447" s="92"/>
      <c r="F447" s="177"/>
      <c r="G447" s="117"/>
      <c r="H447" s="93"/>
      <c r="I447" s="41"/>
      <c r="J447" s="136"/>
    </row>
    <row r="448" spans="1:10" x14ac:dyDescent="0.35">
      <c r="A448" s="92"/>
      <c r="F448" s="177"/>
      <c r="G448" s="117"/>
      <c r="H448" s="93"/>
      <c r="I448" s="41"/>
      <c r="J448" s="136"/>
    </row>
    <row r="449" spans="1:10" x14ac:dyDescent="0.35">
      <c r="A449" s="92"/>
      <c r="F449" s="177"/>
      <c r="G449" s="117"/>
      <c r="H449" s="93"/>
      <c r="I449" s="41"/>
      <c r="J449" s="136"/>
    </row>
    <row r="450" spans="1:10" x14ac:dyDescent="0.35">
      <c r="A450" s="92"/>
      <c r="F450" s="177"/>
      <c r="G450" s="117"/>
      <c r="H450" s="93"/>
      <c r="I450" s="41"/>
      <c r="J450" s="136"/>
    </row>
    <row r="451" spans="1:10" x14ac:dyDescent="0.35">
      <c r="A451" s="92"/>
      <c r="F451" s="177"/>
      <c r="G451" s="117"/>
      <c r="H451" s="93"/>
      <c r="I451" s="41"/>
      <c r="J451" s="136"/>
    </row>
    <row r="452" spans="1:10" x14ac:dyDescent="0.35">
      <c r="A452" s="92"/>
      <c r="F452" s="177"/>
      <c r="G452" s="117"/>
      <c r="H452" s="93"/>
      <c r="I452" s="41"/>
      <c r="J452" s="136"/>
    </row>
    <row r="453" spans="1:10" x14ac:dyDescent="0.35">
      <c r="A453" s="92"/>
      <c r="F453" s="177"/>
      <c r="G453" s="117"/>
      <c r="H453" s="93"/>
      <c r="I453" s="41"/>
      <c r="J453" s="136"/>
    </row>
    <row r="454" spans="1:10" x14ac:dyDescent="0.35">
      <c r="A454" s="92"/>
      <c r="F454" s="177"/>
      <c r="G454" s="117"/>
      <c r="H454" s="93"/>
      <c r="I454" s="41"/>
      <c r="J454" s="136"/>
    </row>
    <row r="455" spans="1:10" x14ac:dyDescent="0.35">
      <c r="A455" s="92"/>
      <c r="F455" s="177"/>
      <c r="G455" s="117"/>
      <c r="H455" s="93"/>
      <c r="I455" s="41"/>
      <c r="J455" s="136"/>
    </row>
    <row r="456" spans="1:10" x14ac:dyDescent="0.35">
      <c r="A456" s="92"/>
      <c r="F456" s="177"/>
      <c r="G456" s="117"/>
      <c r="H456" s="93"/>
      <c r="I456" s="41"/>
      <c r="J456" s="136"/>
    </row>
    <row r="457" spans="1:10" x14ac:dyDescent="0.35">
      <c r="A457" s="92"/>
      <c r="F457" s="177"/>
      <c r="G457" s="117"/>
      <c r="H457" s="93"/>
      <c r="I457" s="41"/>
      <c r="J457" s="136"/>
    </row>
    <row r="458" spans="1:10" x14ac:dyDescent="0.35">
      <c r="A458" s="92"/>
      <c r="F458" s="177"/>
      <c r="G458" s="117"/>
      <c r="H458" s="93"/>
      <c r="I458" s="41"/>
      <c r="J458" s="136"/>
    </row>
    <row r="459" spans="1:10" x14ac:dyDescent="0.35">
      <c r="A459" s="92"/>
      <c r="F459" s="177"/>
      <c r="G459" s="117"/>
      <c r="H459" s="93"/>
      <c r="I459" s="41"/>
      <c r="J459" s="136"/>
    </row>
    <row r="460" spans="1:10" x14ac:dyDescent="0.35">
      <c r="A460" s="92"/>
      <c r="F460" s="177"/>
      <c r="G460" s="117"/>
      <c r="H460" s="93"/>
      <c r="I460" s="41"/>
      <c r="J460" s="136"/>
    </row>
    <row r="461" spans="1:10" x14ac:dyDescent="0.35">
      <c r="A461" s="92"/>
      <c r="F461" s="177"/>
      <c r="G461" s="117"/>
      <c r="H461" s="93"/>
      <c r="I461" s="41"/>
      <c r="J461" s="136"/>
    </row>
    <row r="462" spans="1:10" x14ac:dyDescent="0.35">
      <c r="A462" s="92"/>
      <c r="F462" s="177"/>
      <c r="G462" s="117"/>
      <c r="H462" s="93"/>
      <c r="I462" s="41"/>
      <c r="J462" s="136"/>
    </row>
    <row r="463" spans="1:10" x14ac:dyDescent="0.35">
      <c r="A463" s="92"/>
      <c r="F463" s="177"/>
      <c r="G463" s="117"/>
      <c r="H463" s="93"/>
      <c r="I463" s="41"/>
      <c r="J463" s="136"/>
    </row>
    <row r="464" spans="1:10" x14ac:dyDescent="0.35">
      <c r="A464" s="92"/>
      <c r="F464" s="177"/>
      <c r="G464" s="117"/>
      <c r="H464" s="93"/>
      <c r="I464" s="41"/>
      <c r="J464" s="136"/>
    </row>
    <row r="465" spans="1:10" x14ac:dyDescent="0.35">
      <c r="A465" s="92"/>
      <c r="F465" s="177"/>
      <c r="G465" s="117"/>
      <c r="H465" s="93"/>
      <c r="I465" s="41"/>
      <c r="J465" s="136"/>
    </row>
    <row r="466" spans="1:10" x14ac:dyDescent="0.35">
      <c r="A466" s="92"/>
      <c r="F466" s="177"/>
      <c r="G466" s="117"/>
      <c r="H466" s="93"/>
      <c r="I466" s="41"/>
      <c r="J466" s="136"/>
    </row>
    <row r="467" spans="1:10" x14ac:dyDescent="0.35">
      <c r="A467" s="92"/>
      <c r="F467" s="177"/>
      <c r="G467" s="117"/>
      <c r="H467" s="93"/>
      <c r="I467" s="41"/>
      <c r="J467" s="136"/>
    </row>
    <row r="468" spans="1:10" x14ac:dyDescent="0.35">
      <c r="A468" s="92"/>
      <c r="F468" s="177"/>
      <c r="G468" s="117"/>
      <c r="H468" s="93"/>
      <c r="I468" s="41"/>
      <c r="J468" s="136"/>
    </row>
    <row r="469" spans="1:10" x14ac:dyDescent="0.35">
      <c r="A469" s="92"/>
      <c r="F469" s="177"/>
      <c r="G469" s="117"/>
      <c r="H469" s="93"/>
      <c r="I469" s="41"/>
      <c r="J469" s="136"/>
    </row>
    <row r="470" spans="1:10" x14ac:dyDescent="0.35">
      <c r="A470" s="92"/>
      <c r="F470" s="177"/>
      <c r="G470" s="117"/>
      <c r="H470" s="93"/>
      <c r="I470" s="41"/>
      <c r="J470" s="136"/>
    </row>
    <row r="471" spans="1:10" x14ac:dyDescent="0.35">
      <c r="A471" s="92"/>
      <c r="F471" s="177"/>
      <c r="G471" s="117"/>
      <c r="H471" s="93"/>
      <c r="I471" s="41"/>
      <c r="J471" s="136"/>
    </row>
    <row r="472" spans="1:10" x14ac:dyDescent="0.35">
      <c r="A472" s="92"/>
      <c r="F472" s="177"/>
      <c r="G472" s="117"/>
      <c r="H472" s="93"/>
      <c r="I472" s="41"/>
      <c r="J472" s="136"/>
    </row>
    <row r="473" spans="1:10" x14ac:dyDescent="0.35">
      <c r="A473" s="92"/>
      <c r="F473" s="177"/>
      <c r="G473" s="117"/>
      <c r="H473" s="93"/>
      <c r="I473" s="41"/>
      <c r="J473" s="136"/>
    </row>
    <row r="474" spans="1:10" x14ac:dyDescent="0.35">
      <c r="A474" s="92"/>
      <c r="F474" s="177"/>
      <c r="G474" s="117"/>
      <c r="H474" s="93"/>
      <c r="I474" s="41"/>
      <c r="J474" s="136"/>
    </row>
    <row r="475" spans="1:10" x14ac:dyDescent="0.35">
      <c r="A475" s="92"/>
      <c r="F475" s="177"/>
      <c r="G475" s="117"/>
      <c r="H475" s="93"/>
      <c r="I475" s="41"/>
      <c r="J475" s="136"/>
    </row>
    <row r="476" spans="1:10" x14ac:dyDescent="0.35">
      <c r="A476" s="92"/>
      <c r="F476" s="177"/>
      <c r="G476" s="117"/>
      <c r="H476" s="93"/>
      <c r="I476" s="41"/>
      <c r="J476" s="136"/>
    </row>
    <row r="477" spans="1:10" x14ac:dyDescent="0.35">
      <c r="A477" s="92"/>
      <c r="F477" s="177"/>
      <c r="G477" s="117"/>
      <c r="H477" s="93"/>
      <c r="I477" s="41"/>
      <c r="J477" s="136"/>
    </row>
    <row r="478" spans="1:10" x14ac:dyDescent="0.35">
      <c r="A478" s="92"/>
      <c r="F478" s="177"/>
      <c r="G478" s="117"/>
      <c r="H478" s="93"/>
      <c r="I478" s="41"/>
      <c r="J478" s="136"/>
    </row>
    <row r="479" spans="1:10" x14ac:dyDescent="0.35">
      <c r="A479" s="92"/>
      <c r="F479" s="177"/>
      <c r="G479" s="117"/>
      <c r="H479" s="93"/>
      <c r="I479" s="41"/>
      <c r="J479" s="136"/>
    </row>
    <row r="480" spans="1:10" x14ac:dyDescent="0.35">
      <c r="A480" s="92"/>
      <c r="F480" s="177"/>
      <c r="G480" s="117"/>
      <c r="H480" s="93"/>
      <c r="I480" s="41"/>
      <c r="J480" s="136"/>
    </row>
    <row r="481" spans="1:10" x14ac:dyDescent="0.35">
      <c r="A481" s="92"/>
      <c r="F481" s="177"/>
      <c r="G481" s="117"/>
      <c r="H481" s="93"/>
      <c r="I481" s="41"/>
      <c r="J481" s="136"/>
    </row>
    <row r="482" spans="1:10" x14ac:dyDescent="0.35">
      <c r="A482" s="92"/>
      <c r="F482" s="177"/>
      <c r="G482" s="117"/>
      <c r="H482" s="93"/>
      <c r="I482" s="41"/>
      <c r="J482" s="136"/>
    </row>
    <row r="483" spans="1:10" x14ac:dyDescent="0.35">
      <c r="A483" s="92"/>
      <c r="F483" s="177"/>
      <c r="G483" s="117"/>
      <c r="H483" s="93"/>
      <c r="I483" s="41"/>
      <c r="J483" s="136"/>
    </row>
    <row r="484" spans="1:10" x14ac:dyDescent="0.35">
      <c r="A484" s="92"/>
      <c r="F484" s="177"/>
      <c r="G484" s="117"/>
      <c r="H484" s="93"/>
      <c r="I484" s="41"/>
      <c r="J484" s="136"/>
    </row>
    <row r="485" spans="1:10" x14ac:dyDescent="0.35">
      <c r="A485" s="92"/>
      <c r="F485" s="177"/>
      <c r="G485" s="117"/>
      <c r="H485" s="93"/>
      <c r="I485" s="41"/>
      <c r="J485" s="136"/>
    </row>
    <row r="486" spans="1:10" x14ac:dyDescent="0.35">
      <c r="A486" s="92"/>
      <c r="F486" s="177"/>
      <c r="G486" s="117"/>
      <c r="H486" s="93"/>
      <c r="I486" s="41"/>
      <c r="J486" s="136"/>
    </row>
    <row r="487" spans="1:10" x14ac:dyDescent="0.35">
      <c r="A487" s="92"/>
      <c r="F487" s="177"/>
      <c r="G487" s="117"/>
      <c r="H487" s="93"/>
      <c r="I487" s="41"/>
      <c r="J487" s="136"/>
    </row>
    <row r="488" spans="1:10" x14ac:dyDescent="0.35">
      <c r="A488" s="92"/>
      <c r="F488" s="177"/>
      <c r="G488" s="117"/>
      <c r="H488" s="93"/>
      <c r="I488" s="41"/>
      <c r="J488" s="136"/>
    </row>
    <row r="489" spans="1:10" x14ac:dyDescent="0.35">
      <c r="A489" s="92"/>
      <c r="F489" s="177"/>
      <c r="G489" s="117"/>
      <c r="H489" s="93"/>
      <c r="I489" s="41"/>
      <c r="J489" s="136"/>
    </row>
    <row r="490" spans="1:10" x14ac:dyDescent="0.35">
      <c r="A490" s="92"/>
      <c r="F490" s="177"/>
      <c r="G490" s="117"/>
      <c r="H490" s="93"/>
      <c r="I490" s="41"/>
      <c r="J490" s="136"/>
    </row>
    <row r="491" spans="1:10" x14ac:dyDescent="0.35">
      <c r="A491" s="92"/>
      <c r="F491" s="177"/>
      <c r="G491" s="117"/>
      <c r="H491" s="93"/>
      <c r="I491" s="41"/>
      <c r="J491" s="136"/>
    </row>
    <row r="492" spans="1:10" x14ac:dyDescent="0.35">
      <c r="A492" s="92"/>
      <c r="F492" s="177"/>
      <c r="G492" s="117"/>
      <c r="H492" s="93"/>
      <c r="I492" s="41"/>
      <c r="J492" s="136"/>
    </row>
    <row r="493" spans="1:10" x14ac:dyDescent="0.35">
      <c r="A493" s="92"/>
      <c r="F493" s="177"/>
      <c r="G493" s="117"/>
      <c r="H493" s="93"/>
      <c r="I493" s="41"/>
      <c r="J493" s="136"/>
    </row>
    <row r="494" spans="1:10" x14ac:dyDescent="0.35">
      <c r="A494" s="92"/>
      <c r="F494" s="177"/>
      <c r="G494" s="117"/>
      <c r="H494" s="93"/>
      <c r="I494" s="41"/>
      <c r="J494" s="136"/>
    </row>
    <row r="495" spans="1:10" x14ac:dyDescent="0.35">
      <c r="A495" s="92"/>
      <c r="F495" s="177"/>
      <c r="G495" s="117"/>
      <c r="H495" s="93"/>
      <c r="I495" s="41"/>
      <c r="J495" s="136"/>
    </row>
    <row r="496" spans="1:10" x14ac:dyDescent="0.35">
      <c r="A496" s="92"/>
      <c r="F496" s="177"/>
      <c r="G496" s="117"/>
      <c r="H496" s="93"/>
      <c r="I496" s="41"/>
      <c r="J496" s="136"/>
    </row>
    <row r="497" spans="1:10" x14ac:dyDescent="0.35">
      <c r="A497" s="92"/>
      <c r="F497" s="177"/>
      <c r="G497" s="117"/>
      <c r="H497" s="93"/>
      <c r="I497" s="41"/>
      <c r="J497" s="136"/>
    </row>
    <row r="498" spans="1:10" x14ac:dyDescent="0.35">
      <c r="A498" s="92"/>
      <c r="F498" s="177"/>
      <c r="G498" s="117"/>
      <c r="H498" s="93"/>
      <c r="I498" s="41"/>
      <c r="J498" s="136"/>
    </row>
    <row r="499" spans="1:10" x14ac:dyDescent="0.35">
      <c r="A499" s="92"/>
      <c r="F499" s="177"/>
      <c r="G499" s="117"/>
      <c r="H499" s="93"/>
      <c r="I499" s="41"/>
      <c r="J499" s="136"/>
    </row>
    <row r="500" spans="1:10" x14ac:dyDescent="0.35">
      <c r="A500" s="92"/>
      <c r="F500" s="177"/>
      <c r="G500" s="117"/>
      <c r="H500" s="93"/>
      <c r="I500" s="41"/>
      <c r="J500" s="136"/>
    </row>
    <row r="501" spans="1:10" x14ac:dyDescent="0.35">
      <c r="A501" s="92"/>
      <c r="F501" s="177"/>
      <c r="G501" s="117"/>
      <c r="H501" s="93"/>
      <c r="I501" s="41"/>
      <c r="J501" s="136"/>
    </row>
    <row r="502" spans="1:10" x14ac:dyDescent="0.35">
      <c r="A502" s="92"/>
      <c r="F502" s="177"/>
      <c r="G502" s="117"/>
      <c r="H502" s="93"/>
      <c r="I502" s="41"/>
      <c r="J502" s="136"/>
    </row>
    <row r="503" spans="1:10" x14ac:dyDescent="0.35">
      <c r="A503" s="92"/>
      <c r="F503" s="177"/>
      <c r="G503" s="117"/>
      <c r="H503" s="93"/>
      <c r="I503" s="41"/>
      <c r="J503" s="136"/>
    </row>
    <row r="504" spans="1:10" x14ac:dyDescent="0.35">
      <c r="A504" s="92"/>
      <c r="F504" s="177"/>
      <c r="G504" s="117"/>
      <c r="H504" s="93"/>
      <c r="I504" s="41"/>
      <c r="J504" s="136"/>
    </row>
    <row r="505" spans="1:10" x14ac:dyDescent="0.35">
      <c r="A505" s="92"/>
      <c r="F505" s="177"/>
      <c r="G505" s="117"/>
      <c r="H505" s="93"/>
      <c r="I505" s="41"/>
      <c r="J505" s="136"/>
    </row>
    <row r="506" spans="1:10" x14ac:dyDescent="0.35">
      <c r="A506" s="92"/>
      <c r="F506" s="177"/>
      <c r="G506" s="117"/>
      <c r="H506" s="93"/>
      <c r="I506" s="41"/>
      <c r="J506" s="136"/>
    </row>
    <row r="507" spans="1:10" x14ac:dyDescent="0.35">
      <c r="A507" s="92"/>
      <c r="F507" s="177"/>
      <c r="G507" s="117"/>
      <c r="H507" s="93"/>
      <c r="I507" s="41"/>
      <c r="J507" s="136"/>
    </row>
    <row r="508" spans="1:10" x14ac:dyDescent="0.35">
      <c r="A508" s="92"/>
      <c r="F508" s="177"/>
      <c r="G508" s="117"/>
      <c r="H508" s="93"/>
      <c r="I508" s="41"/>
      <c r="J508" s="136"/>
    </row>
    <row r="509" spans="1:10" x14ac:dyDescent="0.35">
      <c r="A509" s="92"/>
      <c r="F509" s="177"/>
      <c r="G509" s="117"/>
      <c r="H509" s="93"/>
      <c r="I509" s="41"/>
      <c r="J509" s="136"/>
    </row>
    <row r="510" spans="1:10" x14ac:dyDescent="0.35">
      <c r="A510" s="92"/>
      <c r="F510" s="177"/>
      <c r="G510" s="117"/>
      <c r="H510" s="93"/>
      <c r="I510" s="41"/>
      <c r="J510" s="136"/>
    </row>
    <row r="511" spans="1:10" x14ac:dyDescent="0.35">
      <c r="A511" s="92"/>
      <c r="F511" s="177"/>
      <c r="G511" s="117"/>
      <c r="H511" s="93"/>
      <c r="I511" s="41"/>
      <c r="J511" s="136"/>
    </row>
    <row r="512" spans="1:10" x14ac:dyDescent="0.35">
      <c r="A512" s="92"/>
      <c r="F512" s="177"/>
      <c r="G512" s="117"/>
      <c r="H512" s="93"/>
      <c r="I512" s="41"/>
      <c r="J512" s="136"/>
    </row>
    <row r="513" spans="1:10" x14ac:dyDescent="0.35">
      <c r="A513" s="92"/>
      <c r="F513" s="177"/>
      <c r="G513" s="117"/>
      <c r="H513" s="93"/>
      <c r="I513" s="41"/>
      <c r="J513" s="136"/>
    </row>
    <row r="514" spans="1:10" x14ac:dyDescent="0.35">
      <c r="A514" s="92"/>
      <c r="F514" s="177"/>
      <c r="G514" s="117"/>
      <c r="H514" s="93"/>
      <c r="I514" s="41"/>
      <c r="J514" s="136"/>
    </row>
    <row r="515" spans="1:10" x14ac:dyDescent="0.35">
      <c r="A515" s="92"/>
      <c r="F515" s="177"/>
      <c r="G515" s="117"/>
      <c r="H515" s="93"/>
      <c r="I515" s="41"/>
      <c r="J515" s="136"/>
    </row>
    <row r="516" spans="1:10" x14ac:dyDescent="0.35">
      <c r="A516" s="92"/>
      <c r="F516" s="177"/>
      <c r="G516" s="117"/>
      <c r="H516" s="93"/>
      <c r="I516" s="41"/>
      <c r="J516" s="136"/>
    </row>
    <row r="517" spans="1:10" x14ac:dyDescent="0.35">
      <c r="A517" s="92"/>
      <c r="F517" s="177"/>
      <c r="G517" s="117"/>
      <c r="H517" s="93"/>
      <c r="I517" s="41"/>
      <c r="J517" s="136"/>
    </row>
    <row r="518" spans="1:10" x14ac:dyDescent="0.35">
      <c r="A518" s="92"/>
      <c r="F518" s="177"/>
      <c r="G518" s="117"/>
      <c r="H518" s="93"/>
      <c r="I518" s="41"/>
      <c r="J518" s="136"/>
    </row>
    <row r="519" spans="1:10" x14ac:dyDescent="0.35">
      <c r="A519" s="92"/>
      <c r="F519" s="177"/>
      <c r="G519" s="117"/>
      <c r="H519" s="93"/>
      <c r="I519" s="41"/>
      <c r="J519" s="136"/>
    </row>
    <row r="520" spans="1:10" x14ac:dyDescent="0.35">
      <c r="A520" s="92"/>
      <c r="F520" s="177"/>
      <c r="G520" s="117"/>
      <c r="H520" s="93"/>
      <c r="I520" s="41"/>
      <c r="J520" s="136"/>
    </row>
    <row r="521" spans="1:10" x14ac:dyDescent="0.35">
      <c r="A521" s="92"/>
      <c r="F521" s="177"/>
      <c r="G521" s="117"/>
      <c r="H521" s="93"/>
      <c r="I521" s="41"/>
      <c r="J521" s="136"/>
    </row>
    <row r="522" spans="1:10" x14ac:dyDescent="0.35">
      <c r="A522" s="92"/>
      <c r="F522" s="177"/>
      <c r="G522" s="117"/>
      <c r="H522" s="93"/>
      <c r="I522" s="41"/>
      <c r="J522" s="136"/>
    </row>
    <row r="523" spans="1:10" x14ac:dyDescent="0.35">
      <c r="A523" s="92"/>
      <c r="F523" s="177"/>
      <c r="G523" s="117"/>
      <c r="H523" s="93"/>
      <c r="I523" s="41"/>
      <c r="J523" s="136"/>
    </row>
    <row r="524" spans="1:10" x14ac:dyDescent="0.35">
      <c r="A524" s="92"/>
      <c r="F524" s="177"/>
      <c r="G524" s="117"/>
      <c r="H524" s="93"/>
      <c r="I524" s="41"/>
      <c r="J524" s="136"/>
    </row>
    <row r="525" spans="1:10" x14ac:dyDescent="0.35">
      <c r="A525" s="92"/>
      <c r="F525" s="177"/>
      <c r="G525" s="117"/>
      <c r="H525" s="93"/>
      <c r="I525" s="41"/>
      <c r="J525" s="136"/>
    </row>
    <row r="526" spans="1:10" x14ac:dyDescent="0.35">
      <c r="A526" s="92"/>
      <c r="F526" s="177"/>
      <c r="G526" s="117"/>
      <c r="H526" s="93"/>
      <c r="I526" s="41"/>
      <c r="J526" s="136"/>
    </row>
    <row r="527" spans="1:10" x14ac:dyDescent="0.35">
      <c r="A527" s="92"/>
      <c r="F527" s="177"/>
      <c r="G527" s="117"/>
      <c r="H527" s="93"/>
      <c r="I527" s="41"/>
      <c r="J527" s="136"/>
    </row>
    <row r="528" spans="1:10" x14ac:dyDescent="0.35">
      <c r="A528" s="92"/>
      <c r="F528" s="177"/>
      <c r="G528" s="117"/>
      <c r="H528" s="93"/>
      <c r="I528" s="41"/>
      <c r="J528" s="136"/>
    </row>
    <row r="529" spans="1:10" x14ac:dyDescent="0.35">
      <c r="A529" s="92"/>
      <c r="F529" s="177"/>
      <c r="G529" s="117"/>
      <c r="H529" s="93"/>
      <c r="I529" s="41"/>
      <c r="J529" s="136"/>
    </row>
    <row r="530" spans="1:10" x14ac:dyDescent="0.35">
      <c r="A530" s="92"/>
      <c r="F530" s="177"/>
      <c r="G530" s="117"/>
      <c r="H530" s="93"/>
      <c r="I530" s="41"/>
      <c r="J530" s="136"/>
    </row>
    <row r="531" spans="1:10" x14ac:dyDescent="0.35">
      <c r="A531" s="92"/>
      <c r="F531" s="177"/>
      <c r="G531" s="117"/>
      <c r="H531" s="93"/>
      <c r="I531" s="41"/>
      <c r="J531" s="136"/>
    </row>
    <row r="532" spans="1:10" x14ac:dyDescent="0.35">
      <c r="A532" s="92"/>
      <c r="F532" s="177"/>
      <c r="G532" s="117"/>
      <c r="H532" s="93"/>
      <c r="I532" s="41"/>
      <c r="J532" s="136"/>
    </row>
    <row r="533" spans="1:10" x14ac:dyDescent="0.35">
      <c r="A533" s="92"/>
      <c r="F533" s="177"/>
      <c r="G533" s="117"/>
      <c r="H533" s="93"/>
      <c r="I533" s="41"/>
      <c r="J533" s="136"/>
    </row>
    <row r="534" spans="1:10" x14ac:dyDescent="0.35">
      <c r="A534" s="92"/>
      <c r="F534" s="177"/>
      <c r="G534" s="117"/>
      <c r="H534" s="93"/>
      <c r="I534" s="41"/>
      <c r="J534" s="136"/>
    </row>
    <row r="535" spans="1:10" x14ac:dyDescent="0.35">
      <c r="A535" s="92"/>
      <c r="F535" s="177"/>
      <c r="G535" s="117"/>
      <c r="H535" s="93"/>
      <c r="I535" s="41"/>
      <c r="J535" s="136"/>
    </row>
    <row r="536" spans="1:10" x14ac:dyDescent="0.35">
      <c r="A536" s="92"/>
      <c r="F536" s="177"/>
      <c r="G536" s="117"/>
      <c r="H536" s="93"/>
      <c r="I536" s="41"/>
      <c r="J536" s="136"/>
    </row>
    <row r="537" spans="1:10" x14ac:dyDescent="0.35">
      <c r="A537" s="92"/>
      <c r="F537" s="177"/>
      <c r="G537" s="117"/>
      <c r="H537" s="93"/>
      <c r="I537" s="41"/>
      <c r="J537" s="136"/>
    </row>
    <row r="538" spans="1:10" x14ac:dyDescent="0.35">
      <c r="A538" s="92"/>
      <c r="F538" s="177"/>
      <c r="G538" s="117"/>
      <c r="H538" s="93"/>
      <c r="I538" s="41"/>
      <c r="J538" s="136"/>
    </row>
    <row r="539" spans="1:10" x14ac:dyDescent="0.35">
      <c r="A539" s="92"/>
      <c r="F539" s="177"/>
      <c r="G539" s="117"/>
      <c r="H539" s="93"/>
      <c r="I539" s="41"/>
      <c r="J539" s="136"/>
    </row>
    <row r="540" spans="1:10" x14ac:dyDescent="0.35">
      <c r="A540" s="92"/>
      <c r="F540" s="177"/>
      <c r="G540" s="117"/>
      <c r="H540" s="93"/>
      <c r="I540" s="41"/>
      <c r="J540" s="136"/>
    </row>
    <row r="541" spans="1:10" x14ac:dyDescent="0.35">
      <c r="A541" s="92"/>
      <c r="F541" s="177"/>
      <c r="G541" s="117"/>
      <c r="H541" s="93"/>
      <c r="I541" s="41"/>
      <c r="J541" s="136"/>
    </row>
    <row r="542" spans="1:10" x14ac:dyDescent="0.35">
      <c r="A542" s="92"/>
      <c r="F542" s="177"/>
      <c r="G542" s="117"/>
      <c r="H542" s="93"/>
      <c r="I542" s="41"/>
      <c r="J542" s="136"/>
    </row>
    <row r="543" spans="1:10" x14ac:dyDescent="0.35">
      <c r="A543" s="92"/>
      <c r="F543" s="177"/>
      <c r="G543" s="117"/>
      <c r="H543" s="93"/>
      <c r="I543" s="41"/>
      <c r="J543" s="136"/>
    </row>
    <row r="544" spans="1:10" x14ac:dyDescent="0.35">
      <c r="A544" s="92"/>
      <c r="F544" s="177"/>
      <c r="G544" s="117"/>
      <c r="H544" s="93"/>
      <c r="I544" s="41"/>
      <c r="J544" s="136"/>
    </row>
    <row r="545" spans="1:10" x14ac:dyDescent="0.35">
      <c r="A545" s="92"/>
      <c r="F545" s="177"/>
      <c r="G545" s="117"/>
      <c r="H545" s="93"/>
      <c r="I545" s="41"/>
      <c r="J545" s="136"/>
    </row>
    <row r="546" spans="1:10" x14ac:dyDescent="0.35">
      <c r="A546" s="92"/>
      <c r="F546" s="177"/>
      <c r="G546" s="117"/>
      <c r="H546" s="93"/>
      <c r="I546" s="41"/>
      <c r="J546" s="136"/>
    </row>
    <row r="547" spans="1:10" x14ac:dyDescent="0.35">
      <c r="A547" s="92"/>
      <c r="F547" s="177"/>
      <c r="G547" s="117"/>
      <c r="H547" s="93"/>
      <c r="I547" s="41"/>
      <c r="J547" s="136"/>
    </row>
    <row r="548" spans="1:10" x14ac:dyDescent="0.35">
      <c r="A548" s="92"/>
      <c r="F548" s="177"/>
      <c r="G548" s="117"/>
      <c r="H548" s="93"/>
      <c r="I548" s="41"/>
      <c r="J548" s="136"/>
    </row>
    <row r="549" spans="1:10" x14ac:dyDescent="0.35">
      <c r="A549" s="92"/>
      <c r="F549" s="177"/>
      <c r="G549" s="117"/>
      <c r="H549" s="93"/>
      <c r="I549" s="41"/>
      <c r="J549" s="136"/>
    </row>
    <row r="550" spans="1:10" x14ac:dyDescent="0.35">
      <c r="A550" s="92"/>
      <c r="F550" s="177"/>
      <c r="G550" s="117"/>
      <c r="H550" s="93"/>
      <c r="I550" s="41"/>
      <c r="J550" s="136"/>
    </row>
    <row r="551" spans="1:10" x14ac:dyDescent="0.35">
      <c r="A551" s="92"/>
      <c r="F551" s="177"/>
      <c r="G551" s="117"/>
      <c r="H551" s="93"/>
      <c r="I551" s="41"/>
      <c r="J551" s="136"/>
    </row>
    <row r="552" spans="1:10" x14ac:dyDescent="0.35">
      <c r="A552" s="92"/>
      <c r="F552" s="177"/>
      <c r="G552" s="117"/>
      <c r="H552" s="93"/>
      <c r="I552" s="41"/>
      <c r="J552" s="136"/>
    </row>
    <row r="553" spans="1:10" x14ac:dyDescent="0.35">
      <c r="A553" s="92"/>
      <c r="F553" s="177"/>
      <c r="G553" s="117"/>
      <c r="H553" s="93"/>
      <c r="I553" s="41"/>
      <c r="J553" s="136"/>
    </row>
    <row r="554" spans="1:10" x14ac:dyDescent="0.35">
      <c r="A554" s="92"/>
      <c r="F554" s="177"/>
      <c r="G554" s="117"/>
      <c r="H554" s="93"/>
      <c r="I554" s="41"/>
      <c r="J554" s="136"/>
    </row>
    <row r="555" spans="1:10" x14ac:dyDescent="0.35">
      <c r="A555" s="92"/>
      <c r="F555" s="177"/>
      <c r="G555" s="117"/>
      <c r="H555" s="93"/>
      <c r="I555" s="41"/>
      <c r="J555" s="136"/>
    </row>
    <row r="556" spans="1:10" x14ac:dyDescent="0.35">
      <c r="A556" s="92"/>
      <c r="F556" s="177"/>
      <c r="G556" s="117"/>
      <c r="H556" s="93"/>
      <c r="I556" s="41"/>
      <c r="J556" s="136"/>
    </row>
    <row r="557" spans="1:10" x14ac:dyDescent="0.35">
      <c r="A557" s="92"/>
      <c r="F557" s="177"/>
      <c r="G557" s="117"/>
      <c r="H557" s="93"/>
      <c r="I557" s="41"/>
      <c r="J557" s="136"/>
    </row>
    <row r="558" spans="1:10" x14ac:dyDescent="0.35">
      <c r="A558" s="92"/>
      <c r="F558" s="177"/>
      <c r="G558" s="117"/>
      <c r="H558" s="93"/>
      <c r="I558" s="41"/>
      <c r="J558" s="136"/>
    </row>
    <row r="559" spans="1:10" x14ac:dyDescent="0.35">
      <c r="A559" s="92"/>
      <c r="F559" s="177"/>
      <c r="G559" s="117"/>
      <c r="H559" s="93"/>
      <c r="I559" s="41"/>
      <c r="J559" s="136"/>
    </row>
    <row r="560" spans="1:10" x14ac:dyDescent="0.35">
      <c r="A560" s="92"/>
      <c r="F560" s="177"/>
      <c r="G560" s="117"/>
      <c r="H560" s="93"/>
      <c r="I560" s="41"/>
      <c r="J560" s="136"/>
    </row>
    <row r="561" spans="1:10" x14ac:dyDescent="0.35">
      <c r="A561" s="92"/>
      <c r="F561" s="177"/>
      <c r="G561" s="117"/>
      <c r="H561" s="93"/>
      <c r="I561" s="41"/>
      <c r="J561" s="136"/>
    </row>
    <row r="562" spans="1:10" x14ac:dyDescent="0.35">
      <c r="A562" s="92"/>
      <c r="F562" s="177"/>
      <c r="G562" s="117"/>
      <c r="H562" s="93"/>
      <c r="I562" s="41"/>
      <c r="J562" s="136"/>
    </row>
    <row r="563" spans="1:10" x14ac:dyDescent="0.35">
      <c r="A563" s="92"/>
      <c r="F563" s="177"/>
      <c r="G563" s="117"/>
      <c r="H563" s="93"/>
      <c r="I563" s="41"/>
      <c r="J563" s="136"/>
    </row>
    <row r="564" spans="1:10" x14ac:dyDescent="0.35">
      <c r="A564" s="92"/>
      <c r="F564" s="177"/>
      <c r="G564" s="117"/>
      <c r="H564" s="93"/>
      <c r="I564" s="41"/>
      <c r="J564" s="136"/>
    </row>
    <row r="565" spans="1:10" x14ac:dyDescent="0.35">
      <c r="A565" s="92"/>
      <c r="F565" s="177"/>
      <c r="G565" s="117"/>
      <c r="H565" s="93"/>
      <c r="I565" s="41"/>
      <c r="J565" s="136"/>
    </row>
    <row r="566" spans="1:10" x14ac:dyDescent="0.35">
      <c r="A566" s="92"/>
      <c r="F566" s="177"/>
      <c r="G566" s="117"/>
      <c r="H566" s="93"/>
      <c r="I566" s="41"/>
      <c r="J566" s="136"/>
    </row>
    <row r="567" spans="1:10" x14ac:dyDescent="0.35">
      <c r="A567" s="92"/>
      <c r="F567" s="177"/>
      <c r="G567" s="117"/>
      <c r="H567" s="93"/>
      <c r="I567" s="41"/>
      <c r="J567" s="136"/>
    </row>
    <row r="568" spans="1:10" x14ac:dyDescent="0.35">
      <c r="A568" s="92"/>
      <c r="F568" s="177"/>
      <c r="G568" s="117"/>
      <c r="H568" s="93"/>
      <c r="I568" s="41"/>
      <c r="J568" s="136"/>
    </row>
    <row r="569" spans="1:10" x14ac:dyDescent="0.35">
      <c r="A569" s="92"/>
      <c r="F569" s="177"/>
      <c r="G569" s="117"/>
      <c r="H569" s="93"/>
      <c r="I569" s="41"/>
      <c r="J569" s="136"/>
    </row>
    <row r="570" spans="1:10" x14ac:dyDescent="0.35">
      <c r="A570" s="92"/>
      <c r="F570" s="177"/>
      <c r="G570" s="117"/>
      <c r="H570" s="93"/>
      <c r="I570" s="41"/>
      <c r="J570" s="136"/>
    </row>
    <row r="571" spans="1:10" x14ac:dyDescent="0.35">
      <c r="A571" s="92"/>
      <c r="F571" s="177"/>
      <c r="G571" s="117"/>
      <c r="H571" s="93"/>
      <c r="I571" s="41"/>
      <c r="J571" s="136"/>
    </row>
    <row r="572" spans="1:10" x14ac:dyDescent="0.35">
      <c r="A572" s="92"/>
      <c r="F572" s="177"/>
      <c r="G572" s="117"/>
      <c r="H572" s="93"/>
      <c r="I572" s="41"/>
      <c r="J572" s="136"/>
    </row>
    <row r="573" spans="1:10" x14ac:dyDescent="0.35">
      <c r="A573" s="92"/>
      <c r="F573" s="177"/>
      <c r="G573" s="117"/>
      <c r="H573" s="93"/>
      <c r="I573" s="41"/>
      <c r="J573" s="136"/>
    </row>
    <row r="574" spans="1:10" x14ac:dyDescent="0.35">
      <c r="A574" s="92"/>
      <c r="F574" s="177"/>
      <c r="G574" s="117"/>
      <c r="H574" s="93"/>
      <c r="I574" s="41"/>
      <c r="J574" s="136"/>
    </row>
    <row r="575" spans="1:10" x14ac:dyDescent="0.35">
      <c r="A575" s="92"/>
      <c r="F575" s="177"/>
      <c r="G575" s="117"/>
      <c r="H575" s="93"/>
      <c r="I575" s="41"/>
      <c r="J575" s="136"/>
    </row>
    <row r="576" spans="1:10" x14ac:dyDescent="0.35">
      <c r="A576" s="92"/>
      <c r="F576" s="177"/>
      <c r="G576" s="117"/>
      <c r="H576" s="93"/>
      <c r="I576" s="41"/>
      <c r="J576" s="136"/>
    </row>
    <row r="577" spans="1:10" x14ac:dyDescent="0.35">
      <c r="A577" s="92"/>
      <c r="F577" s="177"/>
      <c r="G577" s="117"/>
      <c r="H577" s="93"/>
      <c r="I577" s="41"/>
      <c r="J577" s="136"/>
    </row>
    <row r="578" spans="1:10" x14ac:dyDescent="0.35">
      <c r="A578" s="92"/>
      <c r="F578" s="177"/>
      <c r="G578" s="117"/>
      <c r="H578" s="93"/>
      <c r="I578" s="41"/>
      <c r="J578" s="136"/>
    </row>
    <row r="579" spans="1:10" x14ac:dyDescent="0.35">
      <c r="A579" s="92"/>
      <c r="F579" s="177"/>
      <c r="G579" s="117"/>
      <c r="H579" s="93"/>
      <c r="I579" s="41"/>
      <c r="J579" s="136"/>
    </row>
    <row r="580" spans="1:10" x14ac:dyDescent="0.35">
      <c r="A580" s="92"/>
      <c r="F580" s="177"/>
      <c r="G580" s="117"/>
      <c r="H580" s="93"/>
      <c r="I580" s="41"/>
      <c r="J580" s="136"/>
    </row>
    <row r="581" spans="1:10" x14ac:dyDescent="0.35">
      <c r="A581" s="92"/>
      <c r="F581" s="177"/>
      <c r="G581" s="117"/>
      <c r="H581" s="93"/>
      <c r="I581" s="41"/>
      <c r="J581" s="136"/>
    </row>
    <row r="582" spans="1:10" x14ac:dyDescent="0.35">
      <c r="A582" s="92"/>
      <c r="F582" s="177"/>
      <c r="G582" s="117"/>
      <c r="H582" s="93"/>
      <c r="I582" s="41"/>
      <c r="J582" s="136"/>
    </row>
    <row r="583" spans="1:10" x14ac:dyDescent="0.35">
      <c r="A583" s="92"/>
      <c r="F583" s="177"/>
      <c r="G583" s="117"/>
      <c r="H583" s="93"/>
      <c r="I583" s="41"/>
      <c r="J583" s="136"/>
    </row>
    <row r="584" spans="1:10" x14ac:dyDescent="0.35">
      <c r="A584" s="92"/>
      <c r="F584" s="177"/>
      <c r="G584" s="117"/>
      <c r="H584" s="93"/>
      <c r="I584" s="41"/>
      <c r="J584" s="136"/>
    </row>
    <row r="585" spans="1:10" x14ac:dyDescent="0.35">
      <c r="A585" s="92"/>
      <c r="F585" s="177"/>
      <c r="G585" s="117"/>
      <c r="H585" s="93"/>
      <c r="I585" s="41"/>
      <c r="J585" s="136"/>
    </row>
    <row r="586" spans="1:10" x14ac:dyDescent="0.35">
      <c r="A586" s="92"/>
      <c r="F586" s="177"/>
      <c r="G586" s="117"/>
      <c r="H586" s="93"/>
      <c r="I586" s="41"/>
      <c r="J586" s="136"/>
    </row>
    <row r="587" spans="1:10" x14ac:dyDescent="0.35">
      <c r="A587" s="92"/>
      <c r="F587" s="177"/>
      <c r="G587" s="117"/>
      <c r="H587" s="93"/>
      <c r="I587" s="41"/>
      <c r="J587" s="136"/>
    </row>
    <row r="588" spans="1:10" x14ac:dyDescent="0.35">
      <c r="A588" s="92"/>
      <c r="F588" s="177"/>
      <c r="G588" s="117"/>
      <c r="H588" s="93"/>
      <c r="I588" s="41"/>
      <c r="J588" s="136"/>
    </row>
    <row r="589" spans="1:10" x14ac:dyDescent="0.35">
      <c r="A589" s="92"/>
      <c r="F589" s="177"/>
      <c r="G589" s="117"/>
      <c r="H589" s="93"/>
      <c r="I589" s="41"/>
      <c r="J589" s="136"/>
    </row>
    <row r="590" spans="1:10" x14ac:dyDescent="0.35">
      <c r="A590" s="92"/>
      <c r="F590" s="177"/>
      <c r="G590" s="117"/>
      <c r="H590" s="93"/>
      <c r="I590" s="41"/>
      <c r="J590" s="136"/>
    </row>
    <row r="591" spans="1:10" x14ac:dyDescent="0.35">
      <c r="A591" s="92"/>
      <c r="F591" s="177"/>
      <c r="G591" s="117"/>
      <c r="H591" s="93"/>
      <c r="I591" s="41"/>
      <c r="J591" s="136"/>
    </row>
    <row r="592" spans="1:10" x14ac:dyDescent="0.35">
      <c r="A592" s="92"/>
      <c r="F592" s="177"/>
      <c r="G592" s="117"/>
      <c r="H592" s="93"/>
      <c r="I592" s="41"/>
      <c r="J592" s="136"/>
    </row>
    <row r="593" spans="1:10" x14ac:dyDescent="0.35">
      <c r="A593" s="92"/>
      <c r="F593" s="177"/>
      <c r="G593" s="117"/>
      <c r="H593" s="93"/>
      <c r="I593" s="41"/>
      <c r="J593" s="136"/>
    </row>
    <row r="594" spans="1:10" x14ac:dyDescent="0.35">
      <c r="A594" s="92"/>
      <c r="F594" s="177"/>
      <c r="G594" s="117"/>
      <c r="H594" s="93"/>
      <c r="I594" s="41"/>
      <c r="J594" s="136"/>
    </row>
    <row r="595" spans="1:10" x14ac:dyDescent="0.35">
      <c r="A595" s="92"/>
      <c r="F595" s="177"/>
      <c r="G595" s="117"/>
      <c r="H595" s="93"/>
      <c r="I595" s="41"/>
      <c r="J595" s="136"/>
    </row>
    <row r="596" spans="1:10" x14ac:dyDescent="0.35">
      <c r="A596" s="92"/>
      <c r="F596" s="177"/>
      <c r="G596" s="117"/>
      <c r="H596" s="93"/>
      <c r="I596" s="41"/>
      <c r="J596" s="136"/>
    </row>
    <row r="597" spans="1:10" x14ac:dyDescent="0.35">
      <c r="A597" s="92"/>
      <c r="F597" s="177"/>
      <c r="G597" s="117"/>
      <c r="H597" s="93"/>
      <c r="I597" s="41"/>
      <c r="J597" s="136"/>
    </row>
    <row r="598" spans="1:10" x14ac:dyDescent="0.35">
      <c r="A598" s="92"/>
      <c r="F598" s="177"/>
      <c r="G598" s="117"/>
      <c r="H598" s="93"/>
      <c r="I598" s="41"/>
      <c r="J598" s="136"/>
    </row>
    <row r="599" spans="1:10" x14ac:dyDescent="0.35">
      <c r="A599" s="92"/>
      <c r="F599" s="177"/>
      <c r="G599" s="117"/>
      <c r="H599" s="93"/>
      <c r="I599" s="41"/>
      <c r="J599" s="136"/>
    </row>
    <row r="600" spans="1:10" x14ac:dyDescent="0.35">
      <c r="A600" s="92"/>
      <c r="F600" s="177"/>
      <c r="G600" s="117"/>
      <c r="H600" s="93"/>
      <c r="I600" s="41"/>
      <c r="J600" s="136"/>
    </row>
    <row r="601" spans="1:10" x14ac:dyDescent="0.35">
      <c r="A601" s="92"/>
      <c r="F601" s="177"/>
      <c r="G601" s="117"/>
      <c r="H601" s="93"/>
      <c r="I601" s="41"/>
      <c r="J601" s="136"/>
    </row>
    <row r="602" spans="1:10" x14ac:dyDescent="0.35">
      <c r="A602" s="92"/>
      <c r="F602" s="177"/>
      <c r="G602" s="117"/>
      <c r="H602" s="93"/>
      <c r="I602" s="41"/>
      <c r="J602" s="136"/>
    </row>
    <row r="603" spans="1:10" x14ac:dyDescent="0.35">
      <c r="A603" s="92"/>
      <c r="F603" s="177"/>
      <c r="G603" s="117"/>
      <c r="H603" s="93"/>
      <c r="I603" s="41"/>
      <c r="J603" s="136"/>
    </row>
    <row r="604" spans="1:10" x14ac:dyDescent="0.35">
      <c r="A604" s="92"/>
      <c r="F604" s="177"/>
      <c r="G604" s="117"/>
      <c r="H604" s="93"/>
      <c r="I604" s="41"/>
      <c r="J604" s="136"/>
    </row>
    <row r="605" spans="1:10" x14ac:dyDescent="0.35">
      <c r="A605" s="92"/>
      <c r="F605" s="177"/>
      <c r="G605" s="117"/>
      <c r="H605" s="93"/>
      <c r="I605" s="41"/>
      <c r="J605" s="136"/>
    </row>
    <row r="606" spans="1:10" x14ac:dyDescent="0.35">
      <c r="A606" s="92"/>
      <c r="F606" s="177"/>
      <c r="G606" s="117"/>
      <c r="H606" s="93"/>
      <c r="I606" s="41"/>
      <c r="J606" s="136"/>
    </row>
    <row r="607" spans="1:10" x14ac:dyDescent="0.35">
      <c r="A607" s="92"/>
      <c r="F607" s="177"/>
      <c r="G607" s="117"/>
      <c r="H607" s="93"/>
      <c r="I607" s="41"/>
      <c r="J607" s="136"/>
    </row>
    <row r="608" spans="1:10" x14ac:dyDescent="0.35">
      <c r="A608" s="92"/>
      <c r="F608" s="177"/>
      <c r="G608" s="117"/>
      <c r="H608" s="93"/>
      <c r="I608" s="41"/>
      <c r="J608" s="136"/>
    </row>
    <row r="609" spans="1:10" x14ac:dyDescent="0.35">
      <c r="A609" s="92"/>
      <c r="F609" s="177"/>
      <c r="G609" s="117"/>
      <c r="H609" s="93"/>
      <c r="I609" s="41"/>
      <c r="J609" s="136"/>
    </row>
    <row r="610" spans="1:10" x14ac:dyDescent="0.35">
      <c r="A610" s="92"/>
      <c r="F610" s="177"/>
      <c r="G610" s="117"/>
      <c r="H610" s="93"/>
      <c r="I610" s="41"/>
      <c r="J610" s="136"/>
    </row>
    <row r="611" spans="1:10" x14ac:dyDescent="0.35">
      <c r="A611" s="92"/>
      <c r="F611" s="177"/>
      <c r="G611" s="117"/>
      <c r="H611" s="93"/>
      <c r="I611" s="41"/>
      <c r="J611" s="136"/>
    </row>
    <row r="612" spans="1:10" x14ac:dyDescent="0.35">
      <c r="A612" s="92"/>
      <c r="F612" s="177"/>
      <c r="G612" s="117"/>
      <c r="H612" s="93"/>
      <c r="I612" s="41"/>
      <c r="J612" s="136"/>
    </row>
    <row r="613" spans="1:10" x14ac:dyDescent="0.35">
      <c r="A613" s="92"/>
      <c r="F613" s="177"/>
      <c r="G613" s="117"/>
      <c r="H613" s="93"/>
      <c r="I613" s="41"/>
      <c r="J613" s="136"/>
    </row>
    <row r="614" spans="1:10" x14ac:dyDescent="0.35">
      <c r="A614" s="92"/>
      <c r="F614" s="177"/>
      <c r="G614" s="117"/>
      <c r="H614" s="93"/>
      <c r="I614" s="41"/>
      <c r="J614" s="136"/>
    </row>
    <row r="615" spans="1:10" x14ac:dyDescent="0.35">
      <c r="A615" s="92"/>
      <c r="F615" s="177"/>
      <c r="G615" s="117"/>
      <c r="H615" s="93"/>
      <c r="I615" s="41"/>
      <c r="J615" s="136"/>
    </row>
    <row r="616" spans="1:10" x14ac:dyDescent="0.35">
      <c r="A616" s="92"/>
      <c r="F616" s="177"/>
      <c r="G616" s="117"/>
      <c r="H616" s="93"/>
      <c r="I616" s="41"/>
      <c r="J616" s="136"/>
    </row>
    <row r="617" spans="1:10" x14ac:dyDescent="0.35">
      <c r="A617" s="92"/>
      <c r="F617" s="177"/>
      <c r="G617" s="117"/>
      <c r="H617" s="93"/>
      <c r="I617" s="41"/>
      <c r="J617" s="136"/>
    </row>
    <row r="618" spans="1:10" x14ac:dyDescent="0.35">
      <c r="A618" s="92"/>
      <c r="F618" s="177"/>
      <c r="G618" s="117"/>
      <c r="H618" s="93"/>
      <c r="I618" s="41"/>
      <c r="J618" s="136"/>
    </row>
    <row r="619" spans="1:10" x14ac:dyDescent="0.35">
      <c r="A619" s="92"/>
      <c r="F619" s="177"/>
      <c r="G619" s="117"/>
      <c r="H619" s="93"/>
      <c r="I619" s="41"/>
      <c r="J619" s="136"/>
    </row>
    <row r="620" spans="1:10" x14ac:dyDescent="0.35">
      <c r="A620" s="92"/>
      <c r="F620" s="177"/>
      <c r="G620" s="117"/>
      <c r="H620" s="93"/>
      <c r="I620" s="41"/>
      <c r="J620" s="136"/>
    </row>
    <row r="621" spans="1:10" x14ac:dyDescent="0.35">
      <c r="A621" s="92"/>
      <c r="F621" s="177"/>
      <c r="G621" s="117"/>
      <c r="H621" s="93"/>
      <c r="I621" s="41"/>
      <c r="J621" s="136"/>
    </row>
    <row r="622" spans="1:10" x14ac:dyDescent="0.35">
      <c r="A622" s="92"/>
      <c r="F622" s="177"/>
      <c r="G622" s="117"/>
      <c r="H622" s="93"/>
      <c r="I622" s="41"/>
      <c r="J622" s="136"/>
    </row>
    <row r="623" spans="1:10" x14ac:dyDescent="0.35">
      <c r="A623" s="92"/>
      <c r="F623" s="177"/>
      <c r="G623" s="117"/>
      <c r="H623" s="93"/>
      <c r="I623" s="41"/>
      <c r="J623" s="136"/>
    </row>
    <row r="624" spans="1:10" x14ac:dyDescent="0.35">
      <c r="A624" s="92"/>
      <c r="F624" s="177"/>
      <c r="G624" s="117"/>
      <c r="H624" s="93"/>
      <c r="I624" s="41"/>
      <c r="J624" s="136"/>
    </row>
    <row r="625" spans="1:10" x14ac:dyDescent="0.35">
      <c r="A625" s="92"/>
      <c r="F625" s="177"/>
      <c r="G625" s="117"/>
      <c r="H625" s="93"/>
      <c r="I625" s="41"/>
      <c r="J625" s="136"/>
    </row>
    <row r="626" spans="1:10" x14ac:dyDescent="0.35">
      <c r="A626" s="92"/>
      <c r="F626" s="177"/>
      <c r="G626" s="117"/>
      <c r="H626" s="93"/>
      <c r="I626" s="41"/>
      <c r="J626" s="136"/>
    </row>
    <row r="627" spans="1:10" x14ac:dyDescent="0.35">
      <c r="A627" s="92"/>
      <c r="F627" s="177"/>
      <c r="G627" s="117"/>
      <c r="H627" s="93"/>
      <c r="I627" s="41"/>
      <c r="J627" s="136"/>
    </row>
    <row r="628" spans="1:10" x14ac:dyDescent="0.35">
      <c r="A628" s="92"/>
      <c r="F628" s="177"/>
      <c r="G628" s="117"/>
      <c r="H628" s="93"/>
      <c r="I628" s="41"/>
      <c r="J628" s="136"/>
    </row>
    <row r="629" spans="1:10" x14ac:dyDescent="0.35">
      <c r="A629" s="92"/>
      <c r="F629" s="177"/>
      <c r="G629" s="117"/>
      <c r="H629" s="93"/>
      <c r="I629" s="41"/>
      <c r="J629" s="136"/>
    </row>
    <row r="630" spans="1:10" x14ac:dyDescent="0.35">
      <c r="A630" s="92"/>
      <c r="F630" s="177"/>
      <c r="G630" s="117"/>
      <c r="H630" s="93"/>
      <c r="I630" s="41"/>
      <c r="J630" s="136"/>
    </row>
    <row r="631" spans="1:10" x14ac:dyDescent="0.35">
      <c r="A631" s="92"/>
      <c r="F631" s="177"/>
      <c r="G631" s="117"/>
      <c r="H631" s="93"/>
      <c r="I631" s="41"/>
      <c r="J631" s="136"/>
    </row>
    <row r="632" spans="1:10" x14ac:dyDescent="0.35">
      <c r="A632" s="92"/>
      <c r="F632" s="177"/>
      <c r="G632" s="117"/>
      <c r="H632" s="93"/>
      <c r="I632" s="41"/>
      <c r="J632" s="136"/>
    </row>
    <row r="633" spans="1:10" x14ac:dyDescent="0.35">
      <c r="A633" s="92"/>
      <c r="F633" s="177"/>
      <c r="G633" s="117"/>
      <c r="H633" s="93"/>
      <c r="I633" s="41"/>
      <c r="J633" s="136"/>
    </row>
    <row r="634" spans="1:10" x14ac:dyDescent="0.35">
      <c r="A634" s="92"/>
      <c r="F634" s="177"/>
      <c r="G634" s="117"/>
      <c r="H634" s="93"/>
      <c r="I634" s="41"/>
      <c r="J634" s="136"/>
    </row>
    <row r="635" spans="1:10" x14ac:dyDescent="0.35">
      <c r="A635" s="92"/>
      <c r="F635" s="177"/>
      <c r="G635" s="117"/>
      <c r="H635" s="93"/>
      <c r="I635" s="41"/>
      <c r="J635" s="136"/>
    </row>
    <row r="636" spans="1:10" x14ac:dyDescent="0.35">
      <c r="A636" s="92"/>
      <c r="F636" s="177"/>
      <c r="G636" s="117"/>
      <c r="H636" s="93"/>
      <c r="I636" s="41"/>
      <c r="J636" s="136"/>
    </row>
    <row r="637" spans="1:10" x14ac:dyDescent="0.35">
      <c r="A637" s="92"/>
      <c r="F637" s="177"/>
      <c r="G637" s="117"/>
      <c r="H637" s="93"/>
      <c r="I637" s="41"/>
      <c r="J637" s="136"/>
    </row>
    <row r="638" spans="1:10" x14ac:dyDescent="0.35">
      <c r="A638" s="92"/>
      <c r="F638" s="177"/>
      <c r="G638" s="117"/>
      <c r="H638" s="93"/>
      <c r="I638" s="41"/>
      <c r="J638" s="136"/>
    </row>
    <row r="639" spans="1:10" x14ac:dyDescent="0.35">
      <c r="A639" s="92"/>
      <c r="F639" s="177"/>
      <c r="G639" s="117"/>
      <c r="H639" s="93"/>
      <c r="I639" s="41"/>
      <c r="J639" s="136"/>
    </row>
    <row r="640" spans="1:10" x14ac:dyDescent="0.35">
      <c r="A640" s="92"/>
      <c r="F640" s="177"/>
      <c r="G640" s="117"/>
      <c r="H640" s="93"/>
      <c r="I640" s="41"/>
      <c r="J640" s="136"/>
    </row>
    <row r="641" spans="1:10" x14ac:dyDescent="0.35">
      <c r="A641" s="92"/>
      <c r="F641" s="177"/>
      <c r="G641" s="117"/>
      <c r="H641" s="93"/>
      <c r="I641" s="41"/>
      <c r="J641" s="136"/>
    </row>
    <row r="642" spans="1:10" x14ac:dyDescent="0.35">
      <c r="A642" s="92"/>
      <c r="F642" s="177"/>
      <c r="G642" s="117"/>
      <c r="H642" s="93"/>
      <c r="I642" s="41"/>
      <c r="J642" s="136"/>
    </row>
    <row r="643" spans="1:10" x14ac:dyDescent="0.35">
      <c r="A643" s="92"/>
      <c r="F643" s="177"/>
      <c r="G643" s="117"/>
      <c r="H643" s="93"/>
      <c r="I643" s="41"/>
      <c r="J643" s="136"/>
    </row>
    <row r="644" spans="1:10" x14ac:dyDescent="0.35">
      <c r="A644" s="92"/>
      <c r="F644" s="177"/>
      <c r="G644" s="117"/>
      <c r="H644" s="93"/>
      <c r="I644" s="41"/>
      <c r="J644" s="136"/>
    </row>
    <row r="645" spans="1:10" x14ac:dyDescent="0.35">
      <c r="A645" s="92"/>
      <c r="F645" s="177"/>
      <c r="G645" s="117"/>
      <c r="H645" s="93"/>
      <c r="I645" s="41"/>
      <c r="J645" s="136"/>
    </row>
    <row r="646" spans="1:10" x14ac:dyDescent="0.35">
      <c r="A646" s="92"/>
      <c r="F646" s="177"/>
      <c r="G646" s="117"/>
      <c r="H646" s="93"/>
      <c r="I646" s="41"/>
      <c r="J646" s="136"/>
    </row>
    <row r="647" spans="1:10" x14ac:dyDescent="0.35">
      <c r="A647" s="92"/>
      <c r="F647" s="177"/>
      <c r="G647" s="117"/>
      <c r="H647" s="93"/>
      <c r="I647" s="41"/>
      <c r="J647" s="136"/>
    </row>
    <row r="648" spans="1:10" x14ac:dyDescent="0.35">
      <c r="A648" s="92"/>
      <c r="F648" s="177"/>
      <c r="G648" s="117"/>
      <c r="H648" s="93"/>
      <c r="I648" s="41"/>
      <c r="J648" s="136"/>
    </row>
    <row r="649" spans="1:10" x14ac:dyDescent="0.35">
      <c r="A649" s="92"/>
      <c r="F649" s="177"/>
      <c r="G649" s="117"/>
      <c r="H649" s="93"/>
      <c r="I649" s="41"/>
      <c r="J649" s="136"/>
    </row>
    <row r="650" spans="1:10" x14ac:dyDescent="0.35">
      <c r="A650" s="92"/>
      <c r="F650" s="177"/>
      <c r="G650" s="117"/>
      <c r="H650" s="93"/>
      <c r="I650" s="41"/>
      <c r="J650" s="136"/>
    </row>
    <row r="651" spans="1:10" x14ac:dyDescent="0.35">
      <c r="A651" s="92"/>
      <c r="F651" s="177"/>
      <c r="G651" s="117"/>
      <c r="H651" s="93"/>
      <c r="I651" s="41"/>
      <c r="J651" s="136"/>
    </row>
    <row r="652" spans="1:10" x14ac:dyDescent="0.35">
      <c r="A652" s="92"/>
      <c r="F652" s="177"/>
      <c r="G652" s="117"/>
      <c r="H652" s="93"/>
      <c r="I652" s="41"/>
      <c r="J652" s="136"/>
    </row>
    <row r="653" spans="1:10" x14ac:dyDescent="0.35">
      <c r="A653" s="92"/>
      <c r="F653" s="177"/>
      <c r="G653" s="117"/>
      <c r="H653" s="93"/>
      <c r="I653" s="41"/>
      <c r="J653" s="136"/>
    </row>
    <row r="654" spans="1:10" x14ac:dyDescent="0.35">
      <c r="A654" s="92"/>
      <c r="F654" s="177"/>
      <c r="G654" s="117"/>
      <c r="H654" s="93"/>
      <c r="I654" s="41"/>
      <c r="J654" s="136"/>
    </row>
    <row r="655" spans="1:10" x14ac:dyDescent="0.35">
      <c r="A655" s="92"/>
      <c r="F655" s="177"/>
      <c r="G655" s="117"/>
      <c r="H655" s="93"/>
      <c r="I655" s="41"/>
      <c r="J655" s="136"/>
    </row>
    <row r="656" spans="1:10" x14ac:dyDescent="0.35">
      <c r="A656" s="92"/>
      <c r="F656" s="177"/>
      <c r="G656" s="117"/>
      <c r="H656" s="93"/>
      <c r="I656" s="41"/>
      <c r="J656" s="136"/>
    </row>
    <row r="657" spans="1:10" x14ac:dyDescent="0.35">
      <c r="A657" s="92"/>
      <c r="F657" s="177"/>
      <c r="G657" s="117"/>
      <c r="H657" s="93"/>
      <c r="I657" s="41"/>
      <c r="J657" s="136"/>
    </row>
    <row r="658" spans="1:10" x14ac:dyDescent="0.35">
      <c r="A658" s="92"/>
      <c r="F658" s="177"/>
      <c r="G658" s="117"/>
      <c r="H658" s="93"/>
      <c r="I658" s="41"/>
      <c r="J658" s="136"/>
    </row>
    <row r="659" spans="1:10" x14ac:dyDescent="0.35">
      <c r="A659" s="92"/>
      <c r="F659" s="177"/>
      <c r="G659" s="117"/>
      <c r="H659" s="93"/>
      <c r="I659" s="41"/>
      <c r="J659" s="136"/>
    </row>
    <row r="660" spans="1:10" x14ac:dyDescent="0.35">
      <c r="A660" s="92"/>
      <c r="F660" s="177"/>
      <c r="G660" s="117"/>
      <c r="H660" s="93"/>
      <c r="I660" s="41"/>
      <c r="J660" s="136"/>
    </row>
    <row r="661" spans="1:10" x14ac:dyDescent="0.35">
      <c r="A661" s="92"/>
      <c r="F661" s="177"/>
      <c r="G661" s="117"/>
      <c r="H661" s="93"/>
      <c r="I661" s="41"/>
      <c r="J661" s="136"/>
    </row>
    <row r="662" spans="1:10" x14ac:dyDescent="0.35">
      <c r="A662" s="92"/>
      <c r="F662" s="177"/>
      <c r="G662" s="117"/>
      <c r="H662" s="93"/>
      <c r="I662" s="41"/>
      <c r="J662" s="136"/>
    </row>
    <row r="663" spans="1:10" x14ac:dyDescent="0.35">
      <c r="A663" s="92"/>
      <c r="F663" s="177"/>
      <c r="G663" s="117"/>
      <c r="H663" s="93"/>
      <c r="I663" s="41"/>
      <c r="J663" s="136"/>
    </row>
    <row r="664" spans="1:10" x14ac:dyDescent="0.35">
      <c r="A664" s="92"/>
      <c r="F664" s="177"/>
      <c r="G664" s="117"/>
      <c r="H664" s="93"/>
      <c r="I664" s="41"/>
      <c r="J664" s="136"/>
    </row>
    <row r="665" spans="1:10" x14ac:dyDescent="0.35">
      <c r="A665" s="92"/>
      <c r="F665" s="177"/>
      <c r="G665" s="117"/>
      <c r="H665" s="93"/>
      <c r="I665" s="41"/>
      <c r="J665" s="136"/>
    </row>
    <row r="666" spans="1:10" x14ac:dyDescent="0.35">
      <c r="A666" s="92"/>
      <c r="F666" s="177"/>
      <c r="G666" s="117"/>
      <c r="H666" s="93"/>
      <c r="I666" s="41"/>
      <c r="J666" s="136"/>
    </row>
    <row r="667" spans="1:10" x14ac:dyDescent="0.35">
      <c r="A667" s="92"/>
      <c r="F667" s="177"/>
      <c r="G667" s="117"/>
      <c r="H667" s="93"/>
      <c r="I667" s="41"/>
      <c r="J667" s="136"/>
    </row>
    <row r="668" spans="1:10" x14ac:dyDescent="0.35">
      <c r="A668" s="92"/>
      <c r="F668" s="177"/>
      <c r="G668" s="117"/>
      <c r="H668" s="93"/>
      <c r="I668" s="41"/>
      <c r="J668" s="136"/>
    </row>
    <row r="669" spans="1:10" x14ac:dyDescent="0.35">
      <c r="A669" s="92"/>
      <c r="F669" s="177"/>
      <c r="G669" s="117"/>
      <c r="H669" s="93"/>
      <c r="I669" s="41"/>
      <c r="J669" s="136"/>
    </row>
    <row r="670" spans="1:10" x14ac:dyDescent="0.35">
      <c r="A670" s="92"/>
      <c r="F670" s="177"/>
      <c r="G670" s="117"/>
      <c r="H670" s="93"/>
      <c r="I670" s="41"/>
      <c r="J670" s="136"/>
    </row>
    <row r="671" spans="1:10" x14ac:dyDescent="0.35">
      <c r="A671" s="92"/>
      <c r="F671" s="177"/>
      <c r="G671" s="117"/>
      <c r="H671" s="93"/>
      <c r="I671" s="41"/>
      <c r="J671" s="136"/>
    </row>
    <row r="672" spans="1:10" x14ac:dyDescent="0.35">
      <c r="A672" s="92"/>
      <c r="F672" s="177"/>
      <c r="G672" s="117"/>
      <c r="H672" s="93"/>
      <c r="I672" s="41"/>
      <c r="J672" s="136"/>
    </row>
    <row r="673" spans="1:10" x14ac:dyDescent="0.35">
      <c r="A673" s="92"/>
      <c r="F673" s="177"/>
      <c r="G673" s="117"/>
      <c r="H673" s="93"/>
      <c r="I673" s="41"/>
      <c r="J673" s="136"/>
    </row>
    <row r="674" spans="1:10" x14ac:dyDescent="0.35">
      <c r="A674" s="92"/>
      <c r="F674" s="177"/>
      <c r="G674" s="117"/>
      <c r="H674" s="93"/>
      <c r="I674" s="41"/>
      <c r="J674" s="136"/>
    </row>
    <row r="675" spans="1:10" x14ac:dyDescent="0.35">
      <c r="A675" s="92"/>
      <c r="F675" s="177"/>
      <c r="G675" s="117"/>
      <c r="H675" s="93"/>
      <c r="I675" s="41"/>
      <c r="J675" s="136"/>
    </row>
    <row r="676" spans="1:10" x14ac:dyDescent="0.35">
      <c r="A676" s="92"/>
      <c r="F676" s="177"/>
      <c r="G676" s="117"/>
      <c r="H676" s="93"/>
      <c r="I676" s="41"/>
      <c r="J676" s="136"/>
    </row>
    <row r="677" spans="1:10" x14ac:dyDescent="0.35">
      <c r="A677" s="92"/>
      <c r="F677" s="177"/>
      <c r="G677" s="117"/>
      <c r="H677" s="93"/>
      <c r="I677" s="41"/>
      <c r="J677" s="136"/>
    </row>
    <row r="678" spans="1:10" x14ac:dyDescent="0.35">
      <c r="A678" s="92"/>
      <c r="F678" s="177"/>
      <c r="G678" s="117"/>
      <c r="H678" s="93"/>
      <c r="I678" s="41"/>
      <c r="J678" s="136"/>
    </row>
    <row r="679" spans="1:10" x14ac:dyDescent="0.35">
      <c r="A679" s="92"/>
      <c r="F679" s="177"/>
      <c r="G679" s="117"/>
      <c r="H679" s="93"/>
      <c r="I679" s="41"/>
      <c r="J679" s="136"/>
    </row>
    <row r="680" spans="1:10" x14ac:dyDescent="0.35">
      <c r="A680" s="92"/>
      <c r="F680" s="177"/>
      <c r="G680" s="117"/>
      <c r="H680" s="93"/>
      <c r="I680" s="41"/>
      <c r="J680" s="136"/>
    </row>
    <row r="681" spans="1:10" x14ac:dyDescent="0.35">
      <c r="A681" s="92"/>
      <c r="F681" s="177"/>
      <c r="G681" s="117"/>
      <c r="H681" s="93"/>
      <c r="I681" s="41"/>
      <c r="J681" s="136"/>
    </row>
    <row r="682" spans="1:10" x14ac:dyDescent="0.35">
      <c r="A682" s="92"/>
      <c r="F682" s="177"/>
      <c r="G682" s="117"/>
      <c r="H682" s="93"/>
      <c r="I682" s="41"/>
      <c r="J682" s="136"/>
    </row>
    <row r="683" spans="1:10" x14ac:dyDescent="0.35">
      <c r="A683" s="92"/>
      <c r="F683" s="177"/>
      <c r="G683" s="117"/>
      <c r="H683" s="93"/>
      <c r="I683" s="41"/>
      <c r="J683" s="136"/>
    </row>
    <row r="684" spans="1:10" x14ac:dyDescent="0.35">
      <c r="A684" s="92"/>
      <c r="F684" s="177"/>
      <c r="G684" s="117"/>
      <c r="H684" s="93"/>
      <c r="I684" s="41"/>
      <c r="J684" s="136"/>
    </row>
    <row r="685" spans="1:10" x14ac:dyDescent="0.35">
      <c r="A685" s="92"/>
      <c r="F685" s="177"/>
      <c r="G685" s="117"/>
      <c r="H685" s="93"/>
      <c r="I685" s="41"/>
      <c r="J685" s="136"/>
    </row>
    <row r="686" spans="1:10" x14ac:dyDescent="0.35">
      <c r="A686" s="92"/>
      <c r="F686" s="177"/>
      <c r="G686" s="117"/>
      <c r="H686" s="93"/>
      <c r="I686" s="41"/>
      <c r="J686" s="136"/>
    </row>
    <row r="687" spans="1:10" x14ac:dyDescent="0.35">
      <c r="A687" s="92"/>
      <c r="F687" s="177"/>
      <c r="G687" s="117"/>
      <c r="H687" s="93"/>
      <c r="I687" s="41"/>
      <c r="J687" s="136"/>
    </row>
    <row r="688" spans="1:10" x14ac:dyDescent="0.35">
      <c r="A688" s="92"/>
      <c r="F688" s="177"/>
      <c r="G688" s="117"/>
      <c r="H688" s="93"/>
      <c r="I688" s="41"/>
      <c r="J688" s="136"/>
    </row>
    <row r="689" spans="1:10" x14ac:dyDescent="0.35">
      <c r="A689" s="92"/>
      <c r="F689" s="177"/>
      <c r="G689" s="117"/>
      <c r="H689" s="93"/>
      <c r="I689" s="41"/>
      <c r="J689" s="136"/>
    </row>
    <row r="690" spans="1:10" x14ac:dyDescent="0.35">
      <c r="A690" s="92"/>
      <c r="F690" s="177"/>
      <c r="G690" s="117"/>
      <c r="H690" s="93"/>
      <c r="I690" s="41"/>
      <c r="J690" s="136"/>
    </row>
    <row r="691" spans="1:10" x14ac:dyDescent="0.35">
      <c r="A691" s="92"/>
      <c r="F691" s="177"/>
      <c r="G691" s="117"/>
      <c r="H691" s="93"/>
      <c r="I691" s="41"/>
      <c r="J691" s="136"/>
    </row>
    <row r="692" spans="1:10" x14ac:dyDescent="0.35">
      <c r="A692" s="92"/>
      <c r="F692" s="177"/>
      <c r="G692" s="117"/>
      <c r="H692" s="93"/>
      <c r="I692" s="41"/>
      <c r="J692" s="136"/>
    </row>
    <row r="693" spans="1:10" x14ac:dyDescent="0.35">
      <c r="A693" s="92"/>
      <c r="F693" s="177"/>
      <c r="G693" s="117"/>
      <c r="H693" s="93"/>
      <c r="I693" s="41"/>
      <c r="J693" s="136"/>
    </row>
    <row r="694" spans="1:10" x14ac:dyDescent="0.35">
      <c r="A694" s="92"/>
      <c r="F694" s="177"/>
      <c r="G694" s="117"/>
      <c r="H694" s="93"/>
      <c r="I694" s="41"/>
      <c r="J694" s="136"/>
    </row>
    <row r="695" spans="1:10" x14ac:dyDescent="0.35">
      <c r="A695" s="92"/>
      <c r="F695" s="177"/>
      <c r="G695" s="117"/>
      <c r="H695" s="93"/>
      <c r="I695" s="41"/>
      <c r="J695" s="136"/>
    </row>
    <row r="696" spans="1:10" x14ac:dyDescent="0.35">
      <c r="A696" s="92"/>
      <c r="F696" s="177"/>
      <c r="G696" s="117"/>
      <c r="H696" s="93"/>
      <c r="I696" s="41"/>
      <c r="J696" s="136"/>
    </row>
    <row r="697" spans="1:10" x14ac:dyDescent="0.35">
      <c r="A697" s="92"/>
      <c r="F697" s="177"/>
      <c r="G697" s="117"/>
      <c r="H697" s="93"/>
      <c r="I697" s="41"/>
      <c r="J697" s="136"/>
    </row>
    <row r="698" spans="1:10" x14ac:dyDescent="0.35">
      <c r="A698" s="92"/>
      <c r="F698" s="177"/>
      <c r="G698" s="117"/>
      <c r="H698" s="93"/>
      <c r="I698" s="41"/>
      <c r="J698" s="136"/>
    </row>
    <row r="699" spans="1:10" x14ac:dyDescent="0.35">
      <c r="A699" s="92"/>
      <c r="F699" s="177"/>
      <c r="G699" s="117"/>
      <c r="H699" s="93"/>
      <c r="I699" s="41"/>
      <c r="J699" s="136"/>
    </row>
    <row r="700" spans="1:10" x14ac:dyDescent="0.35">
      <c r="A700" s="92"/>
      <c r="F700" s="177"/>
      <c r="G700" s="117"/>
      <c r="H700" s="93"/>
      <c r="I700" s="41"/>
      <c r="J700" s="136"/>
    </row>
    <row r="701" spans="1:10" x14ac:dyDescent="0.35">
      <c r="A701" s="92"/>
      <c r="F701" s="177"/>
      <c r="G701" s="117"/>
      <c r="H701" s="93"/>
      <c r="I701" s="41"/>
      <c r="J701" s="136"/>
    </row>
    <row r="702" spans="1:10" x14ac:dyDescent="0.35">
      <c r="A702" s="92"/>
      <c r="F702" s="177"/>
      <c r="G702" s="117"/>
      <c r="H702" s="93"/>
      <c r="I702" s="41"/>
      <c r="J702" s="136"/>
    </row>
    <row r="703" spans="1:10" x14ac:dyDescent="0.35">
      <c r="A703" s="92"/>
      <c r="F703" s="177"/>
      <c r="G703" s="117"/>
      <c r="H703" s="93"/>
      <c r="I703" s="41"/>
      <c r="J703" s="136"/>
    </row>
    <row r="704" spans="1:10" x14ac:dyDescent="0.35">
      <c r="A704" s="92"/>
      <c r="F704" s="177"/>
      <c r="G704" s="117"/>
      <c r="H704" s="93"/>
      <c r="I704" s="41"/>
      <c r="J704" s="136"/>
    </row>
    <row r="705" spans="1:10" x14ac:dyDescent="0.35">
      <c r="A705" s="92"/>
      <c r="F705" s="177"/>
      <c r="G705" s="117"/>
      <c r="H705" s="93"/>
      <c r="I705" s="41"/>
      <c r="J705" s="136"/>
    </row>
    <row r="706" spans="1:10" x14ac:dyDescent="0.35">
      <c r="A706" s="92"/>
      <c r="F706" s="177"/>
      <c r="G706" s="117"/>
      <c r="H706" s="93"/>
      <c r="I706" s="41"/>
      <c r="J706" s="136"/>
    </row>
    <row r="707" spans="1:10" x14ac:dyDescent="0.35">
      <c r="A707" s="92"/>
      <c r="F707" s="177"/>
      <c r="G707" s="117"/>
      <c r="H707" s="93"/>
      <c r="I707" s="41"/>
      <c r="J707" s="136"/>
    </row>
    <row r="708" spans="1:10" x14ac:dyDescent="0.35">
      <c r="A708" s="92"/>
      <c r="F708" s="177"/>
      <c r="G708" s="117"/>
      <c r="H708" s="93"/>
      <c r="I708" s="41"/>
      <c r="J708" s="136"/>
    </row>
    <row r="709" spans="1:10" x14ac:dyDescent="0.35">
      <c r="A709" s="92"/>
      <c r="F709" s="177"/>
      <c r="G709" s="117"/>
      <c r="H709" s="93"/>
      <c r="I709" s="41"/>
      <c r="J709" s="136"/>
    </row>
    <row r="710" spans="1:10" x14ac:dyDescent="0.35">
      <c r="A710" s="92"/>
      <c r="F710" s="177"/>
      <c r="G710" s="117"/>
      <c r="H710" s="93"/>
      <c r="I710" s="41"/>
      <c r="J710" s="136"/>
    </row>
    <row r="711" spans="1:10" x14ac:dyDescent="0.35">
      <c r="A711" s="92"/>
      <c r="F711" s="177"/>
      <c r="G711" s="117"/>
      <c r="H711" s="93"/>
      <c r="I711" s="41"/>
      <c r="J711" s="136"/>
    </row>
    <row r="712" spans="1:10" x14ac:dyDescent="0.35">
      <c r="A712" s="92"/>
      <c r="F712" s="177"/>
      <c r="G712" s="117"/>
      <c r="H712" s="93"/>
      <c r="I712" s="41"/>
      <c r="J712" s="136"/>
    </row>
    <row r="713" spans="1:10" x14ac:dyDescent="0.35">
      <c r="A713" s="92"/>
      <c r="F713" s="177"/>
      <c r="G713" s="117"/>
      <c r="H713" s="93"/>
      <c r="I713" s="41"/>
      <c r="J713" s="136"/>
    </row>
    <row r="714" spans="1:10" x14ac:dyDescent="0.35">
      <c r="A714" s="92"/>
      <c r="F714" s="177"/>
      <c r="G714" s="117"/>
      <c r="H714" s="93"/>
      <c r="I714" s="41"/>
      <c r="J714" s="136"/>
    </row>
    <row r="715" spans="1:10" x14ac:dyDescent="0.35">
      <c r="A715" s="92"/>
      <c r="F715" s="177"/>
      <c r="G715" s="117"/>
      <c r="H715" s="93"/>
      <c r="I715" s="41"/>
      <c r="J715" s="136"/>
    </row>
    <row r="716" spans="1:10" x14ac:dyDescent="0.35">
      <c r="A716" s="92"/>
      <c r="F716" s="177"/>
      <c r="G716" s="117"/>
      <c r="H716" s="93"/>
      <c r="I716" s="41"/>
      <c r="J716" s="136"/>
    </row>
    <row r="717" spans="1:10" x14ac:dyDescent="0.35">
      <c r="A717" s="92"/>
      <c r="F717" s="177"/>
      <c r="G717" s="117"/>
      <c r="H717" s="93"/>
      <c r="I717" s="41"/>
      <c r="J717" s="136"/>
    </row>
    <row r="718" spans="1:10" x14ac:dyDescent="0.35">
      <c r="A718" s="92"/>
      <c r="F718" s="177"/>
      <c r="G718" s="117"/>
      <c r="H718" s="93"/>
      <c r="I718" s="41"/>
      <c r="J718" s="136"/>
    </row>
    <row r="719" spans="1:10" x14ac:dyDescent="0.35">
      <c r="A719" s="92"/>
      <c r="F719" s="177"/>
      <c r="G719" s="117"/>
      <c r="H719" s="93"/>
      <c r="I719" s="41"/>
      <c r="J719" s="136"/>
    </row>
    <row r="720" spans="1:10" x14ac:dyDescent="0.35">
      <c r="A720" s="92"/>
      <c r="F720" s="177"/>
      <c r="G720" s="117"/>
      <c r="H720" s="93"/>
      <c r="I720" s="41"/>
      <c r="J720" s="136"/>
    </row>
    <row r="721" spans="1:10" x14ac:dyDescent="0.35">
      <c r="A721" s="92"/>
      <c r="F721" s="177"/>
      <c r="G721" s="117"/>
      <c r="H721" s="93"/>
      <c r="I721" s="41"/>
      <c r="J721" s="136"/>
    </row>
    <row r="722" spans="1:10" x14ac:dyDescent="0.35">
      <c r="A722" s="92"/>
      <c r="F722" s="177"/>
      <c r="G722" s="117"/>
      <c r="H722" s="93"/>
      <c r="I722" s="41"/>
      <c r="J722" s="136"/>
    </row>
    <row r="723" spans="1:10" x14ac:dyDescent="0.35">
      <c r="A723" s="92"/>
      <c r="F723" s="177"/>
      <c r="G723" s="117"/>
      <c r="H723" s="93"/>
      <c r="I723" s="41"/>
      <c r="J723" s="136"/>
    </row>
    <row r="724" spans="1:10" x14ac:dyDescent="0.35">
      <c r="A724" s="92"/>
      <c r="F724" s="177"/>
      <c r="G724" s="117"/>
      <c r="H724" s="93"/>
      <c r="I724" s="41"/>
      <c r="J724" s="136"/>
    </row>
    <row r="725" spans="1:10" x14ac:dyDescent="0.35">
      <c r="A725" s="92"/>
      <c r="F725" s="177"/>
      <c r="G725" s="117"/>
      <c r="H725" s="93"/>
      <c r="I725" s="41"/>
      <c r="J725" s="136"/>
    </row>
    <row r="726" spans="1:10" x14ac:dyDescent="0.35">
      <c r="A726" s="92"/>
      <c r="F726" s="177"/>
      <c r="G726" s="117"/>
      <c r="H726" s="93"/>
      <c r="I726" s="41"/>
      <c r="J726" s="136"/>
    </row>
    <row r="727" spans="1:10" x14ac:dyDescent="0.35">
      <c r="A727" s="92"/>
      <c r="F727" s="177"/>
      <c r="G727" s="117"/>
      <c r="H727" s="93"/>
      <c r="I727" s="41"/>
      <c r="J727" s="136"/>
    </row>
    <row r="728" spans="1:10" x14ac:dyDescent="0.35">
      <c r="A728" s="92"/>
      <c r="F728" s="177"/>
      <c r="G728" s="117"/>
      <c r="H728" s="93"/>
      <c r="I728" s="41"/>
      <c r="J728" s="136"/>
    </row>
    <row r="729" spans="1:10" x14ac:dyDescent="0.35">
      <c r="A729" s="92"/>
      <c r="F729" s="177"/>
      <c r="G729" s="117"/>
      <c r="H729" s="93"/>
      <c r="I729" s="41"/>
      <c r="J729" s="136"/>
    </row>
    <row r="730" spans="1:10" x14ac:dyDescent="0.35">
      <c r="A730" s="92"/>
      <c r="F730" s="177"/>
      <c r="G730" s="117"/>
      <c r="H730" s="93"/>
      <c r="I730" s="41"/>
      <c r="J730" s="136"/>
    </row>
    <row r="731" spans="1:10" x14ac:dyDescent="0.35">
      <c r="A731" s="92"/>
      <c r="F731" s="177"/>
      <c r="G731" s="117"/>
      <c r="H731" s="93"/>
      <c r="I731" s="41"/>
      <c r="J731" s="136"/>
    </row>
    <row r="732" spans="1:10" x14ac:dyDescent="0.35">
      <c r="A732" s="92"/>
      <c r="F732" s="177"/>
      <c r="G732" s="117"/>
      <c r="H732" s="93"/>
      <c r="I732" s="41"/>
      <c r="J732" s="136"/>
    </row>
    <row r="733" spans="1:10" x14ac:dyDescent="0.35">
      <c r="A733" s="92"/>
      <c r="F733" s="177"/>
      <c r="G733" s="117"/>
      <c r="H733" s="93"/>
      <c r="I733" s="41"/>
      <c r="J733" s="136"/>
    </row>
    <row r="734" spans="1:10" x14ac:dyDescent="0.35">
      <c r="A734" s="92"/>
      <c r="F734" s="177"/>
      <c r="G734" s="117"/>
      <c r="H734" s="93"/>
      <c r="I734" s="41"/>
      <c r="J734" s="136"/>
    </row>
    <row r="735" spans="1:10" x14ac:dyDescent="0.35">
      <c r="A735" s="92"/>
      <c r="F735" s="177"/>
      <c r="G735" s="117"/>
      <c r="H735" s="93"/>
      <c r="I735" s="41"/>
      <c r="J735" s="136"/>
    </row>
    <row r="736" spans="1:10" x14ac:dyDescent="0.35">
      <c r="A736" s="92"/>
      <c r="F736" s="177"/>
      <c r="G736" s="117"/>
      <c r="H736" s="93"/>
      <c r="I736" s="41"/>
      <c r="J736" s="136"/>
    </row>
    <row r="737" spans="1:10" x14ac:dyDescent="0.35">
      <c r="A737" s="92"/>
      <c r="F737" s="177"/>
      <c r="G737" s="117"/>
      <c r="H737" s="93"/>
      <c r="I737" s="41"/>
      <c r="J737" s="136"/>
    </row>
    <row r="738" spans="1:10" x14ac:dyDescent="0.35">
      <c r="A738" s="92"/>
      <c r="F738" s="177"/>
      <c r="G738" s="117"/>
      <c r="H738" s="93"/>
      <c r="I738" s="41"/>
      <c r="J738" s="136"/>
    </row>
    <row r="739" spans="1:10" x14ac:dyDescent="0.35">
      <c r="A739" s="92"/>
      <c r="F739" s="177"/>
      <c r="G739" s="117"/>
      <c r="H739" s="93"/>
      <c r="I739" s="41"/>
      <c r="J739" s="136"/>
    </row>
    <row r="740" spans="1:10" x14ac:dyDescent="0.35">
      <c r="A740" s="92"/>
      <c r="F740" s="177"/>
      <c r="G740" s="117"/>
      <c r="H740" s="93"/>
      <c r="I740" s="41"/>
      <c r="J740" s="136"/>
    </row>
    <row r="741" spans="1:10" x14ac:dyDescent="0.35">
      <c r="A741" s="92"/>
      <c r="F741" s="177"/>
      <c r="G741" s="117"/>
      <c r="H741" s="93"/>
      <c r="I741" s="41"/>
      <c r="J741" s="136"/>
    </row>
    <row r="742" spans="1:10" x14ac:dyDescent="0.35">
      <c r="A742" s="92"/>
      <c r="F742" s="177"/>
      <c r="G742" s="117"/>
      <c r="H742" s="93"/>
      <c r="I742" s="41"/>
      <c r="J742" s="136"/>
    </row>
    <row r="743" spans="1:10" x14ac:dyDescent="0.35">
      <c r="A743" s="92"/>
      <c r="F743" s="177"/>
      <c r="G743" s="117"/>
      <c r="H743" s="93"/>
      <c r="I743" s="41"/>
      <c r="J743" s="136"/>
    </row>
    <row r="744" spans="1:10" x14ac:dyDescent="0.35">
      <c r="A744" s="92"/>
      <c r="F744" s="177"/>
      <c r="G744" s="117"/>
      <c r="H744" s="93"/>
      <c r="I744" s="41"/>
      <c r="J744" s="136"/>
    </row>
    <row r="745" spans="1:10" x14ac:dyDescent="0.35">
      <c r="A745" s="92"/>
      <c r="F745" s="177"/>
      <c r="G745" s="117"/>
      <c r="H745" s="93"/>
      <c r="I745" s="41"/>
      <c r="J745" s="136"/>
    </row>
    <row r="746" spans="1:10" x14ac:dyDescent="0.35">
      <c r="A746" s="92"/>
      <c r="F746" s="177"/>
      <c r="G746" s="117"/>
      <c r="H746" s="93"/>
      <c r="I746" s="41"/>
      <c r="J746" s="136"/>
    </row>
    <row r="747" spans="1:10" x14ac:dyDescent="0.35">
      <c r="A747" s="92"/>
      <c r="F747" s="177"/>
      <c r="G747" s="117"/>
      <c r="H747" s="93"/>
      <c r="I747" s="41"/>
      <c r="J747" s="136"/>
    </row>
    <row r="748" spans="1:10" x14ac:dyDescent="0.35">
      <c r="A748" s="92"/>
      <c r="F748" s="177"/>
      <c r="G748" s="117"/>
      <c r="H748" s="93"/>
      <c r="I748" s="41"/>
      <c r="J748" s="136"/>
    </row>
    <row r="749" spans="1:10" x14ac:dyDescent="0.35">
      <c r="A749" s="92"/>
      <c r="F749" s="177"/>
      <c r="G749" s="117"/>
      <c r="H749" s="93"/>
      <c r="I749" s="41"/>
      <c r="J749" s="136"/>
    </row>
    <row r="750" spans="1:10" x14ac:dyDescent="0.35">
      <c r="A750" s="92"/>
      <c r="F750" s="177"/>
      <c r="G750" s="117"/>
      <c r="H750" s="93"/>
      <c r="I750" s="41"/>
      <c r="J750" s="136"/>
    </row>
    <row r="751" spans="1:10" x14ac:dyDescent="0.35">
      <c r="A751" s="92"/>
      <c r="F751" s="177"/>
      <c r="G751" s="117"/>
      <c r="H751" s="93"/>
      <c r="I751" s="41"/>
      <c r="J751" s="136"/>
    </row>
    <row r="752" spans="1:10" x14ac:dyDescent="0.35">
      <c r="A752" s="92"/>
      <c r="F752" s="177"/>
      <c r="G752" s="117"/>
      <c r="H752" s="93"/>
      <c r="I752" s="41"/>
      <c r="J752" s="136"/>
    </row>
    <row r="753" spans="1:10" x14ac:dyDescent="0.35">
      <c r="A753" s="92"/>
      <c r="F753" s="177"/>
      <c r="G753" s="117"/>
      <c r="H753" s="93"/>
      <c r="I753" s="41"/>
      <c r="J753" s="136"/>
    </row>
    <row r="754" spans="1:10" x14ac:dyDescent="0.35">
      <c r="A754" s="92"/>
      <c r="F754" s="177"/>
      <c r="G754" s="117"/>
      <c r="H754" s="93"/>
      <c r="I754" s="41"/>
      <c r="J754" s="136"/>
    </row>
    <row r="755" spans="1:10" x14ac:dyDescent="0.35">
      <c r="A755" s="92"/>
      <c r="F755" s="177"/>
      <c r="G755" s="117"/>
      <c r="H755" s="93"/>
      <c r="I755" s="41"/>
      <c r="J755" s="136"/>
    </row>
    <row r="756" spans="1:10" x14ac:dyDescent="0.35">
      <c r="A756" s="92"/>
      <c r="F756" s="177"/>
      <c r="G756" s="117"/>
      <c r="H756" s="93"/>
      <c r="I756" s="41"/>
      <c r="J756" s="136"/>
    </row>
    <row r="757" spans="1:10" x14ac:dyDescent="0.35">
      <c r="A757" s="92"/>
      <c r="F757" s="177"/>
      <c r="G757" s="117"/>
      <c r="H757" s="93"/>
      <c r="I757" s="41"/>
      <c r="J757" s="136"/>
    </row>
    <row r="758" spans="1:10" x14ac:dyDescent="0.35">
      <c r="A758" s="92"/>
      <c r="F758" s="177"/>
      <c r="G758" s="117"/>
      <c r="H758" s="93"/>
      <c r="I758" s="41"/>
      <c r="J758" s="136"/>
    </row>
    <row r="759" spans="1:10" x14ac:dyDescent="0.35">
      <c r="A759" s="92"/>
      <c r="F759" s="177"/>
      <c r="G759" s="117"/>
      <c r="H759" s="93"/>
      <c r="I759" s="41"/>
      <c r="J759" s="136"/>
    </row>
    <row r="760" spans="1:10" x14ac:dyDescent="0.35">
      <c r="A760" s="92"/>
      <c r="F760" s="177"/>
      <c r="G760" s="117"/>
      <c r="H760" s="93"/>
      <c r="I760" s="41"/>
      <c r="J760" s="136"/>
    </row>
    <row r="761" spans="1:10" x14ac:dyDescent="0.35">
      <c r="A761" s="92"/>
      <c r="F761" s="177"/>
      <c r="G761" s="117"/>
      <c r="H761" s="93"/>
      <c r="I761" s="41"/>
      <c r="J761" s="136"/>
    </row>
    <row r="762" spans="1:10" x14ac:dyDescent="0.35">
      <c r="A762" s="92"/>
      <c r="F762" s="177"/>
      <c r="G762" s="117"/>
      <c r="H762" s="93"/>
      <c r="I762" s="41"/>
      <c r="J762" s="136"/>
    </row>
    <row r="763" spans="1:10" x14ac:dyDescent="0.35">
      <c r="A763" s="92"/>
      <c r="F763" s="177"/>
      <c r="G763" s="117"/>
      <c r="H763" s="93"/>
      <c r="I763" s="41"/>
      <c r="J763" s="136"/>
    </row>
    <row r="764" spans="1:10" x14ac:dyDescent="0.35">
      <c r="A764" s="92"/>
      <c r="F764" s="177"/>
      <c r="G764" s="117"/>
      <c r="H764" s="93"/>
      <c r="I764" s="41"/>
      <c r="J764" s="136"/>
    </row>
    <row r="765" spans="1:10" x14ac:dyDescent="0.35">
      <c r="A765" s="92"/>
      <c r="F765" s="177"/>
      <c r="G765" s="117"/>
      <c r="H765" s="93"/>
      <c r="I765" s="41"/>
      <c r="J765" s="136"/>
    </row>
    <row r="766" spans="1:10" x14ac:dyDescent="0.35">
      <c r="A766" s="92"/>
      <c r="F766" s="177"/>
      <c r="G766" s="117"/>
      <c r="H766" s="93"/>
      <c r="I766" s="41"/>
      <c r="J766" s="136"/>
    </row>
    <row r="767" spans="1:10" x14ac:dyDescent="0.35">
      <c r="A767" s="92"/>
      <c r="F767" s="177"/>
      <c r="G767" s="117"/>
      <c r="H767" s="93"/>
      <c r="I767" s="41"/>
      <c r="J767" s="136"/>
    </row>
    <row r="768" spans="1:10" x14ac:dyDescent="0.35">
      <c r="A768" s="92"/>
      <c r="F768" s="177"/>
      <c r="G768" s="117"/>
      <c r="H768" s="93"/>
      <c r="I768" s="41"/>
      <c r="J768" s="136"/>
    </row>
    <row r="769" spans="1:10" x14ac:dyDescent="0.35">
      <c r="A769" s="92"/>
      <c r="F769" s="177"/>
      <c r="G769" s="117"/>
      <c r="H769" s="93"/>
      <c r="I769" s="41"/>
      <c r="J769" s="136"/>
    </row>
    <row r="770" spans="1:10" x14ac:dyDescent="0.35">
      <c r="A770" s="92"/>
      <c r="F770" s="177"/>
      <c r="G770" s="117"/>
      <c r="H770" s="93"/>
      <c r="I770" s="41"/>
      <c r="J770" s="136"/>
    </row>
    <row r="771" spans="1:10" x14ac:dyDescent="0.35">
      <c r="A771" s="92"/>
      <c r="F771" s="177"/>
      <c r="G771" s="117"/>
      <c r="H771" s="93"/>
      <c r="I771" s="41"/>
      <c r="J771" s="136"/>
    </row>
    <row r="772" spans="1:10" x14ac:dyDescent="0.35">
      <c r="A772" s="92"/>
      <c r="F772" s="177"/>
      <c r="G772" s="117"/>
      <c r="H772" s="93"/>
      <c r="I772" s="41"/>
      <c r="J772" s="136"/>
    </row>
    <row r="773" spans="1:10" x14ac:dyDescent="0.35">
      <c r="A773" s="92"/>
      <c r="F773" s="177"/>
      <c r="G773" s="117"/>
      <c r="H773" s="93"/>
      <c r="I773" s="41"/>
      <c r="J773" s="136"/>
    </row>
    <row r="774" spans="1:10" x14ac:dyDescent="0.35">
      <c r="A774" s="92"/>
      <c r="F774" s="177"/>
      <c r="G774" s="117"/>
      <c r="H774" s="93"/>
      <c r="I774" s="41"/>
      <c r="J774" s="136"/>
    </row>
    <row r="775" spans="1:10" x14ac:dyDescent="0.35">
      <c r="A775" s="92"/>
      <c r="F775" s="177"/>
      <c r="G775" s="117"/>
      <c r="H775" s="93"/>
      <c r="I775" s="41"/>
      <c r="J775" s="136"/>
    </row>
    <row r="776" spans="1:10" x14ac:dyDescent="0.35">
      <c r="A776" s="92"/>
      <c r="F776" s="177"/>
      <c r="G776" s="117"/>
      <c r="H776" s="93"/>
      <c r="I776" s="41"/>
      <c r="J776" s="136"/>
    </row>
    <row r="777" spans="1:10" x14ac:dyDescent="0.35">
      <c r="A777" s="92"/>
      <c r="F777" s="177"/>
      <c r="G777" s="117"/>
      <c r="H777" s="93"/>
      <c r="I777" s="41"/>
      <c r="J777" s="136"/>
    </row>
    <row r="778" spans="1:10" x14ac:dyDescent="0.35">
      <c r="A778" s="92"/>
      <c r="F778" s="177"/>
      <c r="G778" s="117"/>
      <c r="H778" s="93"/>
      <c r="I778" s="41"/>
      <c r="J778" s="136"/>
    </row>
    <row r="779" spans="1:10" x14ac:dyDescent="0.35">
      <c r="A779" s="92"/>
      <c r="F779" s="177"/>
      <c r="G779" s="117"/>
      <c r="H779" s="93"/>
      <c r="I779" s="41"/>
      <c r="J779" s="136"/>
    </row>
    <row r="780" spans="1:10" x14ac:dyDescent="0.35">
      <c r="A780" s="92"/>
      <c r="F780" s="177"/>
      <c r="G780" s="117"/>
      <c r="H780" s="93"/>
      <c r="I780" s="41"/>
      <c r="J780" s="136"/>
    </row>
    <row r="781" spans="1:10" x14ac:dyDescent="0.35">
      <c r="A781" s="92"/>
      <c r="F781" s="177"/>
      <c r="G781" s="117"/>
      <c r="H781" s="93"/>
      <c r="I781" s="41"/>
      <c r="J781" s="136"/>
    </row>
    <row r="782" spans="1:10" x14ac:dyDescent="0.35">
      <c r="A782" s="92"/>
      <c r="F782" s="177"/>
      <c r="G782" s="117"/>
      <c r="H782" s="93"/>
      <c r="I782" s="41"/>
      <c r="J782" s="136"/>
    </row>
    <row r="783" spans="1:10" x14ac:dyDescent="0.35">
      <c r="A783" s="92"/>
      <c r="F783" s="177"/>
      <c r="G783" s="117"/>
      <c r="H783" s="93"/>
      <c r="I783" s="41"/>
      <c r="J783" s="136"/>
    </row>
    <row r="784" spans="1:10" x14ac:dyDescent="0.35">
      <c r="A784" s="92"/>
      <c r="F784" s="177"/>
      <c r="G784" s="117"/>
      <c r="H784" s="93"/>
      <c r="I784" s="41"/>
      <c r="J784" s="136"/>
    </row>
    <row r="785" spans="1:10" x14ac:dyDescent="0.35">
      <c r="A785" s="92"/>
      <c r="F785" s="177"/>
      <c r="G785" s="117"/>
      <c r="H785" s="93"/>
      <c r="I785" s="41"/>
      <c r="J785" s="136"/>
    </row>
    <row r="786" spans="1:10" x14ac:dyDescent="0.35">
      <c r="A786" s="92"/>
      <c r="F786" s="177"/>
      <c r="G786" s="117"/>
      <c r="H786" s="93"/>
      <c r="I786" s="41"/>
      <c r="J786" s="136"/>
    </row>
    <row r="787" spans="1:10" x14ac:dyDescent="0.35">
      <c r="A787" s="92"/>
      <c r="F787" s="177"/>
      <c r="G787" s="117"/>
      <c r="H787" s="93"/>
      <c r="I787" s="41"/>
      <c r="J787" s="136"/>
    </row>
    <row r="788" spans="1:10" x14ac:dyDescent="0.35">
      <c r="A788" s="92"/>
      <c r="F788" s="177"/>
      <c r="G788" s="117"/>
      <c r="H788" s="93"/>
      <c r="I788" s="41"/>
      <c r="J788" s="136"/>
    </row>
    <row r="789" spans="1:10" x14ac:dyDescent="0.35">
      <c r="A789" s="92"/>
      <c r="F789" s="177"/>
      <c r="G789" s="117"/>
      <c r="H789" s="93"/>
      <c r="I789" s="41"/>
      <c r="J789" s="136"/>
    </row>
    <row r="790" spans="1:10" x14ac:dyDescent="0.35">
      <c r="A790" s="92"/>
      <c r="F790" s="177"/>
      <c r="G790" s="117"/>
      <c r="H790" s="93"/>
      <c r="I790" s="41"/>
      <c r="J790" s="136"/>
    </row>
    <row r="791" spans="1:10" x14ac:dyDescent="0.35">
      <c r="A791" s="92"/>
      <c r="F791" s="177"/>
      <c r="G791" s="117"/>
      <c r="H791" s="93"/>
      <c r="I791" s="41"/>
      <c r="J791" s="136"/>
    </row>
    <row r="792" spans="1:10" x14ac:dyDescent="0.35">
      <c r="A792" s="92"/>
      <c r="F792" s="177"/>
      <c r="G792" s="117"/>
      <c r="H792" s="93"/>
      <c r="I792" s="41"/>
      <c r="J792" s="136"/>
    </row>
    <row r="793" spans="1:10" x14ac:dyDescent="0.35">
      <c r="A793" s="92"/>
      <c r="F793" s="177"/>
      <c r="G793" s="117"/>
      <c r="H793" s="93"/>
      <c r="I793" s="41"/>
      <c r="J793" s="136"/>
    </row>
    <row r="794" spans="1:10" x14ac:dyDescent="0.35">
      <c r="A794" s="92"/>
      <c r="F794" s="177"/>
      <c r="G794" s="117"/>
      <c r="H794" s="93"/>
      <c r="I794" s="41"/>
      <c r="J794" s="136"/>
    </row>
    <row r="795" spans="1:10" x14ac:dyDescent="0.35">
      <c r="A795" s="92"/>
      <c r="F795" s="177"/>
      <c r="G795" s="117"/>
      <c r="H795" s="93"/>
      <c r="I795" s="41"/>
      <c r="J795" s="136"/>
    </row>
    <row r="796" spans="1:10" x14ac:dyDescent="0.35">
      <c r="A796" s="92"/>
      <c r="F796" s="177"/>
      <c r="G796" s="117"/>
      <c r="H796" s="93"/>
      <c r="I796" s="41"/>
      <c r="J796" s="136"/>
    </row>
    <row r="797" spans="1:10" x14ac:dyDescent="0.35">
      <c r="A797" s="92"/>
      <c r="F797" s="177"/>
      <c r="G797" s="117"/>
      <c r="H797" s="93"/>
      <c r="I797" s="41"/>
      <c r="J797" s="136"/>
    </row>
    <row r="798" spans="1:10" x14ac:dyDescent="0.35">
      <c r="A798" s="92"/>
      <c r="F798" s="177"/>
      <c r="G798" s="117"/>
      <c r="H798" s="93"/>
      <c r="I798" s="41"/>
      <c r="J798" s="136"/>
    </row>
    <row r="799" spans="1:10" x14ac:dyDescent="0.35">
      <c r="A799" s="92"/>
      <c r="F799" s="177"/>
      <c r="G799" s="117"/>
      <c r="H799" s="93"/>
      <c r="I799" s="41"/>
      <c r="J799" s="136"/>
    </row>
    <row r="800" spans="1:10" x14ac:dyDescent="0.35">
      <c r="A800" s="92"/>
      <c r="F800" s="177"/>
      <c r="G800" s="117"/>
      <c r="H800" s="93"/>
      <c r="I800" s="41"/>
      <c r="J800" s="136"/>
    </row>
    <row r="801" spans="1:10" x14ac:dyDescent="0.35">
      <c r="A801" s="92"/>
      <c r="F801" s="177"/>
      <c r="G801" s="117"/>
      <c r="H801" s="93"/>
      <c r="I801" s="41"/>
      <c r="J801" s="136"/>
    </row>
    <row r="802" spans="1:10" x14ac:dyDescent="0.35">
      <c r="A802" s="92"/>
      <c r="F802" s="177"/>
      <c r="G802" s="117"/>
      <c r="H802" s="93"/>
      <c r="I802" s="41"/>
      <c r="J802" s="136"/>
    </row>
    <row r="803" spans="1:10" x14ac:dyDescent="0.35">
      <c r="A803" s="92"/>
      <c r="F803" s="177"/>
      <c r="G803" s="117"/>
      <c r="H803" s="93"/>
      <c r="I803" s="41"/>
      <c r="J803" s="136"/>
    </row>
    <row r="804" spans="1:10" x14ac:dyDescent="0.35">
      <c r="A804" s="92"/>
      <c r="F804" s="177"/>
      <c r="G804" s="117"/>
      <c r="H804" s="93"/>
      <c r="I804" s="41"/>
      <c r="J804" s="136"/>
    </row>
    <row r="805" spans="1:10" x14ac:dyDescent="0.35">
      <c r="A805" s="92"/>
      <c r="F805" s="177"/>
      <c r="G805" s="117"/>
      <c r="H805" s="93"/>
      <c r="I805" s="41"/>
      <c r="J805" s="136"/>
    </row>
    <row r="806" spans="1:10" x14ac:dyDescent="0.35">
      <c r="A806" s="92"/>
      <c r="F806" s="177"/>
      <c r="G806" s="117"/>
      <c r="H806" s="93"/>
      <c r="I806" s="41"/>
      <c r="J806" s="136"/>
    </row>
    <row r="807" spans="1:10" x14ac:dyDescent="0.35">
      <c r="A807" s="92"/>
      <c r="F807" s="177"/>
      <c r="G807" s="117"/>
      <c r="H807" s="93"/>
      <c r="I807" s="41"/>
      <c r="J807" s="136"/>
    </row>
    <row r="808" spans="1:10" x14ac:dyDescent="0.35">
      <c r="A808" s="92"/>
      <c r="F808" s="177"/>
      <c r="G808" s="117"/>
      <c r="H808" s="93"/>
      <c r="I808" s="41"/>
      <c r="J808" s="136"/>
    </row>
    <row r="809" spans="1:10" x14ac:dyDescent="0.35">
      <c r="A809" s="92"/>
      <c r="F809" s="177"/>
      <c r="G809" s="117"/>
      <c r="H809" s="93"/>
      <c r="I809" s="41"/>
      <c r="J809" s="136"/>
    </row>
    <row r="810" spans="1:10" x14ac:dyDescent="0.35">
      <c r="A810" s="92"/>
      <c r="F810" s="177"/>
      <c r="G810" s="117"/>
      <c r="H810" s="93"/>
      <c r="I810" s="41"/>
      <c r="J810" s="136"/>
    </row>
    <row r="811" spans="1:10" x14ac:dyDescent="0.35">
      <c r="A811" s="92"/>
      <c r="F811" s="177"/>
      <c r="G811" s="117"/>
      <c r="H811" s="93"/>
      <c r="I811" s="41"/>
      <c r="J811" s="136"/>
    </row>
    <row r="812" spans="1:10" x14ac:dyDescent="0.35">
      <c r="A812" s="92"/>
      <c r="F812" s="177"/>
      <c r="G812" s="117"/>
      <c r="H812" s="93"/>
      <c r="I812" s="41"/>
      <c r="J812" s="136"/>
    </row>
    <row r="813" spans="1:10" x14ac:dyDescent="0.35">
      <c r="A813" s="92"/>
      <c r="F813" s="177"/>
      <c r="G813" s="117"/>
      <c r="H813" s="93"/>
      <c r="I813" s="41"/>
      <c r="J813" s="136"/>
    </row>
    <row r="814" spans="1:10" x14ac:dyDescent="0.35">
      <c r="A814" s="92"/>
      <c r="F814" s="177"/>
      <c r="G814" s="117"/>
      <c r="H814" s="93"/>
      <c r="I814" s="41"/>
      <c r="J814" s="136"/>
    </row>
    <row r="815" spans="1:10" x14ac:dyDescent="0.35">
      <c r="A815" s="92"/>
      <c r="F815" s="177"/>
      <c r="G815" s="117"/>
      <c r="H815" s="93"/>
      <c r="I815" s="41"/>
      <c r="J815" s="136"/>
    </row>
    <row r="816" spans="1:10" x14ac:dyDescent="0.35">
      <c r="A816" s="92"/>
      <c r="F816" s="177"/>
      <c r="G816" s="117"/>
      <c r="H816" s="93"/>
      <c r="I816" s="41"/>
      <c r="J816" s="136"/>
    </row>
    <row r="817" spans="1:10" x14ac:dyDescent="0.35">
      <c r="A817" s="92"/>
      <c r="F817" s="177"/>
      <c r="G817" s="117"/>
      <c r="H817" s="93"/>
      <c r="I817" s="41"/>
      <c r="J817" s="136"/>
    </row>
    <row r="818" spans="1:10" x14ac:dyDescent="0.35">
      <c r="A818" s="92"/>
      <c r="F818" s="177"/>
      <c r="G818" s="117"/>
      <c r="H818" s="93"/>
      <c r="I818" s="41"/>
      <c r="J818" s="136"/>
    </row>
    <row r="819" spans="1:10" x14ac:dyDescent="0.35">
      <c r="A819" s="92"/>
      <c r="F819" s="177"/>
      <c r="G819" s="117"/>
      <c r="H819" s="93"/>
      <c r="I819" s="41"/>
      <c r="J819" s="136"/>
    </row>
    <row r="820" spans="1:10" x14ac:dyDescent="0.35">
      <c r="A820" s="92"/>
      <c r="F820" s="177"/>
      <c r="G820" s="117"/>
      <c r="H820" s="93"/>
      <c r="I820" s="41"/>
      <c r="J820" s="136"/>
    </row>
    <row r="821" spans="1:10" x14ac:dyDescent="0.35">
      <c r="A821" s="92"/>
      <c r="F821" s="177"/>
      <c r="G821" s="117"/>
      <c r="H821" s="93"/>
      <c r="I821" s="41"/>
      <c r="J821" s="136"/>
    </row>
    <row r="822" spans="1:10" x14ac:dyDescent="0.35">
      <c r="A822" s="92"/>
      <c r="F822" s="177"/>
      <c r="G822" s="117"/>
      <c r="H822" s="93"/>
      <c r="I822" s="41"/>
      <c r="J822" s="136"/>
    </row>
    <row r="823" spans="1:10" x14ac:dyDescent="0.35">
      <c r="A823" s="92"/>
      <c r="F823" s="177"/>
      <c r="G823" s="117"/>
      <c r="H823" s="93"/>
      <c r="I823" s="41"/>
      <c r="J823" s="136"/>
    </row>
    <row r="824" spans="1:10" x14ac:dyDescent="0.35">
      <c r="A824" s="92"/>
      <c r="F824" s="177"/>
      <c r="G824" s="117"/>
      <c r="H824" s="93"/>
      <c r="I824" s="41"/>
      <c r="J824" s="136"/>
    </row>
    <row r="825" spans="1:10" x14ac:dyDescent="0.35">
      <c r="A825" s="92"/>
      <c r="F825" s="177"/>
      <c r="G825" s="117"/>
      <c r="H825" s="93"/>
      <c r="I825" s="41"/>
      <c r="J825" s="136"/>
    </row>
    <row r="826" spans="1:10" x14ac:dyDescent="0.35">
      <c r="A826" s="92"/>
      <c r="F826" s="177"/>
      <c r="G826" s="117"/>
      <c r="H826" s="93"/>
      <c r="I826" s="41"/>
      <c r="J826" s="136"/>
    </row>
    <row r="827" spans="1:10" x14ac:dyDescent="0.35">
      <c r="A827" s="92"/>
      <c r="F827" s="177"/>
      <c r="G827" s="117"/>
      <c r="H827" s="93"/>
      <c r="I827" s="41"/>
      <c r="J827" s="136"/>
    </row>
    <row r="828" spans="1:10" x14ac:dyDescent="0.35">
      <c r="A828" s="92"/>
      <c r="F828" s="177"/>
      <c r="G828" s="117"/>
      <c r="H828" s="93"/>
      <c r="I828" s="41"/>
      <c r="J828" s="136"/>
    </row>
    <row r="829" spans="1:10" x14ac:dyDescent="0.35">
      <c r="A829" s="92"/>
      <c r="F829" s="177"/>
      <c r="G829" s="117"/>
      <c r="H829" s="93"/>
      <c r="I829" s="41"/>
      <c r="J829" s="136"/>
    </row>
    <row r="830" spans="1:10" x14ac:dyDescent="0.35">
      <c r="A830" s="92"/>
      <c r="F830" s="177"/>
      <c r="G830" s="117"/>
      <c r="H830" s="93"/>
      <c r="I830" s="41"/>
      <c r="J830" s="136"/>
    </row>
    <row r="831" spans="1:10" x14ac:dyDescent="0.35">
      <c r="A831" s="92"/>
      <c r="F831" s="177"/>
      <c r="G831" s="117"/>
      <c r="H831" s="93"/>
      <c r="I831" s="41"/>
      <c r="J831" s="136"/>
    </row>
    <row r="832" spans="1:10" x14ac:dyDescent="0.35">
      <c r="A832" s="92"/>
      <c r="F832" s="177"/>
      <c r="G832" s="117"/>
      <c r="H832" s="93"/>
      <c r="I832" s="41"/>
      <c r="J832" s="136"/>
    </row>
    <row r="833" spans="1:10" x14ac:dyDescent="0.35">
      <c r="A833" s="92"/>
      <c r="F833" s="177"/>
      <c r="G833" s="117"/>
      <c r="H833" s="93"/>
      <c r="I833" s="41"/>
      <c r="J833" s="136"/>
    </row>
    <row r="834" spans="1:10" x14ac:dyDescent="0.35">
      <c r="A834" s="92"/>
      <c r="F834" s="177"/>
      <c r="G834" s="117"/>
      <c r="H834" s="93"/>
      <c r="I834" s="41"/>
      <c r="J834" s="136"/>
    </row>
    <row r="835" spans="1:10" x14ac:dyDescent="0.35">
      <c r="A835" s="92"/>
      <c r="F835" s="177"/>
      <c r="G835" s="117"/>
      <c r="H835" s="93"/>
      <c r="I835" s="41"/>
      <c r="J835" s="136"/>
    </row>
    <row r="836" spans="1:10" x14ac:dyDescent="0.35">
      <c r="A836" s="92"/>
      <c r="F836" s="177"/>
      <c r="G836" s="117"/>
      <c r="H836" s="93"/>
      <c r="I836" s="41"/>
      <c r="J836" s="136"/>
    </row>
    <row r="837" spans="1:10" x14ac:dyDescent="0.35">
      <c r="A837" s="92"/>
      <c r="F837" s="177"/>
      <c r="G837" s="117"/>
      <c r="H837" s="93"/>
      <c r="I837" s="41"/>
      <c r="J837" s="136"/>
    </row>
    <row r="838" spans="1:10" x14ac:dyDescent="0.35">
      <c r="A838" s="92"/>
      <c r="F838" s="177"/>
      <c r="G838" s="117"/>
      <c r="H838" s="93"/>
      <c r="I838" s="41"/>
      <c r="J838" s="136"/>
    </row>
    <row r="839" spans="1:10" x14ac:dyDescent="0.35">
      <c r="A839" s="92"/>
      <c r="F839" s="177"/>
      <c r="G839" s="117"/>
      <c r="H839" s="93"/>
      <c r="I839" s="41"/>
      <c r="J839" s="136"/>
    </row>
    <row r="840" spans="1:10" x14ac:dyDescent="0.35">
      <c r="A840" s="92"/>
      <c r="F840" s="177"/>
      <c r="G840" s="117"/>
      <c r="H840" s="93"/>
      <c r="I840" s="41"/>
      <c r="J840" s="136"/>
    </row>
    <row r="841" spans="1:10" x14ac:dyDescent="0.35">
      <c r="A841" s="92"/>
      <c r="F841" s="177"/>
      <c r="G841" s="117"/>
      <c r="H841" s="93"/>
      <c r="I841" s="41"/>
      <c r="J841" s="136"/>
    </row>
    <row r="842" spans="1:10" x14ac:dyDescent="0.35">
      <c r="A842" s="92"/>
      <c r="F842" s="177"/>
      <c r="G842" s="117"/>
      <c r="H842" s="93"/>
      <c r="I842" s="41"/>
      <c r="J842" s="136"/>
    </row>
    <row r="843" spans="1:10" x14ac:dyDescent="0.35">
      <c r="A843" s="92"/>
      <c r="F843" s="177"/>
      <c r="G843" s="117"/>
      <c r="H843" s="93"/>
      <c r="I843" s="41"/>
      <c r="J843" s="136"/>
    </row>
    <row r="844" spans="1:10" x14ac:dyDescent="0.35">
      <c r="A844" s="92"/>
      <c r="F844" s="177"/>
      <c r="G844" s="117"/>
      <c r="H844" s="93"/>
      <c r="I844" s="41"/>
      <c r="J844" s="136"/>
    </row>
    <row r="845" spans="1:10" x14ac:dyDescent="0.35">
      <c r="A845" s="92"/>
      <c r="F845" s="177"/>
      <c r="G845" s="117"/>
      <c r="H845" s="93"/>
      <c r="I845" s="41"/>
      <c r="J845" s="136"/>
    </row>
    <row r="846" spans="1:10" x14ac:dyDescent="0.35">
      <c r="A846" s="92"/>
      <c r="F846" s="177"/>
      <c r="G846" s="117"/>
      <c r="H846" s="93"/>
      <c r="I846" s="41"/>
      <c r="J846" s="136"/>
    </row>
    <row r="847" spans="1:10" x14ac:dyDescent="0.35">
      <c r="A847" s="92"/>
      <c r="F847" s="177"/>
      <c r="G847" s="117"/>
      <c r="H847" s="93"/>
      <c r="I847" s="41"/>
      <c r="J847" s="136"/>
    </row>
    <row r="848" spans="1:10" x14ac:dyDescent="0.35">
      <c r="A848" s="92"/>
      <c r="F848" s="177"/>
      <c r="G848" s="117"/>
      <c r="H848" s="93"/>
      <c r="I848" s="41"/>
      <c r="J848" s="136"/>
    </row>
    <row r="849" spans="1:10" x14ac:dyDescent="0.35">
      <c r="A849" s="92"/>
      <c r="F849" s="177"/>
      <c r="G849" s="117"/>
      <c r="H849" s="93"/>
      <c r="I849" s="41"/>
      <c r="J849" s="136"/>
    </row>
    <row r="850" spans="1:10" x14ac:dyDescent="0.35">
      <c r="A850" s="92"/>
      <c r="F850" s="177"/>
      <c r="G850" s="117"/>
      <c r="H850" s="93"/>
      <c r="I850" s="41"/>
      <c r="J850" s="136"/>
    </row>
    <row r="851" spans="1:10" x14ac:dyDescent="0.35">
      <c r="A851" s="92"/>
      <c r="F851" s="177"/>
      <c r="G851" s="117"/>
      <c r="H851" s="93"/>
      <c r="I851" s="41"/>
      <c r="J851" s="136"/>
    </row>
    <row r="852" spans="1:10" x14ac:dyDescent="0.35">
      <c r="A852" s="92"/>
      <c r="F852" s="177"/>
      <c r="G852" s="117"/>
      <c r="H852" s="93"/>
      <c r="I852" s="41"/>
      <c r="J852" s="136"/>
    </row>
    <row r="853" spans="1:10" x14ac:dyDescent="0.35">
      <c r="A853" s="92"/>
      <c r="F853" s="177"/>
      <c r="G853" s="117"/>
      <c r="H853" s="93"/>
      <c r="I853" s="41"/>
      <c r="J853" s="136"/>
    </row>
    <row r="854" spans="1:10" x14ac:dyDescent="0.35">
      <c r="A854" s="92"/>
      <c r="F854" s="177"/>
      <c r="G854" s="117"/>
      <c r="H854" s="93"/>
      <c r="I854" s="41"/>
      <c r="J854" s="136"/>
    </row>
    <row r="855" spans="1:10" x14ac:dyDescent="0.35">
      <c r="A855" s="92"/>
      <c r="F855" s="177"/>
      <c r="G855" s="117"/>
      <c r="H855" s="93"/>
      <c r="I855" s="41"/>
      <c r="J855" s="136"/>
    </row>
    <row r="856" spans="1:10" x14ac:dyDescent="0.35">
      <c r="A856" s="92"/>
      <c r="F856" s="177"/>
      <c r="G856" s="117"/>
      <c r="H856" s="93"/>
      <c r="I856" s="41"/>
      <c r="J856" s="136"/>
    </row>
    <row r="857" spans="1:10" x14ac:dyDescent="0.35">
      <c r="A857" s="92"/>
      <c r="F857" s="177"/>
      <c r="G857" s="117"/>
      <c r="H857" s="93"/>
      <c r="I857" s="41"/>
      <c r="J857" s="136"/>
    </row>
    <row r="858" spans="1:10" x14ac:dyDescent="0.35">
      <c r="A858" s="92"/>
      <c r="F858" s="177"/>
      <c r="G858" s="117"/>
      <c r="H858" s="93"/>
      <c r="I858" s="41"/>
      <c r="J858" s="136"/>
    </row>
    <row r="859" spans="1:10" x14ac:dyDescent="0.35">
      <c r="A859" s="92"/>
      <c r="F859" s="177"/>
      <c r="G859" s="117"/>
      <c r="H859" s="93"/>
      <c r="I859" s="41"/>
      <c r="J859" s="136"/>
    </row>
    <row r="860" spans="1:10" x14ac:dyDescent="0.35">
      <c r="A860" s="92"/>
      <c r="F860" s="177"/>
      <c r="G860" s="117"/>
      <c r="H860" s="93"/>
      <c r="I860" s="41"/>
      <c r="J860" s="136"/>
    </row>
    <row r="861" spans="1:10" x14ac:dyDescent="0.35">
      <c r="A861" s="92"/>
      <c r="F861" s="177"/>
      <c r="G861" s="117"/>
      <c r="H861" s="93"/>
      <c r="I861" s="41"/>
      <c r="J861" s="136"/>
    </row>
    <row r="862" spans="1:10" x14ac:dyDescent="0.35">
      <c r="A862" s="92"/>
      <c r="F862" s="177"/>
      <c r="G862" s="117"/>
      <c r="H862" s="93"/>
      <c r="I862" s="41"/>
      <c r="J862" s="136"/>
    </row>
    <row r="863" spans="1:10" x14ac:dyDescent="0.35">
      <c r="A863" s="92"/>
      <c r="F863" s="177"/>
      <c r="G863" s="117"/>
      <c r="H863" s="93"/>
      <c r="I863" s="41"/>
      <c r="J863" s="136"/>
    </row>
    <row r="864" spans="1:10" x14ac:dyDescent="0.35">
      <c r="A864" s="92"/>
      <c r="F864" s="177"/>
      <c r="G864" s="117"/>
      <c r="H864" s="93"/>
      <c r="I864" s="41"/>
      <c r="J864" s="136"/>
    </row>
    <row r="865" spans="1:10" x14ac:dyDescent="0.35">
      <c r="A865" s="92"/>
      <c r="F865" s="177"/>
      <c r="G865" s="117"/>
      <c r="H865" s="93"/>
      <c r="I865" s="41"/>
      <c r="J865" s="136"/>
    </row>
    <row r="866" spans="1:10" x14ac:dyDescent="0.35">
      <c r="A866" s="92"/>
      <c r="F866" s="177"/>
      <c r="G866" s="117"/>
      <c r="H866" s="93"/>
      <c r="I866" s="41"/>
      <c r="J866" s="136"/>
    </row>
    <row r="867" spans="1:10" x14ac:dyDescent="0.35">
      <c r="A867" s="92"/>
      <c r="F867" s="177"/>
      <c r="G867" s="117"/>
      <c r="H867" s="93"/>
      <c r="I867" s="41"/>
      <c r="J867" s="136"/>
    </row>
    <row r="868" spans="1:10" x14ac:dyDescent="0.35">
      <c r="A868" s="92"/>
      <c r="F868" s="177"/>
      <c r="G868" s="117"/>
      <c r="H868" s="93"/>
      <c r="I868" s="41"/>
      <c r="J868" s="136"/>
    </row>
    <row r="869" spans="1:10" x14ac:dyDescent="0.35">
      <c r="A869" s="92"/>
      <c r="F869" s="177"/>
      <c r="G869" s="117"/>
      <c r="H869" s="93"/>
      <c r="I869" s="41"/>
      <c r="J869" s="136"/>
    </row>
    <row r="870" spans="1:10" x14ac:dyDescent="0.35">
      <c r="A870" s="92"/>
      <c r="F870" s="177"/>
      <c r="G870" s="117"/>
      <c r="H870" s="93"/>
      <c r="I870" s="41"/>
      <c r="J870" s="136"/>
    </row>
    <row r="871" spans="1:10" x14ac:dyDescent="0.35">
      <c r="A871" s="92"/>
      <c r="F871" s="177"/>
      <c r="G871" s="117"/>
      <c r="H871" s="93"/>
      <c r="I871" s="41"/>
      <c r="J871" s="136"/>
    </row>
    <row r="872" spans="1:10" x14ac:dyDescent="0.35">
      <c r="A872" s="92"/>
      <c r="F872" s="177"/>
      <c r="G872" s="117"/>
      <c r="H872" s="93"/>
      <c r="I872" s="41"/>
      <c r="J872" s="136"/>
    </row>
    <row r="873" spans="1:10" x14ac:dyDescent="0.35">
      <c r="A873" s="92"/>
      <c r="F873" s="177"/>
      <c r="G873" s="117"/>
      <c r="H873" s="93"/>
      <c r="I873" s="41"/>
      <c r="J873" s="136"/>
    </row>
    <row r="874" spans="1:10" x14ac:dyDescent="0.35">
      <c r="A874" s="92"/>
      <c r="F874" s="177"/>
      <c r="G874" s="117"/>
      <c r="H874" s="93"/>
      <c r="I874" s="41"/>
      <c r="J874" s="136"/>
    </row>
    <row r="875" spans="1:10" x14ac:dyDescent="0.35">
      <c r="A875" s="92"/>
      <c r="F875" s="177"/>
      <c r="G875" s="117"/>
      <c r="H875" s="93"/>
      <c r="I875" s="41"/>
      <c r="J875" s="136"/>
    </row>
    <row r="876" spans="1:10" x14ac:dyDescent="0.35">
      <c r="A876" s="92"/>
      <c r="F876" s="177"/>
      <c r="G876" s="117"/>
      <c r="H876" s="93"/>
      <c r="I876" s="41"/>
      <c r="J876" s="136"/>
    </row>
    <row r="877" spans="1:10" x14ac:dyDescent="0.35">
      <c r="A877" s="92"/>
      <c r="F877" s="177"/>
      <c r="G877" s="117"/>
      <c r="H877" s="93"/>
      <c r="I877" s="41"/>
      <c r="J877" s="136"/>
    </row>
    <row r="878" spans="1:10" x14ac:dyDescent="0.35">
      <c r="A878" s="92"/>
      <c r="F878" s="177"/>
      <c r="G878" s="117"/>
      <c r="H878" s="93"/>
      <c r="I878" s="41"/>
      <c r="J878" s="136"/>
    </row>
    <row r="879" spans="1:10" x14ac:dyDescent="0.35">
      <c r="A879" s="92"/>
      <c r="F879" s="177"/>
      <c r="G879" s="117"/>
      <c r="H879" s="93"/>
      <c r="I879" s="41"/>
      <c r="J879" s="136"/>
    </row>
    <row r="880" spans="1:10" x14ac:dyDescent="0.35">
      <c r="A880" s="92"/>
      <c r="F880" s="177"/>
      <c r="G880" s="117"/>
      <c r="H880" s="93"/>
      <c r="I880" s="41"/>
      <c r="J880" s="136"/>
    </row>
    <row r="881" spans="1:10" x14ac:dyDescent="0.35">
      <c r="A881" s="92"/>
      <c r="F881" s="177"/>
      <c r="G881" s="117"/>
      <c r="H881" s="93"/>
      <c r="I881" s="41"/>
      <c r="J881" s="136"/>
    </row>
    <row r="882" spans="1:10" x14ac:dyDescent="0.35">
      <c r="A882" s="92"/>
      <c r="F882" s="177"/>
      <c r="G882" s="117"/>
      <c r="H882" s="93"/>
      <c r="I882" s="41"/>
      <c r="J882" s="136"/>
    </row>
    <row r="883" spans="1:10" x14ac:dyDescent="0.35">
      <c r="A883" s="92"/>
      <c r="F883" s="177"/>
      <c r="G883" s="117"/>
      <c r="H883" s="93"/>
      <c r="I883" s="41"/>
      <c r="J883" s="136"/>
    </row>
    <row r="884" spans="1:10" x14ac:dyDescent="0.35">
      <c r="A884" s="92"/>
      <c r="F884" s="177"/>
      <c r="G884" s="117"/>
      <c r="H884" s="93"/>
      <c r="I884" s="41"/>
      <c r="J884" s="136"/>
    </row>
    <row r="885" spans="1:10" x14ac:dyDescent="0.35">
      <c r="A885" s="92"/>
      <c r="F885" s="177"/>
      <c r="G885" s="117"/>
      <c r="H885" s="93"/>
      <c r="I885" s="41"/>
      <c r="J885" s="136"/>
    </row>
    <row r="886" spans="1:10" x14ac:dyDescent="0.35">
      <c r="A886" s="92"/>
      <c r="F886" s="177"/>
      <c r="G886" s="117"/>
      <c r="H886" s="93"/>
      <c r="I886" s="41"/>
      <c r="J886" s="136"/>
    </row>
    <row r="887" spans="1:10" x14ac:dyDescent="0.35">
      <c r="A887" s="92"/>
      <c r="F887" s="177"/>
      <c r="G887" s="117"/>
      <c r="H887" s="93"/>
      <c r="I887" s="41"/>
      <c r="J887" s="136"/>
    </row>
    <row r="888" spans="1:10" x14ac:dyDescent="0.35">
      <c r="A888" s="92"/>
      <c r="F888" s="177"/>
      <c r="G888" s="117"/>
      <c r="H888" s="93"/>
      <c r="I888" s="41"/>
      <c r="J888" s="136"/>
    </row>
    <row r="889" spans="1:10" x14ac:dyDescent="0.35">
      <c r="A889" s="92"/>
      <c r="F889" s="177"/>
      <c r="G889" s="117"/>
      <c r="H889" s="93"/>
      <c r="I889" s="41"/>
      <c r="J889" s="136"/>
    </row>
    <row r="890" spans="1:10" x14ac:dyDescent="0.35">
      <c r="A890" s="92"/>
      <c r="F890" s="177"/>
      <c r="G890" s="117"/>
      <c r="H890" s="93"/>
      <c r="I890" s="41"/>
      <c r="J890" s="136"/>
    </row>
    <row r="891" spans="1:10" x14ac:dyDescent="0.35">
      <c r="A891" s="92"/>
      <c r="F891" s="177"/>
      <c r="G891" s="117"/>
      <c r="H891" s="93"/>
      <c r="I891" s="41"/>
      <c r="J891" s="136"/>
    </row>
    <row r="892" spans="1:10" x14ac:dyDescent="0.35">
      <c r="A892" s="92"/>
      <c r="F892" s="177"/>
      <c r="G892" s="117"/>
      <c r="H892" s="93"/>
      <c r="I892" s="41"/>
      <c r="J892" s="136"/>
    </row>
    <row r="893" spans="1:10" x14ac:dyDescent="0.35">
      <c r="A893" s="92"/>
      <c r="F893" s="177"/>
      <c r="G893" s="117"/>
      <c r="H893" s="93"/>
      <c r="I893" s="41"/>
      <c r="J893" s="136"/>
    </row>
    <row r="894" spans="1:10" x14ac:dyDescent="0.35">
      <c r="A894" s="92"/>
      <c r="F894" s="177"/>
      <c r="G894" s="117"/>
      <c r="H894" s="93"/>
      <c r="I894" s="41"/>
      <c r="J894" s="136"/>
    </row>
    <row r="895" spans="1:10" x14ac:dyDescent="0.35">
      <c r="A895" s="92"/>
      <c r="F895" s="177"/>
      <c r="G895" s="117"/>
      <c r="H895" s="93"/>
      <c r="I895" s="41"/>
      <c r="J895" s="136"/>
    </row>
    <row r="896" spans="1:10" x14ac:dyDescent="0.35">
      <c r="A896" s="92"/>
      <c r="F896" s="177"/>
      <c r="G896" s="117"/>
      <c r="H896" s="93"/>
      <c r="I896" s="41"/>
      <c r="J896" s="136"/>
    </row>
    <row r="897" spans="1:10" x14ac:dyDescent="0.35">
      <c r="A897" s="92"/>
      <c r="F897" s="177"/>
      <c r="G897" s="117"/>
      <c r="H897" s="93"/>
      <c r="I897" s="41"/>
      <c r="J897" s="136"/>
    </row>
    <row r="898" spans="1:10" x14ac:dyDescent="0.35">
      <c r="A898" s="92"/>
      <c r="F898" s="177"/>
      <c r="G898" s="117"/>
      <c r="H898" s="93"/>
      <c r="I898" s="41"/>
      <c r="J898" s="136"/>
    </row>
    <row r="899" spans="1:10" x14ac:dyDescent="0.35">
      <c r="A899" s="92"/>
      <c r="F899" s="177"/>
      <c r="G899" s="117"/>
      <c r="H899" s="93"/>
      <c r="I899" s="41"/>
      <c r="J899" s="136"/>
    </row>
    <row r="900" spans="1:10" x14ac:dyDescent="0.35">
      <c r="A900" s="92"/>
      <c r="F900" s="177"/>
      <c r="G900" s="117"/>
      <c r="H900" s="93"/>
      <c r="I900" s="41"/>
      <c r="J900" s="136"/>
    </row>
    <row r="901" spans="1:10" x14ac:dyDescent="0.35">
      <c r="A901" s="92"/>
      <c r="F901" s="177"/>
      <c r="G901" s="117"/>
      <c r="H901" s="93"/>
      <c r="I901" s="41"/>
      <c r="J901" s="136"/>
    </row>
    <row r="902" spans="1:10" x14ac:dyDescent="0.35">
      <c r="A902" s="92"/>
      <c r="F902" s="177"/>
      <c r="G902" s="117"/>
      <c r="H902" s="93"/>
      <c r="I902" s="41"/>
      <c r="J902" s="136"/>
    </row>
    <row r="903" spans="1:10" x14ac:dyDescent="0.35">
      <c r="A903" s="92"/>
      <c r="F903" s="177"/>
      <c r="G903" s="117"/>
      <c r="H903" s="93"/>
      <c r="I903" s="41"/>
      <c r="J903" s="136"/>
    </row>
    <row r="904" spans="1:10" x14ac:dyDescent="0.35">
      <c r="A904" s="92"/>
      <c r="F904" s="177"/>
      <c r="G904" s="117"/>
      <c r="H904" s="93"/>
      <c r="I904" s="41"/>
      <c r="J904" s="136"/>
    </row>
    <row r="905" spans="1:10" x14ac:dyDescent="0.35">
      <c r="A905" s="92"/>
      <c r="F905" s="177"/>
      <c r="G905" s="117"/>
      <c r="H905" s="93"/>
      <c r="I905" s="41"/>
      <c r="J905" s="136"/>
    </row>
    <row r="906" spans="1:10" x14ac:dyDescent="0.35">
      <c r="A906" s="92"/>
      <c r="F906" s="177"/>
      <c r="G906" s="117"/>
      <c r="H906" s="93"/>
      <c r="I906" s="41"/>
      <c r="J906" s="136"/>
    </row>
    <row r="907" spans="1:10" x14ac:dyDescent="0.35">
      <c r="A907" s="92"/>
      <c r="F907" s="177"/>
      <c r="G907" s="117"/>
      <c r="H907" s="93"/>
      <c r="I907" s="41"/>
      <c r="J907" s="136"/>
    </row>
    <row r="908" spans="1:10" x14ac:dyDescent="0.35">
      <c r="A908" s="92"/>
      <c r="F908" s="177"/>
      <c r="G908" s="117"/>
      <c r="H908" s="93"/>
      <c r="I908" s="41"/>
      <c r="J908" s="136"/>
    </row>
    <row r="909" spans="1:10" x14ac:dyDescent="0.35">
      <c r="A909" s="92"/>
      <c r="F909" s="177"/>
      <c r="G909" s="117"/>
      <c r="H909" s="93"/>
      <c r="I909" s="41"/>
      <c r="J909" s="136"/>
    </row>
    <row r="910" spans="1:10" x14ac:dyDescent="0.35">
      <c r="A910" s="92"/>
      <c r="F910" s="177"/>
      <c r="G910" s="117"/>
      <c r="H910" s="93"/>
      <c r="I910" s="41"/>
      <c r="J910" s="136"/>
    </row>
    <row r="911" spans="1:10" x14ac:dyDescent="0.35">
      <c r="A911" s="92"/>
      <c r="F911" s="177"/>
      <c r="G911" s="117"/>
      <c r="H911" s="93"/>
      <c r="I911" s="41"/>
      <c r="J911" s="136"/>
    </row>
    <row r="912" spans="1:10" x14ac:dyDescent="0.35">
      <c r="A912" s="92"/>
      <c r="F912" s="177"/>
      <c r="G912" s="117"/>
      <c r="H912" s="93"/>
      <c r="I912" s="41"/>
      <c r="J912" s="136"/>
    </row>
    <row r="913" spans="1:10" x14ac:dyDescent="0.35">
      <c r="A913" s="92"/>
      <c r="F913" s="177"/>
      <c r="G913" s="117"/>
      <c r="H913" s="93"/>
      <c r="I913" s="41"/>
      <c r="J913" s="136"/>
    </row>
    <row r="914" spans="1:10" x14ac:dyDescent="0.35">
      <c r="A914" s="92"/>
      <c r="F914" s="177"/>
      <c r="G914" s="117"/>
      <c r="H914" s="93"/>
      <c r="I914" s="41"/>
      <c r="J914" s="136"/>
    </row>
    <row r="915" spans="1:10" x14ac:dyDescent="0.35">
      <c r="A915" s="92"/>
      <c r="F915" s="177"/>
      <c r="G915" s="117"/>
      <c r="H915" s="93"/>
      <c r="I915" s="41"/>
      <c r="J915" s="136"/>
    </row>
    <row r="916" spans="1:10" x14ac:dyDescent="0.35">
      <c r="A916" s="92"/>
      <c r="F916" s="177"/>
      <c r="G916" s="117"/>
      <c r="H916" s="93"/>
      <c r="I916" s="41"/>
      <c r="J916" s="136"/>
    </row>
    <row r="917" spans="1:10" x14ac:dyDescent="0.35">
      <c r="A917" s="92"/>
      <c r="F917" s="177"/>
      <c r="G917" s="117"/>
      <c r="H917" s="93"/>
      <c r="I917" s="41"/>
      <c r="J917" s="136"/>
    </row>
    <row r="918" spans="1:10" x14ac:dyDescent="0.35">
      <c r="A918" s="92"/>
      <c r="F918" s="177"/>
      <c r="G918" s="117"/>
      <c r="H918" s="93"/>
      <c r="I918" s="41"/>
      <c r="J918" s="136"/>
    </row>
    <row r="919" spans="1:10" x14ac:dyDescent="0.35">
      <c r="A919" s="92"/>
      <c r="F919" s="177"/>
      <c r="G919" s="117"/>
      <c r="H919" s="93"/>
      <c r="I919" s="41"/>
      <c r="J919" s="136"/>
    </row>
    <row r="920" spans="1:10" x14ac:dyDescent="0.35">
      <c r="A920" s="92"/>
      <c r="F920" s="177"/>
      <c r="G920" s="117"/>
      <c r="H920" s="93"/>
      <c r="I920" s="41"/>
      <c r="J920" s="136"/>
    </row>
    <row r="921" spans="1:10" x14ac:dyDescent="0.35">
      <c r="A921" s="92"/>
      <c r="F921" s="177"/>
      <c r="G921" s="117"/>
      <c r="H921" s="93"/>
      <c r="I921" s="41"/>
      <c r="J921" s="136"/>
    </row>
    <row r="922" spans="1:10" x14ac:dyDescent="0.35">
      <c r="A922" s="92"/>
      <c r="F922" s="177"/>
      <c r="G922" s="117"/>
      <c r="H922" s="93"/>
      <c r="I922" s="41"/>
      <c r="J922" s="136"/>
    </row>
    <row r="923" spans="1:10" x14ac:dyDescent="0.35">
      <c r="A923" s="92"/>
      <c r="F923" s="177"/>
      <c r="G923" s="117"/>
      <c r="H923" s="93"/>
      <c r="I923" s="41"/>
      <c r="J923" s="136"/>
    </row>
    <row r="924" spans="1:10" x14ac:dyDescent="0.35">
      <c r="A924" s="92"/>
      <c r="F924" s="177"/>
      <c r="G924" s="117"/>
      <c r="H924" s="93"/>
      <c r="I924" s="41"/>
      <c r="J924" s="136"/>
    </row>
    <row r="925" spans="1:10" x14ac:dyDescent="0.35">
      <c r="A925" s="92"/>
      <c r="F925" s="177"/>
      <c r="G925" s="117"/>
      <c r="H925" s="93"/>
      <c r="I925" s="41"/>
      <c r="J925" s="136"/>
    </row>
    <row r="926" spans="1:10" x14ac:dyDescent="0.35">
      <c r="A926" s="92"/>
      <c r="F926" s="177"/>
      <c r="G926" s="117"/>
      <c r="H926" s="93"/>
      <c r="I926" s="41"/>
      <c r="J926" s="136"/>
    </row>
    <row r="927" spans="1:10" x14ac:dyDescent="0.35">
      <c r="A927" s="92"/>
      <c r="F927" s="177"/>
      <c r="G927" s="117"/>
      <c r="H927" s="93"/>
      <c r="I927" s="41"/>
      <c r="J927" s="136"/>
    </row>
    <row r="928" spans="1:10" x14ac:dyDescent="0.35">
      <c r="A928" s="92"/>
      <c r="F928" s="177"/>
      <c r="G928" s="117"/>
      <c r="H928" s="93"/>
      <c r="I928" s="41"/>
      <c r="J928" s="136"/>
    </row>
    <row r="929" spans="1:10" x14ac:dyDescent="0.35">
      <c r="A929" s="92"/>
      <c r="F929" s="177"/>
      <c r="G929" s="117"/>
      <c r="H929" s="93"/>
      <c r="I929" s="41"/>
      <c r="J929" s="136"/>
    </row>
    <row r="930" spans="1:10" x14ac:dyDescent="0.35">
      <c r="A930" s="92"/>
      <c r="F930" s="177"/>
      <c r="G930" s="117"/>
      <c r="H930" s="93"/>
      <c r="I930" s="41"/>
      <c r="J930" s="136"/>
    </row>
    <row r="931" spans="1:10" x14ac:dyDescent="0.35">
      <c r="A931" s="92"/>
      <c r="F931" s="177"/>
      <c r="G931" s="117"/>
      <c r="H931" s="93"/>
      <c r="I931" s="41"/>
      <c r="J931" s="136"/>
    </row>
    <row r="932" spans="1:10" x14ac:dyDescent="0.35">
      <c r="A932" s="92"/>
      <c r="F932" s="177"/>
      <c r="G932" s="117"/>
      <c r="H932" s="93"/>
      <c r="I932" s="41"/>
      <c r="J932" s="136"/>
    </row>
    <row r="933" spans="1:10" x14ac:dyDescent="0.35">
      <c r="A933" s="92"/>
      <c r="F933" s="177"/>
      <c r="G933" s="117"/>
      <c r="H933" s="93"/>
      <c r="I933" s="41"/>
      <c r="J933" s="136"/>
    </row>
    <row r="934" spans="1:10" x14ac:dyDescent="0.35">
      <c r="A934" s="92"/>
      <c r="F934" s="177"/>
      <c r="G934" s="117"/>
      <c r="H934" s="93"/>
      <c r="I934" s="41"/>
      <c r="J934" s="136"/>
    </row>
    <row r="935" spans="1:10" x14ac:dyDescent="0.35">
      <c r="A935" s="92"/>
      <c r="F935" s="177"/>
      <c r="G935" s="117"/>
      <c r="H935" s="93"/>
      <c r="I935" s="41"/>
      <c r="J935" s="136"/>
    </row>
    <row r="936" spans="1:10" x14ac:dyDescent="0.35">
      <c r="A936" s="92"/>
      <c r="F936" s="177"/>
      <c r="G936" s="117"/>
      <c r="H936" s="93"/>
      <c r="I936" s="41"/>
      <c r="J936" s="136"/>
    </row>
    <row r="937" spans="1:10" x14ac:dyDescent="0.35">
      <c r="A937" s="92"/>
      <c r="F937" s="177"/>
      <c r="G937" s="117"/>
      <c r="H937" s="93"/>
      <c r="I937" s="41"/>
      <c r="J937" s="136"/>
    </row>
    <row r="938" spans="1:10" x14ac:dyDescent="0.35">
      <c r="A938" s="92"/>
      <c r="F938" s="177"/>
      <c r="G938" s="117"/>
      <c r="H938" s="93"/>
      <c r="I938" s="41"/>
      <c r="J938" s="136"/>
    </row>
    <row r="939" spans="1:10" x14ac:dyDescent="0.35">
      <c r="A939" s="92"/>
      <c r="F939" s="177"/>
      <c r="G939" s="117"/>
      <c r="H939" s="93"/>
      <c r="I939" s="41"/>
      <c r="J939" s="136"/>
    </row>
    <row r="940" spans="1:10" x14ac:dyDescent="0.35">
      <c r="A940" s="92"/>
      <c r="F940" s="177"/>
      <c r="G940" s="117"/>
      <c r="H940" s="93"/>
      <c r="I940" s="41"/>
      <c r="J940" s="136"/>
    </row>
    <row r="941" spans="1:10" x14ac:dyDescent="0.35">
      <c r="A941" s="92"/>
      <c r="F941" s="177"/>
      <c r="G941" s="117"/>
      <c r="H941" s="93"/>
      <c r="I941" s="41"/>
      <c r="J941" s="136"/>
    </row>
    <row r="942" spans="1:10" x14ac:dyDescent="0.35">
      <c r="A942" s="92"/>
      <c r="F942" s="177"/>
      <c r="G942" s="117"/>
      <c r="H942" s="93"/>
      <c r="I942" s="41"/>
      <c r="J942" s="136"/>
    </row>
    <row r="943" spans="1:10" x14ac:dyDescent="0.35">
      <c r="A943" s="92"/>
      <c r="F943" s="177"/>
      <c r="G943" s="117"/>
      <c r="H943" s="93"/>
      <c r="I943" s="41"/>
      <c r="J943" s="136"/>
    </row>
    <row r="944" spans="1:10" x14ac:dyDescent="0.35">
      <c r="A944" s="92"/>
      <c r="F944" s="177"/>
      <c r="G944" s="117"/>
      <c r="H944" s="93"/>
      <c r="I944" s="41"/>
      <c r="J944" s="136"/>
    </row>
    <row r="945" spans="1:10" x14ac:dyDescent="0.35">
      <c r="A945" s="92"/>
      <c r="F945" s="177"/>
      <c r="G945" s="117"/>
      <c r="H945" s="93"/>
      <c r="I945" s="41"/>
      <c r="J945" s="136"/>
    </row>
    <row r="946" spans="1:10" x14ac:dyDescent="0.35">
      <c r="A946" s="92"/>
      <c r="F946" s="177"/>
      <c r="G946" s="117"/>
      <c r="H946" s="93"/>
      <c r="I946" s="41"/>
      <c r="J946" s="136"/>
    </row>
    <row r="947" spans="1:10" x14ac:dyDescent="0.35">
      <c r="A947" s="92"/>
      <c r="F947" s="177"/>
      <c r="G947" s="117"/>
      <c r="H947" s="93"/>
      <c r="I947" s="41"/>
      <c r="J947" s="136"/>
    </row>
    <row r="948" spans="1:10" x14ac:dyDescent="0.35">
      <c r="A948" s="92"/>
      <c r="F948" s="177"/>
      <c r="G948" s="117"/>
      <c r="H948" s="93"/>
      <c r="I948" s="41"/>
      <c r="J948" s="136"/>
    </row>
    <row r="949" spans="1:10" x14ac:dyDescent="0.35">
      <c r="A949" s="92"/>
      <c r="F949" s="177"/>
      <c r="G949" s="117"/>
      <c r="H949" s="93"/>
      <c r="I949" s="41"/>
      <c r="J949" s="136"/>
    </row>
    <row r="950" spans="1:10" x14ac:dyDescent="0.35">
      <c r="A950" s="92"/>
      <c r="F950" s="177"/>
      <c r="G950" s="117"/>
      <c r="H950" s="93"/>
      <c r="I950" s="41"/>
      <c r="J950" s="136"/>
    </row>
    <row r="951" spans="1:10" x14ac:dyDescent="0.35">
      <c r="A951" s="92"/>
      <c r="F951" s="177"/>
      <c r="G951" s="117"/>
      <c r="H951" s="93"/>
      <c r="I951" s="41"/>
      <c r="J951" s="136"/>
    </row>
    <row r="952" spans="1:10" x14ac:dyDescent="0.35">
      <c r="A952" s="92"/>
      <c r="F952" s="177"/>
      <c r="G952" s="117"/>
      <c r="H952" s="93"/>
      <c r="I952" s="41"/>
      <c r="J952" s="136"/>
    </row>
    <row r="953" spans="1:10" x14ac:dyDescent="0.35">
      <c r="A953" s="92"/>
      <c r="F953" s="177"/>
      <c r="G953" s="117"/>
      <c r="H953" s="93"/>
      <c r="I953" s="41"/>
      <c r="J953" s="136"/>
    </row>
    <row r="954" spans="1:10" x14ac:dyDescent="0.35">
      <c r="A954" s="92"/>
      <c r="F954" s="177"/>
      <c r="G954" s="117"/>
      <c r="H954" s="93"/>
      <c r="I954" s="41"/>
      <c r="J954" s="136"/>
    </row>
    <row r="955" spans="1:10" x14ac:dyDescent="0.35">
      <c r="A955" s="92"/>
      <c r="F955" s="177"/>
      <c r="G955" s="117"/>
      <c r="H955" s="93"/>
      <c r="I955" s="41"/>
      <c r="J955" s="136"/>
    </row>
    <row r="956" spans="1:10" x14ac:dyDescent="0.35">
      <c r="A956" s="92"/>
      <c r="F956" s="177"/>
      <c r="G956" s="117"/>
      <c r="H956" s="93"/>
      <c r="I956" s="41"/>
      <c r="J956" s="136"/>
    </row>
    <row r="957" spans="1:10" x14ac:dyDescent="0.35">
      <c r="A957" s="92"/>
      <c r="F957" s="177"/>
      <c r="G957" s="117"/>
      <c r="H957" s="93"/>
      <c r="I957" s="41"/>
      <c r="J957" s="136"/>
    </row>
    <row r="958" spans="1:10" x14ac:dyDescent="0.35">
      <c r="A958" s="92"/>
      <c r="F958" s="177"/>
      <c r="G958" s="117"/>
      <c r="H958" s="93"/>
      <c r="I958" s="41"/>
      <c r="J958" s="136"/>
    </row>
    <row r="959" spans="1:10" x14ac:dyDescent="0.35">
      <c r="A959" s="92"/>
      <c r="F959" s="177"/>
      <c r="G959" s="117"/>
      <c r="H959" s="93"/>
      <c r="I959" s="41"/>
      <c r="J959" s="136"/>
    </row>
    <row r="960" spans="1:10" x14ac:dyDescent="0.35">
      <c r="A960" s="92"/>
      <c r="F960" s="177"/>
      <c r="G960" s="117"/>
      <c r="H960" s="93"/>
      <c r="I960" s="41"/>
      <c r="J960" s="136"/>
    </row>
    <row r="961" spans="1:10" x14ac:dyDescent="0.35">
      <c r="A961" s="92"/>
      <c r="F961" s="177"/>
      <c r="G961" s="117"/>
      <c r="H961" s="93"/>
      <c r="I961" s="41"/>
      <c r="J961" s="136"/>
    </row>
    <row r="962" spans="1:10" x14ac:dyDescent="0.35">
      <c r="A962" s="92"/>
      <c r="F962" s="177"/>
      <c r="G962" s="117"/>
      <c r="H962" s="93"/>
      <c r="I962" s="41"/>
      <c r="J962" s="136"/>
    </row>
    <row r="963" spans="1:10" x14ac:dyDescent="0.35">
      <c r="A963" s="92"/>
      <c r="F963" s="177"/>
      <c r="G963" s="117"/>
      <c r="H963" s="93"/>
      <c r="I963" s="41"/>
      <c r="J963" s="136"/>
    </row>
    <row r="964" spans="1:10" x14ac:dyDescent="0.35">
      <c r="A964" s="92"/>
      <c r="F964" s="177"/>
      <c r="G964" s="117"/>
      <c r="H964" s="93"/>
      <c r="I964" s="41"/>
      <c r="J964" s="136"/>
    </row>
    <row r="965" spans="1:10" x14ac:dyDescent="0.35">
      <c r="A965" s="92"/>
      <c r="F965" s="177"/>
      <c r="G965" s="117"/>
      <c r="H965" s="93"/>
      <c r="I965" s="41"/>
      <c r="J965" s="136"/>
    </row>
    <row r="966" spans="1:10" x14ac:dyDescent="0.35">
      <c r="A966" s="92"/>
      <c r="F966" s="177"/>
      <c r="G966" s="117"/>
      <c r="H966" s="93"/>
      <c r="I966" s="41"/>
      <c r="J966" s="136"/>
    </row>
    <row r="967" spans="1:10" x14ac:dyDescent="0.35">
      <c r="A967" s="92"/>
      <c r="F967" s="177"/>
      <c r="G967" s="117"/>
      <c r="H967" s="93"/>
      <c r="I967" s="41"/>
      <c r="J967" s="136"/>
    </row>
    <row r="968" spans="1:10" x14ac:dyDescent="0.35">
      <c r="A968" s="92"/>
      <c r="F968" s="177"/>
      <c r="G968" s="117"/>
      <c r="H968" s="93"/>
      <c r="I968" s="41"/>
      <c r="J968" s="136"/>
    </row>
    <row r="969" spans="1:10" x14ac:dyDescent="0.35">
      <c r="A969" s="92"/>
      <c r="F969" s="177"/>
      <c r="G969" s="117"/>
      <c r="H969" s="93"/>
      <c r="I969" s="41"/>
      <c r="J969" s="136"/>
    </row>
    <row r="970" spans="1:10" x14ac:dyDescent="0.35">
      <c r="A970" s="92"/>
      <c r="F970" s="177"/>
      <c r="G970" s="117"/>
      <c r="H970" s="93"/>
      <c r="I970" s="41"/>
      <c r="J970" s="136"/>
    </row>
    <row r="971" spans="1:10" x14ac:dyDescent="0.35">
      <c r="A971" s="92"/>
      <c r="F971" s="177"/>
      <c r="G971" s="117"/>
      <c r="H971" s="93"/>
      <c r="I971" s="41"/>
      <c r="J971" s="136"/>
    </row>
    <row r="972" spans="1:10" x14ac:dyDescent="0.35">
      <c r="A972" s="92"/>
      <c r="F972" s="177"/>
      <c r="G972" s="117"/>
      <c r="H972" s="93"/>
      <c r="I972" s="41"/>
      <c r="J972" s="136"/>
    </row>
    <row r="973" spans="1:10" x14ac:dyDescent="0.35">
      <c r="A973" s="92"/>
      <c r="F973" s="177"/>
      <c r="G973" s="117"/>
      <c r="H973" s="93"/>
      <c r="I973" s="41"/>
      <c r="J973" s="136"/>
    </row>
    <row r="974" spans="1:10" x14ac:dyDescent="0.35">
      <c r="A974" s="92"/>
      <c r="F974" s="177"/>
      <c r="G974" s="117"/>
      <c r="H974" s="93"/>
      <c r="I974" s="41"/>
      <c r="J974" s="136"/>
    </row>
    <row r="975" spans="1:10" x14ac:dyDescent="0.35">
      <c r="A975" s="92"/>
      <c r="F975" s="177"/>
      <c r="G975" s="117"/>
      <c r="H975" s="93"/>
      <c r="I975" s="41"/>
      <c r="J975" s="136"/>
    </row>
    <row r="976" spans="1:10" x14ac:dyDescent="0.35">
      <c r="A976" s="92"/>
      <c r="F976" s="177"/>
      <c r="G976" s="117"/>
      <c r="H976" s="93"/>
      <c r="I976" s="41"/>
      <c r="J976" s="136"/>
    </row>
    <row r="977" spans="1:10" x14ac:dyDescent="0.35">
      <c r="A977" s="92"/>
      <c r="F977" s="177"/>
      <c r="G977" s="117"/>
      <c r="H977" s="93"/>
      <c r="I977" s="41"/>
      <c r="J977" s="136"/>
    </row>
    <row r="978" spans="1:10" x14ac:dyDescent="0.35">
      <c r="A978" s="92"/>
      <c r="F978" s="177"/>
      <c r="G978" s="117"/>
      <c r="H978" s="93"/>
      <c r="I978" s="41"/>
      <c r="J978" s="136"/>
    </row>
    <row r="979" spans="1:10" x14ac:dyDescent="0.35">
      <c r="A979" s="92"/>
      <c r="F979" s="177"/>
      <c r="G979" s="117"/>
      <c r="H979" s="93"/>
      <c r="I979" s="41"/>
      <c r="J979" s="136"/>
    </row>
    <row r="980" spans="1:10" x14ac:dyDescent="0.35">
      <c r="A980" s="92"/>
      <c r="F980" s="177"/>
      <c r="G980" s="117"/>
      <c r="H980" s="93"/>
      <c r="I980" s="41"/>
      <c r="J980" s="136"/>
    </row>
    <row r="981" spans="1:10" x14ac:dyDescent="0.35">
      <c r="A981" s="92"/>
      <c r="F981" s="177"/>
      <c r="G981" s="117"/>
      <c r="H981" s="93"/>
      <c r="I981" s="41"/>
      <c r="J981" s="136"/>
    </row>
    <row r="982" spans="1:10" x14ac:dyDescent="0.35">
      <c r="A982" s="92"/>
      <c r="F982" s="177"/>
      <c r="G982" s="117"/>
      <c r="H982" s="93"/>
      <c r="I982" s="41"/>
      <c r="J982" s="136"/>
    </row>
    <row r="983" spans="1:10" x14ac:dyDescent="0.35">
      <c r="A983" s="92"/>
      <c r="F983" s="177"/>
      <c r="G983" s="117"/>
      <c r="H983" s="93"/>
      <c r="I983" s="41"/>
      <c r="J983" s="136"/>
    </row>
    <row r="984" spans="1:10" x14ac:dyDescent="0.35">
      <c r="A984" s="92"/>
      <c r="F984" s="177"/>
      <c r="G984" s="117"/>
      <c r="H984" s="93"/>
      <c r="I984" s="41"/>
      <c r="J984" s="136"/>
    </row>
    <row r="985" spans="1:10" x14ac:dyDescent="0.35">
      <c r="A985" s="92"/>
      <c r="F985" s="177"/>
      <c r="G985" s="117"/>
      <c r="H985" s="93"/>
      <c r="I985" s="41"/>
      <c r="J985" s="136"/>
    </row>
    <row r="986" spans="1:10" x14ac:dyDescent="0.35">
      <c r="A986" s="92"/>
      <c r="F986" s="177"/>
      <c r="G986" s="117"/>
      <c r="H986" s="93"/>
      <c r="I986" s="41"/>
      <c r="J986" s="136"/>
    </row>
    <row r="987" spans="1:10" x14ac:dyDescent="0.35">
      <c r="A987" s="92"/>
      <c r="F987" s="177"/>
      <c r="G987" s="117"/>
      <c r="H987" s="93"/>
      <c r="I987" s="41"/>
      <c r="J987" s="136"/>
    </row>
    <row r="988" spans="1:10" x14ac:dyDescent="0.35">
      <c r="A988" s="92"/>
      <c r="F988" s="177"/>
      <c r="G988" s="117"/>
      <c r="H988" s="93"/>
      <c r="I988" s="41"/>
      <c r="J988" s="136"/>
    </row>
    <row r="989" spans="1:10" x14ac:dyDescent="0.35">
      <c r="A989" s="92"/>
      <c r="F989" s="177"/>
      <c r="G989" s="117"/>
      <c r="H989" s="93"/>
      <c r="I989" s="41"/>
      <c r="J989" s="136"/>
    </row>
    <row r="990" spans="1:10" x14ac:dyDescent="0.35">
      <c r="A990" s="92"/>
      <c r="F990" s="177"/>
      <c r="G990" s="117"/>
      <c r="H990" s="93"/>
      <c r="I990" s="41"/>
      <c r="J990" s="136"/>
    </row>
    <row r="991" spans="1:10" x14ac:dyDescent="0.35">
      <c r="A991" s="92"/>
      <c r="F991" s="177"/>
      <c r="G991" s="117"/>
      <c r="H991" s="93"/>
      <c r="I991" s="41"/>
      <c r="J991" s="136"/>
    </row>
    <row r="992" spans="1:10" x14ac:dyDescent="0.35">
      <c r="A992" s="92"/>
      <c r="F992" s="177"/>
      <c r="G992" s="117"/>
      <c r="H992" s="93"/>
      <c r="I992" s="41"/>
      <c r="J992" s="136"/>
    </row>
    <row r="993" spans="1:10" x14ac:dyDescent="0.35">
      <c r="A993" s="92"/>
      <c r="F993" s="177"/>
      <c r="G993" s="117"/>
      <c r="H993" s="93"/>
      <c r="I993" s="41"/>
      <c r="J993" s="136"/>
    </row>
    <row r="994" spans="1:10" x14ac:dyDescent="0.35">
      <c r="A994" s="92"/>
      <c r="F994" s="177"/>
      <c r="G994" s="117"/>
      <c r="H994" s="93"/>
      <c r="I994" s="41"/>
      <c r="J994" s="136"/>
    </row>
    <row r="995" spans="1:10" x14ac:dyDescent="0.35">
      <c r="A995" s="92"/>
      <c r="F995" s="177"/>
      <c r="G995" s="117"/>
      <c r="H995" s="93"/>
      <c r="I995" s="41"/>
      <c r="J995" s="136"/>
    </row>
    <row r="996" spans="1:10" x14ac:dyDescent="0.35">
      <c r="A996" s="92"/>
      <c r="F996" s="177"/>
      <c r="G996" s="117"/>
      <c r="H996" s="93"/>
      <c r="I996" s="41"/>
      <c r="J996" s="136"/>
    </row>
    <row r="997" spans="1:10" x14ac:dyDescent="0.35">
      <c r="A997" s="92"/>
      <c r="F997" s="177"/>
      <c r="G997" s="117"/>
      <c r="H997" s="93"/>
      <c r="I997" s="41"/>
      <c r="J997" s="136"/>
    </row>
    <row r="998" spans="1:10" x14ac:dyDescent="0.35">
      <c r="A998" s="92"/>
      <c r="F998" s="177"/>
      <c r="G998" s="117"/>
      <c r="H998" s="93"/>
      <c r="I998" s="41"/>
      <c r="J998" s="136"/>
    </row>
    <row r="999" spans="1:10" x14ac:dyDescent="0.35">
      <c r="A999" s="92"/>
      <c r="F999" s="177"/>
      <c r="G999" s="117"/>
      <c r="H999" s="93"/>
      <c r="I999" s="41"/>
      <c r="J999" s="136"/>
    </row>
    <row r="1000" spans="1:10" x14ac:dyDescent="0.35">
      <c r="A1000" s="92"/>
      <c r="F1000" s="177"/>
      <c r="G1000" s="117"/>
      <c r="H1000" s="93"/>
      <c r="I1000" s="41"/>
      <c r="J1000" s="136"/>
    </row>
    <row r="1001" spans="1:10" x14ac:dyDescent="0.35">
      <c r="A1001" s="92"/>
      <c r="F1001" s="177"/>
      <c r="G1001" s="117"/>
      <c r="H1001" s="93"/>
      <c r="I1001" s="41"/>
      <c r="J1001" s="136"/>
    </row>
    <row r="1002" spans="1:10" x14ac:dyDescent="0.35">
      <c r="A1002" s="92"/>
      <c r="F1002" s="177"/>
      <c r="G1002" s="117"/>
      <c r="H1002" s="93"/>
      <c r="I1002" s="41"/>
      <c r="J1002" s="136"/>
    </row>
    <row r="1003" spans="1:10" x14ac:dyDescent="0.35">
      <c r="A1003" s="92"/>
      <c r="F1003" s="177"/>
      <c r="G1003" s="117"/>
      <c r="H1003" s="93"/>
      <c r="I1003" s="41"/>
      <c r="J1003" s="136"/>
    </row>
    <row r="1004" spans="1:10" x14ac:dyDescent="0.35">
      <c r="A1004" s="92"/>
      <c r="F1004" s="177"/>
      <c r="G1004" s="117"/>
      <c r="H1004" s="93"/>
      <c r="I1004" s="41"/>
      <c r="J1004" s="136"/>
    </row>
    <row r="1005" spans="1:10" x14ac:dyDescent="0.35">
      <c r="A1005" s="92"/>
      <c r="F1005" s="177"/>
      <c r="G1005" s="117"/>
      <c r="H1005" s="93"/>
      <c r="I1005" s="41"/>
      <c r="J1005" s="136"/>
    </row>
    <row r="1006" spans="1:10" x14ac:dyDescent="0.35">
      <c r="A1006" s="92"/>
      <c r="F1006" s="177"/>
      <c r="G1006" s="117"/>
      <c r="H1006" s="93"/>
      <c r="I1006" s="41"/>
      <c r="J1006" s="136"/>
    </row>
    <row r="1007" spans="1:10" x14ac:dyDescent="0.35">
      <c r="A1007" s="92"/>
      <c r="F1007" s="177"/>
      <c r="G1007" s="117"/>
      <c r="H1007" s="93"/>
      <c r="I1007" s="41"/>
      <c r="J1007" s="136"/>
    </row>
    <row r="1008" spans="1:10" x14ac:dyDescent="0.35">
      <c r="A1008" s="92"/>
      <c r="F1008" s="177"/>
      <c r="G1008" s="117"/>
      <c r="H1008" s="93"/>
      <c r="I1008" s="41"/>
      <c r="J1008" s="136"/>
    </row>
    <row r="1009" spans="1:10" x14ac:dyDescent="0.35">
      <c r="A1009" s="92"/>
      <c r="F1009" s="177"/>
      <c r="G1009" s="117"/>
      <c r="H1009" s="93"/>
      <c r="I1009" s="41"/>
      <c r="J1009" s="136"/>
    </row>
    <row r="1010" spans="1:10" x14ac:dyDescent="0.35">
      <c r="A1010" s="92"/>
      <c r="F1010" s="177"/>
      <c r="G1010" s="117"/>
      <c r="H1010" s="93"/>
      <c r="I1010" s="41"/>
      <c r="J1010" s="136"/>
    </row>
    <row r="1011" spans="1:10" x14ac:dyDescent="0.35">
      <c r="A1011" s="92"/>
      <c r="F1011" s="177"/>
      <c r="G1011" s="117"/>
      <c r="H1011" s="93"/>
      <c r="I1011" s="41"/>
      <c r="J1011" s="136"/>
    </row>
    <row r="1012" spans="1:10" x14ac:dyDescent="0.35">
      <c r="A1012" s="92"/>
      <c r="F1012" s="177"/>
      <c r="G1012" s="117"/>
      <c r="H1012" s="93"/>
      <c r="I1012" s="41"/>
      <c r="J1012" s="136"/>
    </row>
    <row r="1013" spans="1:10" x14ac:dyDescent="0.35">
      <c r="A1013" s="92"/>
      <c r="F1013" s="177"/>
      <c r="G1013" s="117"/>
      <c r="H1013" s="93"/>
      <c r="I1013" s="41"/>
      <c r="J1013" s="136"/>
    </row>
    <row r="1014" spans="1:10" x14ac:dyDescent="0.35">
      <c r="A1014" s="92"/>
      <c r="F1014" s="177"/>
      <c r="G1014" s="117"/>
      <c r="H1014" s="93"/>
      <c r="I1014" s="41"/>
      <c r="J1014" s="136"/>
    </row>
    <row r="1015" spans="1:10" x14ac:dyDescent="0.35">
      <c r="A1015" s="92"/>
      <c r="F1015" s="177"/>
      <c r="G1015" s="117"/>
      <c r="H1015" s="93"/>
      <c r="I1015" s="41"/>
      <c r="J1015" s="136"/>
    </row>
    <row r="1016" spans="1:10" x14ac:dyDescent="0.35">
      <c r="A1016" s="92"/>
      <c r="F1016" s="177"/>
      <c r="G1016" s="117"/>
      <c r="H1016" s="93"/>
      <c r="I1016" s="41"/>
      <c r="J1016" s="136"/>
    </row>
    <row r="1017" spans="1:10" x14ac:dyDescent="0.35">
      <c r="A1017" s="92"/>
      <c r="F1017" s="177"/>
      <c r="G1017" s="117"/>
      <c r="H1017" s="93"/>
      <c r="I1017" s="41"/>
      <c r="J1017" s="136"/>
    </row>
    <row r="1018" spans="1:10" x14ac:dyDescent="0.35">
      <c r="A1018" s="92"/>
      <c r="F1018" s="177"/>
      <c r="G1018" s="117"/>
      <c r="H1018" s="93"/>
      <c r="I1018" s="41"/>
      <c r="J1018" s="136"/>
    </row>
    <row r="1019" spans="1:10" x14ac:dyDescent="0.35">
      <c r="A1019" s="92"/>
      <c r="F1019" s="177"/>
      <c r="G1019" s="117"/>
      <c r="H1019" s="93"/>
      <c r="I1019" s="41"/>
      <c r="J1019" s="136"/>
    </row>
    <row r="1020" spans="1:10" x14ac:dyDescent="0.35">
      <c r="A1020" s="92"/>
      <c r="F1020" s="177"/>
      <c r="G1020" s="117"/>
      <c r="H1020" s="93"/>
      <c r="I1020" s="41"/>
      <c r="J1020" s="136"/>
    </row>
    <row r="1021" spans="1:10" x14ac:dyDescent="0.35">
      <c r="A1021" s="92"/>
      <c r="F1021" s="177"/>
      <c r="G1021" s="117"/>
      <c r="H1021" s="93"/>
      <c r="I1021" s="41"/>
      <c r="J1021" s="136"/>
    </row>
    <row r="1022" spans="1:10" x14ac:dyDescent="0.35">
      <c r="A1022" s="92"/>
      <c r="F1022" s="177"/>
      <c r="G1022" s="117"/>
      <c r="H1022" s="93"/>
      <c r="I1022" s="41"/>
      <c r="J1022" s="136"/>
    </row>
    <row r="1023" spans="1:10" x14ac:dyDescent="0.35">
      <c r="A1023" s="92"/>
      <c r="F1023" s="177"/>
      <c r="G1023" s="117"/>
      <c r="H1023" s="93"/>
      <c r="I1023" s="41"/>
      <c r="J1023" s="136"/>
    </row>
    <row r="1024" spans="1:10" x14ac:dyDescent="0.35">
      <c r="A1024" s="92"/>
      <c r="F1024" s="177"/>
      <c r="G1024" s="117"/>
      <c r="H1024" s="93"/>
      <c r="I1024" s="41"/>
      <c r="J1024" s="136"/>
    </row>
    <row r="1025" spans="1:10" x14ac:dyDescent="0.35">
      <c r="A1025" s="92"/>
      <c r="F1025" s="177"/>
      <c r="G1025" s="117"/>
      <c r="H1025" s="93"/>
      <c r="I1025" s="41"/>
      <c r="J1025" s="136"/>
    </row>
    <row r="1026" spans="1:10" x14ac:dyDescent="0.35">
      <c r="A1026" s="92"/>
      <c r="F1026" s="177"/>
      <c r="G1026" s="117"/>
      <c r="H1026" s="93"/>
      <c r="I1026" s="41"/>
      <c r="J1026" s="136"/>
    </row>
    <row r="1027" spans="1:10" x14ac:dyDescent="0.35">
      <c r="A1027" s="92"/>
      <c r="F1027" s="177"/>
      <c r="G1027" s="117"/>
      <c r="H1027" s="93"/>
      <c r="I1027" s="41"/>
      <c r="J1027" s="136"/>
    </row>
    <row r="1028" spans="1:10" x14ac:dyDescent="0.35">
      <c r="A1028" s="92"/>
      <c r="F1028" s="177"/>
      <c r="G1028" s="117"/>
      <c r="H1028" s="93"/>
      <c r="I1028" s="41"/>
      <c r="J1028" s="136"/>
    </row>
    <row r="1029" spans="1:10" x14ac:dyDescent="0.35">
      <c r="A1029" s="92"/>
      <c r="F1029" s="177"/>
      <c r="G1029" s="117"/>
      <c r="H1029" s="93"/>
      <c r="I1029" s="41"/>
      <c r="J1029" s="136"/>
    </row>
    <row r="1030" spans="1:10" x14ac:dyDescent="0.35">
      <c r="A1030" s="92"/>
      <c r="F1030" s="177"/>
      <c r="G1030" s="117"/>
      <c r="H1030" s="93"/>
      <c r="I1030" s="41"/>
      <c r="J1030" s="136"/>
    </row>
    <row r="1031" spans="1:10" x14ac:dyDescent="0.35">
      <c r="A1031" s="92"/>
      <c r="F1031" s="177"/>
      <c r="G1031" s="117"/>
      <c r="H1031" s="93"/>
      <c r="I1031" s="41"/>
      <c r="J1031" s="136"/>
    </row>
    <row r="1032" spans="1:10" x14ac:dyDescent="0.35">
      <c r="A1032" s="92"/>
      <c r="F1032" s="177"/>
      <c r="G1032" s="117"/>
      <c r="H1032" s="93"/>
      <c r="I1032" s="41"/>
      <c r="J1032" s="136"/>
    </row>
    <row r="1033" spans="1:10" x14ac:dyDescent="0.35">
      <c r="A1033" s="92"/>
      <c r="F1033" s="177"/>
      <c r="G1033" s="117"/>
      <c r="H1033" s="93"/>
      <c r="I1033" s="41"/>
      <c r="J1033" s="136"/>
    </row>
    <row r="1034" spans="1:10" x14ac:dyDescent="0.35">
      <c r="A1034" s="92"/>
      <c r="F1034" s="177"/>
      <c r="G1034" s="117"/>
      <c r="H1034" s="93"/>
      <c r="I1034" s="41"/>
      <c r="J1034" s="136"/>
    </row>
    <row r="1035" spans="1:10" x14ac:dyDescent="0.35">
      <c r="A1035" s="92"/>
      <c r="F1035" s="177"/>
      <c r="G1035" s="117"/>
      <c r="H1035" s="93"/>
      <c r="I1035" s="41"/>
      <c r="J1035" s="136"/>
    </row>
    <row r="1036" spans="1:10" x14ac:dyDescent="0.35">
      <c r="A1036" s="92"/>
      <c r="F1036" s="177"/>
      <c r="G1036" s="117"/>
      <c r="H1036" s="93"/>
      <c r="I1036" s="41"/>
      <c r="J1036" s="136"/>
    </row>
    <row r="1037" spans="1:10" x14ac:dyDescent="0.35">
      <c r="A1037" s="92"/>
      <c r="F1037" s="177"/>
      <c r="G1037" s="117"/>
      <c r="H1037" s="93"/>
      <c r="I1037" s="41"/>
      <c r="J1037" s="136"/>
    </row>
    <row r="1038" spans="1:10" x14ac:dyDescent="0.35">
      <c r="A1038" s="92"/>
      <c r="F1038" s="177"/>
      <c r="G1038" s="117"/>
      <c r="H1038" s="93"/>
      <c r="I1038" s="41"/>
      <c r="J1038" s="136"/>
    </row>
    <row r="1039" spans="1:10" x14ac:dyDescent="0.35">
      <c r="A1039" s="92"/>
      <c r="F1039" s="177"/>
      <c r="G1039" s="117"/>
      <c r="H1039" s="93"/>
      <c r="I1039" s="41"/>
      <c r="J1039" s="136"/>
    </row>
    <row r="1040" spans="1:10" x14ac:dyDescent="0.35">
      <c r="A1040" s="92"/>
      <c r="F1040" s="177"/>
      <c r="G1040" s="117"/>
      <c r="H1040" s="93"/>
      <c r="I1040" s="41"/>
      <c r="J1040" s="136"/>
    </row>
    <row r="1041" spans="1:10" x14ac:dyDescent="0.35">
      <c r="A1041" s="92"/>
      <c r="F1041" s="177"/>
      <c r="G1041" s="117"/>
      <c r="H1041" s="93"/>
      <c r="I1041" s="41"/>
      <c r="J1041" s="136"/>
    </row>
    <row r="1042" spans="1:10" x14ac:dyDescent="0.35">
      <c r="A1042" s="92"/>
      <c r="F1042" s="177"/>
      <c r="G1042" s="117"/>
      <c r="H1042" s="93"/>
      <c r="I1042" s="41"/>
      <c r="J1042" s="136"/>
    </row>
    <row r="1043" spans="1:10" x14ac:dyDescent="0.35">
      <c r="A1043" s="92"/>
      <c r="F1043" s="177"/>
      <c r="G1043" s="117"/>
      <c r="H1043" s="93"/>
      <c r="I1043" s="41"/>
      <c r="J1043" s="136"/>
    </row>
    <row r="1044" spans="1:10" x14ac:dyDescent="0.35">
      <c r="A1044" s="92"/>
      <c r="F1044" s="177"/>
      <c r="G1044" s="117"/>
      <c r="H1044" s="93"/>
      <c r="I1044" s="41"/>
      <c r="J1044" s="136"/>
    </row>
    <row r="1045" spans="1:10" x14ac:dyDescent="0.35">
      <c r="A1045" s="92"/>
      <c r="F1045" s="177"/>
      <c r="G1045" s="117"/>
      <c r="H1045" s="93"/>
      <c r="I1045" s="41"/>
      <c r="J1045" s="136"/>
    </row>
    <row r="1046" spans="1:10" x14ac:dyDescent="0.35">
      <c r="A1046" s="92"/>
      <c r="F1046" s="177"/>
      <c r="G1046" s="117"/>
      <c r="H1046" s="93"/>
      <c r="I1046" s="41"/>
      <c r="J1046" s="136"/>
    </row>
    <row r="1047" spans="1:10" x14ac:dyDescent="0.35">
      <c r="A1047" s="92"/>
      <c r="F1047" s="177"/>
      <c r="G1047" s="117"/>
      <c r="H1047" s="93"/>
      <c r="I1047" s="41"/>
      <c r="J1047" s="136"/>
    </row>
    <row r="1048" spans="1:10" x14ac:dyDescent="0.35">
      <c r="A1048" s="92"/>
      <c r="F1048" s="177"/>
      <c r="G1048" s="117"/>
      <c r="H1048" s="93"/>
      <c r="I1048" s="41"/>
      <c r="J1048" s="136"/>
    </row>
    <row r="1049" spans="1:10" x14ac:dyDescent="0.35">
      <c r="A1049" s="92"/>
      <c r="F1049" s="177"/>
      <c r="G1049" s="117"/>
      <c r="H1049" s="93"/>
      <c r="I1049" s="41"/>
      <c r="J1049" s="136"/>
    </row>
    <row r="1050" spans="1:10" x14ac:dyDescent="0.35">
      <c r="A1050" s="92"/>
      <c r="F1050" s="177"/>
      <c r="G1050" s="117"/>
      <c r="H1050" s="93"/>
      <c r="I1050" s="41"/>
      <c r="J1050" s="136"/>
    </row>
    <row r="1051" spans="1:10" x14ac:dyDescent="0.35">
      <c r="A1051" s="92"/>
      <c r="F1051" s="177"/>
      <c r="G1051" s="117"/>
      <c r="H1051" s="93"/>
      <c r="I1051" s="41"/>
      <c r="J1051" s="136"/>
    </row>
    <row r="1052" spans="1:10" x14ac:dyDescent="0.35">
      <c r="A1052" s="92"/>
      <c r="F1052" s="177"/>
      <c r="G1052" s="117"/>
      <c r="H1052" s="93"/>
      <c r="I1052" s="41"/>
      <c r="J1052" s="136"/>
    </row>
    <row r="1053" spans="1:10" x14ac:dyDescent="0.35">
      <c r="A1053" s="92"/>
      <c r="F1053" s="177"/>
      <c r="G1053" s="117"/>
      <c r="H1053" s="93"/>
      <c r="I1053" s="41"/>
      <c r="J1053" s="136"/>
    </row>
    <row r="1054" spans="1:10" x14ac:dyDescent="0.35">
      <c r="A1054" s="92"/>
      <c r="F1054" s="177"/>
      <c r="G1054" s="117"/>
      <c r="H1054" s="93"/>
      <c r="I1054" s="41"/>
      <c r="J1054" s="136"/>
    </row>
    <row r="1055" spans="1:10" x14ac:dyDescent="0.35">
      <c r="A1055" s="92"/>
      <c r="F1055" s="177"/>
      <c r="G1055" s="117"/>
      <c r="H1055" s="93"/>
      <c r="I1055" s="41"/>
      <c r="J1055" s="136"/>
    </row>
    <row r="1056" spans="1:10" x14ac:dyDescent="0.35">
      <c r="A1056" s="92"/>
      <c r="F1056" s="177"/>
      <c r="G1056" s="117"/>
      <c r="H1056" s="93"/>
      <c r="I1056" s="41"/>
      <c r="J1056" s="136"/>
    </row>
    <row r="1057" spans="1:10" x14ac:dyDescent="0.35">
      <c r="A1057" s="92"/>
      <c r="F1057" s="177"/>
      <c r="G1057" s="117"/>
      <c r="H1057" s="93"/>
      <c r="I1057" s="41"/>
      <c r="J1057" s="136"/>
    </row>
    <row r="1058" spans="1:10" x14ac:dyDescent="0.35">
      <c r="A1058" s="92"/>
      <c r="F1058" s="177"/>
      <c r="G1058" s="117"/>
      <c r="H1058" s="93"/>
      <c r="I1058" s="41"/>
      <c r="J1058" s="136"/>
    </row>
    <row r="1059" spans="1:10" x14ac:dyDescent="0.35">
      <c r="A1059" s="92"/>
      <c r="F1059" s="177"/>
      <c r="G1059" s="117"/>
      <c r="H1059" s="93"/>
      <c r="I1059" s="41"/>
      <c r="J1059" s="136"/>
    </row>
    <row r="1060" spans="1:10" x14ac:dyDescent="0.35">
      <c r="A1060" s="92"/>
      <c r="F1060" s="177"/>
      <c r="G1060" s="117"/>
      <c r="H1060" s="93"/>
      <c r="I1060" s="41"/>
      <c r="J1060" s="136"/>
    </row>
    <row r="1061" spans="1:10" x14ac:dyDescent="0.35">
      <c r="A1061" s="92"/>
      <c r="F1061" s="177"/>
      <c r="G1061" s="117"/>
      <c r="H1061" s="93"/>
      <c r="I1061" s="41"/>
      <c r="J1061" s="136"/>
    </row>
    <row r="1062" spans="1:10" x14ac:dyDescent="0.35">
      <c r="A1062" s="92"/>
      <c r="F1062" s="177"/>
      <c r="G1062" s="117"/>
      <c r="H1062" s="93"/>
      <c r="I1062" s="41"/>
      <c r="J1062" s="136"/>
    </row>
    <row r="1063" spans="1:10" x14ac:dyDescent="0.35">
      <c r="A1063" s="92"/>
      <c r="F1063" s="177"/>
      <c r="G1063" s="117"/>
      <c r="H1063" s="93"/>
      <c r="I1063" s="41"/>
      <c r="J1063" s="136"/>
    </row>
    <row r="1064" spans="1:10" x14ac:dyDescent="0.35">
      <c r="A1064" s="92"/>
      <c r="F1064" s="177"/>
      <c r="G1064" s="117"/>
      <c r="H1064" s="93"/>
      <c r="I1064" s="41"/>
      <c r="J1064" s="136"/>
    </row>
    <row r="1065" spans="1:10" x14ac:dyDescent="0.35">
      <c r="A1065" s="92"/>
      <c r="F1065" s="177"/>
      <c r="G1065" s="117"/>
      <c r="H1065" s="93"/>
      <c r="I1065" s="41"/>
      <c r="J1065" s="136"/>
    </row>
    <row r="1066" spans="1:10" x14ac:dyDescent="0.35">
      <c r="A1066" s="92"/>
      <c r="F1066" s="177"/>
      <c r="G1066" s="117"/>
      <c r="H1066" s="93"/>
      <c r="I1066" s="41"/>
      <c r="J1066" s="136"/>
    </row>
    <row r="1067" spans="1:10" x14ac:dyDescent="0.35">
      <c r="A1067" s="92"/>
      <c r="F1067" s="177"/>
      <c r="G1067" s="117"/>
      <c r="H1067" s="93"/>
      <c r="I1067" s="41"/>
      <c r="J1067" s="136"/>
    </row>
    <row r="1068" spans="1:10" x14ac:dyDescent="0.35">
      <c r="A1068" s="92"/>
      <c r="F1068" s="177"/>
      <c r="G1068" s="117"/>
      <c r="H1068" s="93"/>
      <c r="I1068" s="41"/>
      <c r="J1068" s="136"/>
    </row>
    <row r="1069" spans="1:10" x14ac:dyDescent="0.35">
      <c r="A1069" s="92"/>
      <c r="F1069" s="177"/>
      <c r="G1069" s="117"/>
      <c r="H1069" s="93"/>
      <c r="I1069" s="41"/>
      <c r="J1069" s="136"/>
    </row>
    <row r="1070" spans="1:10" x14ac:dyDescent="0.35">
      <c r="A1070" s="92"/>
      <c r="F1070" s="177"/>
      <c r="G1070" s="117"/>
      <c r="H1070" s="93"/>
      <c r="I1070" s="41"/>
      <c r="J1070" s="136"/>
    </row>
    <row r="1071" spans="1:10" x14ac:dyDescent="0.35">
      <c r="A1071" s="92"/>
      <c r="F1071" s="177"/>
      <c r="G1071" s="117"/>
      <c r="H1071" s="93"/>
      <c r="I1071" s="41"/>
      <c r="J1071" s="136"/>
    </row>
    <row r="1072" spans="1:10" x14ac:dyDescent="0.35">
      <c r="A1072" s="92"/>
      <c r="F1072" s="177"/>
      <c r="G1072" s="117"/>
      <c r="H1072" s="93"/>
      <c r="I1072" s="41"/>
      <c r="J1072" s="136"/>
    </row>
    <row r="1073" spans="1:10" x14ac:dyDescent="0.35">
      <c r="A1073" s="92"/>
      <c r="F1073" s="177"/>
      <c r="G1073" s="117"/>
      <c r="H1073" s="93"/>
      <c r="I1073" s="41"/>
      <c r="J1073" s="136"/>
    </row>
    <row r="1074" spans="1:10" x14ac:dyDescent="0.35">
      <c r="A1074" s="92"/>
      <c r="F1074" s="177"/>
      <c r="G1074" s="117"/>
      <c r="H1074" s="93"/>
      <c r="I1074" s="41"/>
      <c r="J1074" s="136"/>
    </row>
    <row r="1075" spans="1:10" x14ac:dyDescent="0.35">
      <c r="A1075" s="92"/>
      <c r="F1075" s="177"/>
      <c r="G1075" s="117"/>
      <c r="H1075" s="93"/>
      <c r="I1075" s="41"/>
      <c r="J1075" s="136"/>
    </row>
    <row r="1076" spans="1:10" x14ac:dyDescent="0.35">
      <c r="A1076" s="92"/>
      <c r="F1076" s="177"/>
      <c r="G1076" s="117"/>
      <c r="H1076" s="93"/>
      <c r="I1076" s="41"/>
      <c r="J1076" s="136"/>
    </row>
    <row r="1077" spans="1:10" x14ac:dyDescent="0.35">
      <c r="A1077" s="92"/>
      <c r="F1077" s="177"/>
      <c r="G1077" s="117"/>
      <c r="H1077" s="93"/>
      <c r="I1077" s="41"/>
      <c r="J1077" s="136"/>
    </row>
    <row r="1078" spans="1:10" x14ac:dyDescent="0.35">
      <c r="A1078" s="92"/>
      <c r="F1078" s="177"/>
      <c r="G1078" s="117"/>
      <c r="H1078" s="93"/>
      <c r="I1078" s="41"/>
      <c r="J1078" s="136"/>
    </row>
    <row r="1079" spans="1:10" x14ac:dyDescent="0.35">
      <c r="A1079" s="92"/>
      <c r="F1079" s="177"/>
      <c r="G1079" s="117"/>
      <c r="H1079" s="93"/>
      <c r="I1079" s="41"/>
      <c r="J1079" s="136"/>
    </row>
    <row r="1080" spans="1:10" x14ac:dyDescent="0.35">
      <c r="A1080" s="92"/>
      <c r="F1080" s="177"/>
      <c r="G1080" s="117"/>
      <c r="H1080" s="93"/>
      <c r="I1080" s="41"/>
      <c r="J1080" s="136"/>
    </row>
    <row r="1081" spans="1:10" x14ac:dyDescent="0.35">
      <c r="A1081" s="92"/>
      <c r="F1081" s="177"/>
      <c r="G1081" s="117"/>
      <c r="H1081" s="93"/>
      <c r="I1081" s="41"/>
      <c r="J1081" s="136"/>
    </row>
    <row r="1082" spans="1:10" x14ac:dyDescent="0.35">
      <c r="A1082" s="92"/>
      <c r="F1082" s="177"/>
      <c r="G1082" s="117"/>
      <c r="H1082" s="93"/>
      <c r="I1082" s="41"/>
      <c r="J1082" s="136"/>
    </row>
    <row r="1083" spans="1:10" x14ac:dyDescent="0.35">
      <c r="A1083" s="92"/>
      <c r="F1083" s="177"/>
      <c r="G1083" s="117"/>
      <c r="H1083" s="93"/>
      <c r="I1083" s="41"/>
      <c r="J1083" s="136"/>
    </row>
    <row r="1084" spans="1:10" x14ac:dyDescent="0.35">
      <c r="A1084" s="92"/>
      <c r="F1084" s="177"/>
      <c r="G1084" s="117"/>
      <c r="H1084" s="93"/>
      <c r="I1084" s="41"/>
      <c r="J1084" s="136"/>
    </row>
    <row r="1085" spans="1:10" x14ac:dyDescent="0.35">
      <c r="A1085" s="92"/>
      <c r="F1085" s="177"/>
      <c r="G1085" s="117"/>
      <c r="H1085" s="93"/>
      <c r="I1085" s="41"/>
      <c r="J1085" s="136"/>
    </row>
    <row r="1086" spans="1:10" x14ac:dyDescent="0.35">
      <c r="A1086" s="92"/>
      <c r="F1086" s="177"/>
      <c r="G1086" s="117"/>
      <c r="H1086" s="93"/>
      <c r="I1086" s="41"/>
      <c r="J1086" s="136"/>
    </row>
    <row r="1087" spans="1:10" x14ac:dyDescent="0.35">
      <c r="A1087" s="92"/>
      <c r="F1087" s="177"/>
      <c r="G1087" s="117"/>
      <c r="H1087" s="93"/>
      <c r="I1087" s="41"/>
      <c r="J1087" s="136"/>
    </row>
    <row r="1088" spans="1:10" x14ac:dyDescent="0.35">
      <c r="A1088" s="92"/>
      <c r="F1088" s="177"/>
      <c r="G1088" s="117"/>
      <c r="H1088" s="93"/>
      <c r="I1088" s="41"/>
      <c r="J1088" s="136"/>
    </row>
    <row r="1089" spans="1:10" x14ac:dyDescent="0.35">
      <c r="A1089" s="92"/>
      <c r="F1089" s="177"/>
      <c r="G1089" s="117"/>
      <c r="H1089" s="93"/>
      <c r="I1089" s="41"/>
      <c r="J1089" s="136"/>
    </row>
    <row r="1090" spans="1:10" x14ac:dyDescent="0.35">
      <c r="A1090" s="92"/>
      <c r="F1090" s="177"/>
      <c r="G1090" s="117"/>
      <c r="H1090" s="93"/>
      <c r="I1090" s="41"/>
      <c r="J1090" s="136"/>
    </row>
    <row r="1091" spans="1:10" x14ac:dyDescent="0.35">
      <c r="A1091" s="92"/>
      <c r="F1091" s="177"/>
      <c r="G1091" s="117"/>
      <c r="H1091" s="93"/>
      <c r="I1091" s="41"/>
      <c r="J1091" s="136"/>
    </row>
    <row r="1092" spans="1:10" x14ac:dyDescent="0.35">
      <c r="A1092" s="92"/>
      <c r="F1092" s="177"/>
      <c r="G1092" s="117"/>
      <c r="H1092" s="93"/>
      <c r="I1092" s="41"/>
      <c r="J1092" s="136"/>
    </row>
    <row r="1093" spans="1:10" x14ac:dyDescent="0.35">
      <c r="A1093" s="92"/>
      <c r="F1093" s="177"/>
      <c r="G1093" s="117"/>
      <c r="H1093" s="93"/>
      <c r="I1093" s="41"/>
      <c r="J1093" s="136"/>
    </row>
    <row r="1094" spans="1:10" x14ac:dyDescent="0.35">
      <c r="A1094" s="92"/>
      <c r="F1094" s="177"/>
      <c r="G1094" s="117"/>
      <c r="H1094" s="93"/>
      <c r="I1094" s="41"/>
      <c r="J1094" s="136"/>
    </row>
    <row r="1095" spans="1:10" x14ac:dyDescent="0.35">
      <c r="A1095" s="92"/>
      <c r="F1095" s="177"/>
      <c r="G1095" s="117"/>
      <c r="H1095" s="93"/>
      <c r="I1095" s="41"/>
      <c r="J1095" s="136"/>
    </row>
    <row r="1096" spans="1:10" x14ac:dyDescent="0.35">
      <c r="A1096" s="92"/>
      <c r="F1096" s="177"/>
      <c r="G1096" s="117"/>
      <c r="H1096" s="93"/>
      <c r="I1096" s="41"/>
      <c r="J1096" s="136"/>
    </row>
    <row r="1097" spans="1:10" x14ac:dyDescent="0.35">
      <c r="A1097" s="92"/>
      <c r="F1097" s="177"/>
      <c r="G1097" s="117"/>
      <c r="H1097" s="93"/>
      <c r="I1097" s="41"/>
      <c r="J1097" s="136"/>
    </row>
    <row r="1098" spans="1:10" x14ac:dyDescent="0.35">
      <c r="A1098" s="92"/>
      <c r="F1098" s="177"/>
      <c r="G1098" s="117"/>
      <c r="H1098" s="93"/>
      <c r="I1098" s="41"/>
      <c r="J1098" s="136"/>
    </row>
    <row r="1099" spans="1:10" x14ac:dyDescent="0.35">
      <c r="A1099" s="92"/>
      <c r="F1099" s="177"/>
      <c r="G1099" s="117"/>
      <c r="H1099" s="93"/>
      <c r="I1099" s="41"/>
      <c r="J1099" s="136"/>
    </row>
    <row r="1100" spans="1:10" x14ac:dyDescent="0.35">
      <c r="A1100" s="92"/>
      <c r="F1100" s="177"/>
      <c r="G1100" s="117"/>
      <c r="H1100" s="93"/>
      <c r="I1100" s="41"/>
      <c r="J1100" s="136"/>
    </row>
    <row r="1101" spans="1:10" x14ac:dyDescent="0.35">
      <c r="A1101" s="92"/>
      <c r="F1101" s="177"/>
      <c r="G1101" s="117"/>
      <c r="H1101" s="93"/>
      <c r="I1101" s="41"/>
      <c r="J1101" s="136"/>
    </row>
    <row r="1102" spans="1:10" x14ac:dyDescent="0.35">
      <c r="A1102" s="92"/>
      <c r="F1102" s="177"/>
      <c r="G1102" s="117"/>
      <c r="H1102" s="93"/>
      <c r="I1102" s="41"/>
      <c r="J1102" s="136"/>
    </row>
    <row r="1103" spans="1:10" x14ac:dyDescent="0.35">
      <c r="A1103" s="92"/>
      <c r="F1103" s="177"/>
      <c r="G1103" s="117"/>
      <c r="H1103" s="93"/>
      <c r="I1103" s="41"/>
      <c r="J1103" s="136"/>
    </row>
    <row r="1104" spans="1:10" x14ac:dyDescent="0.35">
      <c r="A1104" s="92"/>
      <c r="F1104" s="177"/>
      <c r="G1104" s="117"/>
      <c r="H1104" s="93"/>
      <c r="I1104" s="41"/>
      <c r="J1104" s="136"/>
    </row>
    <row r="1105" spans="1:10" x14ac:dyDescent="0.35">
      <c r="A1105" s="92"/>
      <c r="F1105" s="177"/>
      <c r="G1105" s="117"/>
      <c r="H1105" s="93"/>
      <c r="I1105" s="41"/>
      <c r="J1105" s="136"/>
    </row>
    <row r="1106" spans="1:10" x14ac:dyDescent="0.35">
      <c r="A1106" s="92"/>
      <c r="F1106" s="177"/>
      <c r="G1106" s="117"/>
      <c r="H1106" s="93"/>
      <c r="I1106" s="41"/>
      <c r="J1106" s="136"/>
    </row>
    <row r="1107" spans="1:10" x14ac:dyDescent="0.35">
      <c r="A1107" s="92"/>
      <c r="F1107" s="177"/>
      <c r="G1107" s="117"/>
      <c r="H1107" s="93"/>
      <c r="I1107" s="41"/>
      <c r="J1107" s="136"/>
    </row>
    <row r="1108" spans="1:10" x14ac:dyDescent="0.35">
      <c r="A1108" s="92"/>
      <c r="F1108" s="177"/>
      <c r="G1108" s="117"/>
      <c r="H1108" s="93"/>
      <c r="I1108" s="41"/>
      <c r="J1108" s="136"/>
    </row>
    <row r="1109" spans="1:10" x14ac:dyDescent="0.35">
      <c r="A1109" s="92"/>
      <c r="F1109" s="177"/>
      <c r="G1109" s="117"/>
      <c r="H1109" s="93"/>
      <c r="I1109" s="41"/>
      <c r="J1109" s="136"/>
    </row>
    <row r="1110" spans="1:10" x14ac:dyDescent="0.35">
      <c r="A1110" s="92"/>
      <c r="F1110" s="177"/>
      <c r="G1110" s="117"/>
      <c r="H1110" s="93"/>
      <c r="I1110" s="41"/>
      <c r="J1110" s="136"/>
    </row>
    <row r="1111" spans="1:10" x14ac:dyDescent="0.35">
      <c r="A1111" s="92"/>
      <c r="F1111" s="177"/>
      <c r="G1111" s="117"/>
      <c r="H1111" s="93"/>
      <c r="I1111" s="41"/>
      <c r="J1111" s="136"/>
    </row>
    <row r="1112" spans="1:10" x14ac:dyDescent="0.35">
      <c r="A1112" s="92"/>
      <c r="F1112" s="177"/>
      <c r="G1112" s="117"/>
      <c r="H1112" s="93"/>
      <c r="I1112" s="41"/>
      <c r="J1112" s="136"/>
    </row>
    <row r="1113" spans="1:10" x14ac:dyDescent="0.35">
      <c r="A1113" s="92"/>
      <c r="F1113" s="177"/>
      <c r="G1113" s="117"/>
      <c r="H1113" s="93"/>
      <c r="I1113" s="41"/>
      <c r="J1113" s="136"/>
    </row>
    <row r="1114" spans="1:10" x14ac:dyDescent="0.35">
      <c r="A1114" s="92"/>
      <c r="F1114" s="177"/>
      <c r="G1114" s="117"/>
      <c r="H1114" s="93"/>
      <c r="I1114" s="41"/>
      <c r="J1114" s="136"/>
    </row>
    <row r="1115" spans="1:10" x14ac:dyDescent="0.35">
      <c r="A1115" s="92"/>
      <c r="F1115" s="177"/>
      <c r="G1115" s="117"/>
      <c r="H1115" s="93"/>
      <c r="I1115" s="41"/>
      <c r="J1115" s="136"/>
    </row>
    <row r="1116" spans="1:10" x14ac:dyDescent="0.35">
      <c r="A1116" s="92"/>
      <c r="F1116" s="177"/>
      <c r="G1116" s="117"/>
      <c r="H1116" s="93"/>
      <c r="I1116" s="41"/>
      <c r="J1116" s="136"/>
    </row>
    <row r="1117" spans="1:10" x14ac:dyDescent="0.35">
      <c r="A1117" s="92"/>
      <c r="F1117" s="177"/>
      <c r="G1117" s="117"/>
      <c r="H1117" s="93"/>
      <c r="I1117" s="41"/>
      <c r="J1117" s="136"/>
    </row>
    <row r="1118" spans="1:10" x14ac:dyDescent="0.35">
      <c r="A1118" s="92"/>
      <c r="F1118" s="177"/>
      <c r="G1118" s="117"/>
      <c r="H1118" s="93"/>
      <c r="I1118" s="41"/>
      <c r="J1118" s="136"/>
    </row>
    <row r="1119" spans="1:10" x14ac:dyDescent="0.35">
      <c r="A1119" s="92"/>
      <c r="F1119" s="177"/>
      <c r="G1119" s="117"/>
      <c r="H1119" s="93"/>
      <c r="I1119" s="41"/>
      <c r="J1119" s="136"/>
    </row>
    <row r="1120" spans="1:10" x14ac:dyDescent="0.35">
      <c r="A1120" s="92"/>
      <c r="F1120" s="177"/>
      <c r="G1120" s="117"/>
      <c r="H1120" s="93"/>
      <c r="I1120" s="41"/>
      <c r="J1120" s="136"/>
    </row>
    <row r="1121" spans="1:10" x14ac:dyDescent="0.35">
      <c r="A1121" s="92"/>
      <c r="F1121" s="177"/>
      <c r="G1121" s="117"/>
      <c r="H1121" s="93"/>
      <c r="I1121" s="41"/>
      <c r="J1121" s="136"/>
    </row>
    <row r="1122" spans="1:10" x14ac:dyDescent="0.35">
      <c r="A1122" s="92"/>
      <c r="F1122" s="177"/>
      <c r="G1122" s="117"/>
      <c r="H1122" s="93"/>
      <c r="I1122" s="41"/>
      <c r="J1122" s="136"/>
    </row>
    <row r="1123" spans="1:10" x14ac:dyDescent="0.35">
      <c r="A1123" s="92"/>
      <c r="F1123" s="177"/>
      <c r="G1123" s="117"/>
      <c r="H1123" s="93"/>
      <c r="I1123" s="41"/>
      <c r="J1123" s="136"/>
    </row>
    <row r="1124" spans="1:10" x14ac:dyDescent="0.35">
      <c r="A1124" s="92"/>
      <c r="F1124" s="177"/>
      <c r="G1124" s="117"/>
      <c r="H1124" s="93"/>
      <c r="I1124" s="41"/>
      <c r="J1124" s="136"/>
    </row>
    <row r="1125" spans="1:10" x14ac:dyDescent="0.35">
      <c r="A1125" s="92"/>
      <c r="F1125" s="177"/>
      <c r="G1125" s="117"/>
      <c r="H1125" s="93"/>
      <c r="I1125" s="41"/>
      <c r="J1125" s="136"/>
    </row>
    <row r="1126" spans="1:10" x14ac:dyDescent="0.35">
      <c r="A1126" s="92"/>
      <c r="F1126" s="177"/>
      <c r="G1126" s="117"/>
      <c r="H1126" s="93"/>
      <c r="I1126" s="41"/>
      <c r="J1126" s="136"/>
    </row>
    <row r="1127" spans="1:10" x14ac:dyDescent="0.35">
      <c r="A1127" s="92"/>
      <c r="F1127" s="177"/>
      <c r="G1127" s="117"/>
      <c r="H1127" s="93"/>
      <c r="I1127" s="41"/>
      <c r="J1127" s="136"/>
    </row>
    <row r="1128" spans="1:10" x14ac:dyDescent="0.35">
      <c r="A1128" s="92"/>
      <c r="F1128" s="177"/>
      <c r="G1128" s="117"/>
      <c r="H1128" s="93"/>
      <c r="I1128" s="41"/>
      <c r="J1128" s="136"/>
    </row>
    <row r="1129" spans="1:10" x14ac:dyDescent="0.35">
      <c r="A1129" s="92"/>
      <c r="F1129" s="177"/>
      <c r="G1129" s="117"/>
      <c r="H1129" s="93"/>
      <c r="I1129" s="41"/>
      <c r="J1129" s="136"/>
    </row>
    <row r="1130" spans="1:10" x14ac:dyDescent="0.35">
      <c r="A1130" s="92"/>
      <c r="F1130" s="177"/>
      <c r="G1130" s="117"/>
      <c r="H1130" s="93"/>
      <c r="I1130" s="41"/>
      <c r="J1130" s="136"/>
    </row>
    <row r="1131" spans="1:10" x14ac:dyDescent="0.35">
      <c r="A1131" s="92"/>
      <c r="F1131" s="177"/>
      <c r="G1131" s="117"/>
      <c r="H1131" s="93"/>
      <c r="I1131" s="41"/>
      <c r="J1131" s="136"/>
    </row>
    <row r="1132" spans="1:10" x14ac:dyDescent="0.35">
      <c r="A1132" s="92"/>
      <c r="F1132" s="177"/>
      <c r="G1132" s="117"/>
      <c r="H1132" s="93"/>
      <c r="I1132" s="41"/>
      <c r="J1132" s="136"/>
    </row>
    <row r="1133" spans="1:10" x14ac:dyDescent="0.35">
      <c r="A1133" s="92"/>
      <c r="F1133" s="177"/>
      <c r="G1133" s="117"/>
      <c r="H1133" s="93"/>
      <c r="I1133" s="41"/>
      <c r="J1133" s="136"/>
    </row>
    <row r="1134" spans="1:10" x14ac:dyDescent="0.35">
      <c r="A1134" s="92"/>
      <c r="F1134" s="177"/>
      <c r="G1134" s="117"/>
      <c r="H1134" s="93"/>
      <c r="I1134" s="41"/>
      <c r="J1134" s="136"/>
    </row>
    <row r="1135" spans="1:10" x14ac:dyDescent="0.35">
      <c r="A1135" s="92"/>
      <c r="F1135" s="177"/>
      <c r="G1135" s="117"/>
      <c r="H1135" s="93"/>
      <c r="I1135" s="41"/>
      <c r="J1135" s="136"/>
    </row>
    <row r="1136" spans="1:10" x14ac:dyDescent="0.35">
      <c r="A1136" s="92"/>
      <c r="F1136" s="177"/>
      <c r="G1136" s="117"/>
      <c r="H1136" s="93"/>
      <c r="I1136" s="41"/>
      <c r="J1136" s="136"/>
    </row>
    <row r="1137" spans="1:10" x14ac:dyDescent="0.35">
      <c r="A1137" s="92"/>
      <c r="F1137" s="177"/>
      <c r="G1137" s="117"/>
      <c r="H1137" s="93"/>
      <c r="I1137" s="41"/>
      <c r="J1137" s="136"/>
    </row>
    <row r="1138" spans="1:10" x14ac:dyDescent="0.35">
      <c r="A1138" s="92"/>
      <c r="F1138" s="177"/>
      <c r="G1138" s="117"/>
      <c r="H1138" s="93"/>
      <c r="I1138" s="41"/>
      <c r="J1138" s="136"/>
    </row>
    <row r="1139" spans="1:10" x14ac:dyDescent="0.35">
      <c r="A1139" s="92"/>
      <c r="F1139" s="177"/>
      <c r="G1139" s="117"/>
      <c r="H1139" s="93"/>
      <c r="I1139" s="41"/>
      <c r="J1139" s="136"/>
    </row>
    <row r="1140" spans="1:10" x14ac:dyDescent="0.35">
      <c r="A1140" s="92"/>
      <c r="F1140" s="177"/>
      <c r="G1140" s="117"/>
      <c r="H1140" s="93"/>
      <c r="I1140" s="41"/>
      <c r="J1140" s="136"/>
    </row>
    <row r="1141" spans="1:10" x14ac:dyDescent="0.35">
      <c r="A1141" s="92"/>
      <c r="F1141" s="177"/>
      <c r="G1141" s="117"/>
      <c r="H1141" s="93"/>
      <c r="I1141" s="41"/>
      <c r="J1141" s="136"/>
    </row>
    <row r="1142" spans="1:10" x14ac:dyDescent="0.35">
      <c r="A1142" s="92"/>
      <c r="F1142" s="177"/>
      <c r="G1142" s="117"/>
      <c r="H1142" s="93"/>
      <c r="I1142" s="41"/>
      <c r="J1142" s="136"/>
    </row>
    <row r="1143" spans="1:10" x14ac:dyDescent="0.35">
      <c r="A1143" s="92"/>
      <c r="F1143" s="177"/>
      <c r="G1143" s="117"/>
      <c r="H1143" s="93"/>
      <c r="I1143" s="41"/>
      <c r="J1143" s="136"/>
    </row>
    <row r="1144" spans="1:10" x14ac:dyDescent="0.35">
      <c r="A1144" s="92"/>
      <c r="F1144" s="177"/>
      <c r="G1144" s="117"/>
      <c r="H1144" s="93"/>
      <c r="I1144" s="41"/>
      <c r="J1144" s="136"/>
    </row>
    <row r="1145" spans="1:10" x14ac:dyDescent="0.35">
      <c r="A1145" s="92"/>
      <c r="F1145" s="177"/>
      <c r="G1145" s="117"/>
      <c r="H1145" s="93"/>
      <c r="I1145" s="41"/>
      <c r="J1145" s="136"/>
    </row>
    <row r="1146" spans="1:10" x14ac:dyDescent="0.35">
      <c r="A1146" s="92"/>
      <c r="F1146" s="177"/>
      <c r="G1146" s="117"/>
      <c r="H1146" s="93"/>
      <c r="I1146" s="41"/>
      <c r="J1146" s="136"/>
    </row>
    <row r="1147" spans="1:10" x14ac:dyDescent="0.35">
      <c r="A1147" s="92"/>
      <c r="F1147" s="177"/>
      <c r="G1147" s="117"/>
      <c r="H1147" s="93"/>
      <c r="I1147" s="41"/>
      <c r="J1147" s="136"/>
    </row>
    <row r="1148" spans="1:10" x14ac:dyDescent="0.35">
      <c r="A1148" s="92"/>
      <c r="F1148" s="177"/>
      <c r="G1148" s="117"/>
      <c r="H1148" s="93"/>
      <c r="I1148" s="41"/>
      <c r="J1148" s="136"/>
    </row>
    <row r="1149" spans="1:10" x14ac:dyDescent="0.35">
      <c r="A1149" s="92"/>
      <c r="F1149" s="177"/>
      <c r="G1149" s="117"/>
      <c r="H1149" s="93"/>
      <c r="I1149" s="41"/>
      <c r="J1149" s="136"/>
    </row>
    <row r="1150" spans="1:10" x14ac:dyDescent="0.35">
      <c r="A1150" s="92"/>
      <c r="F1150" s="177"/>
      <c r="G1150" s="117"/>
      <c r="H1150" s="93"/>
      <c r="I1150" s="41"/>
      <c r="J1150" s="136"/>
    </row>
    <row r="1151" spans="1:10" x14ac:dyDescent="0.35">
      <c r="A1151" s="92"/>
      <c r="F1151" s="177"/>
      <c r="G1151" s="117"/>
      <c r="H1151" s="93"/>
      <c r="I1151" s="41"/>
      <c r="J1151" s="136"/>
    </row>
    <row r="1152" spans="1:10" x14ac:dyDescent="0.35">
      <c r="A1152" s="92"/>
      <c r="F1152" s="177"/>
      <c r="G1152" s="117"/>
      <c r="H1152" s="93"/>
      <c r="I1152" s="41"/>
      <c r="J1152" s="136"/>
    </row>
    <row r="1153" spans="1:10" x14ac:dyDescent="0.35">
      <c r="A1153" s="92"/>
      <c r="F1153" s="177"/>
      <c r="G1153" s="117"/>
      <c r="H1153" s="93"/>
      <c r="I1153" s="41"/>
      <c r="J1153" s="136"/>
    </row>
    <row r="1154" spans="1:10" x14ac:dyDescent="0.35">
      <c r="A1154" s="92"/>
      <c r="F1154" s="177"/>
      <c r="G1154" s="117"/>
      <c r="H1154" s="93"/>
      <c r="I1154" s="41"/>
      <c r="J1154" s="136"/>
    </row>
    <row r="1155" spans="1:10" x14ac:dyDescent="0.35">
      <c r="A1155" s="92"/>
      <c r="F1155" s="177"/>
      <c r="G1155" s="117"/>
      <c r="H1155" s="93"/>
      <c r="I1155" s="41"/>
      <c r="J1155" s="136"/>
    </row>
    <row r="1156" spans="1:10" x14ac:dyDescent="0.35">
      <c r="A1156" s="92"/>
      <c r="F1156" s="177"/>
      <c r="G1156" s="117"/>
      <c r="H1156" s="93"/>
      <c r="I1156" s="41"/>
      <c r="J1156" s="136"/>
    </row>
    <row r="1157" spans="1:10" x14ac:dyDescent="0.35">
      <c r="A1157" s="92"/>
      <c r="F1157" s="177"/>
      <c r="G1157" s="117"/>
      <c r="H1157" s="93"/>
      <c r="I1157" s="41"/>
      <c r="J1157" s="136"/>
    </row>
    <row r="1158" spans="1:10" x14ac:dyDescent="0.35">
      <c r="A1158" s="92"/>
      <c r="F1158" s="177"/>
      <c r="G1158" s="117"/>
      <c r="H1158" s="93"/>
      <c r="I1158" s="41"/>
      <c r="J1158" s="136"/>
    </row>
    <row r="1159" spans="1:10" x14ac:dyDescent="0.35">
      <c r="A1159" s="92"/>
      <c r="F1159" s="177"/>
      <c r="G1159" s="117"/>
      <c r="H1159" s="93"/>
      <c r="I1159" s="41"/>
      <c r="J1159" s="136"/>
    </row>
    <row r="1160" spans="1:10" x14ac:dyDescent="0.35">
      <c r="A1160" s="92"/>
      <c r="F1160" s="177"/>
      <c r="G1160" s="117"/>
      <c r="H1160" s="93"/>
      <c r="I1160" s="41"/>
      <c r="J1160" s="136"/>
    </row>
    <row r="1161" spans="1:10" x14ac:dyDescent="0.35">
      <c r="A1161" s="92"/>
      <c r="F1161" s="177"/>
      <c r="G1161" s="117"/>
      <c r="H1161" s="93"/>
      <c r="I1161" s="41"/>
      <c r="J1161" s="136"/>
    </row>
    <row r="1162" spans="1:10" x14ac:dyDescent="0.35">
      <c r="A1162" s="92"/>
      <c r="F1162" s="177"/>
      <c r="G1162" s="117"/>
      <c r="H1162" s="93"/>
      <c r="I1162" s="41"/>
      <c r="J1162" s="136"/>
    </row>
    <row r="1163" spans="1:10" x14ac:dyDescent="0.35">
      <c r="A1163" s="92"/>
      <c r="F1163" s="177"/>
      <c r="G1163" s="117"/>
      <c r="H1163" s="93"/>
      <c r="I1163" s="41"/>
      <c r="J1163" s="136"/>
    </row>
    <row r="1164" spans="1:10" x14ac:dyDescent="0.35">
      <c r="A1164" s="92"/>
      <c r="F1164" s="177"/>
      <c r="G1164" s="117"/>
      <c r="H1164" s="93"/>
      <c r="I1164" s="41"/>
      <c r="J1164" s="136"/>
    </row>
    <row r="1165" spans="1:10" x14ac:dyDescent="0.35">
      <c r="A1165" s="92"/>
      <c r="F1165" s="177"/>
      <c r="G1165" s="117"/>
      <c r="H1165" s="93"/>
      <c r="I1165" s="41"/>
      <c r="J1165" s="136"/>
    </row>
    <row r="1166" spans="1:10" x14ac:dyDescent="0.35">
      <c r="A1166" s="92"/>
      <c r="F1166" s="177"/>
      <c r="G1166" s="117"/>
      <c r="H1166" s="93"/>
      <c r="I1166" s="41"/>
      <c r="J1166" s="136"/>
    </row>
    <row r="1167" spans="1:10" x14ac:dyDescent="0.35">
      <c r="A1167" s="92"/>
      <c r="F1167" s="177"/>
      <c r="G1167" s="117"/>
      <c r="H1167" s="93"/>
      <c r="I1167" s="41"/>
      <c r="J1167" s="136"/>
    </row>
    <row r="1168" spans="1:10" x14ac:dyDescent="0.35">
      <c r="A1168" s="92"/>
      <c r="F1168" s="177"/>
      <c r="G1168" s="117"/>
      <c r="H1168" s="93"/>
      <c r="I1168" s="41"/>
      <c r="J1168" s="136"/>
    </row>
    <row r="1169" spans="1:10" x14ac:dyDescent="0.35">
      <c r="A1169" s="92"/>
      <c r="F1169" s="177"/>
      <c r="G1169" s="117"/>
      <c r="H1169" s="93"/>
      <c r="I1169" s="41"/>
      <c r="J1169" s="136"/>
    </row>
    <row r="1170" spans="1:10" x14ac:dyDescent="0.35">
      <c r="A1170" s="92"/>
      <c r="F1170" s="177"/>
      <c r="G1170" s="117"/>
      <c r="H1170" s="93"/>
      <c r="I1170" s="41"/>
      <c r="J1170" s="136"/>
    </row>
    <row r="1171" spans="1:10" x14ac:dyDescent="0.35">
      <c r="A1171" s="92"/>
      <c r="F1171" s="177"/>
      <c r="G1171" s="117"/>
      <c r="H1171" s="93"/>
      <c r="I1171" s="41"/>
      <c r="J1171" s="136"/>
    </row>
    <row r="1172" spans="1:10" x14ac:dyDescent="0.35">
      <c r="A1172" s="92"/>
      <c r="F1172" s="177"/>
      <c r="G1172" s="117"/>
      <c r="H1172" s="93"/>
      <c r="I1172" s="41"/>
      <c r="J1172" s="136"/>
    </row>
    <row r="1173" spans="1:10" x14ac:dyDescent="0.35">
      <c r="A1173" s="92"/>
      <c r="F1173" s="177"/>
      <c r="G1173" s="117"/>
      <c r="H1173" s="93"/>
      <c r="I1173" s="41"/>
      <c r="J1173" s="136"/>
    </row>
    <row r="1174" spans="1:10" x14ac:dyDescent="0.35">
      <c r="A1174" s="92"/>
      <c r="F1174" s="177"/>
      <c r="G1174" s="117"/>
      <c r="H1174" s="93"/>
      <c r="I1174" s="41"/>
      <c r="J1174" s="136"/>
    </row>
    <row r="1175" spans="1:10" x14ac:dyDescent="0.35">
      <c r="A1175" s="92"/>
      <c r="F1175" s="177"/>
      <c r="G1175" s="117"/>
      <c r="H1175" s="93"/>
      <c r="I1175" s="41"/>
      <c r="J1175" s="136"/>
    </row>
    <row r="1176" spans="1:10" x14ac:dyDescent="0.35">
      <c r="A1176" s="92"/>
      <c r="F1176" s="177"/>
      <c r="G1176" s="117"/>
      <c r="H1176" s="93"/>
      <c r="I1176" s="41"/>
      <c r="J1176" s="136"/>
    </row>
    <row r="1177" spans="1:10" x14ac:dyDescent="0.35">
      <c r="A1177" s="92"/>
      <c r="F1177" s="177"/>
      <c r="G1177" s="117"/>
      <c r="H1177" s="93"/>
      <c r="I1177" s="41"/>
      <c r="J1177" s="136"/>
    </row>
    <row r="1178" spans="1:10" x14ac:dyDescent="0.35">
      <c r="A1178" s="92"/>
      <c r="F1178" s="177"/>
      <c r="G1178" s="117"/>
      <c r="H1178" s="93"/>
      <c r="I1178" s="41"/>
      <c r="J1178" s="136"/>
    </row>
    <row r="1179" spans="1:10" x14ac:dyDescent="0.35">
      <c r="A1179" s="92"/>
      <c r="F1179" s="177"/>
      <c r="G1179" s="117"/>
      <c r="H1179" s="93"/>
      <c r="I1179" s="41"/>
      <c r="J1179" s="136"/>
    </row>
    <row r="1180" spans="1:10" x14ac:dyDescent="0.35">
      <c r="A1180" s="92"/>
      <c r="F1180" s="177"/>
      <c r="G1180" s="117"/>
      <c r="H1180" s="93"/>
      <c r="I1180" s="41"/>
      <c r="J1180" s="136"/>
    </row>
    <row r="1181" spans="1:10" x14ac:dyDescent="0.35">
      <c r="A1181" s="92"/>
      <c r="F1181" s="177"/>
      <c r="G1181" s="117"/>
      <c r="H1181" s="93"/>
      <c r="I1181" s="41"/>
      <c r="J1181" s="136"/>
    </row>
    <row r="1182" spans="1:10" x14ac:dyDescent="0.35">
      <c r="A1182" s="92"/>
      <c r="F1182" s="177"/>
      <c r="G1182" s="117"/>
      <c r="H1182" s="93"/>
      <c r="I1182" s="41"/>
      <c r="J1182" s="136"/>
    </row>
    <row r="1183" spans="1:10" x14ac:dyDescent="0.35">
      <c r="A1183" s="92"/>
      <c r="F1183" s="177"/>
      <c r="G1183" s="117"/>
      <c r="H1183" s="93"/>
      <c r="I1183" s="41"/>
      <c r="J1183" s="136"/>
    </row>
    <row r="1184" spans="1:10" x14ac:dyDescent="0.35">
      <c r="A1184" s="92"/>
      <c r="F1184" s="177"/>
      <c r="G1184" s="117"/>
      <c r="H1184" s="93"/>
      <c r="I1184" s="41"/>
      <c r="J1184" s="136"/>
    </row>
    <row r="1185" spans="1:10" x14ac:dyDescent="0.35">
      <c r="A1185" s="92"/>
      <c r="F1185" s="177"/>
      <c r="G1185" s="117"/>
      <c r="H1185" s="93"/>
      <c r="I1185" s="41"/>
      <c r="J1185" s="136"/>
    </row>
    <row r="1186" spans="1:10" x14ac:dyDescent="0.35">
      <c r="A1186" s="92"/>
      <c r="F1186" s="177"/>
      <c r="G1186" s="117"/>
      <c r="H1186" s="93"/>
      <c r="I1186" s="41"/>
      <c r="J1186" s="136"/>
    </row>
    <row r="1187" spans="1:10" x14ac:dyDescent="0.35">
      <c r="A1187" s="92"/>
      <c r="F1187" s="177"/>
      <c r="G1187" s="117"/>
      <c r="H1187" s="93"/>
      <c r="I1187" s="41"/>
      <c r="J1187" s="136"/>
    </row>
    <row r="1188" spans="1:10" x14ac:dyDescent="0.35">
      <c r="A1188" s="92"/>
      <c r="F1188" s="177"/>
      <c r="G1188" s="117"/>
      <c r="H1188" s="93"/>
      <c r="I1188" s="41"/>
      <c r="J1188" s="136"/>
    </row>
    <row r="1189" spans="1:10" x14ac:dyDescent="0.35">
      <c r="A1189" s="92"/>
      <c r="F1189" s="177"/>
      <c r="G1189" s="117"/>
      <c r="H1189" s="93"/>
      <c r="I1189" s="41"/>
      <c r="J1189" s="136"/>
    </row>
    <row r="1190" spans="1:10" x14ac:dyDescent="0.35">
      <c r="A1190" s="92"/>
      <c r="F1190" s="177"/>
      <c r="G1190" s="117"/>
      <c r="H1190" s="93"/>
      <c r="I1190" s="41"/>
      <c r="J1190" s="136"/>
    </row>
    <row r="1191" spans="1:10" x14ac:dyDescent="0.35">
      <c r="A1191" s="92"/>
      <c r="F1191" s="177"/>
      <c r="G1191" s="117"/>
      <c r="H1191" s="93"/>
      <c r="I1191" s="41"/>
      <c r="J1191" s="136"/>
    </row>
    <row r="1192" spans="1:10" x14ac:dyDescent="0.35">
      <c r="A1192" s="92"/>
      <c r="F1192" s="177"/>
      <c r="G1192" s="117"/>
      <c r="H1192" s="93"/>
      <c r="I1192" s="41"/>
      <c r="J1192" s="136"/>
    </row>
    <row r="1193" spans="1:10" x14ac:dyDescent="0.35">
      <c r="A1193" s="92"/>
      <c r="F1193" s="177"/>
      <c r="G1193" s="117"/>
      <c r="H1193" s="93"/>
      <c r="I1193" s="41"/>
      <c r="J1193" s="136"/>
    </row>
    <row r="1194" spans="1:10" x14ac:dyDescent="0.35">
      <c r="A1194" s="92"/>
      <c r="F1194" s="177"/>
      <c r="G1194" s="117"/>
      <c r="H1194" s="93"/>
      <c r="I1194" s="41"/>
      <c r="J1194" s="136"/>
    </row>
    <row r="1195" spans="1:10" x14ac:dyDescent="0.35">
      <c r="A1195" s="92"/>
      <c r="F1195" s="177"/>
      <c r="G1195" s="117"/>
      <c r="H1195" s="93"/>
      <c r="I1195" s="41"/>
      <c r="J1195" s="136"/>
    </row>
    <row r="1196" spans="1:10" x14ac:dyDescent="0.35">
      <c r="A1196" s="92"/>
      <c r="F1196" s="177"/>
      <c r="G1196" s="117"/>
      <c r="H1196" s="93"/>
      <c r="I1196" s="41"/>
      <c r="J1196" s="136"/>
    </row>
    <row r="1197" spans="1:10" x14ac:dyDescent="0.35">
      <c r="A1197" s="92"/>
      <c r="F1197" s="177"/>
      <c r="G1197" s="117"/>
      <c r="H1197" s="93"/>
      <c r="I1197" s="41"/>
      <c r="J1197" s="136"/>
    </row>
    <row r="1198" spans="1:10" x14ac:dyDescent="0.35">
      <c r="A1198" s="92"/>
      <c r="F1198" s="177"/>
      <c r="G1198" s="117"/>
      <c r="H1198" s="93"/>
      <c r="I1198" s="41"/>
      <c r="J1198" s="136"/>
    </row>
    <row r="1199" spans="1:10" x14ac:dyDescent="0.35">
      <c r="A1199" s="92"/>
      <c r="F1199" s="177"/>
      <c r="G1199" s="117"/>
      <c r="H1199" s="93"/>
      <c r="I1199" s="41"/>
      <c r="J1199" s="136"/>
    </row>
    <row r="1200" spans="1:10" x14ac:dyDescent="0.35">
      <c r="A1200" s="92"/>
      <c r="F1200" s="177"/>
      <c r="G1200" s="117"/>
      <c r="H1200" s="93"/>
      <c r="I1200" s="41"/>
      <c r="J1200" s="136"/>
    </row>
    <row r="1201" spans="1:10" x14ac:dyDescent="0.35">
      <c r="A1201" s="92"/>
      <c r="F1201" s="177"/>
      <c r="G1201" s="117"/>
      <c r="H1201" s="93"/>
      <c r="I1201" s="41"/>
      <c r="J1201" s="136"/>
    </row>
    <row r="1202" spans="1:10" x14ac:dyDescent="0.35">
      <c r="A1202" s="92"/>
      <c r="F1202" s="177"/>
      <c r="G1202" s="117"/>
      <c r="H1202" s="93"/>
      <c r="I1202" s="41"/>
      <c r="J1202" s="136"/>
    </row>
    <row r="1203" spans="1:10" x14ac:dyDescent="0.35">
      <c r="A1203" s="92"/>
      <c r="F1203" s="177"/>
      <c r="G1203" s="117"/>
      <c r="H1203" s="93"/>
      <c r="I1203" s="41"/>
      <c r="J1203" s="136"/>
    </row>
    <row r="1204" spans="1:10" x14ac:dyDescent="0.35">
      <c r="A1204" s="92"/>
      <c r="F1204" s="177"/>
      <c r="G1204" s="117"/>
      <c r="H1204" s="93"/>
      <c r="I1204" s="41"/>
      <c r="J1204" s="136"/>
    </row>
    <row r="1205" spans="1:10" x14ac:dyDescent="0.35">
      <c r="A1205" s="92"/>
      <c r="F1205" s="177"/>
      <c r="G1205" s="117"/>
      <c r="H1205" s="93"/>
      <c r="I1205" s="41"/>
      <c r="J1205" s="136"/>
    </row>
    <row r="1206" spans="1:10" x14ac:dyDescent="0.35">
      <c r="A1206" s="92"/>
      <c r="F1206" s="177"/>
      <c r="G1206" s="117"/>
      <c r="H1206" s="93"/>
      <c r="I1206" s="41"/>
      <c r="J1206" s="136"/>
    </row>
    <row r="1207" spans="1:10" x14ac:dyDescent="0.35">
      <c r="A1207" s="92"/>
      <c r="F1207" s="177"/>
      <c r="G1207" s="117"/>
      <c r="H1207" s="93"/>
      <c r="I1207" s="41"/>
      <c r="J1207" s="136"/>
    </row>
    <row r="1208" spans="1:10" x14ac:dyDescent="0.35">
      <c r="A1208" s="92"/>
      <c r="F1208" s="177"/>
      <c r="G1208" s="117"/>
      <c r="H1208" s="93"/>
      <c r="I1208" s="41"/>
      <c r="J1208" s="136"/>
    </row>
    <row r="1209" spans="1:10" x14ac:dyDescent="0.35">
      <c r="A1209" s="92"/>
      <c r="F1209" s="177"/>
      <c r="G1209" s="117"/>
      <c r="H1209" s="93"/>
      <c r="I1209" s="41"/>
      <c r="J1209" s="136"/>
    </row>
    <row r="1210" spans="1:10" x14ac:dyDescent="0.35">
      <c r="A1210" s="92"/>
      <c r="F1210" s="177"/>
      <c r="G1210" s="117"/>
      <c r="H1210" s="93"/>
      <c r="I1210" s="41"/>
      <c r="J1210" s="136"/>
    </row>
    <row r="1211" spans="1:10" x14ac:dyDescent="0.35">
      <c r="A1211" s="92"/>
      <c r="F1211" s="177"/>
      <c r="G1211" s="117"/>
      <c r="H1211" s="93"/>
      <c r="I1211" s="41"/>
      <c r="J1211" s="136"/>
    </row>
    <row r="1212" spans="1:10" x14ac:dyDescent="0.35">
      <c r="A1212" s="92"/>
      <c r="F1212" s="177"/>
      <c r="G1212" s="117"/>
      <c r="H1212" s="93"/>
      <c r="I1212" s="41"/>
      <c r="J1212" s="136"/>
    </row>
    <row r="1213" spans="1:10" x14ac:dyDescent="0.35">
      <c r="A1213" s="92"/>
      <c r="F1213" s="177"/>
      <c r="G1213" s="117"/>
      <c r="H1213" s="93"/>
      <c r="I1213" s="41"/>
      <c r="J1213" s="136"/>
    </row>
    <row r="1214" spans="1:10" x14ac:dyDescent="0.35">
      <c r="A1214" s="92"/>
      <c r="F1214" s="177"/>
      <c r="G1214" s="117"/>
      <c r="H1214" s="93"/>
      <c r="I1214" s="41"/>
      <c r="J1214" s="136"/>
    </row>
    <row r="1215" spans="1:10" x14ac:dyDescent="0.35">
      <c r="A1215" s="92"/>
      <c r="F1215" s="177"/>
      <c r="G1215" s="117"/>
      <c r="H1215" s="93"/>
      <c r="I1215" s="41"/>
      <c r="J1215" s="136"/>
    </row>
    <row r="1216" spans="1:10" x14ac:dyDescent="0.35">
      <c r="A1216" s="92"/>
      <c r="F1216" s="177"/>
      <c r="G1216" s="117"/>
      <c r="H1216" s="93"/>
      <c r="I1216" s="41"/>
      <c r="J1216" s="136"/>
    </row>
    <row r="1217" spans="1:10" x14ac:dyDescent="0.35">
      <c r="A1217" s="92"/>
      <c r="F1217" s="177"/>
      <c r="G1217" s="117"/>
      <c r="H1217" s="93"/>
      <c r="I1217" s="41"/>
      <c r="J1217" s="136"/>
    </row>
    <row r="1218" spans="1:10" x14ac:dyDescent="0.35">
      <c r="A1218" s="92"/>
      <c r="F1218" s="177"/>
      <c r="G1218" s="117"/>
      <c r="H1218" s="93"/>
      <c r="I1218" s="41"/>
      <c r="J1218" s="136"/>
    </row>
    <row r="1219" spans="1:10" x14ac:dyDescent="0.35">
      <c r="A1219" s="92"/>
      <c r="F1219" s="177"/>
      <c r="G1219" s="117"/>
      <c r="H1219" s="93"/>
      <c r="I1219" s="41"/>
      <c r="J1219" s="136"/>
    </row>
    <row r="1220" spans="1:10" x14ac:dyDescent="0.35">
      <c r="A1220" s="92"/>
      <c r="F1220" s="177"/>
      <c r="G1220" s="117"/>
      <c r="H1220" s="93"/>
      <c r="I1220" s="41"/>
      <c r="J1220" s="136"/>
    </row>
    <row r="1221" spans="1:10" x14ac:dyDescent="0.35">
      <c r="A1221" s="92"/>
      <c r="F1221" s="177"/>
      <c r="G1221" s="117"/>
      <c r="H1221" s="93"/>
      <c r="I1221" s="41"/>
      <c r="J1221" s="136"/>
    </row>
    <row r="1222" spans="1:10" x14ac:dyDescent="0.35">
      <c r="A1222" s="92"/>
      <c r="F1222" s="177"/>
      <c r="G1222" s="117"/>
      <c r="H1222" s="93"/>
      <c r="I1222" s="41"/>
      <c r="J1222" s="136"/>
    </row>
    <row r="1223" spans="1:10" x14ac:dyDescent="0.35">
      <c r="A1223" s="92"/>
      <c r="F1223" s="177"/>
      <c r="G1223" s="117"/>
      <c r="H1223" s="93"/>
      <c r="I1223" s="41"/>
      <c r="J1223" s="136"/>
    </row>
    <row r="1224" spans="1:10" x14ac:dyDescent="0.35">
      <c r="A1224" s="92"/>
      <c r="F1224" s="177"/>
      <c r="G1224" s="117"/>
      <c r="H1224" s="93"/>
      <c r="I1224" s="41"/>
      <c r="J1224" s="136"/>
    </row>
    <row r="1225" spans="1:10" x14ac:dyDescent="0.35">
      <c r="A1225" s="92"/>
      <c r="F1225" s="177"/>
      <c r="G1225" s="117"/>
      <c r="H1225" s="93"/>
      <c r="I1225" s="41"/>
      <c r="J1225" s="136"/>
    </row>
    <row r="1226" spans="1:10" x14ac:dyDescent="0.35">
      <c r="A1226" s="92"/>
      <c r="F1226" s="177"/>
      <c r="G1226" s="117"/>
      <c r="H1226" s="93"/>
      <c r="I1226" s="41"/>
      <c r="J1226" s="136"/>
    </row>
    <row r="1227" spans="1:10" x14ac:dyDescent="0.35">
      <c r="A1227" s="92"/>
      <c r="F1227" s="177"/>
      <c r="G1227" s="117"/>
      <c r="H1227" s="93"/>
      <c r="I1227" s="41"/>
      <c r="J1227" s="136"/>
    </row>
    <row r="1228" spans="1:10" x14ac:dyDescent="0.35">
      <c r="A1228" s="92"/>
      <c r="F1228" s="177"/>
      <c r="G1228" s="117"/>
      <c r="H1228" s="93"/>
      <c r="I1228" s="41"/>
      <c r="J1228" s="136"/>
    </row>
    <row r="1229" spans="1:10" x14ac:dyDescent="0.35">
      <c r="A1229" s="92"/>
      <c r="F1229" s="177"/>
      <c r="G1229" s="117"/>
      <c r="H1229" s="93"/>
      <c r="I1229" s="41"/>
      <c r="J1229" s="136"/>
    </row>
    <row r="1230" spans="1:10" x14ac:dyDescent="0.35">
      <c r="A1230" s="92"/>
      <c r="F1230" s="177"/>
      <c r="G1230" s="117"/>
      <c r="H1230" s="93"/>
      <c r="I1230" s="41"/>
      <c r="J1230" s="136"/>
    </row>
    <row r="1231" spans="1:10" x14ac:dyDescent="0.35">
      <c r="A1231" s="92"/>
      <c r="F1231" s="177"/>
      <c r="G1231" s="117"/>
      <c r="H1231" s="93"/>
      <c r="I1231" s="41"/>
      <c r="J1231" s="136"/>
    </row>
    <row r="1232" spans="1:10" x14ac:dyDescent="0.35">
      <c r="A1232" s="92"/>
      <c r="F1232" s="177"/>
      <c r="G1232" s="117"/>
      <c r="H1232" s="93"/>
      <c r="I1232" s="41"/>
      <c r="J1232" s="136"/>
    </row>
    <row r="1233" spans="1:10" x14ac:dyDescent="0.35">
      <c r="A1233" s="92"/>
      <c r="F1233" s="177"/>
      <c r="G1233" s="117"/>
      <c r="H1233" s="93"/>
      <c r="I1233" s="41"/>
      <c r="J1233" s="136"/>
    </row>
    <row r="1234" spans="1:10" x14ac:dyDescent="0.35">
      <c r="A1234" s="92"/>
      <c r="F1234" s="177"/>
      <c r="G1234" s="117"/>
      <c r="H1234" s="93"/>
      <c r="I1234" s="41"/>
      <c r="J1234" s="136"/>
    </row>
    <row r="1235" spans="1:10" x14ac:dyDescent="0.35">
      <c r="A1235" s="92"/>
      <c r="F1235" s="177"/>
      <c r="G1235" s="117"/>
      <c r="H1235" s="93"/>
      <c r="I1235" s="41"/>
      <c r="J1235" s="136"/>
    </row>
    <row r="1236" spans="1:10" x14ac:dyDescent="0.35">
      <c r="A1236" s="92"/>
      <c r="F1236" s="177"/>
      <c r="G1236" s="117"/>
      <c r="H1236" s="93"/>
      <c r="I1236" s="41"/>
      <c r="J1236" s="136"/>
    </row>
    <row r="1237" spans="1:10" x14ac:dyDescent="0.35">
      <c r="A1237" s="92"/>
      <c r="F1237" s="177"/>
      <c r="G1237" s="117"/>
      <c r="H1237" s="93"/>
      <c r="I1237" s="41"/>
      <c r="J1237" s="136"/>
    </row>
    <row r="1238" spans="1:10" x14ac:dyDescent="0.35">
      <c r="A1238" s="92"/>
      <c r="F1238" s="177"/>
      <c r="G1238" s="117"/>
      <c r="H1238" s="93"/>
      <c r="I1238" s="41"/>
      <c r="J1238" s="136"/>
    </row>
    <row r="1239" spans="1:10" x14ac:dyDescent="0.35">
      <c r="A1239" s="92"/>
      <c r="F1239" s="177"/>
      <c r="G1239" s="117"/>
      <c r="H1239" s="93"/>
      <c r="I1239" s="41"/>
      <c r="J1239" s="136"/>
    </row>
    <row r="1240" spans="1:10" x14ac:dyDescent="0.35">
      <c r="A1240" s="92"/>
      <c r="F1240" s="177"/>
      <c r="G1240" s="117"/>
      <c r="H1240" s="93"/>
      <c r="I1240" s="41"/>
      <c r="J1240" s="136"/>
    </row>
    <row r="1241" spans="1:10" x14ac:dyDescent="0.35">
      <c r="A1241" s="92"/>
      <c r="F1241" s="177"/>
      <c r="G1241" s="117"/>
      <c r="H1241" s="93"/>
      <c r="I1241" s="41"/>
      <c r="J1241" s="136"/>
    </row>
    <row r="1242" spans="1:10" x14ac:dyDescent="0.35">
      <c r="A1242" s="92"/>
      <c r="F1242" s="177"/>
      <c r="G1242" s="117"/>
      <c r="H1242" s="93"/>
      <c r="I1242" s="41"/>
      <c r="J1242" s="136"/>
    </row>
    <row r="1243" spans="1:10" x14ac:dyDescent="0.35">
      <c r="A1243" s="92"/>
      <c r="F1243" s="177"/>
      <c r="G1243" s="117"/>
      <c r="H1243" s="93"/>
      <c r="I1243" s="41"/>
      <c r="J1243" s="136"/>
    </row>
    <row r="1244" spans="1:10" x14ac:dyDescent="0.35">
      <c r="A1244" s="92"/>
      <c r="F1244" s="177"/>
      <c r="G1244" s="117"/>
      <c r="H1244" s="93"/>
      <c r="I1244" s="41"/>
      <c r="J1244" s="136"/>
    </row>
    <row r="1245" spans="1:10" x14ac:dyDescent="0.35">
      <c r="A1245" s="92"/>
      <c r="F1245" s="177"/>
      <c r="G1245" s="117"/>
      <c r="H1245" s="93"/>
      <c r="I1245" s="41"/>
      <c r="J1245" s="136"/>
    </row>
    <row r="1246" spans="1:10" x14ac:dyDescent="0.35">
      <c r="A1246" s="92"/>
      <c r="F1246" s="177"/>
      <c r="G1246" s="117"/>
      <c r="H1246" s="93"/>
      <c r="I1246" s="41"/>
      <c r="J1246" s="136"/>
    </row>
    <row r="1247" spans="1:10" x14ac:dyDescent="0.35">
      <c r="A1247" s="92"/>
      <c r="F1247" s="177"/>
      <c r="G1247" s="117"/>
      <c r="H1247" s="93"/>
      <c r="I1247" s="41"/>
      <c r="J1247" s="136"/>
    </row>
    <row r="1248" spans="1:10" x14ac:dyDescent="0.35">
      <c r="A1248" s="92"/>
      <c r="F1248" s="177"/>
      <c r="G1248" s="117"/>
      <c r="H1248" s="93"/>
      <c r="I1248" s="41"/>
      <c r="J1248" s="136"/>
    </row>
    <row r="1249" spans="1:10" x14ac:dyDescent="0.35">
      <c r="A1249" s="92"/>
      <c r="F1249" s="177"/>
      <c r="G1249" s="117"/>
      <c r="H1249" s="93"/>
      <c r="I1249" s="41"/>
      <c r="J1249" s="136"/>
    </row>
    <row r="1250" spans="1:10" x14ac:dyDescent="0.35">
      <c r="A1250" s="92"/>
      <c r="F1250" s="177"/>
      <c r="G1250" s="117"/>
      <c r="H1250" s="93"/>
      <c r="I1250" s="41"/>
      <c r="J1250" s="136"/>
    </row>
    <row r="1251" spans="1:10" x14ac:dyDescent="0.35">
      <c r="A1251" s="92"/>
      <c r="F1251" s="177"/>
      <c r="G1251" s="117"/>
      <c r="H1251" s="93"/>
      <c r="I1251" s="41"/>
      <c r="J1251" s="136"/>
    </row>
    <row r="1252" spans="1:10" x14ac:dyDescent="0.35">
      <c r="A1252" s="92"/>
      <c r="F1252" s="177"/>
      <c r="G1252" s="117"/>
      <c r="H1252" s="93"/>
      <c r="I1252" s="41"/>
      <c r="J1252" s="136"/>
    </row>
    <row r="1253" spans="1:10" x14ac:dyDescent="0.35">
      <c r="A1253" s="92"/>
      <c r="F1253" s="177"/>
      <c r="G1253" s="117"/>
      <c r="H1253" s="93"/>
      <c r="I1253" s="41"/>
      <c r="J1253" s="136"/>
    </row>
    <row r="1254" spans="1:10" x14ac:dyDescent="0.35">
      <c r="A1254" s="92"/>
      <c r="F1254" s="177"/>
      <c r="G1254" s="117"/>
      <c r="H1254" s="93"/>
      <c r="I1254" s="41"/>
      <c r="J1254" s="136"/>
    </row>
    <row r="1255" spans="1:10" x14ac:dyDescent="0.35">
      <c r="A1255" s="92"/>
      <c r="F1255" s="177"/>
      <c r="G1255" s="117"/>
      <c r="H1255" s="93"/>
      <c r="I1255" s="41"/>
      <c r="J1255" s="136"/>
    </row>
    <row r="1256" spans="1:10" x14ac:dyDescent="0.35">
      <c r="A1256" s="92"/>
      <c r="F1256" s="177"/>
      <c r="G1256" s="117"/>
      <c r="H1256" s="93"/>
      <c r="I1256" s="41"/>
      <c r="J1256" s="136"/>
    </row>
    <row r="1257" spans="1:10" x14ac:dyDescent="0.35">
      <c r="A1257" s="92"/>
      <c r="F1257" s="177"/>
      <c r="G1257" s="117"/>
      <c r="H1257" s="93"/>
      <c r="I1257" s="41"/>
      <c r="J1257" s="136"/>
    </row>
    <row r="1258" spans="1:10" x14ac:dyDescent="0.35">
      <c r="A1258" s="92"/>
      <c r="F1258" s="177"/>
      <c r="G1258" s="117"/>
      <c r="H1258" s="93"/>
      <c r="I1258" s="41"/>
      <c r="J1258" s="136"/>
    </row>
    <row r="1259" spans="1:10" x14ac:dyDescent="0.35">
      <c r="A1259" s="92"/>
      <c r="F1259" s="177"/>
      <c r="G1259" s="117"/>
      <c r="H1259" s="93"/>
      <c r="I1259" s="41"/>
      <c r="J1259" s="136"/>
    </row>
    <row r="1260" spans="1:10" x14ac:dyDescent="0.35">
      <c r="A1260" s="92"/>
      <c r="F1260" s="177"/>
      <c r="G1260" s="117"/>
      <c r="H1260" s="93"/>
      <c r="I1260" s="41"/>
      <c r="J1260" s="136"/>
    </row>
    <row r="1261" spans="1:10" x14ac:dyDescent="0.35">
      <c r="A1261" s="92"/>
      <c r="F1261" s="177"/>
      <c r="G1261" s="117"/>
      <c r="H1261" s="93"/>
      <c r="I1261" s="41"/>
      <c r="J1261" s="136"/>
    </row>
    <row r="1262" spans="1:10" x14ac:dyDescent="0.35">
      <c r="A1262" s="92"/>
      <c r="F1262" s="177"/>
      <c r="G1262" s="117"/>
      <c r="H1262" s="93"/>
      <c r="I1262" s="41"/>
      <c r="J1262" s="136"/>
    </row>
    <row r="1263" spans="1:10" x14ac:dyDescent="0.35">
      <c r="A1263" s="92"/>
      <c r="F1263" s="177"/>
      <c r="G1263" s="117"/>
      <c r="H1263" s="93"/>
      <c r="I1263" s="41"/>
      <c r="J1263" s="136"/>
    </row>
    <row r="1264" spans="1:10" x14ac:dyDescent="0.35">
      <c r="A1264" s="92"/>
      <c r="F1264" s="177"/>
      <c r="G1264" s="117"/>
      <c r="H1264" s="93"/>
      <c r="I1264" s="41"/>
      <c r="J1264" s="136"/>
    </row>
    <row r="1265" spans="1:10" x14ac:dyDescent="0.35">
      <c r="A1265" s="92"/>
      <c r="F1265" s="177"/>
      <c r="G1265" s="117"/>
      <c r="H1265" s="93"/>
      <c r="I1265" s="41"/>
      <c r="J1265" s="136"/>
    </row>
    <row r="1266" spans="1:10" x14ac:dyDescent="0.35">
      <c r="A1266" s="92"/>
      <c r="F1266" s="177"/>
      <c r="G1266" s="117"/>
      <c r="H1266" s="93"/>
      <c r="I1266" s="41"/>
      <c r="J1266" s="136"/>
    </row>
    <row r="1267" spans="1:10" x14ac:dyDescent="0.35">
      <c r="A1267" s="92"/>
      <c r="F1267" s="177"/>
      <c r="G1267" s="117"/>
      <c r="H1267" s="93"/>
      <c r="I1267" s="41"/>
      <c r="J1267" s="136"/>
    </row>
    <row r="1268" spans="1:10" x14ac:dyDescent="0.35">
      <c r="A1268" s="92"/>
      <c r="F1268" s="177"/>
      <c r="G1268" s="117"/>
      <c r="H1268" s="93"/>
      <c r="I1268" s="41"/>
      <c r="J1268" s="136"/>
    </row>
    <row r="1269" spans="1:10" x14ac:dyDescent="0.35">
      <c r="A1269" s="92"/>
      <c r="F1269" s="177"/>
      <c r="G1269" s="117"/>
      <c r="H1269" s="93"/>
      <c r="I1269" s="41"/>
      <c r="J1269" s="136"/>
    </row>
    <row r="1270" spans="1:10" x14ac:dyDescent="0.35">
      <c r="A1270" s="92"/>
      <c r="F1270" s="177"/>
      <c r="G1270" s="117"/>
      <c r="H1270" s="93"/>
      <c r="I1270" s="41"/>
      <c r="J1270" s="136"/>
    </row>
    <row r="1271" spans="1:10" x14ac:dyDescent="0.35">
      <c r="A1271" s="92"/>
      <c r="F1271" s="177"/>
      <c r="G1271" s="117"/>
      <c r="H1271" s="93"/>
      <c r="I1271" s="41"/>
      <c r="J1271" s="136"/>
    </row>
    <row r="1272" spans="1:10" x14ac:dyDescent="0.35">
      <c r="A1272" s="92"/>
      <c r="F1272" s="177"/>
      <c r="G1272" s="117"/>
      <c r="H1272" s="93"/>
      <c r="I1272" s="41"/>
      <c r="J1272" s="136"/>
    </row>
    <row r="1273" spans="1:10" x14ac:dyDescent="0.35">
      <c r="A1273" s="92"/>
      <c r="F1273" s="177"/>
      <c r="G1273" s="117"/>
      <c r="H1273" s="93"/>
      <c r="I1273" s="41"/>
      <c r="J1273" s="136"/>
    </row>
    <row r="1274" spans="1:10" x14ac:dyDescent="0.35">
      <c r="A1274" s="92"/>
      <c r="F1274" s="177"/>
      <c r="G1274" s="117"/>
      <c r="H1274" s="93"/>
      <c r="I1274" s="41"/>
      <c r="J1274" s="136"/>
    </row>
    <row r="1275" spans="1:10" x14ac:dyDescent="0.35">
      <c r="A1275" s="92"/>
      <c r="F1275" s="177"/>
      <c r="G1275" s="117"/>
      <c r="H1275" s="93"/>
      <c r="I1275" s="41"/>
      <c r="J1275" s="136"/>
    </row>
    <row r="1276" spans="1:10" x14ac:dyDescent="0.35">
      <c r="A1276" s="92"/>
      <c r="F1276" s="177"/>
      <c r="G1276" s="117"/>
      <c r="H1276" s="93"/>
      <c r="I1276" s="41"/>
      <c r="J1276" s="136"/>
    </row>
    <row r="1277" spans="1:10" x14ac:dyDescent="0.35">
      <c r="A1277" s="92"/>
      <c r="F1277" s="177"/>
      <c r="G1277" s="117"/>
      <c r="H1277" s="93"/>
      <c r="I1277" s="41"/>
      <c r="J1277" s="136"/>
    </row>
    <row r="1278" spans="1:10" x14ac:dyDescent="0.35">
      <c r="A1278" s="92"/>
      <c r="F1278" s="177"/>
      <c r="G1278" s="117"/>
      <c r="H1278" s="93"/>
      <c r="I1278" s="41"/>
      <c r="J1278" s="136"/>
    </row>
    <row r="1279" spans="1:10" x14ac:dyDescent="0.35">
      <c r="A1279" s="92"/>
      <c r="F1279" s="177"/>
      <c r="G1279" s="117"/>
      <c r="H1279" s="93"/>
      <c r="I1279" s="41"/>
      <c r="J1279" s="136"/>
    </row>
    <row r="1280" spans="1:10" x14ac:dyDescent="0.35">
      <c r="A1280" s="92"/>
      <c r="F1280" s="177"/>
      <c r="G1280" s="117"/>
      <c r="H1280" s="93"/>
      <c r="I1280" s="41"/>
      <c r="J1280" s="136"/>
    </row>
    <row r="1281" spans="1:10" x14ac:dyDescent="0.35">
      <c r="A1281" s="92"/>
      <c r="F1281" s="177"/>
      <c r="G1281" s="117"/>
      <c r="H1281" s="93"/>
      <c r="I1281" s="41"/>
      <c r="J1281" s="136"/>
    </row>
    <row r="1282" spans="1:10" x14ac:dyDescent="0.35">
      <c r="A1282" s="92"/>
      <c r="F1282" s="177"/>
      <c r="G1282" s="117"/>
      <c r="H1282" s="93"/>
      <c r="I1282" s="41"/>
      <c r="J1282" s="136"/>
    </row>
    <row r="1283" spans="1:10" x14ac:dyDescent="0.35">
      <c r="A1283" s="92"/>
      <c r="F1283" s="177"/>
      <c r="G1283" s="117"/>
      <c r="H1283" s="93"/>
      <c r="I1283" s="41"/>
      <c r="J1283" s="136"/>
    </row>
    <row r="1284" spans="1:10" x14ac:dyDescent="0.35">
      <c r="A1284" s="92"/>
      <c r="F1284" s="177"/>
      <c r="G1284" s="117"/>
      <c r="H1284" s="93"/>
      <c r="I1284" s="41"/>
      <c r="J1284" s="136"/>
    </row>
    <row r="1285" spans="1:10" x14ac:dyDescent="0.35">
      <c r="A1285" s="92"/>
      <c r="F1285" s="177"/>
      <c r="G1285" s="117"/>
      <c r="H1285" s="93"/>
      <c r="I1285" s="41"/>
      <c r="J1285" s="136"/>
    </row>
    <row r="1286" spans="1:10" x14ac:dyDescent="0.35">
      <c r="A1286" s="92"/>
      <c r="F1286" s="177"/>
      <c r="G1286" s="117"/>
      <c r="H1286" s="93"/>
      <c r="I1286" s="41"/>
      <c r="J1286" s="136"/>
    </row>
    <row r="1287" spans="1:10" x14ac:dyDescent="0.35">
      <c r="A1287" s="92"/>
      <c r="F1287" s="177"/>
      <c r="G1287" s="117"/>
      <c r="H1287" s="93"/>
      <c r="I1287" s="41"/>
      <c r="J1287" s="136"/>
    </row>
    <row r="1288" spans="1:10" x14ac:dyDescent="0.35">
      <c r="A1288" s="92"/>
      <c r="F1288" s="177"/>
      <c r="G1288" s="117"/>
      <c r="H1288" s="93"/>
      <c r="I1288" s="41"/>
      <c r="J1288" s="136"/>
    </row>
    <row r="1289" spans="1:10" x14ac:dyDescent="0.35">
      <c r="A1289" s="92"/>
      <c r="F1289" s="177"/>
      <c r="G1289" s="117"/>
      <c r="H1289" s="93"/>
      <c r="I1289" s="41"/>
      <c r="J1289" s="136"/>
    </row>
    <row r="1290" spans="1:10" x14ac:dyDescent="0.35">
      <c r="A1290" s="92"/>
      <c r="F1290" s="177"/>
      <c r="G1290" s="117"/>
      <c r="H1290" s="93"/>
      <c r="I1290" s="41"/>
      <c r="J1290" s="136"/>
    </row>
    <row r="1291" spans="1:10" x14ac:dyDescent="0.35">
      <c r="A1291" s="92"/>
      <c r="F1291" s="177"/>
      <c r="G1291" s="117"/>
      <c r="H1291" s="93"/>
      <c r="I1291" s="41"/>
      <c r="J1291" s="136"/>
    </row>
    <row r="1292" spans="1:10" x14ac:dyDescent="0.35">
      <c r="A1292" s="92"/>
      <c r="F1292" s="177"/>
      <c r="G1292" s="117"/>
      <c r="H1292" s="93"/>
      <c r="I1292" s="41"/>
      <c r="J1292" s="136"/>
    </row>
    <row r="1293" spans="1:10" x14ac:dyDescent="0.35">
      <c r="A1293" s="92"/>
      <c r="F1293" s="177"/>
      <c r="G1293" s="117"/>
      <c r="H1293" s="93"/>
      <c r="I1293" s="41"/>
      <c r="J1293" s="136"/>
    </row>
    <row r="1294" spans="1:10" x14ac:dyDescent="0.35">
      <c r="A1294" s="92"/>
      <c r="F1294" s="177"/>
      <c r="G1294" s="117"/>
      <c r="H1294" s="93"/>
      <c r="I1294" s="41"/>
      <c r="J1294" s="136"/>
    </row>
    <row r="1295" spans="1:10" x14ac:dyDescent="0.35">
      <c r="A1295" s="92"/>
      <c r="F1295" s="177"/>
      <c r="G1295" s="117"/>
      <c r="H1295" s="93"/>
      <c r="I1295" s="41"/>
      <c r="J1295" s="136"/>
    </row>
    <row r="1296" spans="1:10" x14ac:dyDescent="0.35">
      <c r="A1296" s="92"/>
      <c r="F1296" s="177"/>
      <c r="G1296" s="117"/>
      <c r="H1296" s="93"/>
      <c r="I1296" s="41"/>
      <c r="J1296" s="136"/>
    </row>
    <row r="1297" spans="1:10" x14ac:dyDescent="0.35">
      <c r="A1297" s="92"/>
      <c r="F1297" s="177"/>
      <c r="G1297" s="117"/>
      <c r="H1297" s="93"/>
      <c r="I1297" s="41"/>
      <c r="J1297" s="136"/>
    </row>
    <row r="1298" spans="1:10" x14ac:dyDescent="0.35">
      <c r="A1298" s="92"/>
      <c r="F1298" s="177"/>
      <c r="G1298" s="117"/>
      <c r="H1298" s="93"/>
      <c r="I1298" s="41"/>
      <c r="J1298" s="136"/>
    </row>
    <row r="1299" spans="1:10" x14ac:dyDescent="0.35">
      <c r="A1299" s="92"/>
      <c r="F1299" s="177"/>
      <c r="G1299" s="117"/>
      <c r="H1299" s="93"/>
      <c r="I1299" s="41"/>
      <c r="J1299" s="136"/>
    </row>
    <row r="1300" spans="1:10" x14ac:dyDescent="0.35">
      <c r="A1300" s="92"/>
      <c r="F1300" s="177"/>
      <c r="G1300" s="117"/>
      <c r="H1300" s="93"/>
      <c r="I1300" s="41"/>
      <c r="J1300" s="136"/>
    </row>
    <row r="1301" spans="1:10" x14ac:dyDescent="0.35">
      <c r="A1301" s="92"/>
      <c r="F1301" s="177"/>
      <c r="G1301" s="117"/>
      <c r="H1301" s="93"/>
      <c r="I1301" s="41"/>
      <c r="J1301" s="136"/>
    </row>
    <row r="1302" spans="1:10" x14ac:dyDescent="0.35">
      <c r="A1302" s="92"/>
      <c r="F1302" s="177"/>
      <c r="G1302" s="117"/>
      <c r="H1302" s="93"/>
      <c r="I1302" s="41"/>
      <c r="J1302" s="136"/>
    </row>
    <row r="1303" spans="1:10" x14ac:dyDescent="0.35">
      <c r="A1303" s="92"/>
      <c r="F1303" s="177"/>
      <c r="G1303" s="117"/>
      <c r="H1303" s="93"/>
      <c r="I1303" s="41"/>
      <c r="J1303" s="136"/>
    </row>
    <row r="1304" spans="1:10" x14ac:dyDescent="0.35">
      <c r="A1304" s="92"/>
      <c r="F1304" s="177"/>
      <c r="G1304" s="117"/>
      <c r="H1304" s="93"/>
      <c r="I1304" s="41"/>
      <c r="J1304" s="136"/>
    </row>
    <row r="1305" spans="1:10" x14ac:dyDescent="0.35">
      <c r="A1305" s="92"/>
      <c r="F1305" s="177"/>
      <c r="G1305" s="117"/>
      <c r="H1305" s="93"/>
      <c r="I1305" s="41"/>
      <c r="J1305" s="136"/>
    </row>
    <row r="1306" spans="1:10" x14ac:dyDescent="0.35">
      <c r="A1306" s="92"/>
      <c r="F1306" s="177"/>
      <c r="G1306" s="117"/>
      <c r="H1306" s="93"/>
      <c r="I1306" s="41"/>
      <c r="J1306" s="136"/>
    </row>
    <row r="1307" spans="1:10" x14ac:dyDescent="0.35">
      <c r="A1307" s="92"/>
      <c r="F1307" s="177"/>
      <c r="G1307" s="117"/>
      <c r="H1307" s="93"/>
      <c r="I1307" s="41"/>
      <c r="J1307" s="136"/>
    </row>
    <row r="1308" spans="1:10" x14ac:dyDescent="0.35">
      <c r="A1308" s="92"/>
      <c r="F1308" s="177"/>
      <c r="G1308" s="117"/>
      <c r="H1308" s="93"/>
      <c r="I1308" s="41"/>
      <c r="J1308" s="136"/>
    </row>
    <row r="1309" spans="1:10" x14ac:dyDescent="0.35">
      <c r="A1309" s="92"/>
      <c r="F1309" s="177"/>
      <c r="G1309" s="117"/>
      <c r="H1309" s="93"/>
      <c r="I1309" s="41"/>
      <c r="J1309" s="136"/>
    </row>
    <row r="1310" spans="1:10" x14ac:dyDescent="0.35">
      <c r="A1310" s="92"/>
      <c r="F1310" s="177"/>
      <c r="G1310" s="117"/>
      <c r="H1310" s="93"/>
      <c r="I1310" s="41"/>
      <c r="J1310" s="136"/>
    </row>
    <row r="1311" spans="1:10" x14ac:dyDescent="0.35">
      <c r="A1311" s="92"/>
      <c r="F1311" s="177"/>
      <c r="G1311" s="117"/>
      <c r="H1311" s="93"/>
      <c r="I1311" s="41"/>
      <c r="J1311" s="136"/>
    </row>
    <row r="1312" spans="1:10" x14ac:dyDescent="0.35">
      <c r="A1312" s="92"/>
      <c r="F1312" s="177"/>
      <c r="G1312" s="117"/>
      <c r="H1312" s="93"/>
      <c r="I1312" s="41"/>
      <c r="J1312" s="136"/>
    </row>
    <row r="1313" spans="1:10" x14ac:dyDescent="0.35">
      <c r="A1313" s="92"/>
      <c r="F1313" s="177"/>
      <c r="G1313" s="117"/>
      <c r="H1313" s="93"/>
      <c r="I1313" s="41"/>
      <c r="J1313" s="136"/>
    </row>
    <row r="1314" spans="1:10" x14ac:dyDescent="0.35">
      <c r="A1314" s="92"/>
      <c r="F1314" s="177"/>
      <c r="G1314" s="117"/>
      <c r="H1314" s="93"/>
      <c r="I1314" s="41"/>
      <c r="J1314" s="136"/>
    </row>
    <row r="1315" spans="1:10" x14ac:dyDescent="0.35">
      <c r="A1315" s="92"/>
      <c r="F1315" s="177"/>
      <c r="G1315" s="117"/>
      <c r="H1315" s="93"/>
      <c r="I1315" s="41"/>
      <c r="J1315" s="136"/>
    </row>
    <row r="1316" spans="1:10" x14ac:dyDescent="0.35">
      <c r="A1316" s="92"/>
      <c r="F1316" s="177"/>
      <c r="G1316" s="117"/>
      <c r="H1316" s="93"/>
      <c r="I1316" s="41"/>
      <c r="J1316" s="136"/>
    </row>
    <row r="1317" spans="1:10" x14ac:dyDescent="0.35">
      <c r="A1317" s="92"/>
      <c r="F1317" s="177"/>
      <c r="G1317" s="117"/>
      <c r="H1317" s="93"/>
      <c r="I1317" s="41"/>
      <c r="J1317" s="136"/>
    </row>
    <row r="1318" spans="1:10" x14ac:dyDescent="0.35">
      <c r="A1318" s="92"/>
      <c r="F1318" s="177"/>
      <c r="G1318" s="117"/>
      <c r="H1318" s="93"/>
      <c r="I1318" s="41"/>
      <c r="J1318" s="136"/>
    </row>
    <row r="1319" spans="1:10" x14ac:dyDescent="0.35">
      <c r="A1319" s="92"/>
      <c r="F1319" s="177"/>
      <c r="G1319" s="117"/>
      <c r="H1319" s="93"/>
      <c r="I1319" s="41"/>
      <c r="J1319" s="136"/>
    </row>
    <row r="1320" spans="1:10" x14ac:dyDescent="0.35">
      <c r="A1320" s="92"/>
      <c r="F1320" s="177"/>
      <c r="G1320" s="117"/>
      <c r="H1320" s="93"/>
      <c r="I1320" s="41"/>
      <c r="J1320" s="136"/>
    </row>
    <row r="1321" spans="1:10" x14ac:dyDescent="0.35">
      <c r="A1321" s="92"/>
      <c r="F1321" s="177"/>
      <c r="G1321" s="117"/>
      <c r="H1321" s="93"/>
      <c r="I1321" s="41"/>
      <c r="J1321" s="136"/>
    </row>
    <row r="1322" spans="1:10" x14ac:dyDescent="0.35">
      <c r="A1322" s="92"/>
      <c r="F1322" s="177"/>
      <c r="G1322" s="117"/>
      <c r="H1322" s="93"/>
      <c r="I1322" s="41"/>
      <c r="J1322" s="136"/>
    </row>
    <row r="1323" spans="1:10" x14ac:dyDescent="0.35">
      <c r="A1323" s="92"/>
      <c r="F1323" s="177"/>
      <c r="G1323" s="117"/>
      <c r="H1323" s="93"/>
      <c r="I1323" s="41"/>
      <c r="J1323" s="136"/>
    </row>
    <row r="1324" spans="1:10" x14ac:dyDescent="0.35">
      <c r="A1324" s="92"/>
      <c r="F1324" s="177"/>
      <c r="G1324" s="117"/>
      <c r="H1324" s="93"/>
      <c r="I1324" s="41"/>
      <c r="J1324" s="136"/>
    </row>
    <row r="1325" spans="1:10" x14ac:dyDescent="0.35">
      <c r="A1325" s="92"/>
      <c r="F1325" s="177"/>
      <c r="G1325" s="117"/>
      <c r="H1325" s="93"/>
      <c r="I1325" s="41"/>
      <c r="J1325" s="136"/>
    </row>
    <row r="1326" spans="1:10" x14ac:dyDescent="0.35">
      <c r="A1326" s="92"/>
      <c r="F1326" s="177"/>
      <c r="G1326" s="117"/>
      <c r="H1326" s="93"/>
      <c r="I1326" s="41"/>
      <c r="J1326" s="136"/>
    </row>
    <row r="1327" spans="1:10" x14ac:dyDescent="0.35">
      <c r="A1327" s="92"/>
      <c r="F1327" s="177"/>
      <c r="G1327" s="117"/>
      <c r="H1327" s="93"/>
      <c r="I1327" s="41"/>
      <c r="J1327" s="136"/>
    </row>
    <row r="1328" spans="1:10" x14ac:dyDescent="0.35">
      <c r="A1328" s="92"/>
      <c r="F1328" s="177"/>
      <c r="G1328" s="117"/>
      <c r="H1328" s="93"/>
      <c r="I1328" s="41"/>
      <c r="J1328" s="136"/>
    </row>
    <row r="1329" spans="1:10" x14ac:dyDescent="0.35">
      <c r="A1329" s="92"/>
      <c r="F1329" s="177"/>
      <c r="G1329" s="117"/>
      <c r="H1329" s="93"/>
      <c r="I1329" s="41"/>
      <c r="J1329" s="136"/>
    </row>
    <row r="1330" spans="1:10" x14ac:dyDescent="0.35">
      <c r="A1330" s="92"/>
      <c r="F1330" s="177"/>
      <c r="G1330" s="117"/>
      <c r="H1330" s="93"/>
      <c r="I1330" s="41"/>
      <c r="J1330" s="136"/>
    </row>
    <row r="1331" spans="1:10" x14ac:dyDescent="0.35">
      <c r="A1331" s="92"/>
      <c r="F1331" s="177"/>
      <c r="G1331" s="117"/>
      <c r="H1331" s="93"/>
      <c r="I1331" s="41"/>
      <c r="J1331" s="136"/>
    </row>
    <row r="1332" spans="1:10" x14ac:dyDescent="0.35">
      <c r="A1332" s="92"/>
      <c r="F1332" s="177"/>
      <c r="G1332" s="117"/>
      <c r="H1332" s="93"/>
      <c r="I1332" s="41"/>
      <c r="J1332" s="136"/>
    </row>
    <row r="1333" spans="1:10" x14ac:dyDescent="0.35">
      <c r="A1333" s="92"/>
      <c r="F1333" s="177"/>
      <c r="G1333" s="117"/>
      <c r="H1333" s="93"/>
      <c r="I1333" s="41"/>
      <c r="J1333" s="136"/>
    </row>
    <row r="1334" spans="1:10" x14ac:dyDescent="0.35">
      <c r="A1334" s="92"/>
      <c r="F1334" s="177"/>
      <c r="G1334" s="117"/>
      <c r="H1334" s="93"/>
      <c r="I1334" s="41"/>
      <c r="J1334" s="136"/>
    </row>
    <row r="1335" spans="1:10" x14ac:dyDescent="0.35">
      <c r="A1335" s="92"/>
      <c r="F1335" s="177"/>
      <c r="G1335" s="117"/>
      <c r="H1335" s="93"/>
      <c r="I1335" s="41"/>
      <c r="J1335" s="136"/>
    </row>
    <row r="1336" spans="1:10" x14ac:dyDescent="0.35">
      <c r="A1336" s="92"/>
      <c r="F1336" s="177"/>
      <c r="G1336" s="117"/>
      <c r="H1336" s="93"/>
      <c r="I1336" s="41"/>
      <c r="J1336" s="136"/>
    </row>
    <row r="1337" spans="1:10" x14ac:dyDescent="0.35">
      <c r="A1337" s="92"/>
      <c r="F1337" s="177"/>
      <c r="G1337" s="117"/>
      <c r="H1337" s="93"/>
      <c r="I1337" s="41"/>
      <c r="J1337" s="136"/>
    </row>
    <row r="1338" spans="1:10" x14ac:dyDescent="0.35">
      <c r="A1338" s="92"/>
      <c r="F1338" s="177"/>
      <c r="G1338" s="117"/>
      <c r="H1338" s="93"/>
      <c r="I1338" s="41"/>
      <c r="J1338" s="136"/>
    </row>
    <row r="1339" spans="1:10" x14ac:dyDescent="0.35">
      <c r="A1339" s="92"/>
      <c r="F1339" s="177"/>
      <c r="G1339" s="117"/>
      <c r="H1339" s="93"/>
      <c r="I1339" s="41"/>
      <c r="J1339" s="136"/>
    </row>
    <row r="1340" spans="1:10" x14ac:dyDescent="0.35">
      <c r="A1340" s="92"/>
      <c r="F1340" s="177"/>
      <c r="G1340" s="117"/>
      <c r="H1340" s="93"/>
      <c r="I1340" s="41"/>
      <c r="J1340" s="136"/>
    </row>
    <row r="1341" spans="1:10" x14ac:dyDescent="0.35">
      <c r="A1341" s="92"/>
      <c r="F1341" s="177"/>
      <c r="G1341" s="117"/>
      <c r="H1341" s="93"/>
      <c r="I1341" s="41"/>
      <c r="J1341" s="136"/>
    </row>
    <row r="1342" spans="1:10" x14ac:dyDescent="0.35">
      <c r="A1342" s="92"/>
      <c r="F1342" s="177"/>
      <c r="G1342" s="117"/>
      <c r="H1342" s="93"/>
      <c r="I1342" s="41"/>
      <c r="J1342" s="136"/>
    </row>
    <row r="1343" spans="1:10" x14ac:dyDescent="0.35">
      <c r="A1343" s="92"/>
      <c r="F1343" s="177"/>
      <c r="G1343" s="117"/>
      <c r="H1343" s="93"/>
      <c r="I1343" s="41"/>
      <c r="J1343" s="136"/>
    </row>
    <row r="1344" spans="1:10" x14ac:dyDescent="0.35">
      <c r="A1344" s="92"/>
      <c r="F1344" s="177"/>
      <c r="G1344" s="117"/>
      <c r="H1344" s="93"/>
      <c r="I1344" s="41"/>
      <c r="J1344" s="136"/>
    </row>
    <row r="1345" spans="1:10" x14ac:dyDescent="0.35">
      <c r="A1345" s="92"/>
      <c r="F1345" s="177"/>
      <c r="G1345" s="117"/>
      <c r="H1345" s="93"/>
      <c r="I1345" s="41"/>
      <c r="J1345" s="136"/>
    </row>
    <row r="1346" spans="1:10" x14ac:dyDescent="0.35">
      <c r="A1346" s="92"/>
      <c r="F1346" s="177"/>
      <c r="G1346" s="117"/>
      <c r="H1346" s="93"/>
      <c r="I1346" s="41"/>
      <c r="J1346" s="136"/>
    </row>
    <row r="1347" spans="1:10" x14ac:dyDescent="0.35">
      <c r="A1347" s="92"/>
      <c r="F1347" s="177"/>
      <c r="G1347" s="117"/>
      <c r="H1347" s="93"/>
      <c r="I1347" s="41"/>
      <c r="J1347" s="136"/>
    </row>
    <row r="1348" spans="1:10" x14ac:dyDescent="0.35">
      <c r="A1348" s="92"/>
      <c r="F1348" s="177"/>
      <c r="G1348" s="117"/>
      <c r="H1348" s="93"/>
      <c r="I1348" s="41"/>
      <c r="J1348" s="136"/>
    </row>
    <row r="1349" spans="1:10" x14ac:dyDescent="0.35">
      <c r="A1349" s="92"/>
      <c r="F1349" s="177"/>
      <c r="G1349" s="117"/>
      <c r="H1349" s="93"/>
      <c r="I1349" s="41"/>
      <c r="J1349" s="136"/>
    </row>
    <row r="1350" spans="1:10" x14ac:dyDescent="0.35">
      <c r="A1350" s="92"/>
      <c r="F1350" s="177"/>
      <c r="G1350" s="117"/>
      <c r="H1350" s="93"/>
      <c r="I1350" s="41"/>
      <c r="J1350" s="136"/>
    </row>
    <row r="1351" spans="1:10" x14ac:dyDescent="0.35">
      <c r="A1351" s="92"/>
      <c r="F1351" s="177"/>
      <c r="G1351" s="117"/>
      <c r="H1351" s="93"/>
      <c r="I1351" s="41"/>
      <c r="J1351" s="136"/>
    </row>
    <row r="1352" spans="1:10" x14ac:dyDescent="0.35">
      <c r="A1352" s="92"/>
      <c r="F1352" s="177"/>
      <c r="G1352" s="117"/>
      <c r="H1352" s="93"/>
      <c r="I1352" s="41"/>
      <c r="J1352" s="136"/>
    </row>
    <row r="1353" spans="1:10" x14ac:dyDescent="0.35">
      <c r="A1353" s="92"/>
      <c r="F1353" s="177"/>
      <c r="G1353" s="117"/>
      <c r="H1353" s="93"/>
      <c r="I1353" s="41"/>
      <c r="J1353" s="136"/>
    </row>
    <row r="1354" spans="1:10" x14ac:dyDescent="0.35">
      <c r="A1354" s="92"/>
      <c r="F1354" s="177"/>
      <c r="G1354" s="117"/>
      <c r="H1354" s="93"/>
      <c r="I1354" s="41"/>
      <c r="J1354" s="136"/>
    </row>
    <row r="1355" spans="1:10" x14ac:dyDescent="0.35">
      <c r="A1355" s="92"/>
      <c r="F1355" s="177"/>
      <c r="G1355" s="117"/>
      <c r="H1355" s="93"/>
      <c r="I1355" s="41"/>
      <c r="J1355" s="136"/>
    </row>
    <row r="1356" spans="1:10" x14ac:dyDescent="0.35">
      <c r="A1356" s="92"/>
      <c r="F1356" s="177"/>
      <c r="G1356" s="117"/>
      <c r="H1356" s="93"/>
      <c r="I1356" s="41"/>
      <c r="J1356" s="136"/>
    </row>
    <row r="1357" spans="1:10" x14ac:dyDescent="0.35">
      <c r="A1357" s="92"/>
      <c r="F1357" s="177"/>
      <c r="G1357" s="117"/>
      <c r="H1357" s="93"/>
      <c r="I1357" s="41"/>
      <c r="J1357" s="136"/>
    </row>
    <row r="1358" spans="1:10" x14ac:dyDescent="0.35">
      <c r="A1358" s="92"/>
      <c r="F1358" s="177"/>
      <c r="G1358" s="117"/>
      <c r="H1358" s="93"/>
      <c r="I1358" s="41"/>
      <c r="J1358" s="136"/>
    </row>
    <row r="1359" spans="1:10" x14ac:dyDescent="0.35">
      <c r="A1359" s="92"/>
      <c r="F1359" s="177"/>
      <c r="G1359" s="117"/>
      <c r="H1359" s="93"/>
      <c r="I1359" s="41"/>
      <c r="J1359" s="136"/>
    </row>
    <row r="1360" spans="1:10" x14ac:dyDescent="0.35">
      <c r="A1360" s="92"/>
      <c r="F1360" s="177"/>
      <c r="G1360" s="117"/>
      <c r="H1360" s="93"/>
      <c r="I1360" s="41"/>
      <c r="J1360" s="136"/>
    </row>
    <row r="1361" spans="1:10" x14ac:dyDescent="0.35">
      <c r="A1361" s="92"/>
      <c r="F1361" s="177"/>
      <c r="G1361" s="117"/>
      <c r="H1361" s="93"/>
      <c r="I1361" s="41"/>
      <c r="J1361" s="136"/>
    </row>
    <row r="1362" spans="1:10" x14ac:dyDescent="0.35">
      <c r="A1362" s="92"/>
      <c r="F1362" s="177"/>
      <c r="G1362" s="117"/>
      <c r="H1362" s="93"/>
      <c r="I1362" s="41"/>
      <c r="J1362" s="136"/>
    </row>
    <row r="1363" spans="1:10" x14ac:dyDescent="0.35">
      <c r="A1363" s="92"/>
      <c r="F1363" s="177"/>
      <c r="G1363" s="117"/>
      <c r="H1363" s="93"/>
      <c r="I1363" s="41"/>
      <c r="J1363" s="136"/>
    </row>
    <row r="1364" spans="1:10" x14ac:dyDescent="0.35">
      <c r="A1364" s="92"/>
      <c r="F1364" s="177"/>
      <c r="G1364" s="117"/>
      <c r="H1364" s="93"/>
      <c r="I1364" s="41"/>
      <c r="J1364" s="136"/>
    </row>
    <row r="1365" spans="1:10" x14ac:dyDescent="0.35">
      <c r="A1365" s="92"/>
      <c r="F1365" s="177"/>
      <c r="G1365" s="117"/>
      <c r="H1365" s="93"/>
      <c r="I1365" s="41"/>
      <c r="J1365" s="136"/>
    </row>
    <row r="1366" spans="1:10" x14ac:dyDescent="0.35">
      <c r="A1366" s="92"/>
      <c r="F1366" s="177"/>
      <c r="G1366" s="117"/>
      <c r="H1366" s="93"/>
      <c r="I1366" s="41"/>
      <c r="J1366" s="136"/>
    </row>
    <row r="1367" spans="1:10" x14ac:dyDescent="0.35">
      <c r="A1367" s="92"/>
      <c r="F1367" s="177"/>
      <c r="G1367" s="117"/>
      <c r="H1367" s="93"/>
      <c r="I1367" s="41"/>
      <c r="J1367" s="136"/>
    </row>
    <row r="1368" spans="1:10" x14ac:dyDescent="0.35">
      <c r="A1368" s="92"/>
      <c r="F1368" s="177"/>
      <c r="G1368" s="117"/>
      <c r="H1368" s="93"/>
      <c r="I1368" s="41"/>
      <c r="J1368" s="136"/>
    </row>
    <row r="1369" spans="1:10" x14ac:dyDescent="0.35">
      <c r="A1369" s="92"/>
      <c r="F1369" s="177"/>
      <c r="G1369" s="117"/>
      <c r="H1369" s="93"/>
      <c r="I1369" s="41"/>
      <c r="J1369" s="136"/>
    </row>
    <row r="1370" spans="1:10" x14ac:dyDescent="0.35">
      <c r="A1370" s="92"/>
      <c r="F1370" s="177"/>
      <c r="G1370" s="117"/>
      <c r="H1370" s="93"/>
      <c r="I1370" s="41"/>
      <c r="J1370" s="136"/>
    </row>
    <row r="1371" spans="1:10" x14ac:dyDescent="0.35">
      <c r="A1371" s="92"/>
      <c r="F1371" s="177"/>
      <c r="G1371" s="117"/>
      <c r="H1371" s="93"/>
      <c r="I1371" s="41"/>
      <c r="J1371" s="136"/>
    </row>
    <row r="1372" spans="1:10" x14ac:dyDescent="0.35">
      <c r="A1372" s="92"/>
      <c r="F1372" s="177"/>
      <c r="G1372" s="117"/>
      <c r="H1372" s="93"/>
      <c r="I1372" s="41"/>
      <c r="J1372" s="136"/>
    </row>
    <row r="1373" spans="1:10" x14ac:dyDescent="0.35">
      <c r="A1373" s="92"/>
      <c r="F1373" s="177"/>
      <c r="G1373" s="117"/>
      <c r="H1373" s="93"/>
      <c r="I1373" s="41"/>
      <c r="J1373" s="136"/>
    </row>
    <row r="1374" spans="1:10" x14ac:dyDescent="0.35">
      <c r="A1374" s="92"/>
      <c r="F1374" s="177"/>
      <c r="G1374" s="117"/>
      <c r="H1374" s="93"/>
      <c r="I1374" s="41"/>
      <c r="J1374" s="136"/>
    </row>
    <row r="1375" spans="1:10" x14ac:dyDescent="0.35">
      <c r="A1375" s="92"/>
      <c r="F1375" s="177"/>
      <c r="G1375" s="117"/>
      <c r="H1375" s="93"/>
      <c r="I1375" s="41"/>
      <c r="J1375" s="136"/>
    </row>
    <row r="1376" spans="1:10" x14ac:dyDescent="0.35">
      <c r="A1376" s="92"/>
      <c r="F1376" s="177"/>
      <c r="G1376" s="117"/>
      <c r="H1376" s="93"/>
      <c r="I1376" s="41"/>
      <c r="J1376" s="136"/>
    </row>
    <row r="1377" spans="1:10" x14ac:dyDescent="0.35">
      <c r="A1377" s="92"/>
      <c r="F1377" s="177"/>
      <c r="G1377" s="117"/>
      <c r="H1377" s="93"/>
      <c r="I1377" s="41"/>
      <c r="J1377" s="136"/>
    </row>
    <row r="1378" spans="1:10" x14ac:dyDescent="0.35">
      <c r="A1378" s="92"/>
      <c r="F1378" s="177"/>
      <c r="G1378" s="117"/>
      <c r="H1378" s="93"/>
      <c r="I1378" s="41"/>
      <c r="J1378" s="136"/>
    </row>
    <row r="1379" spans="1:10" x14ac:dyDescent="0.35">
      <c r="A1379" s="92"/>
      <c r="F1379" s="177"/>
      <c r="G1379" s="117"/>
      <c r="H1379" s="93"/>
      <c r="I1379" s="41"/>
      <c r="J1379" s="136"/>
    </row>
    <row r="1380" spans="1:10" x14ac:dyDescent="0.35">
      <c r="A1380" s="92"/>
      <c r="F1380" s="177"/>
      <c r="G1380" s="117"/>
      <c r="H1380" s="93"/>
      <c r="I1380" s="41"/>
      <c r="J1380" s="136"/>
    </row>
    <row r="1381" spans="1:10" x14ac:dyDescent="0.35">
      <c r="A1381" s="92"/>
      <c r="F1381" s="177"/>
      <c r="G1381" s="117"/>
      <c r="H1381" s="93"/>
      <c r="I1381" s="41"/>
      <c r="J1381" s="136"/>
    </row>
    <row r="1382" spans="1:10" x14ac:dyDescent="0.35">
      <c r="A1382" s="92"/>
      <c r="F1382" s="177"/>
      <c r="G1382" s="117"/>
      <c r="H1382" s="93"/>
      <c r="I1382" s="41"/>
      <c r="J1382" s="136"/>
    </row>
    <row r="1383" spans="1:10" x14ac:dyDescent="0.35">
      <c r="A1383" s="92"/>
      <c r="F1383" s="177"/>
      <c r="G1383" s="117"/>
      <c r="H1383" s="93"/>
      <c r="I1383" s="41"/>
      <c r="J1383" s="136"/>
    </row>
    <row r="1384" spans="1:10" x14ac:dyDescent="0.35">
      <c r="A1384" s="92"/>
      <c r="F1384" s="177"/>
      <c r="G1384" s="117"/>
      <c r="H1384" s="93"/>
      <c r="I1384" s="41"/>
      <c r="J1384" s="136"/>
    </row>
    <row r="1385" spans="1:10" x14ac:dyDescent="0.35">
      <c r="A1385" s="92"/>
      <c r="F1385" s="177"/>
      <c r="G1385" s="117"/>
      <c r="H1385" s="93"/>
      <c r="I1385" s="41"/>
      <c r="J1385" s="136"/>
    </row>
    <row r="1386" spans="1:10" x14ac:dyDescent="0.35">
      <c r="A1386" s="92"/>
      <c r="F1386" s="177"/>
      <c r="G1386" s="117"/>
      <c r="H1386" s="93"/>
      <c r="I1386" s="41"/>
      <c r="J1386" s="136"/>
    </row>
    <row r="1387" spans="1:10" x14ac:dyDescent="0.35">
      <c r="A1387" s="92"/>
      <c r="F1387" s="177"/>
      <c r="G1387" s="117"/>
      <c r="H1387" s="93"/>
      <c r="I1387" s="41"/>
      <c r="J1387" s="136"/>
    </row>
    <row r="1388" spans="1:10" x14ac:dyDescent="0.35">
      <c r="A1388" s="92"/>
      <c r="F1388" s="177"/>
      <c r="G1388" s="117"/>
      <c r="H1388" s="93"/>
      <c r="I1388" s="41"/>
      <c r="J1388" s="136"/>
    </row>
    <row r="1389" spans="1:10" x14ac:dyDescent="0.35">
      <c r="A1389" s="92"/>
      <c r="F1389" s="177"/>
      <c r="G1389" s="117"/>
      <c r="H1389" s="93"/>
      <c r="I1389" s="41"/>
      <c r="J1389" s="136"/>
    </row>
    <row r="1390" spans="1:10" x14ac:dyDescent="0.35">
      <c r="A1390" s="92"/>
      <c r="F1390" s="177"/>
      <c r="G1390" s="117"/>
      <c r="H1390" s="93"/>
      <c r="I1390" s="41"/>
      <c r="J1390" s="136"/>
    </row>
    <row r="1391" spans="1:10" x14ac:dyDescent="0.35">
      <c r="A1391" s="92"/>
      <c r="F1391" s="177"/>
      <c r="G1391" s="117"/>
      <c r="H1391" s="93"/>
      <c r="I1391" s="41"/>
      <c r="J1391" s="136"/>
    </row>
    <row r="1392" spans="1:10" x14ac:dyDescent="0.35">
      <c r="A1392" s="92"/>
      <c r="F1392" s="177"/>
      <c r="G1392" s="117"/>
      <c r="H1392" s="93"/>
      <c r="I1392" s="41"/>
      <c r="J1392" s="136"/>
    </row>
    <row r="1393" spans="1:10" x14ac:dyDescent="0.35">
      <c r="A1393" s="92"/>
      <c r="F1393" s="177"/>
      <c r="G1393" s="117"/>
      <c r="H1393" s="93"/>
      <c r="I1393" s="41"/>
      <c r="J1393" s="136"/>
    </row>
    <row r="1394" spans="1:10" x14ac:dyDescent="0.35">
      <c r="A1394" s="92"/>
      <c r="F1394" s="177"/>
      <c r="G1394" s="117"/>
      <c r="H1394" s="93"/>
      <c r="I1394" s="41"/>
      <c r="J1394" s="136"/>
    </row>
    <row r="1395" spans="1:10" x14ac:dyDescent="0.35">
      <c r="A1395" s="92"/>
      <c r="F1395" s="177"/>
      <c r="G1395" s="117"/>
      <c r="H1395" s="93"/>
      <c r="I1395" s="41"/>
      <c r="J1395" s="136"/>
    </row>
    <row r="1396" spans="1:10" x14ac:dyDescent="0.35">
      <c r="A1396" s="92"/>
      <c r="F1396" s="177"/>
      <c r="G1396" s="117"/>
      <c r="H1396" s="93"/>
      <c r="I1396" s="41"/>
      <c r="J1396" s="136"/>
    </row>
    <row r="1397" spans="1:10" x14ac:dyDescent="0.35">
      <c r="A1397" s="92"/>
      <c r="F1397" s="177"/>
      <c r="G1397" s="117"/>
      <c r="H1397" s="93"/>
      <c r="I1397" s="41"/>
      <c r="J1397" s="136"/>
    </row>
    <row r="1398" spans="1:10" x14ac:dyDescent="0.35">
      <c r="A1398" s="92"/>
      <c r="F1398" s="177"/>
      <c r="G1398" s="117"/>
      <c r="H1398" s="93"/>
      <c r="I1398" s="41"/>
      <c r="J1398" s="136"/>
    </row>
    <row r="1399" spans="1:10" x14ac:dyDescent="0.35">
      <c r="A1399" s="92"/>
      <c r="F1399" s="177"/>
      <c r="G1399" s="117"/>
      <c r="H1399" s="93"/>
      <c r="I1399" s="41"/>
      <c r="J1399" s="136"/>
    </row>
    <row r="1400" spans="1:10" x14ac:dyDescent="0.35">
      <c r="A1400" s="92"/>
      <c r="F1400" s="177"/>
      <c r="G1400" s="117"/>
      <c r="H1400" s="93"/>
      <c r="I1400" s="41"/>
      <c r="J1400" s="136"/>
    </row>
    <row r="1401" spans="1:10" x14ac:dyDescent="0.35">
      <c r="A1401" s="92"/>
      <c r="F1401" s="177"/>
      <c r="G1401" s="117"/>
      <c r="H1401" s="93"/>
      <c r="I1401" s="41"/>
      <c r="J1401" s="136"/>
    </row>
    <row r="1402" spans="1:10" x14ac:dyDescent="0.35">
      <c r="A1402" s="92"/>
      <c r="F1402" s="177"/>
      <c r="G1402" s="117"/>
      <c r="H1402" s="93"/>
      <c r="I1402" s="41"/>
      <c r="J1402" s="136"/>
    </row>
    <row r="1403" spans="1:10" x14ac:dyDescent="0.35">
      <c r="A1403" s="92"/>
      <c r="F1403" s="177"/>
      <c r="G1403" s="117"/>
      <c r="H1403" s="93"/>
      <c r="I1403" s="41"/>
      <c r="J1403" s="136"/>
    </row>
    <row r="1404" spans="1:10" x14ac:dyDescent="0.35">
      <c r="A1404" s="92"/>
      <c r="F1404" s="177"/>
      <c r="G1404" s="117"/>
      <c r="H1404" s="93"/>
      <c r="I1404" s="41"/>
      <c r="J1404" s="136"/>
    </row>
    <row r="1405" spans="1:10" x14ac:dyDescent="0.35">
      <c r="A1405" s="92"/>
      <c r="F1405" s="177"/>
      <c r="G1405" s="117"/>
      <c r="H1405" s="93"/>
      <c r="I1405" s="41"/>
      <c r="J1405" s="136"/>
    </row>
    <row r="1406" spans="1:10" x14ac:dyDescent="0.35">
      <c r="A1406" s="92"/>
      <c r="F1406" s="177"/>
      <c r="G1406" s="117"/>
      <c r="H1406" s="93"/>
      <c r="I1406" s="41"/>
      <c r="J1406" s="136"/>
    </row>
    <row r="1407" spans="1:10" x14ac:dyDescent="0.35">
      <c r="A1407" s="92"/>
      <c r="F1407" s="177"/>
      <c r="G1407" s="117"/>
      <c r="H1407" s="93"/>
      <c r="I1407" s="41"/>
      <c r="J1407" s="136"/>
    </row>
    <row r="1408" spans="1:10" x14ac:dyDescent="0.35">
      <c r="A1408" s="92"/>
      <c r="F1408" s="177"/>
      <c r="G1408" s="117"/>
      <c r="H1408" s="93"/>
      <c r="I1408" s="41"/>
      <c r="J1408" s="136"/>
    </row>
    <row r="1409" spans="1:10" x14ac:dyDescent="0.35">
      <c r="A1409" s="92"/>
      <c r="F1409" s="177"/>
      <c r="G1409" s="117"/>
      <c r="H1409" s="93"/>
      <c r="I1409" s="41"/>
      <c r="J1409" s="136"/>
    </row>
    <row r="1410" spans="1:10" x14ac:dyDescent="0.35">
      <c r="A1410" s="92"/>
      <c r="F1410" s="177"/>
      <c r="G1410" s="117"/>
      <c r="H1410" s="93"/>
      <c r="I1410" s="41"/>
      <c r="J1410" s="136"/>
    </row>
    <row r="1411" spans="1:10" x14ac:dyDescent="0.35">
      <c r="A1411" s="92"/>
      <c r="F1411" s="177"/>
      <c r="G1411" s="117"/>
      <c r="H1411" s="93"/>
      <c r="I1411" s="41"/>
      <c r="J1411" s="136"/>
    </row>
    <row r="1412" spans="1:10" x14ac:dyDescent="0.35">
      <c r="A1412" s="92"/>
      <c r="F1412" s="177"/>
      <c r="G1412" s="117"/>
      <c r="H1412" s="93"/>
      <c r="I1412" s="41"/>
      <c r="J1412" s="136"/>
    </row>
    <row r="1413" spans="1:10" x14ac:dyDescent="0.35">
      <c r="A1413" s="92"/>
      <c r="F1413" s="177"/>
      <c r="G1413" s="117"/>
      <c r="H1413" s="93"/>
      <c r="I1413" s="41"/>
      <c r="J1413" s="136"/>
    </row>
    <row r="1414" spans="1:10" x14ac:dyDescent="0.35">
      <c r="A1414" s="92"/>
      <c r="F1414" s="177"/>
      <c r="G1414" s="117"/>
      <c r="H1414" s="93"/>
      <c r="I1414" s="41"/>
      <c r="J1414" s="136"/>
    </row>
    <row r="1415" spans="1:10" x14ac:dyDescent="0.35">
      <c r="A1415" s="92"/>
      <c r="F1415" s="177"/>
      <c r="G1415" s="117"/>
      <c r="H1415" s="93"/>
      <c r="I1415" s="41"/>
      <c r="J1415" s="136"/>
    </row>
    <row r="1416" spans="1:10" x14ac:dyDescent="0.35">
      <c r="A1416" s="92"/>
      <c r="F1416" s="177"/>
      <c r="G1416" s="117"/>
      <c r="H1416" s="93"/>
      <c r="I1416" s="41"/>
      <c r="J1416" s="136"/>
    </row>
    <row r="1417" spans="1:10" x14ac:dyDescent="0.35">
      <c r="A1417" s="92"/>
      <c r="F1417" s="177"/>
      <c r="G1417" s="117"/>
      <c r="H1417" s="93"/>
      <c r="I1417" s="41"/>
      <c r="J1417" s="136"/>
    </row>
    <row r="1418" spans="1:10" x14ac:dyDescent="0.35">
      <c r="A1418" s="92"/>
      <c r="F1418" s="177"/>
      <c r="G1418" s="117"/>
      <c r="H1418" s="93"/>
      <c r="I1418" s="41"/>
      <c r="J1418" s="136"/>
    </row>
    <row r="1419" spans="1:10" x14ac:dyDescent="0.35">
      <c r="A1419" s="92"/>
      <c r="F1419" s="177"/>
      <c r="G1419" s="117"/>
      <c r="H1419" s="93"/>
      <c r="I1419" s="41"/>
      <c r="J1419" s="136"/>
    </row>
    <row r="1420" spans="1:10" x14ac:dyDescent="0.35">
      <c r="A1420" s="92"/>
      <c r="F1420" s="177"/>
      <c r="G1420" s="117"/>
      <c r="H1420" s="93"/>
      <c r="I1420" s="41"/>
      <c r="J1420" s="136"/>
    </row>
    <row r="1421" spans="1:10" x14ac:dyDescent="0.35">
      <c r="A1421" s="92"/>
      <c r="F1421" s="177"/>
      <c r="G1421" s="117"/>
      <c r="H1421" s="93"/>
      <c r="I1421" s="41"/>
      <c r="J1421" s="136"/>
    </row>
    <row r="1422" spans="1:10" x14ac:dyDescent="0.35">
      <c r="A1422" s="92"/>
      <c r="F1422" s="177"/>
      <c r="G1422" s="117"/>
      <c r="H1422" s="93"/>
      <c r="I1422" s="41"/>
      <c r="J1422" s="136"/>
    </row>
    <row r="1423" spans="1:10" x14ac:dyDescent="0.35">
      <c r="A1423" s="92"/>
      <c r="F1423" s="177"/>
      <c r="G1423" s="117"/>
      <c r="H1423" s="93"/>
      <c r="I1423" s="41"/>
      <c r="J1423" s="136"/>
    </row>
    <row r="1424" spans="1:10" x14ac:dyDescent="0.35">
      <c r="A1424" s="92"/>
      <c r="F1424" s="177"/>
      <c r="G1424" s="117"/>
      <c r="H1424" s="93"/>
      <c r="I1424" s="41"/>
      <c r="J1424" s="136"/>
    </row>
    <row r="1425" spans="1:10" x14ac:dyDescent="0.35">
      <c r="A1425" s="92"/>
      <c r="F1425" s="177"/>
      <c r="G1425" s="117"/>
      <c r="H1425" s="93"/>
      <c r="I1425" s="41"/>
      <c r="J1425" s="136"/>
    </row>
    <row r="1426" spans="1:10" x14ac:dyDescent="0.35">
      <c r="A1426" s="92"/>
      <c r="F1426" s="177"/>
      <c r="G1426" s="117"/>
      <c r="H1426" s="93"/>
      <c r="I1426" s="41"/>
      <c r="J1426" s="136"/>
    </row>
    <row r="1427" spans="1:10" x14ac:dyDescent="0.35">
      <c r="A1427" s="92"/>
      <c r="F1427" s="177"/>
      <c r="G1427" s="117"/>
      <c r="H1427" s="93"/>
      <c r="I1427" s="41"/>
      <c r="J1427" s="136"/>
    </row>
    <row r="1428" spans="1:10" x14ac:dyDescent="0.35">
      <c r="A1428" s="92"/>
      <c r="F1428" s="177"/>
      <c r="G1428" s="117"/>
      <c r="H1428" s="93"/>
      <c r="I1428" s="41"/>
      <c r="J1428" s="136"/>
    </row>
    <row r="1429" spans="1:10" x14ac:dyDescent="0.35">
      <c r="A1429" s="92"/>
      <c r="F1429" s="177"/>
      <c r="G1429" s="117"/>
      <c r="H1429" s="93"/>
      <c r="I1429" s="41"/>
      <c r="J1429" s="136"/>
    </row>
    <row r="1430" spans="1:10" x14ac:dyDescent="0.35">
      <c r="A1430" s="92"/>
      <c r="F1430" s="177"/>
      <c r="G1430" s="117"/>
      <c r="H1430" s="93"/>
      <c r="I1430" s="41"/>
      <c r="J1430" s="136"/>
    </row>
    <row r="1431" spans="1:10" x14ac:dyDescent="0.35">
      <c r="A1431" s="92"/>
      <c r="F1431" s="177"/>
      <c r="G1431" s="117"/>
      <c r="H1431" s="93"/>
      <c r="I1431" s="41"/>
      <c r="J1431" s="136"/>
    </row>
    <row r="1432" spans="1:10" x14ac:dyDescent="0.35">
      <c r="A1432" s="92"/>
      <c r="F1432" s="177"/>
      <c r="G1432" s="117"/>
      <c r="H1432" s="93"/>
      <c r="I1432" s="41"/>
      <c r="J1432" s="136"/>
    </row>
    <row r="1433" spans="1:10" x14ac:dyDescent="0.35">
      <c r="A1433" s="92"/>
      <c r="F1433" s="177"/>
      <c r="G1433" s="117"/>
      <c r="H1433" s="93"/>
      <c r="I1433" s="41"/>
      <c r="J1433" s="136"/>
    </row>
    <row r="1434" spans="1:10" x14ac:dyDescent="0.35">
      <c r="A1434" s="92"/>
      <c r="F1434" s="177"/>
      <c r="G1434" s="117"/>
      <c r="H1434" s="93"/>
      <c r="I1434" s="41"/>
      <c r="J1434" s="136"/>
    </row>
    <row r="1435" spans="1:10" x14ac:dyDescent="0.35">
      <c r="A1435" s="92"/>
      <c r="F1435" s="177"/>
      <c r="G1435" s="117"/>
      <c r="H1435" s="93"/>
      <c r="I1435" s="41"/>
      <c r="J1435" s="136"/>
    </row>
    <row r="1436" spans="1:10" x14ac:dyDescent="0.35">
      <c r="A1436" s="92"/>
      <c r="F1436" s="177"/>
      <c r="G1436" s="117"/>
      <c r="H1436" s="93"/>
      <c r="I1436" s="41"/>
      <c r="J1436" s="136"/>
    </row>
    <row r="1437" spans="1:10" x14ac:dyDescent="0.35">
      <c r="A1437" s="92"/>
      <c r="F1437" s="177"/>
      <c r="G1437" s="117"/>
      <c r="H1437" s="93"/>
      <c r="I1437" s="41"/>
      <c r="J1437" s="136"/>
    </row>
    <row r="1438" spans="1:10" x14ac:dyDescent="0.35">
      <c r="A1438" s="92"/>
      <c r="F1438" s="177"/>
      <c r="G1438" s="117"/>
      <c r="H1438" s="93"/>
      <c r="I1438" s="41"/>
      <c r="J1438" s="136"/>
    </row>
    <row r="1439" spans="1:10" x14ac:dyDescent="0.35">
      <c r="A1439" s="92"/>
      <c r="F1439" s="177"/>
      <c r="G1439" s="117"/>
      <c r="H1439" s="93"/>
      <c r="I1439" s="41"/>
      <c r="J1439" s="136"/>
    </row>
    <row r="1440" spans="1:10" x14ac:dyDescent="0.35">
      <c r="A1440" s="92"/>
      <c r="F1440" s="177"/>
      <c r="G1440" s="117"/>
      <c r="H1440" s="93"/>
      <c r="I1440" s="41"/>
      <c r="J1440" s="136"/>
    </row>
    <row r="1441" spans="1:10" x14ac:dyDescent="0.35">
      <c r="A1441" s="92"/>
      <c r="F1441" s="177"/>
      <c r="G1441" s="117"/>
      <c r="H1441" s="93"/>
      <c r="I1441" s="41"/>
      <c r="J1441" s="136"/>
    </row>
    <row r="1442" spans="1:10" x14ac:dyDescent="0.35">
      <c r="A1442" s="92"/>
      <c r="F1442" s="177"/>
      <c r="G1442" s="117"/>
      <c r="H1442" s="93"/>
      <c r="I1442" s="41"/>
      <c r="J1442" s="136"/>
    </row>
    <row r="1443" spans="1:10" x14ac:dyDescent="0.35">
      <c r="A1443" s="92"/>
      <c r="F1443" s="177"/>
      <c r="G1443" s="117"/>
      <c r="H1443" s="93"/>
      <c r="I1443" s="41"/>
      <c r="J1443" s="136"/>
    </row>
    <row r="1444" spans="1:10" x14ac:dyDescent="0.35">
      <c r="A1444" s="92"/>
      <c r="F1444" s="177"/>
      <c r="G1444" s="117"/>
      <c r="H1444" s="93"/>
      <c r="I1444" s="41"/>
      <c r="J1444" s="136"/>
    </row>
    <row r="1445" spans="1:10" x14ac:dyDescent="0.35">
      <c r="A1445" s="92"/>
      <c r="F1445" s="177"/>
      <c r="G1445" s="117"/>
      <c r="H1445" s="93"/>
      <c r="I1445" s="41"/>
      <c r="J1445" s="136"/>
    </row>
    <row r="1446" spans="1:10" x14ac:dyDescent="0.35">
      <c r="A1446" s="92"/>
      <c r="F1446" s="177"/>
      <c r="G1446" s="117"/>
      <c r="H1446" s="93"/>
      <c r="I1446" s="41"/>
      <c r="J1446" s="136"/>
    </row>
    <row r="1447" spans="1:10" x14ac:dyDescent="0.35">
      <c r="A1447" s="92"/>
      <c r="F1447" s="177"/>
      <c r="G1447" s="117"/>
      <c r="H1447" s="93"/>
      <c r="I1447" s="41"/>
      <c r="J1447" s="136"/>
    </row>
    <row r="1448" spans="1:10" x14ac:dyDescent="0.35">
      <c r="A1448" s="92"/>
      <c r="F1448" s="177"/>
      <c r="G1448" s="117"/>
      <c r="H1448" s="93"/>
      <c r="I1448" s="41"/>
      <c r="J1448" s="136"/>
    </row>
    <row r="1449" spans="1:10" x14ac:dyDescent="0.35">
      <c r="A1449" s="92"/>
      <c r="F1449" s="177"/>
      <c r="G1449" s="117"/>
      <c r="H1449" s="93"/>
      <c r="I1449" s="41"/>
      <c r="J1449" s="136"/>
    </row>
    <row r="1450" spans="1:10" x14ac:dyDescent="0.35">
      <c r="A1450" s="92"/>
      <c r="F1450" s="177"/>
      <c r="G1450" s="117"/>
      <c r="H1450" s="93"/>
      <c r="I1450" s="41"/>
      <c r="J1450" s="136"/>
    </row>
    <row r="1451" spans="1:10" x14ac:dyDescent="0.35">
      <c r="A1451" s="92"/>
      <c r="F1451" s="177"/>
      <c r="G1451" s="117"/>
      <c r="H1451" s="93"/>
      <c r="I1451" s="41"/>
      <c r="J1451" s="136"/>
    </row>
    <row r="1452" spans="1:10" x14ac:dyDescent="0.35">
      <c r="A1452" s="92"/>
      <c r="F1452" s="177"/>
      <c r="G1452" s="117"/>
      <c r="H1452" s="93"/>
      <c r="I1452" s="41"/>
      <c r="J1452" s="136"/>
    </row>
    <row r="1453" spans="1:10" x14ac:dyDescent="0.35">
      <c r="A1453" s="92"/>
      <c r="F1453" s="177"/>
      <c r="G1453" s="117"/>
      <c r="H1453" s="93"/>
      <c r="I1453" s="41"/>
      <c r="J1453" s="136"/>
    </row>
    <row r="1454" spans="1:10" x14ac:dyDescent="0.35">
      <c r="A1454" s="92"/>
      <c r="F1454" s="177"/>
      <c r="G1454" s="117"/>
      <c r="H1454" s="93"/>
      <c r="I1454" s="41"/>
      <c r="J1454" s="136"/>
    </row>
    <row r="1455" spans="1:10" x14ac:dyDescent="0.35">
      <c r="A1455" s="92"/>
      <c r="F1455" s="177"/>
      <c r="G1455" s="117"/>
      <c r="H1455" s="93"/>
      <c r="I1455" s="41"/>
      <c r="J1455" s="136"/>
    </row>
    <row r="1456" spans="1:10" x14ac:dyDescent="0.35">
      <c r="A1456" s="92"/>
      <c r="F1456" s="177"/>
      <c r="G1456" s="117"/>
      <c r="H1456" s="93"/>
      <c r="I1456" s="41"/>
      <c r="J1456" s="136"/>
    </row>
    <row r="1457" spans="1:10" x14ac:dyDescent="0.35">
      <c r="A1457" s="92"/>
      <c r="F1457" s="177"/>
      <c r="G1457" s="117"/>
      <c r="H1457" s="93"/>
      <c r="I1457" s="41"/>
      <c r="J1457" s="136"/>
    </row>
    <row r="1458" spans="1:10" x14ac:dyDescent="0.35">
      <c r="A1458" s="92"/>
      <c r="F1458" s="177"/>
      <c r="G1458" s="117"/>
      <c r="H1458" s="93"/>
      <c r="I1458" s="41"/>
      <c r="J1458" s="136"/>
    </row>
    <row r="1459" spans="1:10" x14ac:dyDescent="0.35">
      <c r="A1459" s="92"/>
      <c r="F1459" s="177"/>
      <c r="G1459" s="117"/>
      <c r="H1459" s="93"/>
      <c r="I1459" s="41"/>
      <c r="J1459" s="136"/>
    </row>
    <row r="1460" spans="1:10" x14ac:dyDescent="0.35">
      <c r="A1460" s="92"/>
      <c r="F1460" s="177"/>
      <c r="G1460" s="117"/>
      <c r="H1460" s="93"/>
      <c r="I1460" s="41"/>
      <c r="J1460" s="136"/>
    </row>
    <row r="1461" spans="1:10" x14ac:dyDescent="0.35">
      <c r="A1461" s="92"/>
      <c r="F1461" s="177"/>
      <c r="G1461" s="117"/>
      <c r="H1461" s="93"/>
      <c r="I1461" s="41"/>
      <c r="J1461" s="136"/>
    </row>
    <row r="1462" spans="1:10" x14ac:dyDescent="0.35">
      <c r="A1462" s="92"/>
      <c r="F1462" s="177"/>
      <c r="G1462" s="117"/>
      <c r="H1462" s="93"/>
      <c r="I1462" s="41"/>
      <c r="J1462" s="136"/>
    </row>
    <row r="1463" spans="1:10" x14ac:dyDescent="0.35">
      <c r="A1463" s="92"/>
      <c r="F1463" s="177"/>
      <c r="G1463" s="117"/>
      <c r="H1463" s="93"/>
      <c r="I1463" s="41"/>
      <c r="J1463" s="136"/>
    </row>
    <row r="1464" spans="1:10" x14ac:dyDescent="0.35">
      <c r="A1464" s="92"/>
      <c r="F1464" s="177"/>
      <c r="G1464" s="117"/>
      <c r="H1464" s="93"/>
      <c r="I1464" s="41"/>
      <c r="J1464" s="136"/>
    </row>
    <row r="1465" spans="1:10" x14ac:dyDescent="0.35">
      <c r="A1465" s="92"/>
      <c r="F1465" s="177"/>
      <c r="G1465" s="117"/>
      <c r="H1465" s="93"/>
      <c r="I1465" s="41"/>
      <c r="J1465" s="136"/>
    </row>
    <row r="1466" spans="1:10" x14ac:dyDescent="0.35">
      <c r="A1466" s="92"/>
      <c r="F1466" s="177"/>
      <c r="G1466" s="117"/>
      <c r="H1466" s="93"/>
      <c r="I1466" s="41"/>
      <c r="J1466" s="136"/>
    </row>
    <row r="1467" spans="1:10" x14ac:dyDescent="0.35">
      <c r="A1467" s="92"/>
      <c r="F1467" s="177"/>
      <c r="G1467" s="117"/>
      <c r="H1467" s="93"/>
      <c r="I1467" s="41"/>
      <c r="J1467" s="136"/>
    </row>
    <row r="1468" spans="1:10" x14ac:dyDescent="0.35">
      <c r="A1468" s="92"/>
      <c r="F1468" s="177"/>
      <c r="G1468" s="117"/>
      <c r="H1468" s="93"/>
      <c r="I1468" s="41"/>
      <c r="J1468" s="136"/>
    </row>
    <row r="1469" spans="1:10" x14ac:dyDescent="0.35">
      <c r="A1469" s="92"/>
      <c r="F1469" s="177"/>
      <c r="G1469" s="117"/>
      <c r="H1469" s="93"/>
      <c r="I1469" s="41"/>
      <c r="J1469" s="136"/>
    </row>
    <row r="1470" spans="1:10" x14ac:dyDescent="0.35">
      <c r="A1470" s="92"/>
      <c r="F1470" s="177"/>
      <c r="G1470" s="117"/>
      <c r="H1470" s="93"/>
      <c r="I1470" s="41"/>
      <c r="J1470" s="136"/>
    </row>
    <row r="1471" spans="1:10" x14ac:dyDescent="0.35">
      <c r="A1471" s="92"/>
      <c r="F1471" s="177"/>
      <c r="G1471" s="117"/>
      <c r="H1471" s="93"/>
      <c r="I1471" s="41"/>
      <c r="J1471" s="136"/>
    </row>
    <row r="1472" spans="1:10" x14ac:dyDescent="0.35">
      <c r="A1472" s="92"/>
      <c r="F1472" s="177"/>
      <c r="G1472" s="117"/>
      <c r="H1472" s="93"/>
      <c r="I1472" s="41"/>
      <c r="J1472" s="136"/>
    </row>
    <row r="1473" spans="1:10" x14ac:dyDescent="0.35">
      <c r="A1473" s="92"/>
      <c r="F1473" s="177"/>
      <c r="G1473" s="117"/>
      <c r="H1473" s="93"/>
      <c r="I1473" s="41"/>
      <c r="J1473" s="136"/>
    </row>
    <row r="1474" spans="1:10" x14ac:dyDescent="0.35">
      <c r="A1474" s="92"/>
      <c r="F1474" s="177"/>
      <c r="G1474" s="117"/>
      <c r="H1474" s="93"/>
      <c r="I1474" s="41"/>
      <c r="J1474" s="136"/>
    </row>
    <row r="1475" spans="1:10" x14ac:dyDescent="0.35">
      <c r="A1475" s="92"/>
      <c r="F1475" s="177"/>
      <c r="G1475" s="117"/>
      <c r="H1475" s="93"/>
      <c r="I1475" s="41"/>
      <c r="J1475" s="136"/>
    </row>
    <row r="1476" spans="1:10" x14ac:dyDescent="0.35">
      <c r="A1476" s="92"/>
      <c r="F1476" s="177"/>
      <c r="G1476" s="117"/>
      <c r="H1476" s="93"/>
      <c r="I1476" s="41"/>
      <c r="J1476" s="136"/>
    </row>
    <row r="1477" spans="1:10" x14ac:dyDescent="0.35">
      <c r="A1477" s="92"/>
      <c r="F1477" s="177"/>
      <c r="G1477" s="117"/>
      <c r="H1477" s="93"/>
      <c r="I1477" s="41"/>
      <c r="J1477" s="136"/>
    </row>
    <row r="1478" spans="1:10" x14ac:dyDescent="0.35">
      <c r="A1478" s="92"/>
      <c r="F1478" s="177"/>
      <c r="G1478" s="117"/>
      <c r="H1478" s="93"/>
      <c r="I1478" s="41"/>
      <c r="J1478" s="136"/>
    </row>
    <row r="1479" spans="1:10" x14ac:dyDescent="0.35">
      <c r="A1479" s="92"/>
      <c r="F1479" s="177"/>
      <c r="G1479" s="117"/>
      <c r="H1479" s="93"/>
      <c r="I1479" s="41"/>
      <c r="J1479" s="136"/>
    </row>
    <row r="1480" spans="1:10" x14ac:dyDescent="0.35">
      <c r="A1480" s="92"/>
      <c r="F1480" s="177"/>
      <c r="G1480" s="117"/>
      <c r="H1480" s="93"/>
      <c r="I1480" s="41"/>
      <c r="J1480" s="136"/>
    </row>
    <row r="1481" spans="1:10" x14ac:dyDescent="0.35">
      <c r="A1481" s="92"/>
      <c r="F1481" s="177"/>
      <c r="G1481" s="117"/>
      <c r="H1481" s="93"/>
      <c r="I1481" s="41"/>
      <c r="J1481" s="136"/>
    </row>
    <row r="1482" spans="1:10" x14ac:dyDescent="0.35">
      <c r="A1482" s="92"/>
      <c r="F1482" s="177"/>
      <c r="G1482" s="117"/>
      <c r="H1482" s="93"/>
      <c r="I1482" s="41"/>
      <c r="J1482" s="136"/>
    </row>
    <row r="1483" spans="1:10" x14ac:dyDescent="0.35">
      <c r="A1483" s="92"/>
      <c r="F1483" s="177"/>
      <c r="G1483" s="117"/>
      <c r="H1483" s="93"/>
      <c r="I1483" s="41"/>
      <c r="J1483" s="136"/>
    </row>
    <row r="1484" spans="1:10" x14ac:dyDescent="0.35">
      <c r="A1484" s="92"/>
      <c r="F1484" s="177"/>
      <c r="G1484" s="117"/>
      <c r="H1484" s="93"/>
      <c r="I1484" s="41"/>
      <c r="J1484" s="136"/>
    </row>
    <row r="1485" spans="1:10" x14ac:dyDescent="0.35">
      <c r="A1485" s="92"/>
      <c r="F1485" s="177"/>
      <c r="G1485" s="117"/>
      <c r="H1485" s="93"/>
      <c r="I1485" s="41"/>
      <c r="J1485" s="136"/>
    </row>
    <row r="1486" spans="1:10" x14ac:dyDescent="0.35">
      <c r="A1486" s="92"/>
      <c r="F1486" s="177"/>
      <c r="G1486" s="117"/>
      <c r="H1486" s="93"/>
      <c r="I1486" s="41"/>
      <c r="J1486" s="136"/>
    </row>
    <row r="1487" spans="1:10" x14ac:dyDescent="0.35">
      <c r="A1487" s="92"/>
      <c r="F1487" s="177"/>
      <c r="G1487" s="117"/>
      <c r="H1487" s="93"/>
      <c r="I1487" s="41"/>
      <c r="J1487" s="136"/>
    </row>
    <row r="1488" spans="1:10" x14ac:dyDescent="0.35">
      <c r="A1488" s="92"/>
      <c r="F1488" s="177"/>
      <c r="G1488" s="117"/>
      <c r="H1488" s="93"/>
      <c r="I1488" s="41"/>
      <c r="J1488" s="136"/>
    </row>
    <row r="1489" spans="1:10" x14ac:dyDescent="0.35">
      <c r="A1489" s="92"/>
      <c r="F1489" s="177"/>
      <c r="G1489" s="117"/>
      <c r="H1489" s="93"/>
      <c r="I1489" s="41"/>
      <c r="J1489" s="136"/>
    </row>
    <row r="1490" spans="1:10" x14ac:dyDescent="0.35">
      <c r="A1490" s="92"/>
      <c r="F1490" s="177"/>
      <c r="G1490" s="117"/>
      <c r="H1490" s="93"/>
      <c r="I1490" s="41"/>
      <c r="J1490" s="136"/>
    </row>
    <row r="1491" spans="1:10" x14ac:dyDescent="0.35">
      <c r="A1491" s="92"/>
      <c r="F1491" s="177"/>
      <c r="G1491" s="117"/>
      <c r="H1491" s="93"/>
      <c r="I1491" s="41"/>
      <c r="J1491" s="136"/>
    </row>
    <row r="1492" spans="1:10" x14ac:dyDescent="0.35">
      <c r="A1492" s="92"/>
      <c r="F1492" s="177"/>
      <c r="G1492" s="117"/>
      <c r="H1492" s="93"/>
      <c r="I1492" s="41"/>
      <c r="J1492" s="136"/>
    </row>
    <row r="1493" spans="1:10" x14ac:dyDescent="0.35">
      <c r="A1493" s="92"/>
      <c r="F1493" s="177"/>
      <c r="G1493" s="117"/>
      <c r="H1493" s="93"/>
      <c r="I1493" s="41"/>
      <c r="J1493" s="136"/>
    </row>
    <row r="1494" spans="1:10" x14ac:dyDescent="0.35">
      <c r="A1494" s="92"/>
      <c r="F1494" s="177"/>
      <c r="G1494" s="117"/>
      <c r="H1494" s="93"/>
      <c r="I1494" s="41"/>
      <c r="J1494" s="136"/>
    </row>
    <row r="1495" spans="1:10" x14ac:dyDescent="0.35">
      <c r="A1495" s="92"/>
      <c r="F1495" s="177"/>
      <c r="G1495" s="117"/>
      <c r="H1495" s="93"/>
      <c r="I1495" s="41"/>
      <c r="J1495" s="136"/>
    </row>
    <row r="1496" spans="1:10" x14ac:dyDescent="0.35">
      <c r="A1496" s="92"/>
      <c r="F1496" s="177"/>
      <c r="G1496" s="117"/>
      <c r="H1496" s="93"/>
      <c r="I1496" s="41"/>
      <c r="J1496" s="136"/>
    </row>
    <row r="1497" spans="1:10" x14ac:dyDescent="0.35">
      <c r="A1497" s="92"/>
      <c r="F1497" s="177"/>
      <c r="G1497" s="117"/>
      <c r="H1497" s="93"/>
      <c r="I1497" s="41"/>
      <c r="J1497" s="136"/>
    </row>
    <row r="1498" spans="1:10" x14ac:dyDescent="0.35">
      <c r="A1498" s="92"/>
      <c r="F1498" s="177"/>
      <c r="G1498" s="117"/>
      <c r="H1498" s="93"/>
      <c r="I1498" s="41"/>
      <c r="J1498" s="136"/>
    </row>
    <row r="1499" spans="1:10" x14ac:dyDescent="0.35">
      <c r="A1499" s="92"/>
      <c r="F1499" s="177"/>
      <c r="G1499" s="117"/>
      <c r="H1499" s="93"/>
      <c r="I1499" s="41"/>
      <c r="J1499" s="136"/>
    </row>
    <row r="1500" spans="1:10" x14ac:dyDescent="0.35">
      <c r="A1500" s="92"/>
      <c r="F1500" s="177"/>
      <c r="G1500" s="117"/>
      <c r="H1500" s="93"/>
      <c r="I1500" s="41"/>
      <c r="J1500" s="136"/>
    </row>
    <row r="1501" spans="1:10" x14ac:dyDescent="0.35">
      <c r="A1501" s="92"/>
      <c r="F1501" s="177"/>
      <c r="G1501" s="117"/>
      <c r="H1501" s="93"/>
      <c r="I1501" s="41"/>
      <c r="J1501" s="136"/>
    </row>
    <row r="1502" spans="1:10" x14ac:dyDescent="0.35">
      <c r="A1502" s="92"/>
      <c r="F1502" s="177"/>
      <c r="G1502" s="117"/>
      <c r="H1502" s="93"/>
      <c r="I1502" s="41"/>
      <c r="J1502" s="136"/>
    </row>
    <row r="1503" spans="1:10" x14ac:dyDescent="0.35">
      <c r="A1503" s="92"/>
      <c r="F1503" s="177"/>
      <c r="G1503" s="117"/>
      <c r="H1503" s="93"/>
      <c r="I1503" s="41"/>
      <c r="J1503" s="136"/>
    </row>
    <row r="1504" spans="1:10" x14ac:dyDescent="0.35">
      <c r="A1504" s="92"/>
      <c r="F1504" s="177"/>
      <c r="G1504" s="117"/>
      <c r="H1504" s="93"/>
      <c r="I1504" s="41"/>
      <c r="J1504" s="136"/>
    </row>
    <row r="1505" spans="1:10" x14ac:dyDescent="0.35">
      <c r="A1505" s="92"/>
      <c r="F1505" s="177"/>
      <c r="G1505" s="117"/>
      <c r="H1505" s="93"/>
      <c r="I1505" s="41"/>
      <c r="J1505" s="136"/>
    </row>
    <row r="1506" spans="1:10" x14ac:dyDescent="0.35">
      <c r="A1506" s="92"/>
      <c r="F1506" s="177"/>
      <c r="G1506" s="117"/>
      <c r="H1506" s="93"/>
      <c r="I1506" s="41"/>
      <c r="J1506" s="136"/>
    </row>
    <row r="1507" spans="1:10" x14ac:dyDescent="0.35">
      <c r="A1507" s="92"/>
      <c r="F1507" s="177"/>
      <c r="G1507" s="117"/>
      <c r="H1507" s="93"/>
      <c r="I1507" s="41"/>
      <c r="J1507" s="136"/>
    </row>
    <row r="1508" spans="1:10" x14ac:dyDescent="0.35">
      <c r="A1508" s="92"/>
      <c r="F1508" s="177"/>
      <c r="G1508" s="117"/>
      <c r="H1508" s="93"/>
      <c r="I1508" s="41"/>
      <c r="J1508" s="136"/>
    </row>
    <row r="1509" spans="1:10" x14ac:dyDescent="0.35">
      <c r="A1509" s="92"/>
      <c r="F1509" s="177"/>
      <c r="G1509" s="117"/>
      <c r="H1509" s="93"/>
      <c r="I1509" s="41"/>
      <c r="J1509" s="136"/>
    </row>
    <row r="1510" spans="1:10" x14ac:dyDescent="0.35">
      <c r="A1510" s="92"/>
      <c r="F1510" s="177"/>
      <c r="G1510" s="117"/>
      <c r="H1510" s="93"/>
      <c r="I1510" s="41"/>
      <c r="J1510" s="136"/>
    </row>
    <row r="1511" spans="1:10" x14ac:dyDescent="0.35">
      <c r="A1511" s="92"/>
      <c r="F1511" s="177"/>
      <c r="G1511" s="117"/>
      <c r="H1511" s="93"/>
      <c r="I1511" s="41"/>
      <c r="J1511" s="136"/>
    </row>
    <row r="1512" spans="1:10" x14ac:dyDescent="0.35">
      <c r="A1512" s="92"/>
      <c r="F1512" s="177"/>
      <c r="G1512" s="117"/>
      <c r="H1512" s="93"/>
      <c r="I1512" s="41"/>
      <c r="J1512" s="136"/>
    </row>
    <row r="1513" spans="1:10" x14ac:dyDescent="0.35">
      <c r="A1513" s="92"/>
      <c r="F1513" s="177"/>
      <c r="G1513" s="117"/>
      <c r="H1513" s="93"/>
      <c r="I1513" s="41"/>
      <c r="J1513" s="136"/>
    </row>
    <row r="1514" spans="1:10" x14ac:dyDescent="0.35">
      <c r="A1514" s="92"/>
      <c r="F1514" s="177"/>
      <c r="G1514" s="117"/>
      <c r="H1514" s="93"/>
      <c r="I1514" s="41"/>
      <c r="J1514" s="136"/>
    </row>
    <row r="1515" spans="1:10" x14ac:dyDescent="0.35">
      <c r="A1515" s="92"/>
      <c r="F1515" s="177"/>
      <c r="G1515" s="117"/>
      <c r="H1515" s="93"/>
      <c r="I1515" s="41"/>
      <c r="J1515" s="136"/>
    </row>
    <row r="1516" spans="1:10" x14ac:dyDescent="0.35">
      <c r="A1516" s="92"/>
      <c r="F1516" s="177"/>
      <c r="G1516" s="117"/>
      <c r="H1516" s="93"/>
      <c r="I1516" s="41"/>
      <c r="J1516" s="136"/>
    </row>
    <row r="1517" spans="1:10" x14ac:dyDescent="0.35">
      <c r="A1517" s="92"/>
      <c r="F1517" s="177"/>
      <c r="G1517" s="117"/>
      <c r="H1517" s="93"/>
      <c r="I1517" s="41"/>
      <c r="J1517" s="136"/>
    </row>
    <row r="1518" spans="1:10" x14ac:dyDescent="0.35">
      <c r="A1518" s="92"/>
      <c r="F1518" s="177"/>
      <c r="G1518" s="117"/>
      <c r="H1518" s="93"/>
      <c r="I1518" s="41"/>
      <c r="J1518" s="136"/>
    </row>
    <row r="1519" spans="1:10" x14ac:dyDescent="0.35">
      <c r="A1519" s="92"/>
      <c r="F1519" s="177"/>
      <c r="G1519" s="117"/>
      <c r="H1519" s="93"/>
      <c r="I1519" s="41"/>
      <c r="J1519" s="136"/>
    </row>
    <row r="1520" spans="1:10" x14ac:dyDescent="0.35">
      <c r="A1520" s="92"/>
      <c r="F1520" s="177"/>
      <c r="G1520" s="117"/>
      <c r="H1520" s="93"/>
      <c r="I1520" s="41"/>
      <c r="J1520" s="136"/>
    </row>
    <row r="1521" spans="1:10" x14ac:dyDescent="0.35">
      <c r="A1521" s="92"/>
      <c r="F1521" s="177"/>
      <c r="G1521" s="117"/>
      <c r="H1521" s="93"/>
      <c r="I1521" s="41"/>
      <c r="J1521" s="136"/>
    </row>
    <row r="1522" spans="1:10" x14ac:dyDescent="0.35">
      <c r="A1522" s="92"/>
      <c r="F1522" s="177"/>
      <c r="G1522" s="117"/>
      <c r="H1522" s="93"/>
      <c r="I1522" s="41"/>
      <c r="J1522" s="136"/>
    </row>
    <row r="1523" spans="1:10" x14ac:dyDescent="0.35">
      <c r="A1523" s="92"/>
      <c r="F1523" s="177"/>
      <c r="G1523" s="117"/>
      <c r="H1523" s="93"/>
      <c r="I1523" s="41"/>
      <c r="J1523" s="136"/>
    </row>
    <row r="1524" spans="1:10" x14ac:dyDescent="0.35">
      <c r="A1524" s="92"/>
      <c r="F1524" s="177"/>
      <c r="G1524" s="117"/>
      <c r="H1524" s="93"/>
      <c r="I1524" s="41"/>
      <c r="J1524" s="136"/>
    </row>
    <row r="1525" spans="1:10" x14ac:dyDescent="0.35">
      <c r="A1525" s="92"/>
      <c r="F1525" s="177"/>
      <c r="G1525" s="117"/>
      <c r="H1525" s="93"/>
      <c r="I1525" s="41"/>
      <c r="J1525" s="136"/>
    </row>
    <row r="1526" spans="1:10" x14ac:dyDescent="0.35">
      <c r="A1526" s="92"/>
      <c r="F1526" s="177"/>
      <c r="G1526" s="117"/>
      <c r="H1526" s="93"/>
      <c r="I1526" s="41"/>
      <c r="J1526" s="136"/>
    </row>
    <row r="1527" spans="1:10" x14ac:dyDescent="0.35">
      <c r="A1527" s="92"/>
      <c r="F1527" s="177"/>
      <c r="G1527" s="117"/>
      <c r="H1527" s="93"/>
      <c r="I1527" s="41"/>
      <c r="J1527" s="136"/>
    </row>
    <row r="1528" spans="1:10" x14ac:dyDescent="0.35">
      <c r="A1528" s="92"/>
      <c r="F1528" s="177"/>
      <c r="G1528" s="117"/>
      <c r="H1528" s="93"/>
      <c r="I1528" s="41"/>
      <c r="J1528" s="136"/>
    </row>
    <row r="1529" spans="1:10" x14ac:dyDescent="0.35">
      <c r="A1529" s="92"/>
      <c r="F1529" s="177"/>
      <c r="G1529" s="117"/>
      <c r="H1529" s="93"/>
      <c r="I1529" s="41"/>
      <c r="J1529" s="136"/>
    </row>
    <row r="1530" spans="1:10" x14ac:dyDescent="0.35">
      <c r="A1530" s="92"/>
      <c r="F1530" s="177"/>
      <c r="G1530" s="117"/>
      <c r="H1530" s="93"/>
      <c r="I1530" s="41"/>
      <c r="J1530" s="136"/>
    </row>
    <row r="1531" spans="1:10" x14ac:dyDescent="0.35">
      <c r="A1531" s="92"/>
      <c r="F1531" s="177"/>
      <c r="G1531" s="117"/>
      <c r="H1531" s="93"/>
      <c r="I1531" s="41"/>
      <c r="J1531" s="136"/>
    </row>
    <row r="1532" spans="1:10" x14ac:dyDescent="0.35">
      <c r="A1532" s="92"/>
      <c r="F1532" s="177"/>
      <c r="G1532" s="117"/>
      <c r="H1532" s="93"/>
      <c r="I1532" s="41"/>
      <c r="J1532" s="136"/>
    </row>
    <row r="1533" spans="1:10" x14ac:dyDescent="0.35">
      <c r="A1533" s="92"/>
      <c r="F1533" s="177"/>
      <c r="G1533" s="117"/>
      <c r="H1533" s="93"/>
      <c r="I1533" s="41"/>
      <c r="J1533" s="136"/>
    </row>
    <row r="1534" spans="1:10" x14ac:dyDescent="0.35">
      <c r="A1534" s="92"/>
      <c r="F1534" s="177"/>
      <c r="G1534" s="117"/>
      <c r="H1534" s="93"/>
      <c r="I1534" s="41"/>
      <c r="J1534" s="136"/>
    </row>
    <row r="1535" spans="1:10" x14ac:dyDescent="0.35">
      <c r="A1535" s="92"/>
      <c r="F1535" s="177"/>
      <c r="G1535" s="117"/>
      <c r="H1535" s="93"/>
      <c r="I1535" s="41"/>
      <c r="J1535" s="136"/>
    </row>
    <row r="1536" spans="1:10" x14ac:dyDescent="0.35">
      <c r="A1536" s="92"/>
      <c r="F1536" s="177"/>
      <c r="G1536" s="117"/>
      <c r="H1536" s="93"/>
      <c r="I1536" s="41"/>
      <c r="J1536" s="136"/>
    </row>
    <row r="1537" spans="1:10" x14ac:dyDescent="0.35">
      <c r="A1537" s="92"/>
      <c r="F1537" s="177"/>
      <c r="G1537" s="117"/>
      <c r="H1537" s="93"/>
      <c r="I1537" s="41"/>
      <c r="J1537" s="136"/>
    </row>
    <row r="1538" spans="1:10" x14ac:dyDescent="0.35">
      <c r="A1538" s="92"/>
      <c r="F1538" s="177"/>
      <c r="G1538" s="117"/>
      <c r="H1538" s="93"/>
      <c r="I1538" s="41"/>
      <c r="J1538" s="136"/>
    </row>
    <row r="1539" spans="1:10" x14ac:dyDescent="0.35">
      <c r="A1539" s="92"/>
      <c r="F1539" s="177"/>
      <c r="G1539" s="117"/>
      <c r="H1539" s="93"/>
      <c r="I1539" s="41"/>
      <c r="J1539" s="136"/>
    </row>
    <row r="1540" spans="1:10" x14ac:dyDescent="0.35">
      <c r="A1540" s="92"/>
      <c r="F1540" s="177"/>
      <c r="G1540" s="117"/>
      <c r="H1540" s="93"/>
      <c r="I1540" s="41"/>
      <c r="J1540" s="136"/>
    </row>
    <row r="1541" spans="1:10" x14ac:dyDescent="0.35">
      <c r="A1541" s="92"/>
      <c r="F1541" s="177"/>
      <c r="G1541" s="117"/>
      <c r="H1541" s="93"/>
      <c r="I1541" s="41"/>
      <c r="J1541" s="136"/>
    </row>
    <row r="1542" spans="1:10" x14ac:dyDescent="0.35">
      <c r="A1542" s="92"/>
      <c r="F1542" s="177"/>
      <c r="G1542" s="117"/>
      <c r="H1542" s="93"/>
      <c r="I1542" s="41"/>
      <c r="J1542" s="136"/>
    </row>
    <row r="1543" spans="1:10" x14ac:dyDescent="0.35">
      <c r="A1543" s="92"/>
      <c r="F1543" s="177"/>
      <c r="G1543" s="117"/>
      <c r="H1543" s="93"/>
      <c r="I1543" s="41"/>
      <c r="J1543" s="136"/>
    </row>
    <row r="1544" spans="1:10" x14ac:dyDescent="0.35">
      <c r="A1544" s="92"/>
      <c r="F1544" s="177"/>
      <c r="G1544" s="117"/>
      <c r="H1544" s="93"/>
      <c r="I1544" s="41"/>
      <c r="J1544" s="136"/>
    </row>
    <row r="1545" spans="1:10" x14ac:dyDescent="0.35">
      <c r="A1545" s="92"/>
      <c r="F1545" s="177"/>
      <c r="G1545" s="117"/>
      <c r="H1545" s="93"/>
      <c r="I1545" s="41"/>
      <c r="J1545" s="136"/>
    </row>
    <row r="1546" spans="1:10" x14ac:dyDescent="0.35">
      <c r="A1546" s="92"/>
      <c r="F1546" s="177"/>
      <c r="G1546" s="117"/>
      <c r="H1546" s="93"/>
      <c r="I1546" s="41"/>
      <c r="J1546" s="136"/>
    </row>
    <row r="1547" spans="1:10" x14ac:dyDescent="0.35">
      <c r="A1547" s="92"/>
      <c r="F1547" s="177"/>
      <c r="G1547" s="117"/>
      <c r="H1547" s="93"/>
      <c r="I1547" s="41"/>
      <c r="J1547" s="136"/>
    </row>
    <row r="1548" spans="1:10" x14ac:dyDescent="0.35">
      <c r="A1548" s="92"/>
      <c r="F1548" s="177"/>
      <c r="G1548" s="117"/>
      <c r="H1548" s="93"/>
      <c r="I1548" s="41"/>
      <c r="J1548" s="136"/>
    </row>
    <row r="1549" spans="1:10" x14ac:dyDescent="0.35">
      <c r="A1549" s="92"/>
      <c r="F1549" s="177"/>
      <c r="G1549" s="117"/>
      <c r="H1549" s="93"/>
      <c r="I1549" s="41"/>
      <c r="J1549" s="136"/>
    </row>
    <row r="1550" spans="1:10" x14ac:dyDescent="0.35">
      <c r="A1550" s="92"/>
      <c r="F1550" s="177"/>
      <c r="G1550" s="117"/>
      <c r="H1550" s="93"/>
      <c r="I1550" s="41"/>
      <c r="J1550" s="136"/>
    </row>
    <row r="1551" spans="1:10" x14ac:dyDescent="0.35">
      <c r="A1551" s="92"/>
      <c r="F1551" s="177"/>
      <c r="G1551" s="117"/>
      <c r="H1551" s="93"/>
      <c r="I1551" s="41"/>
      <c r="J1551" s="136"/>
    </row>
    <row r="1552" spans="1:10" x14ac:dyDescent="0.35">
      <c r="A1552" s="92"/>
      <c r="F1552" s="177"/>
      <c r="G1552" s="117"/>
      <c r="H1552" s="93"/>
      <c r="I1552" s="41"/>
      <c r="J1552" s="136"/>
    </row>
    <row r="1553" spans="1:10" x14ac:dyDescent="0.35">
      <c r="A1553" s="92"/>
      <c r="F1553" s="177"/>
      <c r="G1553" s="117"/>
      <c r="H1553" s="93"/>
      <c r="I1553" s="41"/>
      <c r="J1553" s="136"/>
    </row>
    <row r="1554" spans="1:10" x14ac:dyDescent="0.35">
      <c r="A1554" s="92"/>
      <c r="F1554" s="177"/>
      <c r="G1554" s="117"/>
      <c r="H1554" s="93"/>
      <c r="I1554" s="41"/>
      <c r="J1554" s="136"/>
    </row>
    <row r="1555" spans="1:10" x14ac:dyDescent="0.35">
      <c r="A1555" s="92"/>
      <c r="F1555" s="177"/>
      <c r="G1555" s="117"/>
      <c r="H1555" s="93"/>
      <c r="I1555" s="41"/>
      <c r="J1555" s="136"/>
    </row>
    <row r="1556" spans="1:10" x14ac:dyDescent="0.35">
      <c r="A1556" s="92"/>
      <c r="F1556" s="177"/>
      <c r="G1556" s="117"/>
      <c r="H1556" s="93"/>
      <c r="I1556" s="41"/>
      <c r="J1556" s="136"/>
    </row>
    <row r="1557" spans="1:10" x14ac:dyDescent="0.35">
      <c r="A1557" s="92"/>
      <c r="F1557" s="177"/>
      <c r="G1557" s="117"/>
      <c r="H1557" s="93"/>
      <c r="I1557" s="41"/>
      <c r="J1557" s="136"/>
    </row>
    <row r="1558" spans="1:10" x14ac:dyDescent="0.35">
      <c r="A1558" s="92"/>
      <c r="F1558" s="177"/>
      <c r="G1558" s="117"/>
      <c r="H1558" s="93"/>
      <c r="I1558" s="41"/>
      <c r="J1558" s="136"/>
    </row>
    <row r="1559" spans="1:10" x14ac:dyDescent="0.35">
      <c r="A1559" s="92"/>
      <c r="F1559" s="177"/>
      <c r="G1559" s="117"/>
      <c r="H1559" s="93"/>
      <c r="I1559" s="41"/>
      <c r="J1559" s="136"/>
    </row>
    <row r="1560" spans="1:10" x14ac:dyDescent="0.35">
      <c r="A1560" s="92"/>
      <c r="F1560" s="177"/>
      <c r="G1560" s="117"/>
      <c r="H1560" s="93"/>
      <c r="I1560" s="41"/>
      <c r="J1560" s="136"/>
    </row>
    <row r="1561" spans="1:10" x14ac:dyDescent="0.35">
      <c r="A1561" s="92"/>
      <c r="F1561" s="177"/>
      <c r="G1561" s="117"/>
      <c r="H1561" s="93"/>
      <c r="I1561" s="41"/>
      <c r="J1561" s="136"/>
    </row>
    <row r="1562" spans="1:10" x14ac:dyDescent="0.35">
      <c r="A1562" s="92"/>
      <c r="F1562" s="177"/>
      <c r="G1562" s="117"/>
      <c r="H1562" s="93"/>
      <c r="I1562" s="41"/>
      <c r="J1562" s="136"/>
    </row>
    <row r="1563" spans="1:10" x14ac:dyDescent="0.35">
      <c r="A1563" s="92"/>
      <c r="F1563" s="177"/>
      <c r="G1563" s="117"/>
      <c r="H1563" s="93"/>
      <c r="I1563" s="41"/>
      <c r="J1563" s="136"/>
    </row>
    <row r="1564" spans="1:10" x14ac:dyDescent="0.35">
      <c r="A1564" s="92"/>
      <c r="F1564" s="177"/>
      <c r="G1564" s="117"/>
      <c r="H1564" s="93"/>
      <c r="I1564" s="41"/>
      <c r="J1564" s="136"/>
    </row>
    <row r="1565" spans="1:10" x14ac:dyDescent="0.35">
      <c r="A1565" s="92"/>
      <c r="F1565" s="177"/>
      <c r="G1565" s="117"/>
      <c r="H1565" s="93"/>
      <c r="I1565" s="41"/>
      <c r="J1565" s="136"/>
    </row>
    <row r="1566" spans="1:10" x14ac:dyDescent="0.35">
      <c r="A1566" s="92"/>
      <c r="F1566" s="177"/>
      <c r="G1566" s="117"/>
      <c r="H1566" s="93"/>
      <c r="I1566" s="41"/>
      <c r="J1566" s="136"/>
    </row>
    <row r="1567" spans="1:10" x14ac:dyDescent="0.35">
      <c r="A1567" s="92"/>
      <c r="F1567" s="177"/>
      <c r="G1567" s="117"/>
      <c r="H1567" s="93"/>
      <c r="I1567" s="41"/>
      <c r="J1567" s="136"/>
    </row>
    <row r="1568" spans="1:10" x14ac:dyDescent="0.35">
      <c r="A1568" s="92"/>
      <c r="F1568" s="177"/>
      <c r="G1568" s="117"/>
      <c r="H1568" s="93"/>
      <c r="I1568" s="41"/>
      <c r="J1568" s="136"/>
    </row>
    <row r="1569" spans="1:10" x14ac:dyDescent="0.35">
      <c r="A1569" s="92"/>
      <c r="F1569" s="177"/>
      <c r="G1569" s="117"/>
      <c r="H1569" s="93"/>
      <c r="I1569" s="41"/>
      <c r="J1569" s="136"/>
    </row>
    <row r="1570" spans="1:10" x14ac:dyDescent="0.35">
      <c r="A1570" s="92"/>
      <c r="F1570" s="177"/>
      <c r="G1570" s="117"/>
      <c r="H1570" s="93"/>
      <c r="I1570" s="41"/>
      <c r="J1570" s="136"/>
    </row>
    <row r="1571" spans="1:10" x14ac:dyDescent="0.35">
      <c r="A1571" s="92"/>
      <c r="F1571" s="177"/>
      <c r="G1571" s="117"/>
      <c r="H1571" s="93"/>
      <c r="I1571" s="41"/>
      <c r="J1571" s="136"/>
    </row>
    <row r="1572" spans="1:10" x14ac:dyDescent="0.35">
      <c r="A1572" s="92"/>
      <c r="F1572" s="177"/>
      <c r="G1572" s="117"/>
      <c r="H1572" s="93"/>
      <c r="I1572" s="41"/>
      <c r="J1572" s="136"/>
    </row>
    <row r="1573" spans="1:10" x14ac:dyDescent="0.35">
      <c r="A1573" s="92"/>
      <c r="F1573" s="177"/>
      <c r="G1573" s="117"/>
      <c r="H1573" s="93"/>
      <c r="I1573" s="41"/>
      <c r="J1573" s="136"/>
    </row>
    <row r="1574" spans="1:10" x14ac:dyDescent="0.35">
      <c r="A1574" s="92"/>
      <c r="F1574" s="177"/>
      <c r="G1574" s="117"/>
      <c r="H1574" s="93"/>
      <c r="I1574" s="41"/>
      <c r="J1574" s="136"/>
    </row>
    <row r="1575" spans="1:10" x14ac:dyDescent="0.35">
      <c r="A1575" s="92"/>
      <c r="F1575" s="177"/>
      <c r="G1575" s="117"/>
      <c r="H1575" s="93"/>
      <c r="I1575" s="41"/>
      <c r="J1575" s="136"/>
    </row>
    <row r="1576" spans="1:10" x14ac:dyDescent="0.35">
      <c r="A1576" s="92"/>
      <c r="F1576" s="177"/>
      <c r="G1576" s="117"/>
      <c r="H1576" s="93"/>
      <c r="I1576" s="41"/>
      <c r="J1576" s="136"/>
    </row>
    <row r="1577" spans="1:10" x14ac:dyDescent="0.35">
      <c r="A1577" s="92"/>
      <c r="F1577" s="177"/>
      <c r="G1577" s="117"/>
      <c r="H1577" s="93"/>
      <c r="I1577" s="41"/>
      <c r="J1577" s="136"/>
    </row>
    <row r="1578" spans="1:10" x14ac:dyDescent="0.35">
      <c r="A1578" s="92"/>
      <c r="F1578" s="177"/>
      <c r="G1578" s="117"/>
      <c r="H1578" s="93"/>
      <c r="I1578" s="41"/>
      <c r="J1578" s="136"/>
    </row>
    <row r="1579" spans="1:10" x14ac:dyDescent="0.35">
      <c r="A1579" s="92"/>
      <c r="F1579" s="177"/>
      <c r="G1579" s="117"/>
      <c r="H1579" s="93"/>
      <c r="I1579" s="41"/>
      <c r="J1579" s="136"/>
    </row>
    <row r="1580" spans="1:10" x14ac:dyDescent="0.35">
      <c r="A1580" s="92"/>
      <c r="F1580" s="177"/>
      <c r="G1580" s="117"/>
      <c r="H1580" s="93"/>
      <c r="I1580" s="41"/>
      <c r="J1580" s="136"/>
    </row>
    <row r="1581" spans="1:10" x14ac:dyDescent="0.35">
      <c r="A1581" s="92"/>
      <c r="F1581" s="177"/>
      <c r="G1581" s="117"/>
      <c r="H1581" s="93"/>
      <c r="I1581" s="41"/>
      <c r="J1581" s="136"/>
    </row>
    <row r="1582" spans="1:10" x14ac:dyDescent="0.35">
      <c r="A1582" s="92"/>
      <c r="F1582" s="177"/>
      <c r="G1582" s="117"/>
      <c r="H1582" s="93"/>
      <c r="I1582" s="41"/>
      <c r="J1582" s="136"/>
    </row>
    <row r="1583" spans="1:10" x14ac:dyDescent="0.35">
      <c r="A1583" s="92"/>
      <c r="F1583" s="177"/>
      <c r="G1583" s="117"/>
      <c r="H1583" s="93"/>
      <c r="I1583" s="41"/>
      <c r="J1583" s="136"/>
    </row>
    <row r="1584" spans="1:10" x14ac:dyDescent="0.35">
      <c r="A1584" s="92"/>
      <c r="F1584" s="177"/>
      <c r="G1584" s="117"/>
      <c r="H1584" s="93"/>
      <c r="I1584" s="41"/>
      <c r="J1584" s="136"/>
    </row>
    <row r="1585" spans="1:10" x14ac:dyDescent="0.35">
      <c r="A1585" s="92"/>
      <c r="F1585" s="177"/>
      <c r="G1585" s="117"/>
      <c r="H1585" s="93"/>
      <c r="I1585" s="41"/>
      <c r="J1585" s="136"/>
    </row>
    <row r="1586" spans="1:10" x14ac:dyDescent="0.35">
      <c r="A1586" s="92"/>
      <c r="F1586" s="177"/>
      <c r="G1586" s="117"/>
      <c r="H1586" s="93"/>
      <c r="I1586" s="41"/>
      <c r="J1586" s="136"/>
    </row>
    <row r="1587" spans="1:10" x14ac:dyDescent="0.35">
      <c r="A1587" s="92"/>
      <c r="F1587" s="177"/>
      <c r="G1587" s="117"/>
      <c r="H1587" s="93"/>
      <c r="I1587" s="41"/>
      <c r="J1587" s="136"/>
    </row>
    <row r="1588" spans="1:10" x14ac:dyDescent="0.35">
      <c r="A1588" s="92"/>
      <c r="F1588" s="177"/>
      <c r="G1588" s="117"/>
      <c r="H1588" s="93"/>
      <c r="I1588" s="41"/>
      <c r="J1588" s="136"/>
    </row>
    <row r="1589" spans="1:10" x14ac:dyDescent="0.35">
      <c r="A1589" s="92"/>
      <c r="F1589" s="177"/>
      <c r="G1589" s="117"/>
      <c r="H1589" s="93"/>
      <c r="I1589" s="41"/>
      <c r="J1589" s="136"/>
    </row>
    <row r="1590" spans="1:10" x14ac:dyDescent="0.35">
      <c r="A1590" s="92"/>
      <c r="F1590" s="177"/>
      <c r="G1590" s="117"/>
      <c r="H1590" s="93"/>
      <c r="I1590" s="41"/>
      <c r="J1590" s="136"/>
    </row>
    <row r="1591" spans="1:10" x14ac:dyDescent="0.35">
      <c r="A1591" s="92"/>
      <c r="F1591" s="177"/>
      <c r="G1591" s="117"/>
      <c r="H1591" s="93"/>
      <c r="I1591" s="41"/>
      <c r="J1591" s="136"/>
    </row>
    <row r="1592" spans="1:10" x14ac:dyDescent="0.35">
      <c r="A1592" s="92"/>
      <c r="F1592" s="177"/>
      <c r="G1592" s="117"/>
      <c r="H1592" s="93"/>
      <c r="I1592" s="41"/>
      <c r="J1592" s="136"/>
    </row>
    <row r="1593" spans="1:10" x14ac:dyDescent="0.35">
      <c r="A1593" s="92"/>
      <c r="F1593" s="177"/>
      <c r="G1593" s="117"/>
      <c r="H1593" s="93"/>
      <c r="I1593" s="41"/>
      <c r="J1593" s="136"/>
    </row>
    <row r="1594" spans="1:10" x14ac:dyDescent="0.35">
      <c r="A1594" s="92"/>
      <c r="F1594" s="177"/>
      <c r="G1594" s="117"/>
      <c r="H1594" s="93"/>
      <c r="I1594" s="41"/>
      <c r="J1594" s="136"/>
    </row>
    <row r="1595" spans="1:10" x14ac:dyDescent="0.35">
      <c r="A1595" s="92"/>
      <c r="F1595" s="177"/>
      <c r="G1595" s="117"/>
      <c r="H1595" s="93"/>
      <c r="I1595" s="41"/>
      <c r="J1595" s="136"/>
    </row>
    <row r="1596" spans="1:10" x14ac:dyDescent="0.35">
      <c r="A1596" s="92"/>
      <c r="F1596" s="177"/>
      <c r="G1596" s="117"/>
      <c r="H1596" s="93"/>
      <c r="I1596" s="41"/>
      <c r="J1596" s="136"/>
    </row>
    <row r="1597" spans="1:10" x14ac:dyDescent="0.35">
      <c r="A1597" s="92"/>
      <c r="F1597" s="177"/>
      <c r="G1597" s="117"/>
      <c r="H1597" s="93"/>
      <c r="I1597" s="41"/>
      <c r="J1597" s="136"/>
    </row>
    <row r="1598" spans="1:10" x14ac:dyDescent="0.35">
      <c r="A1598" s="92"/>
      <c r="F1598" s="177"/>
      <c r="G1598" s="117"/>
      <c r="H1598" s="93"/>
      <c r="I1598" s="41"/>
      <c r="J1598" s="136"/>
    </row>
    <row r="1599" spans="1:10" x14ac:dyDescent="0.35">
      <c r="A1599" s="92"/>
      <c r="F1599" s="177"/>
      <c r="G1599" s="117"/>
      <c r="H1599" s="93"/>
      <c r="I1599" s="41"/>
      <c r="J1599" s="136"/>
    </row>
    <row r="1600" spans="1:10" x14ac:dyDescent="0.35">
      <c r="A1600" s="92"/>
      <c r="F1600" s="177"/>
      <c r="G1600" s="117"/>
      <c r="H1600" s="93"/>
      <c r="I1600" s="41"/>
      <c r="J1600" s="136"/>
    </row>
    <row r="1601" spans="1:10" x14ac:dyDescent="0.35">
      <c r="A1601" s="92"/>
      <c r="F1601" s="177"/>
      <c r="G1601" s="117"/>
      <c r="H1601" s="93"/>
      <c r="I1601" s="41"/>
      <c r="J1601" s="136"/>
    </row>
    <row r="1602" spans="1:10" x14ac:dyDescent="0.35">
      <c r="A1602" s="92"/>
      <c r="F1602" s="177"/>
      <c r="G1602" s="117"/>
      <c r="H1602" s="93"/>
      <c r="I1602" s="41"/>
      <c r="J1602" s="136"/>
    </row>
    <row r="1603" spans="1:10" x14ac:dyDescent="0.35">
      <c r="A1603" s="92"/>
      <c r="F1603" s="177"/>
      <c r="G1603" s="117"/>
      <c r="H1603" s="93"/>
      <c r="I1603" s="41"/>
      <c r="J1603" s="136"/>
    </row>
    <row r="1604" spans="1:10" x14ac:dyDescent="0.35">
      <c r="A1604" s="92"/>
      <c r="F1604" s="177"/>
      <c r="G1604" s="117"/>
      <c r="H1604" s="93"/>
      <c r="I1604" s="41"/>
      <c r="J1604" s="136"/>
    </row>
    <row r="1605" spans="1:10" x14ac:dyDescent="0.35">
      <c r="A1605" s="92"/>
      <c r="F1605" s="177"/>
      <c r="G1605" s="117"/>
      <c r="H1605" s="93"/>
      <c r="I1605" s="41"/>
      <c r="J1605" s="136"/>
    </row>
    <row r="1606" spans="1:10" x14ac:dyDescent="0.35">
      <c r="A1606" s="92"/>
      <c r="F1606" s="177"/>
      <c r="G1606" s="117"/>
      <c r="H1606" s="93"/>
      <c r="I1606" s="41"/>
      <c r="J1606" s="136"/>
    </row>
    <row r="1607" spans="1:10" x14ac:dyDescent="0.35">
      <c r="A1607" s="92"/>
      <c r="F1607" s="177"/>
      <c r="G1607" s="117"/>
      <c r="H1607" s="93"/>
      <c r="I1607" s="41"/>
      <c r="J1607" s="136"/>
    </row>
    <row r="1608" spans="1:10" x14ac:dyDescent="0.35">
      <c r="A1608" s="92"/>
      <c r="F1608" s="177"/>
      <c r="G1608" s="117"/>
      <c r="H1608" s="93"/>
      <c r="I1608" s="41"/>
      <c r="J1608" s="136"/>
    </row>
    <row r="1609" spans="1:10" x14ac:dyDescent="0.35">
      <c r="A1609" s="92"/>
      <c r="F1609" s="177"/>
      <c r="G1609" s="117"/>
      <c r="H1609" s="93"/>
      <c r="I1609" s="41"/>
      <c r="J1609" s="136"/>
    </row>
    <row r="1610" spans="1:10" x14ac:dyDescent="0.35">
      <c r="A1610" s="92"/>
      <c r="F1610" s="177"/>
      <c r="G1610" s="117"/>
      <c r="H1610" s="93"/>
      <c r="I1610" s="41"/>
      <c r="J1610" s="136"/>
    </row>
    <row r="1611" spans="1:10" x14ac:dyDescent="0.35">
      <c r="A1611" s="92"/>
      <c r="F1611" s="177"/>
      <c r="G1611" s="117"/>
      <c r="H1611" s="93"/>
      <c r="I1611" s="41"/>
      <c r="J1611" s="136"/>
    </row>
    <row r="1612" spans="1:10" x14ac:dyDescent="0.35">
      <c r="A1612" s="92"/>
      <c r="F1612" s="177"/>
      <c r="G1612" s="117"/>
      <c r="H1612" s="93"/>
      <c r="I1612" s="41"/>
      <c r="J1612" s="136"/>
    </row>
    <row r="1613" spans="1:10" x14ac:dyDescent="0.35">
      <c r="A1613" s="92"/>
      <c r="F1613" s="177"/>
      <c r="G1613" s="117"/>
      <c r="H1613" s="93"/>
      <c r="I1613" s="41"/>
      <c r="J1613" s="136"/>
    </row>
    <row r="1614" spans="1:10" x14ac:dyDescent="0.35">
      <c r="A1614" s="92"/>
      <c r="F1614" s="177"/>
      <c r="G1614" s="117"/>
      <c r="H1614" s="93"/>
      <c r="I1614" s="41"/>
      <c r="J1614" s="136"/>
    </row>
    <row r="1615" spans="1:10" x14ac:dyDescent="0.35">
      <c r="A1615" s="92"/>
      <c r="F1615" s="177"/>
      <c r="G1615" s="117"/>
      <c r="H1615" s="93"/>
      <c r="I1615" s="41"/>
      <c r="J1615" s="136"/>
    </row>
    <row r="1616" spans="1:10" x14ac:dyDescent="0.35">
      <c r="A1616" s="92"/>
      <c r="F1616" s="177"/>
      <c r="G1616" s="117"/>
      <c r="H1616" s="93"/>
      <c r="I1616" s="41"/>
      <c r="J1616" s="136"/>
    </row>
    <row r="1617" spans="1:10" x14ac:dyDescent="0.35">
      <c r="A1617" s="92"/>
      <c r="F1617" s="177"/>
      <c r="G1617" s="117"/>
      <c r="H1617" s="93"/>
      <c r="I1617" s="41"/>
      <c r="J1617" s="136"/>
    </row>
    <row r="1618" spans="1:10" x14ac:dyDescent="0.35">
      <c r="A1618" s="92"/>
      <c r="F1618" s="177"/>
      <c r="G1618" s="117"/>
      <c r="H1618" s="93"/>
      <c r="I1618" s="41"/>
      <c r="J1618" s="136"/>
    </row>
    <row r="1619" spans="1:10" x14ac:dyDescent="0.35">
      <c r="A1619" s="92"/>
      <c r="F1619" s="177"/>
      <c r="G1619" s="117"/>
      <c r="H1619" s="93"/>
      <c r="I1619" s="41"/>
      <c r="J1619" s="136"/>
    </row>
    <row r="1620" spans="1:10" x14ac:dyDescent="0.35">
      <c r="A1620" s="92"/>
      <c r="F1620" s="177"/>
      <c r="G1620" s="117"/>
      <c r="H1620" s="93"/>
      <c r="I1620" s="41"/>
      <c r="J1620" s="136"/>
    </row>
    <row r="1621" spans="1:10" x14ac:dyDescent="0.35">
      <c r="A1621" s="92"/>
      <c r="F1621" s="177"/>
      <c r="G1621" s="117"/>
      <c r="H1621" s="93"/>
      <c r="I1621" s="41"/>
      <c r="J1621" s="136"/>
    </row>
    <row r="1622" spans="1:10" x14ac:dyDescent="0.35">
      <c r="A1622" s="92"/>
      <c r="F1622" s="177"/>
      <c r="G1622" s="117"/>
      <c r="H1622" s="93"/>
      <c r="I1622" s="41"/>
      <c r="J1622" s="136"/>
    </row>
    <row r="1623" spans="1:10" x14ac:dyDescent="0.35">
      <c r="A1623" s="92"/>
      <c r="F1623" s="177"/>
      <c r="G1623" s="117"/>
      <c r="H1623" s="93"/>
      <c r="I1623" s="41"/>
      <c r="J1623" s="136"/>
    </row>
    <row r="1624" spans="1:10" x14ac:dyDescent="0.35">
      <c r="A1624" s="92"/>
      <c r="F1624" s="177"/>
      <c r="G1624" s="117"/>
      <c r="H1624" s="93"/>
      <c r="I1624" s="41"/>
      <c r="J1624" s="136"/>
    </row>
    <row r="1625" spans="1:10" x14ac:dyDescent="0.35">
      <c r="A1625" s="92"/>
      <c r="F1625" s="177"/>
      <c r="G1625" s="117"/>
      <c r="H1625" s="93"/>
      <c r="I1625" s="41"/>
      <c r="J1625" s="136"/>
    </row>
    <row r="1626" spans="1:10" x14ac:dyDescent="0.35">
      <c r="A1626" s="92"/>
      <c r="F1626" s="177"/>
      <c r="G1626" s="117"/>
      <c r="H1626" s="93"/>
      <c r="I1626" s="41"/>
      <c r="J1626" s="136"/>
    </row>
    <row r="1627" spans="1:10" x14ac:dyDescent="0.35">
      <c r="A1627" s="92"/>
      <c r="F1627" s="177"/>
      <c r="G1627" s="117"/>
      <c r="H1627" s="93"/>
      <c r="I1627" s="41"/>
      <c r="J1627" s="136"/>
    </row>
    <row r="1628" spans="1:10" x14ac:dyDescent="0.35">
      <c r="A1628" s="92"/>
      <c r="F1628" s="177"/>
      <c r="G1628" s="117"/>
      <c r="H1628" s="93"/>
      <c r="I1628" s="41"/>
      <c r="J1628" s="136"/>
    </row>
    <row r="1629" spans="1:10" x14ac:dyDescent="0.35">
      <c r="A1629" s="92"/>
      <c r="F1629" s="177"/>
      <c r="G1629" s="117"/>
      <c r="H1629" s="93"/>
      <c r="I1629" s="41"/>
      <c r="J1629" s="136"/>
    </row>
    <row r="1630" spans="1:10" x14ac:dyDescent="0.35">
      <c r="A1630" s="92"/>
      <c r="F1630" s="177"/>
      <c r="G1630" s="117"/>
      <c r="H1630" s="93"/>
      <c r="I1630" s="41"/>
      <c r="J1630" s="136"/>
    </row>
    <row r="1631" spans="1:10" x14ac:dyDescent="0.35">
      <c r="A1631" s="92"/>
      <c r="F1631" s="177"/>
      <c r="G1631" s="117"/>
      <c r="H1631" s="93"/>
      <c r="I1631" s="41"/>
      <c r="J1631" s="136"/>
    </row>
    <row r="1632" spans="1:10" x14ac:dyDescent="0.35">
      <c r="A1632" s="92"/>
      <c r="F1632" s="177"/>
      <c r="G1632" s="117"/>
      <c r="H1632" s="93"/>
      <c r="I1632" s="41"/>
      <c r="J1632" s="136"/>
    </row>
    <row r="1633" spans="1:10" x14ac:dyDescent="0.35">
      <c r="A1633" s="92"/>
      <c r="F1633" s="177"/>
      <c r="G1633" s="117"/>
      <c r="H1633" s="93"/>
      <c r="I1633" s="41"/>
      <c r="J1633" s="136"/>
    </row>
    <row r="1634" spans="1:10" x14ac:dyDescent="0.35">
      <c r="A1634" s="92"/>
      <c r="F1634" s="177"/>
      <c r="G1634" s="117"/>
      <c r="H1634" s="93"/>
      <c r="I1634" s="41"/>
      <c r="J1634" s="136"/>
    </row>
    <row r="1635" spans="1:10" x14ac:dyDescent="0.35">
      <c r="A1635" s="92"/>
      <c r="F1635" s="177"/>
      <c r="G1635" s="117"/>
      <c r="H1635" s="93"/>
      <c r="I1635" s="41"/>
      <c r="J1635" s="136"/>
    </row>
    <row r="1636" spans="1:10" x14ac:dyDescent="0.35">
      <c r="A1636" s="92"/>
      <c r="F1636" s="177"/>
      <c r="G1636" s="117"/>
      <c r="H1636" s="93"/>
      <c r="I1636" s="41"/>
      <c r="J1636" s="136"/>
    </row>
    <row r="1637" spans="1:10" x14ac:dyDescent="0.35">
      <c r="A1637" s="92"/>
      <c r="F1637" s="177"/>
      <c r="G1637" s="117"/>
      <c r="H1637" s="93"/>
      <c r="I1637" s="41"/>
      <c r="J1637" s="136"/>
    </row>
    <row r="1638" spans="1:10" x14ac:dyDescent="0.35">
      <c r="A1638" s="92"/>
      <c r="F1638" s="177"/>
      <c r="G1638" s="117"/>
      <c r="H1638" s="93"/>
      <c r="I1638" s="41"/>
      <c r="J1638" s="136"/>
    </row>
    <row r="1639" spans="1:10" x14ac:dyDescent="0.35">
      <c r="A1639" s="92"/>
      <c r="F1639" s="177"/>
      <c r="G1639" s="117"/>
      <c r="H1639" s="93"/>
      <c r="I1639" s="41"/>
      <c r="J1639" s="136"/>
    </row>
    <row r="1640" spans="1:10" x14ac:dyDescent="0.35">
      <c r="A1640" s="92"/>
      <c r="F1640" s="177"/>
      <c r="G1640" s="117"/>
      <c r="H1640" s="93"/>
      <c r="I1640" s="41"/>
      <c r="J1640" s="136"/>
    </row>
    <row r="1641" spans="1:10" x14ac:dyDescent="0.35">
      <c r="A1641" s="92"/>
      <c r="F1641" s="177"/>
      <c r="G1641" s="117"/>
      <c r="H1641" s="93"/>
      <c r="I1641" s="41"/>
      <c r="J1641" s="136"/>
    </row>
    <row r="1642" spans="1:10" x14ac:dyDescent="0.35">
      <c r="A1642" s="92"/>
      <c r="F1642" s="177"/>
      <c r="G1642" s="117"/>
      <c r="H1642" s="93"/>
      <c r="I1642" s="41"/>
      <c r="J1642" s="136"/>
    </row>
    <row r="1643" spans="1:10" x14ac:dyDescent="0.35">
      <c r="A1643" s="92"/>
      <c r="F1643" s="177"/>
      <c r="G1643" s="117"/>
      <c r="H1643" s="93"/>
      <c r="I1643" s="41"/>
      <c r="J1643" s="136"/>
    </row>
    <row r="1644" spans="1:10" x14ac:dyDescent="0.35">
      <c r="A1644" s="92"/>
      <c r="F1644" s="177"/>
      <c r="G1644" s="117"/>
      <c r="H1644" s="93"/>
      <c r="I1644" s="41"/>
      <c r="J1644" s="136"/>
    </row>
    <row r="1645" spans="1:10" x14ac:dyDescent="0.35">
      <c r="A1645" s="92"/>
      <c r="F1645" s="177"/>
      <c r="G1645" s="117"/>
      <c r="H1645" s="93"/>
      <c r="I1645" s="41"/>
      <c r="J1645" s="136"/>
    </row>
    <row r="1646" spans="1:10" x14ac:dyDescent="0.35">
      <c r="A1646" s="92"/>
      <c r="F1646" s="177"/>
      <c r="G1646" s="117"/>
      <c r="H1646" s="93"/>
      <c r="I1646" s="41"/>
      <c r="J1646" s="136"/>
    </row>
    <row r="1647" spans="1:10" x14ac:dyDescent="0.35">
      <c r="A1647" s="92"/>
      <c r="F1647" s="177"/>
      <c r="G1647" s="117"/>
      <c r="H1647" s="93"/>
      <c r="I1647" s="41"/>
      <c r="J1647" s="136"/>
    </row>
    <row r="1648" spans="1:10" x14ac:dyDescent="0.35">
      <c r="A1648" s="92"/>
      <c r="F1648" s="177"/>
      <c r="G1648" s="117"/>
      <c r="H1648" s="93"/>
      <c r="I1648" s="41"/>
      <c r="J1648" s="136"/>
    </row>
    <row r="1649" spans="1:10" x14ac:dyDescent="0.35">
      <c r="A1649" s="92"/>
      <c r="F1649" s="177"/>
      <c r="G1649" s="117"/>
      <c r="H1649" s="93"/>
      <c r="I1649" s="41"/>
      <c r="J1649" s="136"/>
    </row>
    <row r="1650" spans="1:10" x14ac:dyDescent="0.35">
      <c r="A1650" s="92"/>
      <c r="F1650" s="177"/>
      <c r="G1650" s="117"/>
      <c r="H1650" s="93"/>
      <c r="I1650" s="41"/>
      <c r="J1650" s="136"/>
    </row>
    <row r="1651" spans="1:10" x14ac:dyDescent="0.35">
      <c r="A1651" s="92"/>
      <c r="F1651" s="177"/>
      <c r="G1651" s="117"/>
      <c r="H1651" s="93"/>
      <c r="I1651" s="41"/>
      <c r="J1651" s="136"/>
    </row>
    <row r="1652" spans="1:10" x14ac:dyDescent="0.35">
      <c r="A1652" s="92"/>
      <c r="F1652" s="177"/>
      <c r="G1652" s="117"/>
      <c r="H1652" s="93"/>
      <c r="I1652" s="41"/>
      <c r="J1652" s="136"/>
    </row>
    <row r="1653" spans="1:10" x14ac:dyDescent="0.35">
      <c r="A1653" s="92"/>
      <c r="F1653" s="177"/>
      <c r="G1653" s="117"/>
      <c r="H1653" s="93"/>
      <c r="I1653" s="41"/>
      <c r="J1653" s="136"/>
    </row>
    <row r="1654" spans="1:10" x14ac:dyDescent="0.35">
      <c r="A1654" s="92"/>
      <c r="F1654" s="177"/>
      <c r="G1654" s="117"/>
      <c r="H1654" s="93"/>
      <c r="I1654" s="41"/>
      <c r="J1654" s="136"/>
    </row>
    <row r="1655" spans="1:10" x14ac:dyDescent="0.35">
      <c r="A1655" s="92"/>
      <c r="F1655" s="177"/>
      <c r="G1655" s="117"/>
      <c r="H1655" s="93"/>
      <c r="I1655" s="41"/>
      <c r="J1655" s="136"/>
    </row>
    <row r="1656" spans="1:10" x14ac:dyDescent="0.35">
      <c r="A1656" s="92"/>
      <c r="F1656" s="177"/>
      <c r="G1656" s="117"/>
      <c r="H1656" s="93"/>
      <c r="I1656" s="41"/>
      <c r="J1656" s="136"/>
    </row>
    <row r="1657" spans="1:10" x14ac:dyDescent="0.35">
      <c r="A1657" s="92"/>
      <c r="F1657" s="177"/>
      <c r="G1657" s="117"/>
      <c r="H1657" s="93"/>
      <c r="I1657" s="41"/>
      <c r="J1657" s="136"/>
    </row>
    <row r="1658" spans="1:10" x14ac:dyDescent="0.35">
      <c r="A1658" s="92"/>
      <c r="F1658" s="177"/>
      <c r="G1658" s="117"/>
      <c r="H1658" s="93"/>
      <c r="I1658" s="41"/>
      <c r="J1658" s="136"/>
    </row>
    <row r="1659" spans="1:10" x14ac:dyDescent="0.35">
      <c r="A1659" s="92"/>
      <c r="F1659" s="177"/>
      <c r="G1659" s="117"/>
      <c r="H1659" s="93"/>
      <c r="I1659" s="41"/>
      <c r="J1659" s="136"/>
    </row>
    <row r="1660" spans="1:10" x14ac:dyDescent="0.35">
      <c r="A1660" s="92"/>
      <c r="F1660" s="177"/>
      <c r="G1660" s="117"/>
      <c r="H1660" s="93"/>
      <c r="I1660" s="41"/>
      <c r="J1660" s="136"/>
    </row>
    <row r="1661" spans="1:10" x14ac:dyDescent="0.35">
      <c r="A1661" s="92"/>
      <c r="F1661" s="177"/>
      <c r="G1661" s="117"/>
      <c r="H1661" s="93"/>
      <c r="I1661" s="41"/>
      <c r="J1661" s="136"/>
    </row>
    <row r="1662" spans="1:10" x14ac:dyDescent="0.35">
      <c r="A1662" s="92"/>
      <c r="F1662" s="177"/>
      <c r="G1662" s="117"/>
      <c r="H1662" s="93"/>
      <c r="I1662" s="41"/>
      <c r="J1662" s="136"/>
    </row>
    <row r="1663" spans="1:10" x14ac:dyDescent="0.35">
      <c r="A1663" s="92"/>
      <c r="F1663" s="177"/>
      <c r="G1663" s="117"/>
      <c r="H1663" s="93"/>
      <c r="I1663" s="41"/>
      <c r="J1663" s="136"/>
    </row>
    <row r="1664" spans="1:10" x14ac:dyDescent="0.35">
      <c r="A1664" s="92"/>
      <c r="F1664" s="177"/>
      <c r="G1664" s="117"/>
      <c r="H1664" s="93"/>
      <c r="I1664" s="41"/>
      <c r="J1664" s="136"/>
    </row>
    <row r="1665" spans="1:10" x14ac:dyDescent="0.35">
      <c r="A1665" s="92"/>
      <c r="F1665" s="177"/>
      <c r="G1665" s="117"/>
      <c r="H1665" s="93"/>
      <c r="I1665" s="41"/>
      <c r="J1665" s="136"/>
    </row>
    <row r="1666" spans="1:10" x14ac:dyDescent="0.35">
      <c r="A1666" s="92"/>
      <c r="F1666" s="177"/>
      <c r="G1666" s="117"/>
      <c r="H1666" s="93"/>
      <c r="I1666" s="41"/>
      <c r="J1666" s="136"/>
    </row>
    <row r="1667" spans="1:10" x14ac:dyDescent="0.35">
      <c r="A1667" s="92"/>
      <c r="F1667" s="177"/>
      <c r="G1667" s="117"/>
      <c r="H1667" s="93"/>
      <c r="I1667" s="41"/>
      <c r="J1667" s="136"/>
    </row>
    <row r="1668" spans="1:10" x14ac:dyDescent="0.35">
      <c r="A1668" s="92"/>
      <c r="F1668" s="177"/>
      <c r="G1668" s="117"/>
      <c r="H1668" s="93"/>
      <c r="I1668" s="41"/>
      <c r="J1668" s="136"/>
    </row>
    <row r="1669" spans="1:10" x14ac:dyDescent="0.35">
      <c r="A1669" s="92"/>
      <c r="F1669" s="177"/>
      <c r="G1669" s="117"/>
      <c r="H1669" s="93"/>
      <c r="I1669" s="41"/>
      <c r="J1669" s="136"/>
    </row>
    <row r="1670" spans="1:10" x14ac:dyDescent="0.35">
      <c r="A1670" s="92"/>
      <c r="F1670" s="177"/>
      <c r="G1670" s="117"/>
      <c r="H1670" s="93"/>
      <c r="I1670" s="41"/>
      <c r="J1670" s="136"/>
    </row>
    <row r="1671" spans="1:10" x14ac:dyDescent="0.35">
      <c r="A1671" s="92"/>
      <c r="F1671" s="177"/>
      <c r="G1671" s="117"/>
      <c r="H1671" s="93"/>
      <c r="I1671" s="41"/>
      <c r="J1671" s="136"/>
    </row>
    <row r="1672" spans="1:10" x14ac:dyDescent="0.35">
      <c r="A1672" s="92"/>
      <c r="F1672" s="177"/>
      <c r="G1672" s="117"/>
      <c r="H1672" s="93"/>
      <c r="I1672" s="41"/>
      <c r="J1672" s="136"/>
    </row>
    <row r="1673" spans="1:10" x14ac:dyDescent="0.35">
      <c r="A1673" s="92"/>
      <c r="F1673" s="177"/>
      <c r="G1673" s="117"/>
      <c r="H1673" s="93"/>
      <c r="I1673" s="41"/>
      <c r="J1673" s="136"/>
    </row>
    <row r="1674" spans="1:10" x14ac:dyDescent="0.35">
      <c r="A1674" s="92"/>
      <c r="F1674" s="177"/>
      <c r="G1674" s="117"/>
      <c r="H1674" s="93"/>
      <c r="I1674" s="41"/>
      <c r="J1674" s="136"/>
    </row>
    <row r="1675" spans="1:10" x14ac:dyDescent="0.35">
      <c r="A1675" s="92"/>
      <c r="F1675" s="177"/>
      <c r="G1675" s="117"/>
      <c r="H1675" s="93"/>
      <c r="I1675" s="41"/>
      <c r="J1675" s="136"/>
    </row>
    <row r="1676" spans="1:10" x14ac:dyDescent="0.35">
      <c r="A1676" s="92"/>
      <c r="F1676" s="177"/>
      <c r="G1676" s="117"/>
      <c r="H1676" s="93"/>
      <c r="I1676" s="41"/>
      <c r="J1676" s="136"/>
    </row>
    <row r="1677" spans="1:10" x14ac:dyDescent="0.35">
      <c r="A1677" s="92"/>
      <c r="F1677" s="177"/>
      <c r="G1677" s="117"/>
      <c r="H1677" s="93"/>
      <c r="I1677" s="41"/>
      <c r="J1677" s="136"/>
    </row>
    <row r="1678" spans="1:10" x14ac:dyDescent="0.35">
      <c r="A1678" s="92"/>
      <c r="F1678" s="177"/>
      <c r="G1678" s="117"/>
      <c r="H1678" s="93"/>
      <c r="I1678" s="41"/>
      <c r="J1678" s="136"/>
    </row>
    <row r="1679" spans="1:10" x14ac:dyDescent="0.35">
      <c r="A1679" s="92"/>
      <c r="F1679" s="177"/>
      <c r="G1679" s="117"/>
      <c r="H1679" s="93"/>
      <c r="I1679" s="41"/>
      <c r="J1679" s="136"/>
    </row>
    <row r="1680" spans="1:10" x14ac:dyDescent="0.35">
      <c r="A1680" s="92"/>
      <c r="F1680" s="177"/>
      <c r="G1680" s="117"/>
      <c r="H1680" s="93"/>
      <c r="I1680" s="41"/>
      <c r="J1680" s="136"/>
    </row>
    <row r="1681" spans="1:10" x14ac:dyDescent="0.35">
      <c r="A1681" s="92"/>
      <c r="F1681" s="177"/>
      <c r="G1681" s="117"/>
      <c r="H1681" s="93"/>
      <c r="I1681" s="41"/>
      <c r="J1681" s="136"/>
    </row>
    <row r="1682" spans="1:10" x14ac:dyDescent="0.35">
      <c r="A1682" s="92"/>
      <c r="F1682" s="177"/>
      <c r="G1682" s="117"/>
      <c r="H1682" s="93"/>
      <c r="I1682" s="41"/>
      <c r="J1682" s="136"/>
    </row>
    <row r="1683" spans="1:10" x14ac:dyDescent="0.35">
      <c r="A1683" s="92"/>
      <c r="F1683" s="177"/>
      <c r="G1683" s="117"/>
      <c r="H1683" s="93"/>
      <c r="I1683" s="41"/>
      <c r="J1683" s="136"/>
    </row>
    <row r="1684" spans="1:10" x14ac:dyDescent="0.35">
      <c r="A1684" s="92"/>
      <c r="F1684" s="177"/>
      <c r="G1684" s="117"/>
      <c r="H1684" s="93"/>
      <c r="I1684" s="41"/>
      <c r="J1684" s="136"/>
    </row>
    <row r="1685" spans="1:10" x14ac:dyDescent="0.35">
      <c r="A1685" s="92"/>
      <c r="F1685" s="177"/>
      <c r="G1685" s="117"/>
      <c r="H1685" s="93"/>
      <c r="I1685" s="41"/>
      <c r="J1685" s="136"/>
    </row>
    <row r="1686" spans="1:10" x14ac:dyDescent="0.35">
      <c r="A1686" s="92"/>
      <c r="F1686" s="177"/>
      <c r="G1686" s="117"/>
      <c r="H1686" s="93"/>
      <c r="I1686" s="41"/>
      <c r="J1686" s="136"/>
    </row>
    <row r="1687" spans="1:10" x14ac:dyDescent="0.35">
      <c r="A1687" s="92"/>
      <c r="F1687" s="177"/>
      <c r="G1687" s="117"/>
      <c r="H1687" s="93"/>
      <c r="I1687" s="41"/>
      <c r="J1687" s="136"/>
    </row>
    <row r="1688" spans="1:10" x14ac:dyDescent="0.35">
      <c r="A1688" s="92"/>
      <c r="F1688" s="177"/>
      <c r="G1688" s="117"/>
      <c r="H1688" s="93"/>
      <c r="I1688" s="41"/>
      <c r="J1688" s="136"/>
    </row>
    <row r="1689" spans="1:10" x14ac:dyDescent="0.35">
      <c r="A1689" s="92"/>
      <c r="F1689" s="177"/>
      <c r="G1689" s="117"/>
      <c r="H1689" s="93"/>
      <c r="I1689" s="41"/>
      <c r="J1689" s="136"/>
    </row>
    <row r="1690" spans="1:10" x14ac:dyDescent="0.35">
      <c r="A1690" s="92"/>
      <c r="F1690" s="177"/>
      <c r="G1690" s="117"/>
      <c r="H1690" s="93"/>
      <c r="I1690" s="41"/>
      <c r="J1690" s="136"/>
    </row>
    <row r="1691" spans="1:10" x14ac:dyDescent="0.35">
      <c r="A1691" s="92"/>
      <c r="F1691" s="177"/>
      <c r="G1691" s="117"/>
      <c r="H1691" s="93"/>
      <c r="I1691" s="41"/>
      <c r="J1691" s="136"/>
    </row>
    <row r="1692" spans="1:10" x14ac:dyDescent="0.35">
      <c r="A1692" s="92"/>
      <c r="F1692" s="177"/>
      <c r="G1692" s="117"/>
      <c r="H1692" s="93"/>
      <c r="I1692" s="41"/>
      <c r="J1692" s="136"/>
    </row>
    <row r="1693" spans="1:10" x14ac:dyDescent="0.35">
      <c r="A1693" s="92"/>
      <c r="F1693" s="177"/>
      <c r="G1693" s="117"/>
      <c r="H1693" s="93"/>
      <c r="I1693" s="41"/>
      <c r="J1693" s="136"/>
    </row>
    <row r="1694" spans="1:10" x14ac:dyDescent="0.35">
      <c r="A1694" s="92"/>
      <c r="F1694" s="177"/>
      <c r="G1694" s="117"/>
      <c r="H1694" s="93"/>
      <c r="I1694" s="41"/>
      <c r="J1694" s="136"/>
    </row>
    <row r="1695" spans="1:10" x14ac:dyDescent="0.35">
      <c r="A1695" s="92"/>
      <c r="F1695" s="177"/>
      <c r="G1695" s="117"/>
      <c r="H1695" s="93"/>
      <c r="I1695" s="41"/>
      <c r="J1695" s="136"/>
    </row>
    <row r="1696" spans="1:10" x14ac:dyDescent="0.35">
      <c r="A1696" s="92"/>
      <c r="F1696" s="177"/>
      <c r="G1696" s="117"/>
      <c r="H1696" s="93"/>
      <c r="I1696" s="41"/>
      <c r="J1696" s="136"/>
    </row>
    <row r="1697" spans="1:10" x14ac:dyDescent="0.35">
      <c r="A1697" s="92"/>
      <c r="F1697" s="177"/>
      <c r="G1697" s="117"/>
      <c r="H1697" s="93"/>
      <c r="I1697" s="41"/>
      <c r="J1697" s="136"/>
    </row>
    <row r="1698" spans="1:10" x14ac:dyDescent="0.35">
      <c r="A1698" s="92"/>
      <c r="F1698" s="177"/>
      <c r="G1698" s="117"/>
      <c r="H1698" s="93"/>
      <c r="I1698" s="41"/>
      <c r="J1698" s="136"/>
    </row>
    <row r="1699" spans="1:10" x14ac:dyDescent="0.35">
      <c r="A1699" s="92"/>
      <c r="F1699" s="177"/>
      <c r="G1699" s="117"/>
      <c r="H1699" s="93"/>
      <c r="I1699" s="41"/>
      <c r="J1699" s="136"/>
    </row>
    <row r="1700" spans="1:10" x14ac:dyDescent="0.35">
      <c r="A1700" s="92"/>
      <c r="F1700" s="177"/>
      <c r="G1700" s="117"/>
      <c r="H1700" s="93"/>
      <c r="I1700" s="41"/>
      <c r="J1700" s="136"/>
    </row>
    <row r="1701" spans="1:10" x14ac:dyDescent="0.35">
      <c r="A1701" s="92"/>
      <c r="F1701" s="177"/>
      <c r="G1701" s="117"/>
      <c r="H1701" s="93"/>
      <c r="I1701" s="41"/>
      <c r="J1701" s="136"/>
    </row>
    <row r="1702" spans="1:10" x14ac:dyDescent="0.35">
      <c r="A1702" s="92"/>
      <c r="F1702" s="177"/>
      <c r="G1702" s="117"/>
      <c r="H1702" s="93"/>
      <c r="I1702" s="41"/>
      <c r="J1702" s="136"/>
    </row>
    <row r="1703" spans="1:10" x14ac:dyDescent="0.35">
      <c r="A1703" s="92"/>
      <c r="F1703" s="177"/>
      <c r="G1703" s="117"/>
      <c r="H1703" s="93"/>
      <c r="I1703" s="41"/>
      <c r="J1703" s="136"/>
    </row>
    <row r="1704" spans="1:10" x14ac:dyDescent="0.35">
      <c r="A1704" s="92"/>
      <c r="F1704" s="177"/>
      <c r="G1704" s="117"/>
      <c r="H1704" s="93"/>
      <c r="I1704" s="41"/>
      <c r="J1704" s="136"/>
    </row>
    <row r="1705" spans="1:10" x14ac:dyDescent="0.35">
      <c r="A1705" s="92"/>
      <c r="F1705" s="177"/>
      <c r="G1705" s="117"/>
      <c r="H1705" s="93"/>
      <c r="I1705" s="41"/>
      <c r="J1705" s="136"/>
    </row>
    <row r="1706" spans="1:10" x14ac:dyDescent="0.35">
      <c r="A1706" s="92"/>
      <c r="F1706" s="177"/>
      <c r="G1706" s="117"/>
      <c r="H1706" s="93"/>
      <c r="I1706" s="41"/>
      <c r="J1706" s="136"/>
    </row>
    <row r="1707" spans="1:10" x14ac:dyDescent="0.35">
      <c r="A1707" s="92"/>
      <c r="F1707" s="177"/>
      <c r="G1707" s="117"/>
      <c r="H1707" s="93"/>
      <c r="I1707" s="41"/>
      <c r="J1707" s="136"/>
    </row>
    <row r="1708" spans="1:10" x14ac:dyDescent="0.35">
      <c r="A1708" s="92"/>
      <c r="F1708" s="177"/>
      <c r="G1708" s="117"/>
      <c r="H1708" s="93"/>
      <c r="I1708" s="41"/>
      <c r="J1708" s="136"/>
    </row>
    <row r="1709" spans="1:10" x14ac:dyDescent="0.35">
      <c r="A1709" s="92"/>
      <c r="F1709" s="177"/>
      <c r="G1709" s="117"/>
      <c r="H1709" s="93"/>
      <c r="I1709" s="41"/>
      <c r="J1709" s="136"/>
    </row>
    <row r="1710" spans="1:10" x14ac:dyDescent="0.35">
      <c r="A1710" s="92"/>
      <c r="F1710" s="177"/>
      <c r="G1710" s="117"/>
      <c r="H1710" s="93"/>
      <c r="I1710" s="41"/>
      <c r="J1710" s="136"/>
    </row>
    <row r="1711" spans="1:10" x14ac:dyDescent="0.35">
      <c r="A1711" s="92"/>
      <c r="F1711" s="177"/>
      <c r="G1711" s="117"/>
      <c r="H1711" s="93"/>
      <c r="I1711" s="41"/>
      <c r="J1711" s="136"/>
    </row>
    <row r="1712" spans="1:10" x14ac:dyDescent="0.35">
      <c r="A1712" s="92"/>
      <c r="F1712" s="177"/>
      <c r="G1712" s="117"/>
      <c r="H1712" s="93"/>
      <c r="I1712" s="41"/>
      <c r="J1712" s="136"/>
    </row>
    <row r="1713" spans="1:10" x14ac:dyDescent="0.35">
      <c r="A1713" s="92"/>
      <c r="F1713" s="177"/>
      <c r="G1713" s="117"/>
      <c r="H1713" s="93"/>
      <c r="I1713" s="41"/>
      <c r="J1713" s="136"/>
    </row>
    <row r="1714" spans="1:10" x14ac:dyDescent="0.35">
      <c r="A1714" s="92"/>
      <c r="F1714" s="177"/>
      <c r="G1714" s="117"/>
      <c r="H1714" s="93"/>
      <c r="I1714" s="41"/>
      <c r="J1714" s="136"/>
    </row>
    <row r="1715" spans="1:10" x14ac:dyDescent="0.35">
      <c r="A1715" s="92"/>
      <c r="F1715" s="177"/>
      <c r="G1715" s="117"/>
      <c r="H1715" s="93"/>
      <c r="I1715" s="41"/>
      <c r="J1715" s="136"/>
    </row>
    <row r="1716" spans="1:10" x14ac:dyDescent="0.35">
      <c r="A1716" s="92"/>
      <c r="F1716" s="177"/>
      <c r="G1716" s="117"/>
      <c r="H1716" s="93"/>
      <c r="I1716" s="41"/>
      <c r="J1716" s="136"/>
    </row>
    <row r="1717" spans="1:10" x14ac:dyDescent="0.35">
      <c r="A1717" s="92"/>
      <c r="F1717" s="177"/>
      <c r="G1717" s="117"/>
      <c r="H1717" s="93"/>
      <c r="I1717" s="41"/>
      <c r="J1717" s="136"/>
    </row>
    <row r="1718" spans="1:10" x14ac:dyDescent="0.35">
      <c r="A1718" s="92"/>
      <c r="F1718" s="177"/>
      <c r="G1718" s="117"/>
      <c r="H1718" s="93"/>
      <c r="I1718" s="41"/>
      <c r="J1718" s="136"/>
    </row>
    <row r="1719" spans="1:10" x14ac:dyDescent="0.35">
      <c r="A1719" s="92"/>
      <c r="F1719" s="177"/>
      <c r="G1719" s="117"/>
      <c r="H1719" s="93"/>
      <c r="I1719" s="41"/>
      <c r="J1719" s="136"/>
    </row>
    <row r="1720" spans="1:10" x14ac:dyDescent="0.35">
      <c r="A1720" s="92"/>
      <c r="F1720" s="177"/>
      <c r="G1720" s="117"/>
      <c r="H1720" s="93"/>
      <c r="I1720" s="41"/>
      <c r="J1720" s="136"/>
    </row>
    <row r="1721" spans="1:10" x14ac:dyDescent="0.35">
      <c r="A1721" s="92"/>
      <c r="F1721" s="177"/>
      <c r="G1721" s="117"/>
      <c r="H1721" s="93"/>
      <c r="I1721" s="41"/>
      <c r="J1721" s="136"/>
    </row>
    <row r="1722" spans="1:10" x14ac:dyDescent="0.35">
      <c r="A1722" s="92"/>
      <c r="F1722" s="177"/>
      <c r="G1722" s="117"/>
      <c r="H1722" s="93"/>
      <c r="I1722" s="41"/>
      <c r="J1722" s="136"/>
    </row>
    <row r="1723" spans="1:10" x14ac:dyDescent="0.35">
      <c r="A1723" s="92"/>
      <c r="F1723" s="177"/>
      <c r="G1723" s="117"/>
      <c r="H1723" s="93"/>
      <c r="I1723" s="41"/>
      <c r="J1723" s="136"/>
    </row>
    <row r="1724" spans="1:10" x14ac:dyDescent="0.35">
      <c r="A1724" s="92"/>
      <c r="F1724" s="177"/>
      <c r="G1724" s="117"/>
      <c r="H1724" s="93"/>
      <c r="I1724" s="41"/>
      <c r="J1724" s="136"/>
    </row>
    <row r="1725" spans="1:10" x14ac:dyDescent="0.35">
      <c r="A1725" s="92"/>
      <c r="F1725" s="177"/>
      <c r="G1725" s="117"/>
      <c r="H1725" s="93"/>
      <c r="I1725" s="41"/>
      <c r="J1725" s="136"/>
    </row>
    <row r="1726" spans="1:10" x14ac:dyDescent="0.35">
      <c r="A1726" s="92"/>
      <c r="F1726" s="177"/>
      <c r="G1726" s="117"/>
      <c r="H1726" s="93"/>
      <c r="I1726" s="41"/>
      <c r="J1726" s="136"/>
    </row>
    <row r="1727" spans="1:10" x14ac:dyDescent="0.35">
      <c r="A1727" s="92"/>
      <c r="F1727" s="177"/>
      <c r="G1727" s="117"/>
      <c r="H1727" s="93"/>
      <c r="I1727" s="41"/>
      <c r="J1727" s="136"/>
    </row>
    <row r="1728" spans="1:10" x14ac:dyDescent="0.35">
      <c r="A1728" s="92"/>
      <c r="F1728" s="177"/>
      <c r="G1728" s="117"/>
      <c r="H1728" s="93"/>
      <c r="I1728" s="41"/>
      <c r="J1728" s="136"/>
    </row>
    <row r="1729" spans="1:10" x14ac:dyDescent="0.35">
      <c r="A1729" s="92"/>
      <c r="F1729" s="177"/>
      <c r="G1729" s="117"/>
      <c r="H1729" s="93"/>
      <c r="I1729" s="41"/>
      <c r="J1729" s="136"/>
    </row>
    <row r="1730" spans="1:10" x14ac:dyDescent="0.35">
      <c r="A1730" s="92"/>
      <c r="F1730" s="177"/>
      <c r="G1730" s="117"/>
      <c r="H1730" s="93"/>
      <c r="I1730" s="41"/>
      <c r="J1730" s="136"/>
    </row>
    <row r="1731" spans="1:10" x14ac:dyDescent="0.35">
      <c r="A1731" s="92"/>
      <c r="F1731" s="177"/>
      <c r="G1731" s="117"/>
      <c r="H1731" s="93"/>
      <c r="I1731" s="41"/>
      <c r="J1731" s="136"/>
    </row>
    <row r="1732" spans="1:10" x14ac:dyDescent="0.35">
      <c r="A1732" s="92"/>
      <c r="F1732" s="177"/>
      <c r="G1732" s="117"/>
      <c r="H1732" s="93"/>
      <c r="I1732" s="41"/>
      <c r="J1732" s="136"/>
    </row>
    <row r="1733" spans="1:10" x14ac:dyDescent="0.35">
      <c r="A1733" s="92"/>
      <c r="F1733" s="177"/>
      <c r="G1733" s="117"/>
      <c r="H1733" s="93"/>
      <c r="I1733" s="41"/>
      <c r="J1733" s="136"/>
    </row>
    <row r="1734" spans="1:10" x14ac:dyDescent="0.35">
      <c r="A1734" s="92"/>
      <c r="F1734" s="177"/>
      <c r="G1734" s="117"/>
      <c r="H1734" s="93"/>
      <c r="I1734" s="41"/>
      <c r="J1734" s="136"/>
    </row>
    <row r="1735" spans="1:10" x14ac:dyDescent="0.35">
      <c r="A1735" s="92"/>
      <c r="F1735" s="177"/>
      <c r="G1735" s="117"/>
      <c r="H1735" s="93"/>
      <c r="I1735" s="41"/>
      <c r="J1735" s="136"/>
    </row>
    <row r="1736" spans="1:10" x14ac:dyDescent="0.35">
      <c r="A1736" s="92"/>
      <c r="F1736" s="177"/>
      <c r="G1736" s="117"/>
      <c r="H1736" s="93"/>
      <c r="I1736" s="41"/>
      <c r="J1736" s="136"/>
    </row>
    <row r="1737" spans="1:10" x14ac:dyDescent="0.35">
      <c r="A1737" s="92"/>
      <c r="F1737" s="177"/>
      <c r="G1737" s="117"/>
      <c r="H1737" s="93"/>
      <c r="I1737" s="41"/>
      <c r="J1737" s="136"/>
    </row>
    <row r="1738" spans="1:10" x14ac:dyDescent="0.35">
      <c r="A1738" s="92"/>
      <c r="F1738" s="177"/>
      <c r="G1738" s="117"/>
      <c r="H1738" s="93"/>
      <c r="I1738" s="41"/>
      <c r="J1738" s="136"/>
    </row>
    <row r="1739" spans="1:10" x14ac:dyDescent="0.35">
      <c r="A1739" s="92"/>
      <c r="F1739" s="177"/>
      <c r="G1739" s="117"/>
      <c r="H1739" s="93"/>
      <c r="I1739" s="41"/>
      <c r="J1739" s="136"/>
    </row>
    <row r="1740" spans="1:10" x14ac:dyDescent="0.35">
      <c r="A1740" s="92"/>
      <c r="F1740" s="177"/>
      <c r="G1740" s="117"/>
      <c r="H1740" s="93"/>
      <c r="I1740" s="41"/>
      <c r="J1740" s="136"/>
    </row>
    <row r="1741" spans="1:10" x14ac:dyDescent="0.35">
      <c r="A1741" s="92"/>
      <c r="F1741" s="177"/>
      <c r="G1741" s="117"/>
      <c r="H1741" s="93"/>
      <c r="I1741" s="41"/>
      <c r="J1741" s="136"/>
    </row>
    <row r="1742" spans="1:10" x14ac:dyDescent="0.35">
      <c r="A1742" s="92"/>
      <c r="F1742" s="177"/>
      <c r="G1742" s="117"/>
      <c r="H1742" s="93"/>
      <c r="I1742" s="41"/>
      <c r="J1742" s="136"/>
    </row>
    <row r="1743" spans="1:10" x14ac:dyDescent="0.35">
      <c r="A1743" s="92"/>
      <c r="F1743" s="177"/>
      <c r="G1743" s="117"/>
      <c r="H1743" s="93"/>
      <c r="I1743" s="41"/>
      <c r="J1743" s="136"/>
    </row>
    <row r="1744" spans="1:10" x14ac:dyDescent="0.35">
      <c r="A1744" s="92"/>
      <c r="F1744" s="177"/>
      <c r="G1744" s="117"/>
      <c r="H1744" s="93"/>
      <c r="I1744" s="41"/>
      <c r="J1744" s="136"/>
    </row>
    <row r="1745" spans="1:10" x14ac:dyDescent="0.35">
      <c r="A1745" s="92"/>
      <c r="F1745" s="177"/>
      <c r="G1745" s="117"/>
      <c r="H1745" s="93"/>
      <c r="I1745" s="41"/>
      <c r="J1745" s="136"/>
    </row>
    <row r="1746" spans="1:10" x14ac:dyDescent="0.35">
      <c r="A1746" s="92"/>
      <c r="F1746" s="177"/>
      <c r="G1746" s="117"/>
      <c r="H1746" s="93"/>
      <c r="I1746" s="41"/>
      <c r="J1746" s="136"/>
    </row>
    <row r="1747" spans="1:10" x14ac:dyDescent="0.35">
      <c r="A1747" s="92"/>
      <c r="F1747" s="177"/>
      <c r="G1747" s="117"/>
      <c r="H1747" s="93"/>
      <c r="I1747" s="41"/>
      <c r="J1747" s="136"/>
    </row>
    <row r="1748" spans="1:10" x14ac:dyDescent="0.35">
      <c r="A1748" s="92"/>
      <c r="F1748" s="177"/>
      <c r="G1748" s="117"/>
      <c r="H1748" s="93"/>
      <c r="I1748" s="41"/>
      <c r="J1748" s="136"/>
    </row>
    <row r="1749" spans="1:10" x14ac:dyDescent="0.35">
      <c r="A1749" s="92"/>
      <c r="F1749" s="177"/>
      <c r="G1749" s="117"/>
      <c r="H1749" s="93"/>
      <c r="I1749" s="41"/>
      <c r="J1749" s="136"/>
    </row>
    <row r="1750" spans="1:10" x14ac:dyDescent="0.35">
      <c r="A1750" s="92"/>
      <c r="F1750" s="177"/>
      <c r="G1750" s="117"/>
      <c r="H1750" s="93"/>
      <c r="I1750" s="41"/>
      <c r="J1750" s="136"/>
    </row>
    <row r="1751" spans="1:10" x14ac:dyDescent="0.35">
      <c r="A1751" s="92"/>
      <c r="F1751" s="177"/>
      <c r="G1751" s="117"/>
      <c r="H1751" s="93"/>
      <c r="I1751" s="41"/>
      <c r="J1751" s="136"/>
    </row>
    <row r="1752" spans="1:10" x14ac:dyDescent="0.35">
      <c r="A1752" s="92"/>
      <c r="F1752" s="177"/>
      <c r="G1752" s="117"/>
      <c r="H1752" s="93"/>
      <c r="I1752" s="41"/>
      <c r="J1752" s="136"/>
    </row>
    <row r="1753" spans="1:10" x14ac:dyDescent="0.35">
      <c r="A1753" s="92"/>
      <c r="F1753" s="177"/>
      <c r="G1753" s="117"/>
      <c r="H1753" s="93"/>
      <c r="I1753" s="41"/>
      <c r="J1753" s="136"/>
    </row>
    <row r="1754" spans="1:10" x14ac:dyDescent="0.35">
      <c r="A1754" s="92"/>
      <c r="F1754" s="177"/>
      <c r="G1754" s="117"/>
      <c r="H1754" s="93"/>
      <c r="I1754" s="41"/>
      <c r="J1754" s="136"/>
    </row>
    <row r="1755" spans="1:10" x14ac:dyDescent="0.35">
      <c r="A1755" s="92"/>
      <c r="F1755" s="177"/>
      <c r="G1755" s="117"/>
      <c r="H1755" s="93"/>
      <c r="I1755" s="41"/>
      <c r="J1755" s="136"/>
    </row>
    <row r="1756" spans="1:10" x14ac:dyDescent="0.35">
      <c r="A1756" s="92"/>
      <c r="F1756" s="177"/>
      <c r="G1756" s="117"/>
      <c r="H1756" s="93"/>
      <c r="I1756" s="41"/>
      <c r="J1756" s="136"/>
    </row>
    <row r="1757" spans="1:10" x14ac:dyDescent="0.35">
      <c r="A1757" s="92"/>
      <c r="F1757" s="177"/>
      <c r="G1757" s="117"/>
      <c r="H1757" s="93"/>
      <c r="I1757" s="41"/>
      <c r="J1757" s="136"/>
    </row>
    <row r="1758" spans="1:10" x14ac:dyDescent="0.35">
      <c r="A1758" s="92"/>
      <c r="F1758" s="177"/>
      <c r="G1758" s="117"/>
      <c r="H1758" s="93"/>
      <c r="I1758" s="41"/>
      <c r="J1758" s="136"/>
    </row>
    <row r="1759" spans="1:10" x14ac:dyDescent="0.35">
      <c r="A1759" s="92"/>
      <c r="F1759" s="177"/>
      <c r="G1759" s="117"/>
      <c r="H1759" s="93"/>
      <c r="I1759" s="41"/>
      <c r="J1759" s="136"/>
    </row>
    <row r="1760" spans="1:10" x14ac:dyDescent="0.35">
      <c r="A1760" s="92"/>
      <c r="F1760" s="177"/>
      <c r="G1760" s="117"/>
      <c r="H1760" s="93"/>
      <c r="I1760" s="41"/>
      <c r="J1760" s="136"/>
    </row>
    <row r="1761" spans="1:10" x14ac:dyDescent="0.35">
      <c r="A1761" s="92"/>
      <c r="F1761" s="177"/>
      <c r="G1761" s="117"/>
      <c r="H1761" s="93"/>
      <c r="I1761" s="41"/>
      <c r="J1761" s="136"/>
    </row>
    <row r="1762" spans="1:10" x14ac:dyDescent="0.35">
      <c r="A1762" s="92"/>
      <c r="F1762" s="177"/>
      <c r="G1762" s="117"/>
      <c r="H1762" s="93"/>
      <c r="I1762" s="41"/>
      <c r="J1762" s="136"/>
    </row>
    <row r="1763" spans="1:10" x14ac:dyDescent="0.35">
      <c r="A1763" s="92"/>
      <c r="F1763" s="177"/>
      <c r="G1763" s="117"/>
      <c r="H1763" s="93"/>
      <c r="I1763" s="41"/>
      <c r="J1763" s="136"/>
    </row>
    <row r="1764" spans="1:10" x14ac:dyDescent="0.35">
      <c r="A1764" s="92"/>
      <c r="F1764" s="177"/>
      <c r="G1764" s="117"/>
      <c r="H1764" s="93"/>
      <c r="I1764" s="41"/>
      <c r="J1764" s="136"/>
    </row>
    <row r="1765" spans="1:10" x14ac:dyDescent="0.35">
      <c r="A1765" s="92"/>
      <c r="F1765" s="177"/>
      <c r="G1765" s="117"/>
      <c r="H1765" s="93"/>
      <c r="I1765" s="41"/>
      <c r="J1765" s="136"/>
    </row>
    <row r="1766" spans="1:10" x14ac:dyDescent="0.35">
      <c r="A1766" s="92"/>
      <c r="F1766" s="177"/>
      <c r="G1766" s="117"/>
      <c r="H1766" s="93"/>
      <c r="I1766" s="41"/>
      <c r="J1766" s="136"/>
    </row>
    <row r="1767" spans="1:10" x14ac:dyDescent="0.35">
      <c r="A1767" s="92"/>
      <c r="F1767" s="177"/>
      <c r="G1767" s="117"/>
      <c r="H1767" s="93"/>
      <c r="I1767" s="41"/>
      <c r="J1767" s="136"/>
    </row>
    <row r="1768" spans="1:10" x14ac:dyDescent="0.35">
      <c r="A1768" s="92"/>
      <c r="F1768" s="177"/>
      <c r="G1768" s="117"/>
      <c r="H1768" s="93"/>
      <c r="I1768" s="41"/>
      <c r="J1768" s="136"/>
    </row>
    <row r="1769" spans="1:10" x14ac:dyDescent="0.35">
      <c r="A1769" s="92"/>
      <c r="F1769" s="177"/>
      <c r="G1769" s="117"/>
      <c r="H1769" s="93"/>
      <c r="I1769" s="41"/>
      <c r="J1769" s="136"/>
    </row>
    <row r="1770" spans="1:10" x14ac:dyDescent="0.35">
      <c r="A1770" s="92"/>
      <c r="F1770" s="177"/>
      <c r="G1770" s="117"/>
      <c r="H1770" s="93"/>
      <c r="I1770" s="41"/>
      <c r="J1770" s="136"/>
    </row>
    <row r="1771" spans="1:10" x14ac:dyDescent="0.35">
      <c r="A1771" s="92"/>
      <c r="F1771" s="177"/>
      <c r="G1771" s="117"/>
      <c r="H1771" s="93"/>
      <c r="I1771" s="41"/>
      <c r="J1771" s="136"/>
    </row>
    <row r="1772" spans="1:10" x14ac:dyDescent="0.35">
      <c r="A1772" s="92"/>
      <c r="F1772" s="177"/>
      <c r="G1772" s="117"/>
      <c r="H1772" s="93"/>
      <c r="I1772" s="41"/>
      <c r="J1772" s="136"/>
    </row>
    <row r="1773" spans="1:10" x14ac:dyDescent="0.35">
      <c r="A1773" s="92"/>
      <c r="F1773" s="177"/>
      <c r="G1773" s="117"/>
      <c r="H1773" s="93"/>
      <c r="I1773" s="41"/>
      <c r="J1773" s="136"/>
    </row>
    <row r="1774" spans="1:10" x14ac:dyDescent="0.35">
      <c r="A1774" s="92"/>
      <c r="F1774" s="177"/>
      <c r="G1774" s="117"/>
      <c r="H1774" s="93"/>
      <c r="I1774" s="41"/>
      <c r="J1774" s="136"/>
    </row>
    <row r="1775" spans="1:10" x14ac:dyDescent="0.35">
      <c r="A1775" s="92"/>
      <c r="F1775" s="177"/>
      <c r="G1775" s="117"/>
      <c r="H1775" s="93"/>
      <c r="I1775" s="41"/>
      <c r="J1775" s="136"/>
    </row>
    <row r="1776" spans="1:10" x14ac:dyDescent="0.35">
      <c r="A1776" s="92"/>
      <c r="F1776" s="177"/>
      <c r="G1776" s="117"/>
      <c r="H1776" s="93"/>
      <c r="I1776" s="41"/>
      <c r="J1776" s="136"/>
    </row>
    <row r="1777" spans="1:10" x14ac:dyDescent="0.35">
      <c r="A1777" s="92"/>
      <c r="F1777" s="177"/>
      <c r="G1777" s="117"/>
      <c r="H1777" s="93"/>
      <c r="I1777" s="41"/>
      <c r="J1777" s="136"/>
    </row>
    <row r="1778" spans="1:10" x14ac:dyDescent="0.35">
      <c r="A1778" s="92"/>
      <c r="F1778" s="177"/>
      <c r="G1778" s="117"/>
      <c r="H1778" s="93"/>
      <c r="I1778" s="41"/>
      <c r="J1778" s="136"/>
    </row>
    <row r="1779" spans="1:10" x14ac:dyDescent="0.35">
      <c r="A1779" s="92"/>
      <c r="F1779" s="177"/>
      <c r="G1779" s="117"/>
      <c r="H1779" s="93"/>
      <c r="I1779" s="41"/>
      <c r="J1779" s="136"/>
    </row>
    <row r="1780" spans="1:10" x14ac:dyDescent="0.35">
      <c r="A1780" s="92"/>
      <c r="F1780" s="177"/>
      <c r="G1780" s="117"/>
      <c r="H1780" s="93"/>
      <c r="I1780" s="41"/>
      <c r="J1780" s="136"/>
    </row>
    <row r="1781" spans="1:10" x14ac:dyDescent="0.35">
      <c r="A1781" s="92"/>
      <c r="F1781" s="177"/>
      <c r="G1781" s="117"/>
      <c r="H1781" s="93"/>
      <c r="I1781" s="41"/>
      <c r="J1781" s="136"/>
    </row>
    <row r="1782" spans="1:10" x14ac:dyDescent="0.35">
      <c r="A1782" s="92"/>
      <c r="F1782" s="177"/>
      <c r="G1782" s="117"/>
      <c r="H1782" s="93"/>
      <c r="I1782" s="41"/>
      <c r="J1782" s="136"/>
    </row>
    <row r="1783" spans="1:10" x14ac:dyDescent="0.35">
      <c r="A1783" s="92"/>
      <c r="F1783" s="177"/>
      <c r="G1783" s="117"/>
      <c r="H1783" s="93"/>
      <c r="I1783" s="41"/>
      <c r="J1783" s="136"/>
    </row>
    <row r="1784" spans="1:10" x14ac:dyDescent="0.35">
      <c r="A1784" s="92"/>
      <c r="F1784" s="177"/>
      <c r="G1784" s="117"/>
      <c r="H1784" s="93"/>
      <c r="I1784" s="41"/>
      <c r="J1784" s="136"/>
    </row>
    <row r="1785" spans="1:10" x14ac:dyDescent="0.35">
      <c r="A1785" s="92"/>
      <c r="F1785" s="177"/>
      <c r="G1785" s="117"/>
      <c r="H1785" s="93"/>
      <c r="I1785" s="41"/>
      <c r="J1785" s="136"/>
    </row>
    <row r="1786" spans="1:10" x14ac:dyDescent="0.35">
      <c r="A1786" s="92"/>
      <c r="F1786" s="177"/>
      <c r="G1786" s="117"/>
      <c r="H1786" s="93"/>
      <c r="I1786" s="41"/>
      <c r="J1786" s="136"/>
    </row>
    <row r="1787" spans="1:10" x14ac:dyDescent="0.35">
      <c r="A1787" s="92"/>
      <c r="F1787" s="177"/>
      <c r="G1787" s="117"/>
      <c r="H1787" s="93"/>
      <c r="I1787" s="41"/>
      <c r="J1787" s="136"/>
    </row>
    <row r="1788" spans="1:10" x14ac:dyDescent="0.35">
      <c r="A1788" s="92"/>
      <c r="F1788" s="177"/>
      <c r="G1788" s="117"/>
      <c r="H1788" s="93"/>
      <c r="I1788" s="41"/>
      <c r="J1788" s="136"/>
    </row>
    <row r="1789" spans="1:10" x14ac:dyDescent="0.35">
      <c r="A1789" s="92"/>
      <c r="F1789" s="177"/>
      <c r="G1789" s="117"/>
      <c r="H1789" s="93"/>
      <c r="I1789" s="41"/>
      <c r="J1789" s="136"/>
    </row>
    <row r="1790" spans="1:10" x14ac:dyDescent="0.35">
      <c r="A1790" s="92"/>
      <c r="F1790" s="177"/>
      <c r="G1790" s="117"/>
      <c r="H1790" s="93"/>
      <c r="I1790" s="41"/>
      <c r="J1790" s="136"/>
    </row>
    <row r="1791" spans="1:10" x14ac:dyDescent="0.35">
      <c r="A1791" s="92"/>
      <c r="F1791" s="177"/>
      <c r="G1791" s="117"/>
      <c r="H1791" s="93"/>
      <c r="I1791" s="41"/>
      <c r="J1791" s="136"/>
    </row>
    <row r="1792" spans="1:10" x14ac:dyDescent="0.35">
      <c r="A1792" s="92"/>
      <c r="F1792" s="177"/>
      <c r="G1792" s="117"/>
      <c r="H1792" s="93"/>
      <c r="I1792" s="41"/>
      <c r="J1792" s="136"/>
    </row>
    <row r="1793" spans="1:10" x14ac:dyDescent="0.35">
      <c r="A1793" s="92"/>
      <c r="F1793" s="177"/>
      <c r="G1793" s="117"/>
      <c r="H1793" s="93"/>
      <c r="I1793" s="41"/>
      <c r="J1793" s="136"/>
    </row>
    <row r="1794" spans="1:10" x14ac:dyDescent="0.35">
      <c r="A1794" s="92"/>
      <c r="F1794" s="177"/>
      <c r="G1794" s="117"/>
      <c r="H1794" s="93"/>
      <c r="I1794" s="41"/>
      <c r="J1794" s="136"/>
    </row>
    <row r="1795" spans="1:10" x14ac:dyDescent="0.35">
      <c r="A1795" s="92"/>
      <c r="F1795" s="177"/>
      <c r="G1795" s="117"/>
      <c r="H1795" s="93"/>
      <c r="I1795" s="41"/>
      <c r="J1795" s="136"/>
    </row>
    <row r="1796" spans="1:10" x14ac:dyDescent="0.35">
      <c r="A1796" s="92"/>
      <c r="F1796" s="177"/>
      <c r="G1796" s="117"/>
      <c r="H1796" s="93"/>
      <c r="I1796" s="41"/>
      <c r="J1796" s="136"/>
    </row>
    <row r="1797" spans="1:10" x14ac:dyDescent="0.35">
      <c r="A1797" s="92"/>
      <c r="F1797" s="177"/>
      <c r="G1797" s="117"/>
      <c r="H1797" s="93"/>
      <c r="I1797" s="41"/>
      <c r="J1797" s="136"/>
    </row>
    <row r="1798" spans="1:10" x14ac:dyDescent="0.35">
      <c r="A1798" s="92"/>
      <c r="F1798" s="177"/>
      <c r="G1798" s="117"/>
      <c r="H1798" s="93"/>
      <c r="I1798" s="41"/>
      <c r="J1798" s="136"/>
    </row>
    <row r="1799" spans="1:10" x14ac:dyDescent="0.35">
      <c r="A1799" s="92"/>
      <c r="F1799" s="177"/>
      <c r="G1799" s="117"/>
      <c r="H1799" s="93"/>
      <c r="I1799" s="41"/>
      <c r="J1799" s="136"/>
    </row>
    <row r="1800" spans="1:10" x14ac:dyDescent="0.35">
      <c r="A1800" s="92"/>
      <c r="F1800" s="177"/>
      <c r="G1800" s="117"/>
      <c r="H1800" s="93"/>
      <c r="I1800" s="41"/>
      <c r="J1800" s="136"/>
    </row>
    <row r="1801" spans="1:10" x14ac:dyDescent="0.35">
      <c r="A1801" s="92"/>
      <c r="F1801" s="177"/>
      <c r="G1801" s="117"/>
      <c r="H1801" s="93"/>
      <c r="I1801" s="41"/>
      <c r="J1801" s="136"/>
    </row>
    <row r="1802" spans="1:10" x14ac:dyDescent="0.35">
      <c r="A1802" s="92"/>
      <c r="F1802" s="177"/>
      <c r="G1802" s="117"/>
      <c r="H1802" s="93"/>
      <c r="I1802" s="41"/>
      <c r="J1802" s="136"/>
    </row>
    <row r="1803" spans="1:10" x14ac:dyDescent="0.35">
      <c r="A1803" s="92"/>
      <c r="F1803" s="177"/>
      <c r="G1803" s="117"/>
      <c r="H1803" s="93"/>
      <c r="I1803" s="41"/>
      <c r="J1803" s="136"/>
    </row>
    <row r="1804" spans="1:10" x14ac:dyDescent="0.35">
      <c r="A1804" s="92"/>
      <c r="F1804" s="177"/>
      <c r="G1804" s="117"/>
      <c r="H1804" s="93"/>
      <c r="I1804" s="41"/>
      <c r="J1804" s="136"/>
    </row>
    <row r="1805" spans="1:10" x14ac:dyDescent="0.35">
      <c r="A1805" s="92"/>
      <c r="F1805" s="177"/>
      <c r="G1805" s="117"/>
      <c r="H1805" s="93"/>
      <c r="I1805" s="41"/>
      <c r="J1805" s="136"/>
    </row>
    <row r="1806" spans="1:10" x14ac:dyDescent="0.35">
      <c r="A1806" s="92"/>
      <c r="F1806" s="177"/>
      <c r="G1806" s="117"/>
      <c r="H1806" s="93"/>
      <c r="I1806" s="41"/>
      <c r="J1806" s="136"/>
    </row>
    <row r="1807" spans="1:10" x14ac:dyDescent="0.35">
      <c r="A1807" s="92"/>
      <c r="F1807" s="177"/>
      <c r="G1807" s="117"/>
      <c r="H1807" s="93"/>
      <c r="I1807" s="41"/>
      <c r="J1807" s="136"/>
    </row>
    <row r="1808" spans="1:10" x14ac:dyDescent="0.35">
      <c r="A1808" s="92"/>
      <c r="F1808" s="177"/>
      <c r="G1808" s="117"/>
      <c r="H1808" s="93"/>
      <c r="I1808" s="41"/>
      <c r="J1808" s="136"/>
    </row>
    <row r="1809" spans="1:10" x14ac:dyDescent="0.35">
      <c r="A1809" s="92"/>
      <c r="F1809" s="177"/>
      <c r="G1809" s="117"/>
      <c r="H1809" s="93"/>
      <c r="I1809" s="41"/>
      <c r="J1809" s="136"/>
    </row>
    <row r="1810" spans="1:10" x14ac:dyDescent="0.35">
      <c r="A1810" s="92"/>
      <c r="F1810" s="177"/>
      <c r="G1810" s="117"/>
      <c r="H1810" s="93"/>
      <c r="I1810" s="41"/>
      <c r="J1810" s="136"/>
    </row>
    <row r="1811" spans="1:10" x14ac:dyDescent="0.35">
      <c r="A1811" s="92"/>
      <c r="F1811" s="177"/>
      <c r="G1811" s="117"/>
      <c r="H1811" s="93"/>
      <c r="I1811" s="41"/>
      <c r="J1811" s="136"/>
    </row>
    <row r="1812" spans="1:10" x14ac:dyDescent="0.35">
      <c r="A1812" s="92"/>
      <c r="F1812" s="177"/>
      <c r="G1812" s="117"/>
      <c r="H1812" s="93"/>
      <c r="I1812" s="41"/>
      <c r="J1812" s="136"/>
    </row>
    <row r="1813" spans="1:10" x14ac:dyDescent="0.35">
      <c r="A1813" s="92"/>
      <c r="F1813" s="177"/>
      <c r="G1813" s="117"/>
      <c r="H1813" s="93"/>
      <c r="I1813" s="41"/>
      <c r="J1813" s="136"/>
    </row>
    <row r="1814" spans="1:10" x14ac:dyDescent="0.35">
      <c r="A1814" s="92"/>
      <c r="F1814" s="177"/>
      <c r="G1814" s="117"/>
      <c r="H1814" s="93"/>
      <c r="I1814" s="41"/>
      <c r="J1814" s="136"/>
    </row>
    <row r="1815" spans="1:10" x14ac:dyDescent="0.35">
      <c r="A1815" s="92"/>
      <c r="F1815" s="177"/>
      <c r="G1815" s="117"/>
      <c r="H1815" s="93"/>
      <c r="I1815" s="41"/>
      <c r="J1815" s="136"/>
    </row>
    <row r="1816" spans="1:10" x14ac:dyDescent="0.35">
      <c r="A1816" s="92"/>
      <c r="F1816" s="177"/>
      <c r="G1816" s="117"/>
      <c r="H1816" s="93"/>
      <c r="I1816" s="41"/>
      <c r="J1816" s="136"/>
    </row>
    <row r="1817" spans="1:10" x14ac:dyDescent="0.35">
      <c r="A1817" s="92"/>
      <c r="F1817" s="177"/>
      <c r="G1817" s="117"/>
      <c r="H1817" s="93"/>
      <c r="I1817" s="41"/>
      <c r="J1817" s="136"/>
    </row>
    <row r="1818" spans="1:10" x14ac:dyDescent="0.35">
      <c r="A1818" s="92"/>
      <c r="F1818" s="177"/>
      <c r="G1818" s="117"/>
      <c r="H1818" s="93"/>
      <c r="I1818" s="41"/>
      <c r="J1818" s="136"/>
    </row>
    <row r="1819" spans="1:10" x14ac:dyDescent="0.35">
      <c r="A1819" s="92"/>
      <c r="F1819" s="177"/>
      <c r="G1819" s="117"/>
      <c r="H1819" s="93"/>
      <c r="I1819" s="41"/>
      <c r="J1819" s="136"/>
    </row>
    <row r="1820" spans="1:10" x14ac:dyDescent="0.35">
      <c r="A1820" s="92"/>
      <c r="F1820" s="177"/>
      <c r="G1820" s="117"/>
      <c r="H1820" s="93"/>
      <c r="I1820" s="41"/>
      <c r="J1820" s="136"/>
    </row>
    <row r="1821" spans="1:10" x14ac:dyDescent="0.35">
      <c r="A1821" s="92"/>
      <c r="F1821" s="177"/>
      <c r="G1821" s="117"/>
      <c r="H1821" s="93"/>
      <c r="I1821" s="41"/>
      <c r="J1821" s="136"/>
    </row>
    <row r="1822" spans="1:10" x14ac:dyDescent="0.35">
      <c r="A1822" s="92"/>
      <c r="F1822" s="177"/>
      <c r="G1822" s="117"/>
      <c r="H1822" s="93"/>
      <c r="I1822" s="41"/>
      <c r="J1822" s="136"/>
    </row>
    <row r="1823" spans="1:10" x14ac:dyDescent="0.35">
      <c r="A1823" s="92"/>
      <c r="F1823" s="177"/>
      <c r="G1823" s="117"/>
      <c r="H1823" s="93"/>
      <c r="I1823" s="41"/>
      <c r="J1823" s="136"/>
    </row>
    <row r="1824" spans="1:10" x14ac:dyDescent="0.35">
      <c r="A1824" s="92"/>
      <c r="F1824" s="177"/>
      <c r="G1824" s="117"/>
      <c r="H1824" s="93"/>
      <c r="I1824" s="41"/>
      <c r="J1824" s="136"/>
    </row>
    <row r="1825" spans="1:10" x14ac:dyDescent="0.35">
      <c r="A1825" s="92"/>
      <c r="F1825" s="177"/>
      <c r="G1825" s="117"/>
      <c r="H1825" s="93"/>
      <c r="I1825" s="41"/>
      <c r="J1825" s="136"/>
    </row>
    <row r="1826" spans="1:10" x14ac:dyDescent="0.35">
      <c r="A1826" s="92"/>
      <c r="F1826" s="177"/>
      <c r="G1826" s="117"/>
      <c r="H1826" s="93"/>
      <c r="I1826" s="41"/>
      <c r="J1826" s="136"/>
    </row>
    <row r="1827" spans="1:10" x14ac:dyDescent="0.35">
      <c r="A1827" s="92"/>
      <c r="F1827" s="177"/>
      <c r="G1827" s="117"/>
      <c r="H1827" s="93"/>
      <c r="I1827" s="41"/>
      <c r="J1827" s="136"/>
    </row>
    <row r="1828" spans="1:10" x14ac:dyDescent="0.35">
      <c r="A1828" s="92"/>
      <c r="F1828" s="177"/>
      <c r="G1828" s="117"/>
      <c r="H1828" s="93"/>
      <c r="I1828" s="41"/>
      <c r="J1828" s="136"/>
    </row>
    <row r="1829" spans="1:10" x14ac:dyDescent="0.35">
      <c r="A1829" s="92"/>
      <c r="F1829" s="177"/>
      <c r="G1829" s="117"/>
      <c r="H1829" s="93"/>
      <c r="I1829" s="41"/>
      <c r="J1829" s="136"/>
    </row>
    <row r="1830" spans="1:10" x14ac:dyDescent="0.35">
      <c r="A1830" s="92"/>
      <c r="F1830" s="177"/>
      <c r="G1830" s="117"/>
      <c r="H1830" s="93"/>
      <c r="I1830" s="41"/>
      <c r="J1830" s="136"/>
    </row>
    <row r="1831" spans="1:10" x14ac:dyDescent="0.35">
      <c r="A1831" s="92"/>
      <c r="F1831" s="177"/>
      <c r="G1831" s="117"/>
      <c r="H1831" s="93"/>
      <c r="I1831" s="41"/>
      <c r="J1831" s="136"/>
    </row>
    <row r="1832" spans="1:10" x14ac:dyDescent="0.35">
      <c r="A1832" s="92"/>
      <c r="F1832" s="177"/>
      <c r="G1832" s="117"/>
      <c r="H1832" s="93"/>
      <c r="I1832" s="41"/>
      <c r="J1832" s="136"/>
    </row>
    <row r="1833" spans="1:10" x14ac:dyDescent="0.35">
      <c r="A1833" s="92"/>
      <c r="F1833" s="177"/>
      <c r="G1833" s="117"/>
      <c r="H1833" s="93"/>
      <c r="I1833" s="41"/>
      <c r="J1833" s="136"/>
    </row>
    <row r="1834" spans="1:10" x14ac:dyDescent="0.35">
      <c r="A1834" s="92"/>
      <c r="F1834" s="177"/>
      <c r="G1834" s="117"/>
      <c r="H1834" s="93"/>
      <c r="I1834" s="41"/>
      <c r="J1834" s="136"/>
    </row>
    <row r="1835" spans="1:10" x14ac:dyDescent="0.35">
      <c r="A1835" s="92"/>
      <c r="F1835" s="177"/>
      <c r="G1835" s="117"/>
      <c r="H1835" s="93"/>
      <c r="I1835" s="41"/>
      <c r="J1835" s="136"/>
    </row>
    <row r="1836" spans="1:10" x14ac:dyDescent="0.35">
      <c r="A1836" s="92"/>
      <c r="F1836" s="177"/>
      <c r="G1836" s="117"/>
      <c r="H1836" s="93"/>
      <c r="I1836" s="41"/>
      <c r="J1836" s="136"/>
    </row>
    <row r="1837" spans="1:10" x14ac:dyDescent="0.35">
      <c r="A1837" s="92"/>
      <c r="F1837" s="177"/>
      <c r="G1837" s="117"/>
      <c r="H1837" s="93"/>
      <c r="I1837" s="41"/>
      <c r="J1837" s="136"/>
    </row>
    <row r="1838" spans="1:10" x14ac:dyDescent="0.35">
      <c r="A1838" s="92"/>
      <c r="F1838" s="177"/>
      <c r="G1838" s="117"/>
      <c r="H1838" s="93"/>
      <c r="I1838" s="41"/>
      <c r="J1838" s="136"/>
    </row>
    <row r="1839" spans="1:10" x14ac:dyDescent="0.35">
      <c r="A1839" s="92"/>
      <c r="F1839" s="177"/>
      <c r="G1839" s="117"/>
      <c r="H1839" s="93"/>
      <c r="I1839" s="41"/>
      <c r="J1839" s="136"/>
    </row>
    <row r="1840" spans="1:10" x14ac:dyDescent="0.35">
      <c r="A1840" s="92"/>
      <c r="F1840" s="177"/>
      <c r="G1840" s="117"/>
      <c r="H1840" s="93"/>
      <c r="I1840" s="41"/>
      <c r="J1840" s="136"/>
    </row>
    <row r="1841" spans="1:10" x14ac:dyDescent="0.35">
      <c r="A1841" s="92"/>
      <c r="F1841" s="177"/>
      <c r="G1841" s="117"/>
      <c r="H1841" s="93"/>
      <c r="I1841" s="41"/>
      <c r="J1841" s="136"/>
    </row>
    <row r="1842" spans="1:10" x14ac:dyDescent="0.35">
      <c r="A1842" s="92"/>
      <c r="F1842" s="177"/>
      <c r="G1842" s="117"/>
      <c r="H1842" s="93"/>
      <c r="I1842" s="41"/>
      <c r="J1842" s="136"/>
    </row>
    <row r="1843" spans="1:10" x14ac:dyDescent="0.35">
      <c r="A1843" s="92"/>
      <c r="F1843" s="177"/>
      <c r="G1843" s="117"/>
      <c r="H1843" s="93"/>
      <c r="I1843" s="41"/>
      <c r="J1843" s="136"/>
    </row>
    <row r="1844" spans="1:10" x14ac:dyDescent="0.35">
      <c r="A1844" s="92"/>
      <c r="F1844" s="177"/>
      <c r="G1844" s="117"/>
      <c r="H1844" s="93"/>
      <c r="I1844" s="41"/>
      <c r="J1844" s="136"/>
    </row>
    <row r="1845" spans="1:10" x14ac:dyDescent="0.35">
      <c r="A1845" s="92"/>
      <c r="F1845" s="177"/>
      <c r="G1845" s="117"/>
      <c r="H1845" s="93"/>
      <c r="I1845" s="41"/>
      <c r="J1845" s="136"/>
    </row>
    <row r="1846" spans="1:10" x14ac:dyDescent="0.35">
      <c r="A1846" s="92"/>
      <c r="F1846" s="177"/>
      <c r="G1846" s="117"/>
      <c r="H1846" s="93"/>
      <c r="I1846" s="41"/>
      <c r="J1846" s="136"/>
    </row>
    <row r="1847" spans="1:10" x14ac:dyDescent="0.35">
      <c r="A1847" s="92"/>
      <c r="F1847" s="177"/>
      <c r="G1847" s="117"/>
      <c r="H1847" s="93"/>
      <c r="I1847" s="41"/>
      <c r="J1847" s="136"/>
    </row>
    <row r="1848" spans="1:10" x14ac:dyDescent="0.35">
      <c r="A1848" s="92"/>
      <c r="F1848" s="177"/>
      <c r="G1848" s="117"/>
      <c r="H1848" s="93"/>
      <c r="I1848" s="41"/>
      <c r="J1848" s="136"/>
    </row>
    <row r="1849" spans="1:10" x14ac:dyDescent="0.35">
      <c r="A1849" s="92"/>
      <c r="F1849" s="177"/>
      <c r="G1849" s="117"/>
      <c r="H1849" s="93"/>
      <c r="I1849" s="41"/>
      <c r="J1849" s="136"/>
    </row>
    <row r="1850" spans="1:10" x14ac:dyDescent="0.35">
      <c r="A1850" s="92"/>
      <c r="F1850" s="177"/>
      <c r="G1850" s="117"/>
      <c r="H1850" s="93"/>
      <c r="I1850" s="41"/>
      <c r="J1850" s="136"/>
    </row>
    <row r="1851" spans="1:10" x14ac:dyDescent="0.35">
      <c r="A1851" s="92"/>
      <c r="F1851" s="177"/>
      <c r="G1851" s="117"/>
      <c r="H1851" s="93"/>
      <c r="I1851" s="41"/>
      <c r="J1851" s="136"/>
    </row>
    <row r="1852" spans="1:10" x14ac:dyDescent="0.35">
      <c r="A1852" s="92"/>
      <c r="F1852" s="177"/>
      <c r="G1852" s="117"/>
      <c r="H1852" s="93"/>
      <c r="I1852" s="41"/>
      <c r="J1852" s="136"/>
    </row>
    <row r="1853" spans="1:10" x14ac:dyDescent="0.35">
      <c r="A1853" s="92"/>
      <c r="F1853" s="177"/>
      <c r="G1853" s="117"/>
      <c r="H1853" s="93"/>
      <c r="I1853" s="41"/>
      <c r="J1853" s="136"/>
    </row>
    <row r="1854" spans="1:10" x14ac:dyDescent="0.35">
      <c r="A1854" s="92"/>
      <c r="F1854" s="177"/>
      <c r="G1854" s="117"/>
      <c r="H1854" s="93"/>
      <c r="I1854" s="41"/>
      <c r="J1854" s="136"/>
    </row>
    <row r="1855" spans="1:10" x14ac:dyDescent="0.35">
      <c r="A1855" s="92"/>
      <c r="F1855" s="177"/>
      <c r="G1855" s="117"/>
      <c r="H1855" s="93"/>
      <c r="I1855" s="41"/>
      <c r="J1855" s="136"/>
    </row>
    <row r="1856" spans="1:10" x14ac:dyDescent="0.35">
      <c r="A1856" s="92"/>
      <c r="F1856" s="177"/>
      <c r="G1856" s="117"/>
      <c r="H1856" s="93"/>
      <c r="I1856" s="41"/>
      <c r="J1856" s="136"/>
    </row>
    <row r="1857" spans="1:10" x14ac:dyDescent="0.35">
      <c r="A1857" s="92"/>
      <c r="F1857" s="177"/>
      <c r="G1857" s="117"/>
      <c r="H1857" s="93"/>
      <c r="I1857" s="41"/>
      <c r="J1857" s="136"/>
    </row>
    <row r="1858" spans="1:10" x14ac:dyDescent="0.35">
      <c r="A1858" s="92"/>
      <c r="F1858" s="177"/>
      <c r="G1858" s="117"/>
      <c r="H1858" s="93"/>
      <c r="I1858" s="41"/>
      <c r="J1858" s="136"/>
    </row>
    <row r="1859" spans="1:10" x14ac:dyDescent="0.35">
      <c r="A1859" s="92"/>
      <c r="F1859" s="177"/>
      <c r="G1859" s="117"/>
      <c r="H1859" s="93"/>
      <c r="I1859" s="41"/>
      <c r="J1859" s="136"/>
    </row>
    <row r="1860" spans="1:10" x14ac:dyDescent="0.35">
      <c r="A1860" s="92"/>
      <c r="F1860" s="177"/>
      <c r="G1860" s="117"/>
      <c r="H1860" s="93"/>
      <c r="I1860" s="41"/>
      <c r="J1860" s="136"/>
    </row>
    <row r="1861" spans="1:10" x14ac:dyDescent="0.35">
      <c r="A1861" s="92"/>
      <c r="F1861" s="177"/>
      <c r="G1861" s="117"/>
      <c r="H1861" s="93"/>
      <c r="I1861" s="41"/>
      <c r="J1861" s="136"/>
    </row>
    <row r="1862" spans="1:10" x14ac:dyDescent="0.35">
      <c r="A1862" s="92"/>
      <c r="F1862" s="177"/>
      <c r="G1862" s="117"/>
      <c r="H1862" s="93"/>
      <c r="I1862" s="41"/>
      <c r="J1862" s="136"/>
    </row>
    <row r="1863" spans="1:10" x14ac:dyDescent="0.35">
      <c r="A1863" s="92"/>
      <c r="F1863" s="177"/>
      <c r="G1863" s="117"/>
      <c r="H1863" s="93"/>
      <c r="I1863" s="41"/>
      <c r="J1863" s="136"/>
    </row>
    <row r="1864" spans="1:10" x14ac:dyDescent="0.35">
      <c r="A1864" s="92"/>
      <c r="F1864" s="177"/>
      <c r="G1864" s="117"/>
      <c r="H1864" s="93"/>
      <c r="I1864" s="41"/>
      <c r="J1864" s="136"/>
    </row>
    <row r="1865" spans="1:10" x14ac:dyDescent="0.35">
      <c r="A1865" s="92"/>
      <c r="F1865" s="177"/>
      <c r="G1865" s="117"/>
      <c r="H1865" s="93"/>
      <c r="I1865" s="41"/>
      <c r="J1865" s="136"/>
    </row>
    <row r="1866" spans="1:10" x14ac:dyDescent="0.35">
      <c r="A1866" s="92"/>
      <c r="F1866" s="177"/>
      <c r="G1866" s="117"/>
      <c r="H1866" s="93"/>
      <c r="I1866" s="41"/>
      <c r="J1866" s="136"/>
    </row>
    <row r="1867" spans="1:10" x14ac:dyDescent="0.35">
      <c r="A1867" s="92"/>
      <c r="F1867" s="177"/>
      <c r="G1867" s="117"/>
      <c r="H1867" s="93"/>
      <c r="I1867" s="41"/>
      <c r="J1867" s="136"/>
    </row>
    <row r="1868" spans="1:10" x14ac:dyDescent="0.35">
      <c r="A1868" s="92"/>
      <c r="F1868" s="177"/>
      <c r="G1868" s="117"/>
      <c r="H1868" s="93"/>
      <c r="I1868" s="41"/>
      <c r="J1868" s="136"/>
    </row>
    <row r="1869" spans="1:10" x14ac:dyDescent="0.35">
      <c r="A1869" s="92"/>
      <c r="F1869" s="177"/>
      <c r="G1869" s="117"/>
      <c r="H1869" s="93"/>
      <c r="I1869" s="41"/>
      <c r="J1869" s="136"/>
    </row>
    <row r="1870" spans="1:10" x14ac:dyDescent="0.35">
      <c r="A1870" s="92"/>
      <c r="F1870" s="177"/>
      <c r="G1870" s="117"/>
      <c r="H1870" s="93"/>
      <c r="I1870" s="41"/>
      <c r="J1870" s="136"/>
    </row>
    <row r="1871" spans="1:10" x14ac:dyDescent="0.35">
      <c r="A1871" s="92"/>
      <c r="F1871" s="177"/>
      <c r="G1871" s="117"/>
      <c r="H1871" s="93"/>
      <c r="I1871" s="41"/>
      <c r="J1871" s="136"/>
    </row>
    <row r="1872" spans="1:10" x14ac:dyDescent="0.3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5" x14ac:dyDescent="0.35"/>
  <cols>
    <col min="1" max="1" width="11.7265625" style="29" customWidth="1"/>
    <col min="2" max="2" width="18.36328125" style="20" customWidth="1"/>
    <col min="3" max="3" width="27.7265625" style="21" customWidth="1"/>
    <col min="4" max="4" width="17.26953125" style="122" customWidth="1"/>
    <col min="5" max="5" width="14.36328125" style="122" customWidth="1"/>
    <col min="6" max="6" width="17.72656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3">
      <c r="A1" s="1"/>
      <c r="B1" s="1180"/>
      <c r="C1" s="1181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" x14ac:dyDescent="0.3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" x14ac:dyDescent="0.3">
      <c r="A3" s="1"/>
      <c r="B3" s="4"/>
      <c r="C3" s="5"/>
      <c r="D3" s="125" t="s">
        <v>92</v>
      </c>
      <c r="E3" s="119">
        <v>0</v>
      </c>
      <c r="F3" s="161" t="s">
        <v>60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3">
      <c r="A4" s="1"/>
      <c r="B4" s="7" t="s">
        <v>7</v>
      </c>
      <c r="C4" s="8" t="s">
        <v>8</v>
      </c>
      <c r="D4" s="126" t="s">
        <v>9</v>
      </c>
      <c r="E4" s="120" t="s">
        <v>63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3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3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35">
      <c r="A7" s="84"/>
      <c r="B7" s="85">
        <v>42387</v>
      </c>
      <c r="C7" s="84" t="s">
        <v>88</v>
      </c>
      <c r="D7" s="157"/>
      <c r="E7" s="157">
        <v>1300</v>
      </c>
      <c r="F7" s="163"/>
      <c r="G7" s="114"/>
      <c r="H7" s="11"/>
      <c r="I7" s="132"/>
    </row>
    <row r="8" spans="1:12" x14ac:dyDescent="0.35">
      <c r="A8" s="84"/>
      <c r="B8" s="85">
        <v>42377</v>
      </c>
      <c r="C8" s="84" t="s">
        <v>53</v>
      </c>
      <c r="D8" s="157"/>
      <c r="E8" s="157">
        <v>200</v>
      </c>
      <c r="F8" s="163"/>
      <c r="G8" s="114"/>
      <c r="H8" s="11"/>
      <c r="I8" s="132"/>
    </row>
    <row r="9" spans="1:12" x14ac:dyDescent="0.3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35">
      <c r="A10" s="84"/>
      <c r="B10" s="85">
        <v>42377</v>
      </c>
      <c r="C10" s="84" t="s">
        <v>38</v>
      </c>
      <c r="D10" s="157"/>
      <c r="E10" s="157">
        <v>150</v>
      </c>
      <c r="F10" s="163"/>
      <c r="G10" s="114"/>
      <c r="H10" s="11"/>
      <c r="I10" s="132"/>
    </row>
    <row r="11" spans="1:12" x14ac:dyDescent="0.3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35">
      <c r="A12" s="86"/>
      <c r="B12" s="85">
        <v>42395</v>
      </c>
      <c r="C12" s="84" t="s">
        <v>94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3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3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35">
      <c r="A15" s="84"/>
      <c r="B15" s="85">
        <v>42405</v>
      </c>
      <c r="C15" s="84" t="s">
        <v>85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35">
      <c r="A16" s="84"/>
      <c r="B16" s="85">
        <v>42395</v>
      </c>
      <c r="C16" s="84" t="s">
        <v>90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35">
      <c r="A17" s="84"/>
      <c r="B17" s="85">
        <v>42395</v>
      </c>
      <c r="C17" s="84" t="s">
        <v>91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35">
      <c r="A18" s="84"/>
      <c r="B18" s="85">
        <v>42394</v>
      </c>
      <c r="C18" s="84" t="s">
        <v>88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35">
      <c r="A19" s="84"/>
      <c r="B19" s="85">
        <v>42394</v>
      </c>
      <c r="C19" s="84" t="s">
        <v>53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35">
      <c r="A20" s="84"/>
      <c r="B20" s="85">
        <v>42410</v>
      </c>
      <c r="C20" s="84" t="s">
        <v>38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3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35">
      <c r="A22" s="86"/>
      <c r="B22" s="85">
        <v>42405</v>
      </c>
      <c r="C22" s="84" t="s">
        <v>93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3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3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35">
      <c r="A25" s="84"/>
      <c r="B25" s="85">
        <v>42433</v>
      </c>
      <c r="C25" s="84" t="s">
        <v>95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3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35">
      <c r="A27" s="84"/>
      <c r="B27" s="85">
        <v>42429</v>
      </c>
      <c r="C27" s="84" t="s">
        <v>53</v>
      </c>
      <c r="D27" s="157"/>
      <c r="E27" s="157">
        <v>14400</v>
      </c>
      <c r="F27" s="163"/>
      <c r="G27" s="114"/>
      <c r="H27" s="11"/>
      <c r="I27" s="132"/>
    </row>
    <row r="28" spans="1:12" x14ac:dyDescent="0.35">
      <c r="A28" s="86"/>
      <c r="B28" s="85">
        <v>42430</v>
      </c>
      <c r="C28" s="84" t="s">
        <v>96</v>
      </c>
      <c r="D28" s="157"/>
      <c r="E28" s="157">
        <v>0</v>
      </c>
      <c r="F28" s="163"/>
      <c r="G28" s="114"/>
      <c r="H28" s="13"/>
      <c r="I28" s="132"/>
    </row>
    <row r="29" spans="1:12" x14ac:dyDescent="0.35">
      <c r="A29" s="86"/>
      <c r="B29" s="85">
        <v>42434</v>
      </c>
      <c r="C29" s="84" t="s">
        <v>93</v>
      </c>
      <c r="D29" s="157"/>
      <c r="E29" s="157">
        <v>600</v>
      </c>
      <c r="F29" s="163"/>
      <c r="G29" s="114"/>
      <c r="H29" s="13"/>
      <c r="I29" s="132"/>
    </row>
    <row r="30" spans="1:12" x14ac:dyDescent="0.35">
      <c r="A30" s="86"/>
      <c r="B30" s="85">
        <v>42436</v>
      </c>
      <c r="C30" s="84" t="s">
        <v>38</v>
      </c>
      <c r="D30" s="157"/>
      <c r="E30" s="157">
        <v>200</v>
      </c>
      <c r="F30" s="163"/>
      <c r="G30" s="114"/>
      <c r="H30" s="13"/>
      <c r="I30" s="132"/>
    </row>
    <row r="31" spans="1:12" x14ac:dyDescent="0.3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3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3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35">
      <c r="A34" s="84"/>
      <c r="B34" s="85">
        <v>42470</v>
      </c>
      <c r="C34" s="84" t="s">
        <v>97</v>
      </c>
      <c r="D34" s="157"/>
      <c r="E34" s="157">
        <v>3400</v>
      </c>
      <c r="F34" s="163"/>
      <c r="G34" s="114"/>
      <c r="H34" s="13"/>
      <c r="I34" s="132"/>
    </row>
    <row r="35" spans="1:17" x14ac:dyDescent="0.35">
      <c r="A35" s="84"/>
      <c r="B35" s="85">
        <v>42464</v>
      </c>
      <c r="C35" s="84" t="s">
        <v>93</v>
      </c>
      <c r="D35" s="157"/>
      <c r="E35" s="157">
        <v>600</v>
      </c>
      <c r="F35" s="163"/>
      <c r="G35" s="114"/>
      <c r="H35" s="11"/>
      <c r="I35" s="132"/>
    </row>
    <row r="36" spans="1:17" x14ac:dyDescent="0.35">
      <c r="A36" s="84"/>
      <c r="B36" s="85">
        <v>42482</v>
      </c>
      <c r="C36" s="84" t="s">
        <v>89</v>
      </c>
      <c r="D36" s="157"/>
      <c r="E36" s="157">
        <v>2000</v>
      </c>
      <c r="F36" s="163"/>
      <c r="G36" s="114"/>
      <c r="H36" s="11"/>
      <c r="I36" s="132"/>
    </row>
    <row r="37" spans="1:17" x14ac:dyDescent="0.3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3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3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35">
      <c r="A40" s="84"/>
      <c r="B40" s="85">
        <v>42492</v>
      </c>
      <c r="C40" s="84" t="s">
        <v>53</v>
      </c>
      <c r="D40" s="157"/>
      <c r="E40" s="157">
        <v>3400</v>
      </c>
      <c r="F40" s="163"/>
      <c r="G40" s="114"/>
      <c r="H40" s="76"/>
      <c r="I40" s="132"/>
    </row>
    <row r="41" spans="1:17" x14ac:dyDescent="0.3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35">
      <c r="A42" s="84"/>
      <c r="B42" s="85">
        <v>42492</v>
      </c>
      <c r="C42" s="84" t="s">
        <v>93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35">
      <c r="A43" s="84"/>
      <c r="B43" s="85">
        <v>42492</v>
      </c>
      <c r="C43" s="84" t="s">
        <v>38</v>
      </c>
      <c r="D43" s="157"/>
      <c r="E43" s="157">
        <v>300</v>
      </c>
      <c r="F43" s="163"/>
      <c r="G43" s="114"/>
      <c r="H43" s="76"/>
      <c r="I43" s="132"/>
    </row>
    <row r="44" spans="1:17" x14ac:dyDescent="0.3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35">
      <c r="A45" s="86"/>
      <c r="B45" s="85">
        <v>42492</v>
      </c>
      <c r="C45" s="84" t="s">
        <v>89</v>
      </c>
      <c r="D45" s="157"/>
      <c r="E45" s="157">
        <v>2000</v>
      </c>
      <c r="F45" s="163"/>
      <c r="G45" s="114"/>
      <c r="H45" s="76"/>
      <c r="I45" s="132"/>
    </row>
    <row r="46" spans="1:17" x14ac:dyDescent="0.3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3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35">
      <c r="A48" s="84"/>
      <c r="B48" s="85">
        <v>42542</v>
      </c>
      <c r="C48" s="84" t="s">
        <v>53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3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35">
      <c r="A50" s="86"/>
      <c r="B50" s="85">
        <v>42545</v>
      </c>
      <c r="C50" s="84" t="s">
        <v>101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35">
      <c r="A51" s="86"/>
      <c r="B51" s="85">
        <v>42546</v>
      </c>
      <c r="C51" s="84" t="s">
        <v>100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35">
      <c r="A52" s="86"/>
      <c r="B52" s="85">
        <v>42542</v>
      </c>
      <c r="C52" s="84" t="s">
        <v>99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35">
      <c r="A53" s="86"/>
      <c r="B53" s="85">
        <v>42531</v>
      </c>
      <c r="C53" s="84" t="s">
        <v>98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35">
      <c r="A54" s="86"/>
      <c r="B54" s="85">
        <v>42531</v>
      </c>
      <c r="C54" s="84" t="s">
        <v>38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3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3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3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3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3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35">
      <c r="A60" s="84"/>
      <c r="B60" s="85">
        <v>42570</v>
      </c>
      <c r="C60" s="84" t="s">
        <v>104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35">
      <c r="A61" s="84"/>
      <c r="B61" s="85">
        <v>42570</v>
      </c>
      <c r="C61" s="84" t="s">
        <v>105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35">
      <c r="A62" s="84"/>
      <c r="B62" s="85">
        <v>42570</v>
      </c>
      <c r="C62" s="84" t="s">
        <v>106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35">
      <c r="A63" s="84"/>
      <c r="B63" s="85">
        <v>42570</v>
      </c>
      <c r="C63" s="84" t="s">
        <v>107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35">
      <c r="A64" s="84"/>
      <c r="B64" s="85">
        <v>42571</v>
      </c>
      <c r="C64" s="84" t="s">
        <v>102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35">
      <c r="A65" s="84"/>
      <c r="B65" s="85">
        <v>42558</v>
      </c>
      <c r="C65" s="84" t="s">
        <v>98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35">
      <c r="A66" s="84"/>
      <c r="B66" s="85">
        <v>42558</v>
      </c>
      <c r="C66" s="84" t="s">
        <v>99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35">
      <c r="A67" s="84"/>
      <c r="B67" s="85">
        <v>42558</v>
      </c>
      <c r="C67" s="84" t="s">
        <v>100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35">
      <c r="A68" s="84"/>
      <c r="B68" s="85">
        <v>42574</v>
      </c>
      <c r="C68" s="84" t="s">
        <v>109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35">
      <c r="A69" s="86"/>
      <c r="B69" s="85">
        <v>42558</v>
      </c>
      <c r="C69" s="84" t="s">
        <v>38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3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35">
      <c r="A71" s="86"/>
      <c r="B71" s="85">
        <v>42569</v>
      </c>
      <c r="C71" s="84" t="s">
        <v>103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35">
      <c r="A72" s="86"/>
      <c r="B72" s="85">
        <v>42562</v>
      </c>
      <c r="C72" s="84" t="s">
        <v>53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3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3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3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3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35">
      <c r="A77" s="84"/>
      <c r="B77" s="85">
        <v>42586</v>
      </c>
      <c r="C77" s="84" t="s">
        <v>99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35">
      <c r="A78" s="86"/>
      <c r="B78" s="85">
        <v>42586</v>
      </c>
      <c r="C78" s="84" t="s">
        <v>38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35">
      <c r="A79" s="86"/>
      <c r="B79" s="85">
        <v>42598</v>
      </c>
      <c r="C79" s="84" t="s">
        <v>110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3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35">
      <c r="A81" s="86"/>
      <c r="B81" s="85">
        <v>42603</v>
      </c>
      <c r="C81" s="84" t="s">
        <v>112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35">
      <c r="A82" s="86"/>
      <c r="B82" s="85">
        <v>42600</v>
      </c>
      <c r="C82" s="84" t="s">
        <v>111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35">
      <c r="A83" s="86"/>
      <c r="B83" s="85">
        <v>42592</v>
      </c>
      <c r="C83" s="84" t="s">
        <v>53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3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3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3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3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35">
      <c r="A88" s="86"/>
      <c r="B88" s="85">
        <v>42626</v>
      </c>
      <c r="C88" s="84" t="s">
        <v>98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35">
      <c r="A89" s="86"/>
      <c r="B89" s="85">
        <v>42620</v>
      </c>
      <c r="C89" s="84" t="s">
        <v>99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35">
      <c r="A90" s="86"/>
      <c r="B90" s="85">
        <v>42620</v>
      </c>
      <c r="C90" s="84" t="s">
        <v>38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3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35">
      <c r="A92" s="86"/>
      <c r="B92" s="85">
        <v>42633</v>
      </c>
      <c r="C92" s="84" t="s">
        <v>53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3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3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3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35">
      <c r="A96" s="83"/>
      <c r="B96" s="87">
        <v>42664</v>
      </c>
      <c r="C96" s="83" t="s">
        <v>114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35">
      <c r="A97" s="89"/>
      <c r="B97" s="87">
        <v>42648</v>
      </c>
      <c r="C97" s="83" t="s">
        <v>38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3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35">
      <c r="A99" s="89"/>
      <c r="B99" s="87">
        <v>42649</v>
      </c>
      <c r="C99" s="83" t="s">
        <v>53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3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3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35">
      <c r="A102" s="83"/>
      <c r="B102" s="87">
        <v>42695</v>
      </c>
      <c r="C102" s="83" t="s">
        <v>108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35">
      <c r="A103" s="83"/>
      <c r="B103" s="87">
        <v>42693</v>
      </c>
      <c r="C103" s="83" t="s">
        <v>114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3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35">
      <c r="A105" s="89"/>
      <c r="B105" s="87">
        <v>42681</v>
      </c>
      <c r="C105" s="83" t="s">
        <v>38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3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35">
      <c r="A107" s="89"/>
      <c r="B107" s="87">
        <v>42681</v>
      </c>
      <c r="C107" s="83" t="s">
        <v>53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3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35">
      <c r="A109" s="83" t="s">
        <v>27</v>
      </c>
      <c r="B109" s="87">
        <v>42706</v>
      </c>
      <c r="C109" s="83" t="s">
        <v>39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35">
      <c r="A110" s="83"/>
      <c r="B110" s="87">
        <v>42706</v>
      </c>
      <c r="C110" s="83" t="s">
        <v>116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35">
      <c r="A111" s="83"/>
      <c r="B111" s="87">
        <v>42711</v>
      </c>
      <c r="C111" s="83" t="s">
        <v>117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35">
      <c r="A112" s="83"/>
      <c r="B112" s="87">
        <v>42728</v>
      </c>
      <c r="C112" s="83" t="s">
        <v>118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35">
      <c r="A113" s="83"/>
      <c r="B113" s="87">
        <v>42714</v>
      </c>
      <c r="C113" s="83" t="s">
        <v>119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35">
      <c r="A114" s="83"/>
      <c r="B114" s="87">
        <v>42721</v>
      </c>
      <c r="C114" s="83" t="s">
        <v>120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35">
      <c r="A115" s="83"/>
      <c r="B115" s="87">
        <v>42735</v>
      </c>
      <c r="C115" s="83" t="s">
        <v>121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35">
      <c r="A116" s="83"/>
      <c r="B116" s="87">
        <v>42709</v>
      </c>
      <c r="C116" s="83" t="s">
        <v>122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35">
      <c r="A117" s="83"/>
      <c r="B117" s="87">
        <v>42711</v>
      </c>
      <c r="C117" s="83" t="s">
        <v>123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35">
      <c r="A118" s="83"/>
      <c r="B118" s="87">
        <v>42714</v>
      </c>
      <c r="C118" s="83" t="s">
        <v>124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35">
      <c r="A119" s="83"/>
      <c r="B119" s="87">
        <v>42711</v>
      </c>
      <c r="C119" s="83" t="s">
        <v>113</v>
      </c>
      <c r="D119" s="158"/>
      <c r="E119" s="158">
        <v>2000</v>
      </c>
      <c r="F119" s="164"/>
      <c r="G119" s="145"/>
      <c r="H119" s="13"/>
      <c r="I119" s="132"/>
    </row>
    <row r="120" spans="1:13" x14ac:dyDescent="0.35">
      <c r="A120" s="89"/>
      <c r="B120" s="87">
        <v>42709</v>
      </c>
      <c r="C120" s="83" t="s">
        <v>125</v>
      </c>
      <c r="D120" s="158"/>
      <c r="E120" s="158">
        <v>500</v>
      </c>
      <c r="F120" s="164"/>
      <c r="G120" s="145"/>
      <c r="H120" s="13"/>
      <c r="I120" s="132"/>
    </row>
    <row r="121" spans="1:13" x14ac:dyDescent="0.35">
      <c r="A121" s="89"/>
      <c r="B121" s="87">
        <v>42711</v>
      </c>
      <c r="C121" s="83" t="s">
        <v>126</v>
      </c>
      <c r="D121" s="158"/>
      <c r="E121" s="158">
        <v>5200</v>
      </c>
      <c r="F121" s="164"/>
      <c r="G121" s="145"/>
      <c r="H121" s="13"/>
      <c r="I121" s="132"/>
    </row>
    <row r="122" spans="1:13" x14ac:dyDescent="0.3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35">
      <c r="A123" s="19"/>
      <c r="D123" s="121"/>
      <c r="E123" s="121"/>
    </row>
    <row r="124" spans="1:13" x14ac:dyDescent="0.35">
      <c r="A124" s="19"/>
      <c r="D124" s="121"/>
      <c r="E124" s="121"/>
    </row>
    <row r="125" spans="1:13" x14ac:dyDescent="0.35">
      <c r="A125" s="19"/>
      <c r="D125" s="121"/>
      <c r="E125" s="121"/>
    </row>
    <row r="126" spans="1:13" x14ac:dyDescent="0.35">
      <c r="A126" s="19"/>
      <c r="D126" s="121"/>
      <c r="E126" s="121"/>
      <c r="I126" s="586" t="s">
        <v>28</v>
      </c>
      <c r="J126" s="941">
        <f>E2</f>
        <v>1500</v>
      </c>
      <c r="K126" s="587"/>
    </row>
    <row r="127" spans="1:13" x14ac:dyDescent="0.35">
      <c r="A127" s="19"/>
      <c r="D127" s="121"/>
      <c r="E127" s="121"/>
      <c r="I127" s="586" t="s">
        <v>29</v>
      </c>
      <c r="J127" s="586" t="s">
        <v>30</v>
      </c>
      <c r="K127" s="587"/>
    </row>
    <row r="128" spans="1:13" x14ac:dyDescent="0.35">
      <c r="A128" s="19"/>
      <c r="D128" s="121"/>
      <c r="E128" s="121"/>
      <c r="I128" s="586">
        <f>_ENE16</f>
        <v>9400</v>
      </c>
      <c r="J128" s="586">
        <v>0</v>
      </c>
      <c r="K128" s="587" t="s">
        <v>31</v>
      </c>
    </row>
    <row r="129" spans="1:14" x14ac:dyDescent="0.35">
      <c r="A129" s="19"/>
      <c r="D129" s="121"/>
      <c r="E129" s="121"/>
      <c r="I129" s="586">
        <f>_FEB16</f>
        <v>1100</v>
      </c>
      <c r="J129" s="586">
        <v>0</v>
      </c>
      <c r="K129" s="587"/>
    </row>
    <row r="130" spans="1:14" x14ac:dyDescent="0.35">
      <c r="A130" s="19"/>
      <c r="D130" s="121"/>
      <c r="E130" s="121"/>
      <c r="I130" s="586">
        <f>_MAR16</f>
        <v>-4900</v>
      </c>
      <c r="J130" s="586">
        <v>0</v>
      </c>
      <c r="K130" s="587"/>
    </row>
    <row r="131" spans="1:14" x14ac:dyDescent="0.35">
      <c r="A131" s="19"/>
      <c r="D131" s="121"/>
      <c r="E131" s="121"/>
      <c r="I131" s="586">
        <f>_ABR16</f>
        <v>800</v>
      </c>
      <c r="J131" s="586">
        <v>0</v>
      </c>
      <c r="K131" s="587"/>
    </row>
    <row r="132" spans="1:14" x14ac:dyDescent="0.35">
      <c r="A132" s="19"/>
      <c r="D132" s="121"/>
      <c r="E132" s="121"/>
      <c r="I132" s="586">
        <f>_MAY16</f>
        <v>-1900</v>
      </c>
      <c r="J132" s="586">
        <v>0</v>
      </c>
      <c r="K132" s="587"/>
    </row>
    <row r="133" spans="1:14" x14ac:dyDescent="0.35">
      <c r="A133" s="19"/>
      <c r="D133" s="121"/>
      <c r="E133" s="121"/>
      <c r="I133" s="586">
        <f>_JUN16</f>
        <v>6500</v>
      </c>
      <c r="J133" s="586">
        <v>0</v>
      </c>
      <c r="K133" s="587"/>
    </row>
    <row r="134" spans="1:14" x14ac:dyDescent="0.35">
      <c r="A134" s="19"/>
      <c r="D134" s="121"/>
      <c r="E134" s="121"/>
      <c r="I134" s="586">
        <f>_JUL16</f>
        <v>-4500</v>
      </c>
      <c r="J134" s="586">
        <v>0</v>
      </c>
      <c r="K134" s="587"/>
    </row>
    <row r="135" spans="1:14" x14ac:dyDescent="0.35">
      <c r="A135" s="19"/>
      <c r="D135" s="121"/>
      <c r="E135" s="121"/>
      <c r="I135" s="586">
        <f>_AGO16</f>
        <v>-3000</v>
      </c>
      <c r="J135" s="586">
        <v>0</v>
      </c>
      <c r="K135" s="587"/>
    </row>
    <row r="136" spans="1:14" x14ac:dyDescent="0.35">
      <c r="A136" s="19"/>
      <c r="D136" s="121"/>
      <c r="E136" s="121"/>
      <c r="I136" s="586">
        <f>_SEP16</f>
        <v>-1000</v>
      </c>
      <c r="J136" s="586">
        <v>0</v>
      </c>
      <c r="K136" s="587"/>
    </row>
    <row r="137" spans="1:14" x14ac:dyDescent="0.35">
      <c r="A137" s="19"/>
      <c r="D137" s="121"/>
      <c r="E137" s="121"/>
      <c r="I137" s="586">
        <f>_OCT16</f>
        <v>0</v>
      </c>
      <c r="J137" s="586">
        <v>0</v>
      </c>
      <c r="K137" s="587"/>
    </row>
    <row r="138" spans="1:14" x14ac:dyDescent="0.35">
      <c r="A138" s="19"/>
      <c r="D138" s="121"/>
      <c r="E138" s="121"/>
      <c r="I138" s="586">
        <f>_NOV16</f>
        <v>1500</v>
      </c>
      <c r="J138" s="586">
        <v>0</v>
      </c>
      <c r="K138" s="587"/>
    </row>
    <row r="139" spans="1:14" x14ac:dyDescent="0.35">
      <c r="A139" s="19"/>
      <c r="D139" s="121"/>
      <c r="E139" s="121"/>
      <c r="I139" s="586">
        <f>_DIC16</f>
        <v>-2500</v>
      </c>
      <c r="J139" s="586">
        <v>0</v>
      </c>
      <c r="K139" s="587"/>
    </row>
    <row r="140" spans="1:14" x14ac:dyDescent="0.35">
      <c r="A140" s="19"/>
      <c r="D140" s="121"/>
      <c r="E140" s="121"/>
      <c r="I140" s="586">
        <f>SUM(I128:I139)</f>
        <v>1500</v>
      </c>
      <c r="J140" s="586">
        <f>-SUM(J128:J139)</f>
        <v>0</v>
      </c>
      <c r="K140" s="588">
        <f>I140-J140</f>
        <v>1500</v>
      </c>
    </row>
    <row r="141" spans="1:14" x14ac:dyDescent="0.35">
      <c r="A141" s="19"/>
      <c r="D141" s="121"/>
      <c r="E141" s="121"/>
      <c r="I141" s="133"/>
      <c r="J141" s="133"/>
      <c r="K141" s="15"/>
    </row>
    <row r="142" spans="1:14" x14ac:dyDescent="0.35">
      <c r="A142" s="19"/>
      <c r="D142" s="121"/>
      <c r="E142" s="121"/>
      <c r="I142" s="130"/>
      <c r="J142" s="133"/>
      <c r="K142" s="15"/>
      <c r="M142" s="25"/>
    </row>
    <row r="143" spans="1:14" x14ac:dyDescent="0.3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3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3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3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35">
      <c r="A147" s="19"/>
      <c r="I147" s="133"/>
      <c r="J147" s="133"/>
      <c r="K147" s="18"/>
      <c r="L147" s="18"/>
      <c r="M147" s="18"/>
      <c r="O147" s="18"/>
    </row>
    <row r="148" spans="1:15" x14ac:dyDescent="0.35">
      <c r="A148" s="19"/>
      <c r="I148" s="133"/>
      <c r="J148" s="133"/>
      <c r="K148" s="18"/>
      <c r="L148" s="18"/>
      <c r="M148" s="18"/>
      <c r="O148" s="18"/>
    </row>
    <row r="149" spans="1:15" x14ac:dyDescent="0.35">
      <c r="A149" s="19"/>
      <c r="I149" s="133"/>
      <c r="J149" s="133"/>
      <c r="K149" s="18"/>
      <c r="L149" s="18"/>
      <c r="M149" s="18"/>
      <c r="O149" s="18"/>
    </row>
    <row r="150" spans="1:15" x14ac:dyDescent="0.3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5" x14ac:dyDescent="0.35"/>
  <cols>
    <col min="1" max="1" width="12.72656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36328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</cols>
  <sheetData>
    <row r="1" spans="1:10" s="3" customFormat="1" ht="13" x14ac:dyDescent="0.3">
      <c r="A1" s="1"/>
      <c r="B1" s="1178"/>
      <c r="C1" s="1179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" x14ac:dyDescent="0.3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3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3">
      <c r="A4" s="1"/>
      <c r="B4" s="7" t="s">
        <v>7</v>
      </c>
      <c r="C4" s="8" t="s">
        <v>8</v>
      </c>
      <c r="D4" s="126" t="s">
        <v>9</v>
      </c>
      <c r="E4" s="120" t="s">
        <v>63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3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3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3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3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3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3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3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3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3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3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3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3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3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35">
      <c r="A18" s="68"/>
      <c r="B18" s="65">
        <v>42071</v>
      </c>
      <c r="C18" s="66" t="s">
        <v>35</v>
      </c>
      <c r="D18" s="138"/>
      <c r="E18" s="138">
        <v>400</v>
      </c>
      <c r="F18" s="69"/>
      <c r="G18" s="114"/>
      <c r="H18" s="149"/>
      <c r="I18" s="132"/>
    </row>
    <row r="19" spans="1:9" x14ac:dyDescent="0.35">
      <c r="A19" s="68"/>
      <c r="B19" s="65">
        <v>42067</v>
      </c>
      <c r="C19" s="66" t="s">
        <v>34</v>
      </c>
      <c r="D19" s="138"/>
      <c r="E19" s="138">
        <v>3800</v>
      </c>
      <c r="F19" s="69"/>
      <c r="G19" s="114"/>
      <c r="H19" s="149"/>
      <c r="I19" s="132"/>
    </row>
    <row r="20" spans="1:9" x14ac:dyDescent="0.35">
      <c r="A20" s="68"/>
      <c r="B20" s="65">
        <v>42091</v>
      </c>
      <c r="C20" s="66" t="s">
        <v>57</v>
      </c>
      <c r="D20" s="138"/>
      <c r="E20" s="138">
        <v>2000</v>
      </c>
      <c r="F20" s="69"/>
      <c r="G20" s="114"/>
      <c r="H20" s="149"/>
      <c r="I20" s="132"/>
    </row>
    <row r="21" spans="1:9" x14ac:dyDescent="0.3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3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3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35">
      <c r="A24" s="64"/>
      <c r="B24" s="65">
        <v>42101</v>
      </c>
      <c r="C24" s="66" t="s">
        <v>37</v>
      </c>
      <c r="D24" s="138"/>
      <c r="E24" s="138">
        <v>500</v>
      </c>
      <c r="F24" s="67"/>
      <c r="G24" s="114"/>
      <c r="H24" s="149"/>
      <c r="I24" s="132"/>
    </row>
    <row r="25" spans="1:9" x14ac:dyDescent="0.3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35">
      <c r="A26" s="68"/>
      <c r="B26" s="65">
        <v>42114</v>
      </c>
      <c r="C26" s="66" t="s">
        <v>52</v>
      </c>
      <c r="D26" s="138"/>
      <c r="E26" s="138">
        <v>3000</v>
      </c>
      <c r="F26" s="69"/>
      <c r="G26" s="114"/>
      <c r="H26" s="149"/>
      <c r="I26" s="132"/>
    </row>
    <row r="27" spans="1:9" x14ac:dyDescent="0.3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3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35">
      <c r="A29" s="64"/>
      <c r="B29" s="65">
        <v>42143</v>
      </c>
      <c r="C29" s="66" t="s">
        <v>55</v>
      </c>
      <c r="D29" s="138">
        <v>1500</v>
      </c>
      <c r="E29" s="138"/>
      <c r="F29" s="67"/>
      <c r="G29" s="114"/>
      <c r="H29" s="149"/>
      <c r="I29" s="132"/>
    </row>
    <row r="30" spans="1:9" x14ac:dyDescent="0.3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35">
      <c r="A31" s="64"/>
      <c r="B31" s="65">
        <v>42126</v>
      </c>
      <c r="C31" s="66" t="s">
        <v>57</v>
      </c>
      <c r="D31" s="138"/>
      <c r="E31" s="138">
        <v>2000</v>
      </c>
      <c r="F31" s="67"/>
      <c r="G31" s="114"/>
      <c r="H31" s="149"/>
      <c r="I31" s="132"/>
    </row>
    <row r="32" spans="1:9" x14ac:dyDescent="0.35">
      <c r="A32" s="64"/>
      <c r="B32" s="65">
        <v>42147</v>
      </c>
      <c r="C32" s="66" t="s">
        <v>58</v>
      </c>
      <c r="D32" s="138"/>
      <c r="E32" s="138">
        <v>1500</v>
      </c>
      <c r="F32" s="67"/>
      <c r="G32" s="114"/>
      <c r="H32" s="149"/>
      <c r="I32" s="132"/>
    </row>
    <row r="33" spans="1:11" x14ac:dyDescent="0.3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3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3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35">
      <c r="A36" s="64"/>
      <c r="B36" s="65">
        <v>42165</v>
      </c>
      <c r="C36" s="66" t="s">
        <v>64</v>
      </c>
      <c r="D36" s="138">
        <v>1500</v>
      </c>
      <c r="E36" s="138"/>
      <c r="F36" s="67"/>
      <c r="G36" s="114"/>
      <c r="H36" s="149"/>
      <c r="I36" s="132"/>
    </row>
    <row r="37" spans="1:11" x14ac:dyDescent="0.3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35">
      <c r="A38" s="64"/>
      <c r="B38" s="65">
        <v>42154</v>
      </c>
      <c r="C38" s="66" t="s">
        <v>59</v>
      </c>
      <c r="D38" s="138"/>
      <c r="E38" s="138">
        <v>2000</v>
      </c>
      <c r="F38" s="67"/>
      <c r="G38" s="114"/>
      <c r="H38" s="149"/>
      <c r="I38" s="132"/>
    </row>
    <row r="39" spans="1:11" x14ac:dyDescent="0.3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35">
      <c r="A40" s="68"/>
      <c r="B40" s="65">
        <v>42165</v>
      </c>
      <c r="C40" s="66" t="s">
        <v>56</v>
      </c>
      <c r="D40" s="138"/>
      <c r="E40" s="138">
        <v>1000</v>
      </c>
      <c r="F40" s="69"/>
      <c r="G40" s="114"/>
      <c r="H40" s="149"/>
      <c r="I40" s="132"/>
    </row>
    <row r="41" spans="1:11" x14ac:dyDescent="0.35">
      <c r="A41" s="68"/>
      <c r="B41" s="65">
        <v>42165</v>
      </c>
      <c r="C41" s="66" t="s">
        <v>38</v>
      </c>
      <c r="D41" s="138"/>
      <c r="E41" s="138">
        <v>250</v>
      </c>
      <c r="F41" s="69"/>
      <c r="G41" s="114"/>
      <c r="H41" s="149"/>
      <c r="I41" s="132"/>
    </row>
    <row r="42" spans="1:11" x14ac:dyDescent="0.3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3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3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3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35">
      <c r="A46" s="64"/>
      <c r="B46" s="65">
        <v>42188</v>
      </c>
      <c r="C46" s="66" t="s">
        <v>62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35">
      <c r="A47" s="64"/>
      <c r="B47" s="65">
        <v>42196</v>
      </c>
      <c r="C47" s="66" t="s">
        <v>61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35">
      <c r="A48" s="64"/>
      <c r="B48" s="65">
        <v>42195</v>
      </c>
      <c r="C48" s="66" t="s">
        <v>76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3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35">
      <c r="A50" s="68"/>
      <c r="B50" s="65">
        <v>42191</v>
      </c>
      <c r="C50" s="66" t="s">
        <v>38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3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3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35">
      <c r="A53" s="64"/>
      <c r="B53" s="65">
        <v>42226</v>
      </c>
      <c r="C53" s="66" t="s">
        <v>65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3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35">
      <c r="A55" s="64"/>
      <c r="B55" s="65">
        <v>42228</v>
      </c>
      <c r="C55" s="66" t="s">
        <v>77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3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35">
      <c r="A57" s="68"/>
      <c r="B57" s="65">
        <v>42226</v>
      </c>
      <c r="C57" s="66" t="s">
        <v>38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3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3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3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35">
      <c r="A61" s="64"/>
      <c r="B61" s="65">
        <v>42254</v>
      </c>
      <c r="C61" s="66" t="s">
        <v>78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3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35">
      <c r="A63" s="68"/>
      <c r="B63" s="65">
        <v>42251</v>
      </c>
      <c r="C63" s="66" t="s">
        <v>38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3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3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3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35">
      <c r="A67" s="64"/>
      <c r="B67" s="65">
        <v>42286</v>
      </c>
      <c r="C67" s="66" t="s">
        <v>79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3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35">
      <c r="A69" s="68"/>
      <c r="B69" s="65">
        <v>42257</v>
      </c>
      <c r="C69" s="66" t="s">
        <v>38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3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3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3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35">
      <c r="A73" s="64"/>
      <c r="B73" s="65">
        <v>42318</v>
      </c>
      <c r="C73" s="66" t="s">
        <v>69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3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35">
      <c r="A75" s="68"/>
      <c r="B75" s="65">
        <v>42314</v>
      </c>
      <c r="C75" s="66" t="s">
        <v>38</v>
      </c>
      <c r="D75" s="138"/>
      <c r="E75" s="138">
        <v>350</v>
      </c>
      <c r="F75" s="69"/>
      <c r="G75" s="114"/>
      <c r="H75" s="150"/>
      <c r="I75" s="154"/>
    </row>
    <row r="76" spans="1:13" x14ac:dyDescent="0.35">
      <c r="A76" s="68"/>
      <c r="B76" s="65">
        <v>42328</v>
      </c>
      <c r="C76" s="66" t="s">
        <v>52</v>
      </c>
      <c r="D76" s="138"/>
      <c r="E76" s="138">
        <v>900</v>
      </c>
      <c r="F76" s="69"/>
      <c r="G76" s="114"/>
      <c r="H76" s="150"/>
      <c r="I76" s="154"/>
    </row>
    <row r="77" spans="1:13" x14ac:dyDescent="0.35">
      <c r="A77" s="68"/>
      <c r="B77" s="65">
        <v>42328</v>
      </c>
      <c r="C77" s="66" t="s">
        <v>70</v>
      </c>
      <c r="D77" s="138">
        <v>2000</v>
      </c>
      <c r="E77" s="138"/>
      <c r="F77" s="69"/>
      <c r="G77" s="114"/>
      <c r="H77" s="151"/>
      <c r="I77" s="132"/>
    </row>
    <row r="78" spans="1:13" x14ac:dyDescent="0.3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3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35">
      <c r="A80" s="64"/>
      <c r="B80" s="65">
        <v>42349</v>
      </c>
      <c r="C80" s="66" t="s">
        <v>80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35">
      <c r="A81" s="64"/>
      <c r="B81" s="65">
        <v>42355</v>
      </c>
      <c r="C81" s="66" t="s">
        <v>81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35">
      <c r="A82" s="64"/>
      <c r="B82" s="65">
        <v>42350</v>
      </c>
      <c r="C82" s="66" t="s">
        <v>75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3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35">
      <c r="A84" s="64"/>
      <c r="B84" s="65">
        <v>42319</v>
      </c>
      <c r="C84" s="66" t="s">
        <v>86</v>
      </c>
      <c r="D84" s="138"/>
      <c r="E84" s="138">
        <v>2400</v>
      </c>
      <c r="F84" s="67"/>
      <c r="G84" s="145"/>
      <c r="H84" s="151"/>
      <c r="I84" s="132"/>
    </row>
    <row r="85" spans="1:11" x14ac:dyDescent="0.35">
      <c r="A85" s="64"/>
      <c r="B85" s="65">
        <v>42342</v>
      </c>
      <c r="C85" s="66" t="s">
        <v>87</v>
      </c>
      <c r="D85" s="138"/>
      <c r="E85" s="138">
        <v>7500</v>
      </c>
      <c r="F85" s="67"/>
      <c r="G85" s="114"/>
      <c r="H85" s="114"/>
      <c r="I85" s="114"/>
    </row>
    <row r="86" spans="1:11" x14ac:dyDescent="0.3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35">
      <c r="A87" s="68"/>
      <c r="B87" s="65">
        <v>42345</v>
      </c>
      <c r="C87" s="66" t="s">
        <v>69</v>
      </c>
      <c r="D87" s="138"/>
      <c r="E87" s="138">
        <v>1900</v>
      </c>
      <c r="F87" s="69"/>
      <c r="G87" s="114"/>
      <c r="H87" s="114"/>
      <c r="I87" s="114"/>
    </row>
    <row r="88" spans="1:11" x14ac:dyDescent="0.35">
      <c r="A88" s="68"/>
      <c r="B88" s="65">
        <v>42357</v>
      </c>
      <c r="C88" s="66" t="s">
        <v>71</v>
      </c>
      <c r="D88" s="138"/>
      <c r="E88" s="138">
        <v>550</v>
      </c>
      <c r="F88" s="69"/>
      <c r="G88" s="145"/>
      <c r="H88" s="149"/>
      <c r="I88" s="132"/>
    </row>
    <row r="89" spans="1:11" x14ac:dyDescent="0.35">
      <c r="A89" s="68"/>
      <c r="B89" s="65">
        <v>42348</v>
      </c>
      <c r="C89" s="66" t="s">
        <v>72</v>
      </c>
      <c r="D89" s="138"/>
      <c r="E89" s="138">
        <v>350</v>
      </c>
      <c r="F89" s="69"/>
      <c r="G89" s="145"/>
      <c r="H89" s="149"/>
      <c r="I89" s="132"/>
    </row>
    <row r="90" spans="1:11" x14ac:dyDescent="0.35">
      <c r="A90" s="68"/>
      <c r="B90" s="65">
        <v>42377</v>
      </c>
      <c r="C90" s="66" t="s">
        <v>85</v>
      </c>
      <c r="D90" s="138"/>
      <c r="E90" s="138">
        <v>800</v>
      </c>
      <c r="F90" s="69"/>
      <c r="G90" s="145"/>
      <c r="H90" s="149"/>
      <c r="I90" s="132"/>
    </row>
    <row r="91" spans="1:11" x14ac:dyDescent="0.35">
      <c r="A91" s="68"/>
      <c r="B91" s="65">
        <v>42357</v>
      </c>
      <c r="C91" s="66" t="s">
        <v>82</v>
      </c>
      <c r="D91" s="138">
        <v>750</v>
      </c>
      <c r="E91" s="138"/>
      <c r="F91" s="69"/>
      <c r="G91" s="145"/>
      <c r="H91" s="149"/>
      <c r="I91" s="132"/>
    </row>
    <row r="92" spans="1:11" x14ac:dyDescent="0.35">
      <c r="A92" s="68"/>
      <c r="B92" s="65">
        <v>42354</v>
      </c>
      <c r="C92" s="66" t="s">
        <v>83</v>
      </c>
      <c r="D92" s="138">
        <v>600</v>
      </c>
      <c r="E92" s="138"/>
      <c r="F92" s="69"/>
      <c r="G92" s="145"/>
      <c r="H92" s="149"/>
      <c r="I92" s="132"/>
    </row>
    <row r="93" spans="1:11" x14ac:dyDescent="0.35">
      <c r="A93" s="68"/>
      <c r="B93" s="65">
        <v>42357</v>
      </c>
      <c r="C93" s="66" t="s">
        <v>84</v>
      </c>
      <c r="D93" s="138">
        <v>2000</v>
      </c>
      <c r="E93" s="138"/>
      <c r="F93" s="69"/>
      <c r="G93" s="145"/>
      <c r="H93" s="149"/>
      <c r="I93" s="132"/>
    </row>
    <row r="94" spans="1:11" x14ac:dyDescent="0.35">
      <c r="A94" s="68"/>
      <c r="B94" s="65">
        <v>42345</v>
      </c>
      <c r="C94" s="66" t="s">
        <v>73</v>
      </c>
      <c r="D94" s="138">
        <v>4500</v>
      </c>
      <c r="E94" s="138"/>
      <c r="F94" s="69"/>
      <c r="G94" s="145"/>
      <c r="H94" s="149"/>
      <c r="I94" s="132"/>
    </row>
    <row r="95" spans="1:11" x14ac:dyDescent="0.35">
      <c r="A95" s="68"/>
      <c r="B95" s="65">
        <v>42347</v>
      </c>
      <c r="C95" s="66" t="s">
        <v>74</v>
      </c>
      <c r="D95" s="138">
        <v>2000</v>
      </c>
      <c r="E95" s="138"/>
      <c r="F95" s="69"/>
      <c r="G95" s="145"/>
      <c r="H95" s="149"/>
      <c r="I95" s="132"/>
    </row>
    <row r="96" spans="1:11" x14ac:dyDescent="0.35">
      <c r="A96" s="68"/>
      <c r="B96" s="65"/>
      <c r="C96" s="66"/>
      <c r="D96" s="138" t="s">
        <v>68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35">
      <c r="A97" s="19"/>
      <c r="D97" s="121"/>
      <c r="E97" s="121"/>
    </row>
    <row r="98" spans="1:11" x14ac:dyDescent="0.35">
      <c r="A98" s="19"/>
      <c r="D98" s="121"/>
      <c r="E98" s="121"/>
    </row>
    <row r="99" spans="1:11" x14ac:dyDescent="0.35">
      <c r="A99" s="19"/>
      <c r="D99" s="121"/>
      <c r="E99" s="121"/>
    </row>
    <row r="100" spans="1:11" x14ac:dyDescent="0.35">
      <c r="A100" s="19"/>
      <c r="D100" s="121"/>
      <c r="E100" s="121"/>
      <c r="I100" s="586" t="s">
        <v>28</v>
      </c>
      <c r="J100" s="586">
        <f>E2</f>
        <v>24650</v>
      </c>
      <c r="K100" s="587"/>
    </row>
    <row r="101" spans="1:11" x14ac:dyDescent="0.35">
      <c r="A101" s="19"/>
      <c r="D101" s="121"/>
      <c r="E101" s="121"/>
      <c r="I101" s="586" t="s">
        <v>29</v>
      </c>
      <c r="J101" s="586"/>
      <c r="K101" s="587"/>
    </row>
    <row r="102" spans="1:11" x14ac:dyDescent="0.35">
      <c r="A102" s="19"/>
      <c r="D102" s="121"/>
      <c r="E102" s="121"/>
      <c r="I102" s="586">
        <f>_ENE15</f>
        <v>9000</v>
      </c>
      <c r="J102" s="586"/>
      <c r="K102" s="587" t="s">
        <v>31</v>
      </c>
    </row>
    <row r="103" spans="1:11" x14ac:dyDescent="0.35">
      <c r="A103" s="19"/>
      <c r="D103" s="121"/>
      <c r="E103" s="121"/>
      <c r="I103" s="586">
        <f>_FEB15</f>
        <v>3900</v>
      </c>
      <c r="J103" s="586"/>
      <c r="K103" s="587"/>
    </row>
    <row r="104" spans="1:11" x14ac:dyDescent="0.35">
      <c r="A104" s="19"/>
      <c r="D104" s="121"/>
      <c r="E104" s="121"/>
      <c r="I104" s="586">
        <f>_MAR15</f>
        <v>100</v>
      </c>
      <c r="J104" s="586"/>
      <c r="K104" s="587"/>
    </row>
    <row r="105" spans="1:11" x14ac:dyDescent="0.35">
      <c r="A105" s="19"/>
      <c r="D105" s="121"/>
      <c r="E105" s="121"/>
      <c r="I105" s="586">
        <f>_ABR15</f>
        <v>-2000</v>
      </c>
      <c r="J105" s="586"/>
      <c r="K105" s="587"/>
    </row>
    <row r="106" spans="1:11" x14ac:dyDescent="0.35">
      <c r="A106" s="19"/>
      <c r="D106" s="121"/>
      <c r="E106" s="121"/>
      <c r="I106" s="586">
        <f>_MAY15</f>
        <v>0</v>
      </c>
      <c r="J106" s="586"/>
      <c r="K106" s="587"/>
    </row>
    <row r="107" spans="1:11" x14ac:dyDescent="0.35">
      <c r="A107" s="19"/>
      <c r="D107" s="121"/>
      <c r="E107" s="121"/>
      <c r="I107" s="586">
        <f>_JUN15</f>
        <v>2500</v>
      </c>
      <c r="J107" s="586"/>
      <c r="K107" s="587"/>
    </row>
    <row r="108" spans="1:11" x14ac:dyDescent="0.35">
      <c r="A108" s="19"/>
      <c r="D108" s="121"/>
      <c r="E108" s="121"/>
      <c r="I108" s="586">
        <f>_JUL15</f>
        <v>3000</v>
      </c>
      <c r="J108" s="586"/>
      <c r="K108" s="587"/>
    </row>
    <row r="109" spans="1:11" x14ac:dyDescent="0.35">
      <c r="A109" s="19"/>
      <c r="D109" s="121"/>
      <c r="E109" s="121"/>
      <c r="I109" s="586">
        <f>_AGO15</f>
        <v>3800</v>
      </c>
      <c r="J109" s="586"/>
      <c r="K109" s="587"/>
    </row>
    <row r="110" spans="1:11" x14ac:dyDescent="0.35">
      <c r="A110" s="19"/>
      <c r="D110" s="121"/>
      <c r="E110" s="121"/>
      <c r="I110" s="586">
        <f>_SEP15</f>
        <v>3700</v>
      </c>
      <c r="J110" s="586"/>
      <c r="K110" s="587"/>
    </row>
    <row r="111" spans="1:11" x14ac:dyDescent="0.35">
      <c r="A111" s="19"/>
      <c r="D111" s="121"/>
      <c r="E111" s="121"/>
      <c r="I111" s="586">
        <f>_OCT15</f>
        <v>4400</v>
      </c>
      <c r="J111" s="586"/>
      <c r="K111" s="587"/>
    </row>
    <row r="112" spans="1:11" x14ac:dyDescent="0.35">
      <c r="A112" s="19"/>
      <c r="D112" s="121"/>
      <c r="E112" s="121"/>
      <c r="I112" s="586">
        <f>_NOV15</f>
        <v>1500</v>
      </c>
      <c r="J112" s="586"/>
      <c r="K112" s="587"/>
    </row>
    <row r="113" spans="1:14" x14ac:dyDescent="0.35">
      <c r="A113" s="19"/>
      <c r="D113" s="121"/>
      <c r="E113" s="121"/>
      <c r="I113" s="586">
        <f>_DIC15</f>
        <v>-5250</v>
      </c>
      <c r="J113" s="586"/>
      <c r="K113" s="587"/>
    </row>
    <row r="114" spans="1:14" x14ac:dyDescent="0.35">
      <c r="A114" s="19"/>
      <c r="D114" s="121"/>
      <c r="E114" s="121"/>
      <c r="I114" s="586">
        <f>SUM(I102:I113)</f>
        <v>24650</v>
      </c>
      <c r="J114" s="586">
        <f>-SUM(J102:J113)</f>
        <v>0</v>
      </c>
      <c r="K114" s="588">
        <f>I114-J114</f>
        <v>24650</v>
      </c>
    </row>
    <row r="115" spans="1:14" x14ac:dyDescent="0.35">
      <c r="A115" s="19"/>
      <c r="D115" s="121"/>
      <c r="E115" s="121"/>
      <c r="I115" s="133"/>
      <c r="J115" s="133"/>
      <c r="K115" s="15"/>
    </row>
    <row r="116" spans="1:14" x14ac:dyDescent="0.35">
      <c r="A116" s="19"/>
      <c r="D116" s="121"/>
      <c r="E116" s="121"/>
      <c r="I116" s="130"/>
      <c r="J116" s="133"/>
      <c r="K116" s="15"/>
      <c r="M116" s="25"/>
    </row>
    <row r="117" spans="1:14" x14ac:dyDescent="0.3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3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3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3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35">
      <c r="A121" s="19"/>
      <c r="I121" s="130"/>
      <c r="J121" s="133"/>
      <c r="K121" s="15"/>
    </row>
    <row r="122" spans="1:14" x14ac:dyDescent="0.35">
      <c r="A122" s="19"/>
      <c r="I122" s="130"/>
      <c r="J122" s="133"/>
      <c r="K122" s="15"/>
    </row>
    <row r="123" spans="1:14" x14ac:dyDescent="0.35">
      <c r="A123" s="19"/>
      <c r="I123" s="130"/>
      <c r="J123" s="133"/>
      <c r="K123" s="15"/>
    </row>
    <row r="124" spans="1:14" x14ac:dyDescent="0.3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5" x14ac:dyDescent="0.35"/>
  <cols>
    <col min="1" max="1" width="12.7265625" style="29" customWidth="1"/>
    <col min="2" max="2" width="18.36328125" style="20" customWidth="1"/>
    <col min="3" max="3" width="20" style="21" customWidth="1"/>
    <col min="4" max="4" width="16.26953125" style="397" customWidth="1"/>
    <col min="5" max="5" width="14.7265625" style="397" customWidth="1"/>
    <col min="6" max="6" width="14.26953125" style="22" customWidth="1"/>
    <col min="7" max="7" width="14.7265625" style="469" customWidth="1"/>
    <col min="8" max="8" width="14.7265625" style="10" customWidth="1"/>
    <col min="9" max="9" width="12.26953125" customWidth="1"/>
    <col min="10" max="10" width="14.36328125" customWidth="1"/>
    <col min="11" max="11" width="13.26953125" customWidth="1"/>
    <col min="13" max="13" width="11.7265625" customWidth="1"/>
  </cols>
  <sheetData>
    <row r="1" spans="1:9" s="3" customFormat="1" ht="13" x14ac:dyDescent="0.3">
      <c r="A1" s="1"/>
      <c r="B1" s="1180"/>
      <c r="C1" s="1181"/>
      <c r="D1" s="480" t="s">
        <v>0</v>
      </c>
      <c r="E1" s="481">
        <f>COUNTA(B6:B63)</f>
        <v>42</v>
      </c>
      <c r="F1" s="519" t="s">
        <v>1</v>
      </c>
      <c r="G1" s="520"/>
      <c r="H1" s="484"/>
    </row>
    <row r="2" spans="1:9" s="3" customFormat="1" ht="13" x14ac:dyDescent="0.3">
      <c r="A2" s="1"/>
      <c r="B2" s="485" t="s">
        <v>2</v>
      </c>
      <c r="C2" s="486">
        <f>E2</f>
        <v>10000</v>
      </c>
      <c r="D2" s="487" t="s">
        <v>3</v>
      </c>
      <c r="E2" s="488">
        <f>SUM(D5:D114)-SUM(E5:E114)</f>
        <v>10000</v>
      </c>
      <c r="F2" s="489" t="s">
        <v>4</v>
      </c>
      <c r="G2" s="490">
        <f>+E2</f>
        <v>10000</v>
      </c>
      <c r="H2" s="484"/>
    </row>
    <row r="3" spans="1:9" s="3" customFormat="1" ht="13" x14ac:dyDescent="0.3">
      <c r="A3" s="1"/>
      <c r="B3" s="485"/>
      <c r="C3" s="486"/>
      <c r="D3" s="491" t="s">
        <v>5</v>
      </c>
      <c r="E3" s="492">
        <v>1500</v>
      </c>
      <c r="F3" s="489" t="s">
        <v>6</v>
      </c>
      <c r="G3" s="490">
        <f>+E3*7.87</f>
        <v>11805</v>
      </c>
      <c r="H3" s="484"/>
    </row>
    <row r="4" spans="1:9" s="3" customFormat="1" ht="13" x14ac:dyDescent="0.3">
      <c r="A4" s="1"/>
      <c r="B4" s="7" t="s">
        <v>7</v>
      </c>
      <c r="C4" s="8" t="s">
        <v>8</v>
      </c>
      <c r="D4" s="493" t="s">
        <v>9</v>
      </c>
      <c r="E4" s="494" t="s">
        <v>63</v>
      </c>
      <c r="F4" s="9" t="s">
        <v>10</v>
      </c>
      <c r="G4" s="490">
        <f>+G2+G3</f>
        <v>21805</v>
      </c>
      <c r="H4" s="484"/>
    </row>
    <row r="5" spans="1:9" x14ac:dyDescent="0.35">
      <c r="A5" s="521" t="s">
        <v>11</v>
      </c>
      <c r="B5" s="522">
        <v>41640</v>
      </c>
      <c r="C5" s="523" t="s">
        <v>12</v>
      </c>
      <c r="D5" s="524">
        <v>1800</v>
      </c>
      <c r="E5" s="524"/>
      <c r="F5" s="525"/>
      <c r="G5" s="500"/>
    </row>
    <row r="6" spans="1:9" x14ac:dyDescent="0.35">
      <c r="A6" s="521"/>
      <c r="B6" s="522">
        <v>41645</v>
      </c>
      <c r="C6" s="523" t="s">
        <v>13</v>
      </c>
      <c r="D6" s="524">
        <v>6000</v>
      </c>
      <c r="E6" s="524"/>
      <c r="F6" s="526"/>
      <c r="G6" s="447"/>
      <c r="H6" s="11"/>
      <c r="I6" s="12"/>
    </row>
    <row r="7" spans="1:9" x14ac:dyDescent="0.35">
      <c r="A7" s="521"/>
      <c r="B7" s="522">
        <v>41645</v>
      </c>
      <c r="C7" s="523" t="s">
        <v>14</v>
      </c>
      <c r="D7" s="524"/>
      <c r="E7" s="524">
        <v>4000</v>
      </c>
      <c r="F7" s="526"/>
      <c r="G7" s="447"/>
      <c r="H7" s="11"/>
      <c r="I7" s="12"/>
    </row>
    <row r="8" spans="1:9" x14ac:dyDescent="0.35">
      <c r="A8" s="527"/>
      <c r="B8" s="522">
        <v>41645</v>
      </c>
      <c r="C8" s="523" t="s">
        <v>15</v>
      </c>
      <c r="D8" s="524"/>
      <c r="E8" s="524">
        <v>1800</v>
      </c>
      <c r="F8" s="528"/>
      <c r="G8" s="447"/>
      <c r="H8" s="448"/>
      <c r="I8" s="12"/>
    </row>
    <row r="9" spans="1:9" x14ac:dyDescent="0.35">
      <c r="A9" s="527"/>
      <c r="B9" s="522"/>
      <c r="C9" s="523"/>
      <c r="D9" s="524"/>
      <c r="E9" s="524"/>
      <c r="F9" s="529">
        <f>SUM(D5:D9)-SUM(E5:E9)</f>
        <v>2000</v>
      </c>
      <c r="G9" s="447"/>
      <c r="H9" s="448"/>
      <c r="I9" s="12"/>
    </row>
    <row r="10" spans="1:9" x14ac:dyDescent="0.35">
      <c r="A10" s="521" t="s">
        <v>16</v>
      </c>
      <c r="B10" s="522">
        <v>41677</v>
      </c>
      <c r="C10" s="523" t="s">
        <v>13</v>
      </c>
      <c r="D10" s="524">
        <v>6000</v>
      </c>
      <c r="E10" s="524"/>
      <c r="F10" s="526"/>
      <c r="G10" s="447"/>
      <c r="H10" s="11"/>
      <c r="I10" s="12"/>
    </row>
    <row r="11" spans="1:9" x14ac:dyDescent="0.35">
      <c r="A11" s="521"/>
      <c r="B11" s="522">
        <v>41680</v>
      </c>
      <c r="C11" s="523" t="s">
        <v>14</v>
      </c>
      <c r="D11" s="524"/>
      <c r="E11" s="524">
        <v>3550</v>
      </c>
      <c r="F11" s="526"/>
      <c r="G11" s="447"/>
      <c r="H11" s="11"/>
      <c r="I11" s="450"/>
    </row>
    <row r="12" spans="1:9" x14ac:dyDescent="0.35">
      <c r="A12" s="527"/>
      <c r="B12" s="522">
        <v>41679</v>
      </c>
      <c r="C12" s="523" t="s">
        <v>15</v>
      </c>
      <c r="D12" s="524"/>
      <c r="E12" s="524">
        <v>4150</v>
      </c>
      <c r="F12" s="528"/>
      <c r="G12" s="447"/>
      <c r="H12" s="11"/>
      <c r="I12" s="12"/>
    </row>
    <row r="13" spans="1:9" x14ac:dyDescent="0.35">
      <c r="A13" s="527"/>
      <c r="B13" s="522"/>
      <c r="C13" s="523"/>
      <c r="D13" s="524"/>
      <c r="E13" s="524"/>
      <c r="F13" s="529">
        <f>SUM(D9:D13)-SUM(E9:E13)</f>
        <v>-1700</v>
      </c>
      <c r="G13" s="447"/>
      <c r="H13" s="448"/>
      <c r="I13" s="12"/>
    </row>
    <row r="14" spans="1:9" x14ac:dyDescent="0.35">
      <c r="A14" s="521" t="s">
        <v>17</v>
      </c>
      <c r="B14" s="522">
        <v>41704</v>
      </c>
      <c r="C14" s="523" t="s">
        <v>13</v>
      </c>
      <c r="D14" s="524">
        <v>6000</v>
      </c>
      <c r="E14" s="524"/>
      <c r="F14" s="526"/>
      <c r="G14" s="447"/>
      <c r="H14" s="11"/>
      <c r="I14" s="12"/>
    </row>
    <row r="15" spans="1:9" x14ac:dyDescent="0.35">
      <c r="A15" s="521"/>
      <c r="B15" s="522">
        <v>41704</v>
      </c>
      <c r="C15" s="523" t="s">
        <v>14</v>
      </c>
      <c r="D15" s="524"/>
      <c r="E15" s="524">
        <v>4600</v>
      </c>
      <c r="F15" s="526"/>
      <c r="G15" s="447"/>
      <c r="H15" s="11"/>
      <c r="I15" s="12"/>
    </row>
    <row r="16" spans="1:9" x14ac:dyDescent="0.35">
      <c r="A16" s="527"/>
      <c r="B16" s="522">
        <v>41716</v>
      </c>
      <c r="C16" s="523" t="s">
        <v>15</v>
      </c>
      <c r="D16" s="524"/>
      <c r="E16" s="524">
        <v>1000</v>
      </c>
      <c r="F16" s="528"/>
      <c r="G16" s="447"/>
      <c r="H16" s="448"/>
      <c r="I16" s="12"/>
    </row>
    <row r="17" spans="1:9" x14ac:dyDescent="0.35">
      <c r="A17" s="527"/>
      <c r="B17" s="522"/>
      <c r="C17" s="523"/>
      <c r="D17" s="524"/>
      <c r="E17" s="524"/>
      <c r="F17" s="529">
        <f>SUM(D13:D17)-SUM(E13:E17)</f>
        <v>400</v>
      </c>
      <c r="G17" s="447"/>
      <c r="H17" s="448"/>
      <c r="I17" s="12"/>
    </row>
    <row r="18" spans="1:9" x14ac:dyDescent="0.35">
      <c r="A18" s="521" t="s">
        <v>18</v>
      </c>
      <c r="B18" s="522">
        <v>41738</v>
      </c>
      <c r="C18" s="523" t="s">
        <v>13</v>
      </c>
      <c r="D18" s="524">
        <v>6000</v>
      </c>
      <c r="E18" s="524"/>
      <c r="F18" s="526"/>
      <c r="G18" s="447"/>
      <c r="H18" s="448"/>
      <c r="I18" s="12"/>
    </row>
    <row r="19" spans="1:9" x14ac:dyDescent="0.35">
      <c r="A19" s="521"/>
      <c r="B19" s="522">
        <v>41744</v>
      </c>
      <c r="C19" s="523" t="s">
        <v>19</v>
      </c>
      <c r="D19" s="524">
        <v>3000</v>
      </c>
      <c r="E19" s="524"/>
      <c r="F19" s="526"/>
      <c r="G19" s="447"/>
      <c r="H19" s="448"/>
      <c r="I19" s="12"/>
    </row>
    <row r="20" spans="1:9" x14ac:dyDescent="0.35">
      <c r="A20" s="521"/>
      <c r="B20" s="522">
        <v>41738</v>
      </c>
      <c r="C20" s="523" t="s">
        <v>14</v>
      </c>
      <c r="D20" s="524"/>
      <c r="E20" s="524">
        <v>4560</v>
      </c>
      <c r="F20" s="526"/>
      <c r="G20" s="447"/>
      <c r="H20" s="11"/>
      <c r="I20" s="12"/>
    </row>
    <row r="21" spans="1:9" x14ac:dyDescent="0.35">
      <c r="A21" s="521"/>
      <c r="B21" s="522">
        <v>41753</v>
      </c>
      <c r="C21" s="523" t="s">
        <v>719</v>
      </c>
      <c r="D21" s="524"/>
      <c r="E21" s="524">
        <v>2340</v>
      </c>
      <c r="F21" s="526"/>
      <c r="G21" s="447"/>
      <c r="H21" s="11"/>
      <c r="I21" s="12"/>
    </row>
    <row r="22" spans="1:9" x14ac:dyDescent="0.35">
      <c r="A22" s="527"/>
      <c r="B22" s="522">
        <v>41738</v>
      </c>
      <c r="C22" s="523" t="s">
        <v>15</v>
      </c>
      <c r="D22" s="524"/>
      <c r="E22" s="524">
        <v>700</v>
      </c>
      <c r="F22" s="528"/>
      <c r="G22" s="447"/>
      <c r="H22" s="11"/>
      <c r="I22" s="12"/>
    </row>
    <row r="23" spans="1:9" x14ac:dyDescent="0.35">
      <c r="A23" s="527"/>
      <c r="B23" s="522"/>
      <c r="C23" s="523"/>
      <c r="D23" s="524"/>
      <c r="E23" s="524"/>
      <c r="F23" s="529">
        <f>SUM(D17:D23)-SUM(E17:E23)</f>
        <v>1400</v>
      </c>
      <c r="G23" s="447"/>
      <c r="H23" s="11"/>
      <c r="I23" s="12"/>
    </row>
    <row r="24" spans="1:9" x14ac:dyDescent="0.35">
      <c r="A24" s="521" t="s">
        <v>20</v>
      </c>
      <c r="B24" s="522">
        <v>41765</v>
      </c>
      <c r="C24" s="523" t="s">
        <v>13</v>
      </c>
      <c r="D24" s="524">
        <v>6000</v>
      </c>
      <c r="E24" s="524"/>
      <c r="F24" s="526"/>
      <c r="G24" s="447"/>
      <c r="H24" s="11"/>
      <c r="I24" s="12"/>
    </row>
    <row r="25" spans="1:9" x14ac:dyDescent="0.35">
      <c r="A25" s="521"/>
      <c r="B25" s="522">
        <v>41766</v>
      </c>
      <c r="C25" s="523" t="s">
        <v>14</v>
      </c>
      <c r="D25" s="524"/>
      <c r="E25" s="524">
        <v>1100</v>
      </c>
      <c r="F25" s="526"/>
      <c r="G25" s="447"/>
      <c r="H25" s="11"/>
      <c r="I25" s="12"/>
    </row>
    <row r="26" spans="1:9" x14ac:dyDescent="0.35">
      <c r="A26" s="527"/>
      <c r="B26" s="522">
        <v>41765</v>
      </c>
      <c r="C26" s="523" t="s">
        <v>15</v>
      </c>
      <c r="D26" s="524"/>
      <c r="E26" s="524">
        <v>5000</v>
      </c>
      <c r="F26" s="528"/>
      <c r="G26" s="447"/>
      <c r="H26" s="448"/>
      <c r="I26" s="12"/>
    </row>
    <row r="27" spans="1:9" x14ac:dyDescent="0.35">
      <c r="A27" s="527"/>
      <c r="B27" s="522"/>
      <c r="C27" s="523"/>
      <c r="D27" s="524"/>
      <c r="E27" s="524"/>
      <c r="F27" s="529">
        <f>SUM(D23:D27)-SUM(E23:E27)</f>
        <v>-100</v>
      </c>
      <c r="G27" s="447"/>
      <c r="H27" s="448"/>
      <c r="I27" s="12"/>
    </row>
    <row r="28" spans="1:9" x14ac:dyDescent="0.35">
      <c r="A28" s="521" t="s">
        <v>21</v>
      </c>
      <c r="B28" s="522">
        <v>41794</v>
      </c>
      <c r="C28" s="523" t="s">
        <v>13</v>
      </c>
      <c r="D28" s="524">
        <f>7800+600-900+2000</f>
        <v>9500</v>
      </c>
      <c r="E28" s="524"/>
      <c r="F28" s="526"/>
      <c r="G28" s="447"/>
      <c r="H28" s="448"/>
      <c r="I28" s="12"/>
    </row>
    <row r="29" spans="1:9" x14ac:dyDescent="0.35">
      <c r="A29" s="521"/>
      <c r="B29" s="522">
        <v>41795</v>
      </c>
      <c r="C29" s="523" t="s">
        <v>14</v>
      </c>
      <c r="D29" s="524"/>
      <c r="E29" s="524">
        <v>4000</v>
      </c>
      <c r="F29" s="526"/>
      <c r="G29" s="447"/>
      <c r="H29" s="448"/>
      <c r="I29" s="12"/>
    </row>
    <row r="30" spans="1:9" x14ac:dyDescent="0.35">
      <c r="A30" s="521"/>
      <c r="B30" s="522">
        <v>41796</v>
      </c>
      <c r="C30" s="523" t="s">
        <v>720</v>
      </c>
      <c r="D30" s="524"/>
      <c r="E30" s="524">
        <v>200</v>
      </c>
      <c r="F30" s="526"/>
      <c r="G30" s="447"/>
      <c r="H30" s="448"/>
      <c r="I30" s="12"/>
    </row>
    <row r="31" spans="1:9" x14ac:dyDescent="0.35">
      <c r="A31" s="521"/>
      <c r="B31" s="522">
        <v>41794</v>
      </c>
      <c r="C31" s="523" t="s">
        <v>721</v>
      </c>
      <c r="D31" s="524"/>
      <c r="E31" s="524">
        <v>200</v>
      </c>
      <c r="F31" s="526"/>
      <c r="G31" s="447"/>
      <c r="H31" s="448"/>
      <c r="I31" s="12"/>
    </row>
    <row r="32" spans="1:9" x14ac:dyDescent="0.35">
      <c r="A32" s="521"/>
      <c r="B32" s="522">
        <v>41796</v>
      </c>
      <c r="C32" s="523" t="s">
        <v>722</v>
      </c>
      <c r="D32" s="524"/>
      <c r="E32" s="524">
        <v>200</v>
      </c>
      <c r="F32" s="526"/>
      <c r="G32" s="447"/>
      <c r="H32" s="448"/>
      <c r="I32" s="12"/>
    </row>
    <row r="33" spans="1:12" x14ac:dyDescent="0.35">
      <c r="A33" s="527"/>
      <c r="B33" s="522">
        <v>41796</v>
      </c>
      <c r="C33" s="523" t="s">
        <v>15</v>
      </c>
      <c r="D33" s="524"/>
      <c r="E33" s="524">
        <v>1900</v>
      </c>
      <c r="F33" s="528"/>
      <c r="G33" s="447"/>
      <c r="H33" s="11"/>
      <c r="I33" s="12"/>
    </row>
    <row r="34" spans="1:12" x14ac:dyDescent="0.35">
      <c r="A34" s="527"/>
      <c r="B34" s="522"/>
      <c r="C34" s="523"/>
      <c r="D34" s="524"/>
      <c r="E34" s="524"/>
      <c r="F34" s="529">
        <f>SUM(D27:D34)-SUM(E27:E34)</f>
        <v>3000</v>
      </c>
      <c r="G34" s="447"/>
      <c r="H34" s="448"/>
      <c r="I34" s="12"/>
    </row>
    <row r="35" spans="1:12" x14ac:dyDescent="0.35">
      <c r="A35" s="521" t="s">
        <v>22</v>
      </c>
      <c r="B35" s="522">
        <v>41824</v>
      </c>
      <c r="C35" s="523" t="s">
        <v>13</v>
      </c>
      <c r="D35" s="524">
        <v>7800</v>
      </c>
      <c r="E35" s="524"/>
      <c r="F35" s="526"/>
      <c r="G35" s="447"/>
      <c r="H35" s="11"/>
      <c r="I35" s="12"/>
    </row>
    <row r="36" spans="1:12" x14ac:dyDescent="0.35">
      <c r="A36" s="521"/>
      <c r="B36" s="522">
        <v>41827</v>
      </c>
      <c r="C36" s="523" t="s">
        <v>14</v>
      </c>
      <c r="D36" s="524"/>
      <c r="E36" s="524">
        <v>4100</v>
      </c>
      <c r="F36" s="526"/>
      <c r="G36" s="447"/>
      <c r="H36" s="11"/>
      <c r="I36" s="12"/>
      <c r="J36" s="15"/>
      <c r="K36" s="413"/>
    </row>
    <row r="37" spans="1:12" x14ac:dyDescent="0.35">
      <c r="A37" s="527"/>
      <c r="B37" s="522">
        <v>41829</v>
      </c>
      <c r="C37" s="523" t="s">
        <v>15</v>
      </c>
      <c r="D37" s="524"/>
      <c r="E37" s="524">
        <v>5600</v>
      </c>
      <c r="F37" s="528"/>
      <c r="G37" s="447"/>
      <c r="H37" s="11"/>
      <c r="I37" s="12"/>
      <c r="J37" s="15"/>
      <c r="K37" s="413"/>
    </row>
    <row r="38" spans="1:12" x14ac:dyDescent="0.35">
      <c r="A38" s="527"/>
      <c r="B38" s="522"/>
      <c r="C38" s="523"/>
      <c r="D38" s="524"/>
      <c r="E38" s="524"/>
      <c r="F38" s="529">
        <f>SUM(D34:D38)-SUM(E34:E38)</f>
        <v>-1900</v>
      </c>
      <c r="G38" s="447"/>
      <c r="H38" s="11"/>
      <c r="I38" s="12"/>
      <c r="J38" s="15"/>
      <c r="K38" s="413"/>
    </row>
    <row r="39" spans="1:12" x14ac:dyDescent="0.35">
      <c r="A39" s="521" t="s">
        <v>23</v>
      </c>
      <c r="B39" s="522">
        <v>41857</v>
      </c>
      <c r="C39" s="523" t="s">
        <v>13</v>
      </c>
      <c r="D39" s="524">
        <v>7800</v>
      </c>
      <c r="E39" s="524"/>
      <c r="F39" s="526"/>
      <c r="G39" s="447"/>
      <c r="H39" s="11"/>
      <c r="I39" s="12"/>
      <c r="J39" s="15"/>
      <c r="K39" s="15"/>
    </row>
    <row r="40" spans="1:12" x14ac:dyDescent="0.35">
      <c r="A40" s="521"/>
      <c r="B40" s="522">
        <v>41858</v>
      </c>
      <c r="C40" s="523" t="s">
        <v>14</v>
      </c>
      <c r="D40" s="524"/>
      <c r="E40" s="524">
        <f>4600+250</f>
        <v>4850</v>
      </c>
      <c r="F40" s="526"/>
      <c r="G40" s="447"/>
      <c r="H40" s="11"/>
      <c r="I40" s="12"/>
      <c r="J40" s="15"/>
      <c r="K40" s="15"/>
    </row>
    <row r="41" spans="1:12" x14ac:dyDescent="0.35">
      <c r="A41" s="527"/>
      <c r="B41" s="522">
        <v>41858</v>
      </c>
      <c r="C41" s="523" t="s">
        <v>15</v>
      </c>
      <c r="D41" s="524"/>
      <c r="E41" s="524">
        <v>4050</v>
      </c>
      <c r="F41" s="528"/>
      <c r="G41" s="447"/>
      <c r="H41" s="11"/>
      <c r="I41" s="12"/>
      <c r="J41" s="15"/>
      <c r="K41" s="15"/>
    </row>
    <row r="42" spans="1:12" x14ac:dyDescent="0.35">
      <c r="A42" s="527"/>
      <c r="B42" s="522"/>
      <c r="C42" s="523"/>
      <c r="D42" s="524"/>
      <c r="E42" s="524"/>
      <c r="F42" s="529">
        <f>SUM(D38:D42)-SUM(E38:E42)</f>
        <v>-1100</v>
      </c>
      <c r="G42" s="447"/>
      <c r="H42" s="11"/>
      <c r="I42" s="12"/>
      <c r="J42" s="15"/>
      <c r="K42" s="15"/>
    </row>
    <row r="43" spans="1:12" x14ac:dyDescent="0.35">
      <c r="A43" s="521" t="s">
        <v>24</v>
      </c>
      <c r="B43" s="522">
        <v>41886</v>
      </c>
      <c r="C43" s="523" t="s">
        <v>13</v>
      </c>
      <c r="D43" s="524">
        <f>7800+3900</f>
        <v>11700</v>
      </c>
      <c r="E43" s="524"/>
      <c r="F43" s="526"/>
      <c r="G43" s="447"/>
      <c r="H43" s="11"/>
      <c r="I43" s="12"/>
      <c r="J43" s="15"/>
      <c r="K43" s="15"/>
    </row>
    <row r="44" spans="1:12" x14ac:dyDescent="0.35">
      <c r="A44" s="521"/>
      <c r="B44" s="522">
        <v>41887</v>
      </c>
      <c r="C44" s="523" t="s">
        <v>14</v>
      </c>
      <c r="D44" s="524"/>
      <c r="E44" s="524">
        <v>2700</v>
      </c>
      <c r="F44" s="526"/>
      <c r="G44" s="447"/>
      <c r="H44" s="11"/>
      <c r="I44" s="12"/>
      <c r="J44" s="413"/>
      <c r="K44" s="15"/>
    </row>
    <row r="45" spans="1:12" x14ac:dyDescent="0.35">
      <c r="A45" s="521"/>
      <c r="B45" s="522">
        <v>41887</v>
      </c>
      <c r="C45" s="523" t="s">
        <v>723</v>
      </c>
      <c r="D45" s="524"/>
      <c r="E45" s="524">
        <v>1900</v>
      </c>
      <c r="F45" s="526"/>
      <c r="G45" s="447"/>
      <c r="H45" s="11"/>
      <c r="I45" s="12"/>
      <c r="J45" s="413"/>
      <c r="K45" s="15"/>
    </row>
    <row r="46" spans="1:12" x14ac:dyDescent="0.35">
      <c r="A46" s="527"/>
      <c r="B46" s="522">
        <v>41887</v>
      </c>
      <c r="C46" s="523" t="s">
        <v>15</v>
      </c>
      <c r="D46" s="524"/>
      <c r="E46" s="524">
        <v>4500</v>
      </c>
      <c r="F46" s="528"/>
      <c r="G46" s="447"/>
      <c r="H46" s="11"/>
      <c r="I46" s="12"/>
      <c r="J46" s="413"/>
      <c r="K46" s="15"/>
    </row>
    <row r="47" spans="1:12" x14ac:dyDescent="0.35">
      <c r="A47" s="527"/>
      <c r="B47" s="522"/>
      <c r="C47" s="523"/>
      <c r="D47" s="524"/>
      <c r="E47" s="524"/>
      <c r="F47" s="529">
        <f>SUM(D42:D47)-SUM(E42:E47)</f>
        <v>2600</v>
      </c>
      <c r="G47" s="447"/>
      <c r="H47" s="452"/>
      <c r="I47" s="12"/>
      <c r="L47" s="182"/>
    </row>
    <row r="48" spans="1:12" x14ac:dyDescent="0.35">
      <c r="A48" s="521" t="s">
        <v>25</v>
      </c>
      <c r="B48" s="522">
        <v>41914</v>
      </c>
      <c r="C48" s="523" t="s">
        <v>13</v>
      </c>
      <c r="D48" s="524">
        <v>7800</v>
      </c>
      <c r="E48" s="524"/>
      <c r="F48" s="526"/>
      <c r="G48" s="447"/>
      <c r="H48" s="452"/>
      <c r="I48" s="12"/>
      <c r="K48" s="182"/>
    </row>
    <row r="49" spans="1:11" x14ac:dyDescent="0.35">
      <c r="A49" s="521"/>
      <c r="B49" s="522">
        <v>41915</v>
      </c>
      <c r="C49" s="523" t="s">
        <v>14</v>
      </c>
      <c r="D49" s="524"/>
      <c r="E49" s="524">
        <v>1800</v>
      </c>
      <c r="F49" s="526"/>
      <c r="G49" s="447"/>
      <c r="H49" s="448"/>
      <c r="I49" s="450"/>
      <c r="K49" s="182"/>
    </row>
    <row r="50" spans="1:11" x14ac:dyDescent="0.35">
      <c r="A50" s="521"/>
      <c r="B50" s="522">
        <v>41924</v>
      </c>
      <c r="C50" s="523" t="s">
        <v>724</v>
      </c>
      <c r="D50" s="524"/>
      <c r="E50" s="524">
        <v>1900</v>
      </c>
      <c r="F50" s="526"/>
      <c r="G50" s="447"/>
      <c r="H50" s="448"/>
      <c r="I50" s="450"/>
      <c r="K50" s="182"/>
    </row>
    <row r="51" spans="1:11" x14ac:dyDescent="0.35">
      <c r="A51" s="527"/>
      <c r="B51" s="522">
        <v>41943</v>
      </c>
      <c r="C51" s="523" t="s">
        <v>15</v>
      </c>
      <c r="D51" s="524"/>
      <c r="E51" s="524">
        <v>3700</v>
      </c>
      <c r="F51" s="528"/>
      <c r="G51" s="447"/>
      <c r="H51" s="452"/>
      <c r="I51" s="12"/>
    </row>
    <row r="52" spans="1:11" x14ac:dyDescent="0.35">
      <c r="A52" s="527"/>
      <c r="B52" s="522"/>
      <c r="C52" s="523"/>
      <c r="D52" s="524"/>
      <c r="E52" s="524"/>
      <c r="F52" s="529">
        <f>SUM(D47:D52)-SUM(E47:E52)</f>
        <v>400</v>
      </c>
      <c r="G52" s="447"/>
      <c r="H52" s="452"/>
      <c r="I52" s="12"/>
    </row>
    <row r="53" spans="1:11" x14ac:dyDescent="0.35">
      <c r="A53" s="521" t="s">
        <v>26</v>
      </c>
      <c r="B53" s="522">
        <v>41947</v>
      </c>
      <c r="C53" s="523" t="s">
        <v>13</v>
      </c>
      <c r="D53" s="524">
        <v>7800</v>
      </c>
      <c r="E53" s="524"/>
      <c r="F53" s="526"/>
      <c r="G53" s="447"/>
      <c r="H53" s="448"/>
      <c r="I53" s="12"/>
      <c r="K53" s="182"/>
    </row>
    <row r="54" spans="1:11" x14ac:dyDescent="0.35">
      <c r="A54" s="521"/>
      <c r="B54" s="522">
        <v>41945</v>
      </c>
      <c r="C54" s="523" t="s">
        <v>725</v>
      </c>
      <c r="D54" s="524"/>
      <c r="E54" s="524">
        <v>1500</v>
      </c>
      <c r="F54" s="526"/>
      <c r="G54" s="447"/>
      <c r="H54" s="448"/>
      <c r="I54" s="12"/>
      <c r="K54" s="182"/>
    </row>
    <row r="55" spans="1:11" x14ac:dyDescent="0.35">
      <c r="A55" s="521"/>
      <c r="B55" s="522">
        <v>41948</v>
      </c>
      <c r="C55" s="523" t="s">
        <v>14</v>
      </c>
      <c r="D55" s="524"/>
      <c r="E55" s="524">
        <v>1100</v>
      </c>
      <c r="F55" s="526"/>
      <c r="G55" s="447"/>
      <c r="H55" s="448"/>
      <c r="I55" s="12"/>
      <c r="J55" s="182"/>
      <c r="K55" s="182"/>
    </row>
    <row r="56" spans="1:11" x14ac:dyDescent="0.35">
      <c r="A56" s="521"/>
      <c r="B56" s="522">
        <v>41954</v>
      </c>
      <c r="C56" s="523" t="s">
        <v>726</v>
      </c>
      <c r="D56" s="524"/>
      <c r="E56" s="524">
        <v>1600</v>
      </c>
      <c r="F56" s="526"/>
      <c r="G56" s="447"/>
      <c r="H56" s="448"/>
      <c r="I56" s="12"/>
      <c r="J56" s="182"/>
      <c r="K56" s="182"/>
    </row>
    <row r="57" spans="1:11" x14ac:dyDescent="0.35">
      <c r="A57" s="527"/>
      <c r="B57" s="522">
        <v>41947</v>
      </c>
      <c r="C57" s="523" t="s">
        <v>15</v>
      </c>
      <c r="D57" s="524"/>
      <c r="E57" s="524">
        <v>1800</v>
      </c>
      <c r="F57" s="528"/>
      <c r="G57" s="447"/>
      <c r="H57" s="448"/>
      <c r="I57" s="450"/>
    </row>
    <row r="58" spans="1:11" x14ac:dyDescent="0.35">
      <c r="A58" s="527"/>
      <c r="B58" s="522"/>
      <c r="C58" s="523"/>
      <c r="D58" s="524"/>
      <c r="E58" s="524"/>
      <c r="F58" s="529">
        <f>SUM(D52:D58)-SUM(E52:E58)</f>
        <v>1800</v>
      </c>
      <c r="G58" s="447"/>
      <c r="H58" s="11"/>
      <c r="I58" s="12"/>
    </row>
    <row r="59" spans="1:11" x14ac:dyDescent="0.35">
      <c r="A59" s="521" t="s">
        <v>27</v>
      </c>
      <c r="B59" s="522"/>
      <c r="C59" s="523" t="s">
        <v>13</v>
      </c>
      <c r="D59" s="524">
        <v>7800</v>
      </c>
      <c r="E59" s="524"/>
      <c r="F59" s="526"/>
      <c r="G59" s="471"/>
      <c r="H59" s="448"/>
      <c r="I59" s="12"/>
    </row>
    <row r="60" spans="1:11" x14ac:dyDescent="0.35">
      <c r="A60" s="521"/>
      <c r="B60" s="522"/>
      <c r="C60" s="523" t="s">
        <v>727</v>
      </c>
      <c r="D60" s="524"/>
      <c r="E60" s="524">
        <v>1800</v>
      </c>
      <c r="F60" s="526"/>
      <c r="G60" s="471"/>
      <c r="H60" s="448"/>
      <c r="I60" s="12"/>
    </row>
    <row r="61" spans="1:11" x14ac:dyDescent="0.35">
      <c r="A61" s="521"/>
      <c r="B61" s="522"/>
      <c r="C61" s="523" t="s">
        <v>14</v>
      </c>
      <c r="D61" s="524"/>
      <c r="E61" s="524">
        <v>1100</v>
      </c>
      <c r="F61" s="526"/>
      <c r="G61" s="471"/>
      <c r="H61" s="448"/>
      <c r="I61" s="12"/>
    </row>
    <row r="62" spans="1:11" x14ac:dyDescent="0.35">
      <c r="A62" s="527"/>
      <c r="B62" s="522"/>
      <c r="C62" s="523" t="s">
        <v>15</v>
      </c>
      <c r="D62" s="524"/>
      <c r="E62" s="524">
        <v>1700</v>
      </c>
      <c r="F62" s="528"/>
      <c r="G62" s="471"/>
      <c r="H62" s="448"/>
      <c r="I62" s="12"/>
    </row>
    <row r="63" spans="1:11" x14ac:dyDescent="0.35">
      <c r="A63" s="527"/>
      <c r="B63" s="522"/>
      <c r="C63" s="523"/>
      <c r="D63" s="524"/>
      <c r="E63" s="524"/>
      <c r="F63" s="529">
        <f>SUM(D58:D63)-SUM(E58:E63)</f>
        <v>3200</v>
      </c>
      <c r="G63" s="447"/>
      <c r="H63" s="448"/>
      <c r="I63" s="12"/>
    </row>
    <row r="64" spans="1:11" x14ac:dyDescent="0.35">
      <c r="A64" s="19"/>
      <c r="D64" s="320"/>
      <c r="E64" s="320"/>
    </row>
    <row r="65" spans="1:11" x14ac:dyDescent="0.35">
      <c r="A65" s="19"/>
      <c r="D65" s="320"/>
      <c r="E65" s="320"/>
    </row>
    <row r="66" spans="1:11" x14ac:dyDescent="0.35">
      <c r="A66" s="19"/>
      <c r="D66" s="320"/>
      <c r="E66" s="320"/>
    </row>
    <row r="67" spans="1:11" x14ac:dyDescent="0.35">
      <c r="A67" s="19"/>
      <c r="D67" s="320"/>
      <c r="E67" s="320"/>
      <c r="I67" s="577" t="s">
        <v>28</v>
      </c>
      <c r="J67" s="578">
        <f>E2</f>
        <v>10000</v>
      </c>
      <c r="K67" s="577"/>
    </row>
    <row r="68" spans="1:11" x14ac:dyDescent="0.35">
      <c r="A68" s="19"/>
      <c r="D68" s="320"/>
      <c r="E68" s="320"/>
      <c r="I68" s="577" t="s">
        <v>29</v>
      </c>
      <c r="J68" s="577"/>
      <c r="K68" s="577"/>
    </row>
    <row r="69" spans="1:11" x14ac:dyDescent="0.35">
      <c r="A69" s="19"/>
      <c r="D69" s="320"/>
      <c r="E69" s="320"/>
      <c r="I69" s="580">
        <f>_ENE14</f>
        <v>2000</v>
      </c>
      <c r="J69" s="580"/>
      <c r="K69" s="577" t="s">
        <v>31</v>
      </c>
    </row>
    <row r="70" spans="1:11" x14ac:dyDescent="0.35">
      <c r="A70" s="19"/>
      <c r="D70" s="320"/>
      <c r="E70" s="320"/>
      <c r="I70" s="580">
        <f>_FEB14</f>
        <v>-1700</v>
      </c>
      <c r="J70" s="580"/>
      <c r="K70" s="577"/>
    </row>
    <row r="71" spans="1:11" x14ac:dyDescent="0.35">
      <c r="A71" s="19"/>
      <c r="D71" s="320"/>
      <c r="E71" s="320"/>
      <c r="I71" s="580">
        <f>_MAR14</f>
        <v>400</v>
      </c>
      <c r="J71" s="580"/>
      <c r="K71" s="577"/>
    </row>
    <row r="72" spans="1:11" x14ac:dyDescent="0.35">
      <c r="A72" s="19"/>
      <c r="D72" s="320"/>
      <c r="E72" s="320"/>
      <c r="I72" s="580">
        <f>_ABR14</f>
        <v>1400</v>
      </c>
      <c r="J72" s="580"/>
      <c r="K72" s="577"/>
    </row>
    <row r="73" spans="1:11" x14ac:dyDescent="0.35">
      <c r="A73" s="19"/>
      <c r="D73" s="320"/>
      <c r="E73" s="320"/>
      <c r="I73" s="580">
        <f>_MAY14</f>
        <v>-100</v>
      </c>
      <c r="J73" s="580"/>
      <c r="K73" s="577"/>
    </row>
    <row r="74" spans="1:11" x14ac:dyDescent="0.35">
      <c r="A74" s="19"/>
      <c r="D74" s="320"/>
      <c r="E74" s="320"/>
      <c r="I74" s="580">
        <f>_JUN14</f>
        <v>3000</v>
      </c>
      <c r="J74" s="580"/>
      <c r="K74" s="577"/>
    </row>
    <row r="75" spans="1:11" x14ac:dyDescent="0.35">
      <c r="A75" s="19"/>
      <c r="D75" s="320"/>
      <c r="E75" s="320"/>
      <c r="I75" s="580">
        <f>_JUL14</f>
        <v>-1900</v>
      </c>
      <c r="J75" s="580"/>
      <c r="K75" s="577"/>
    </row>
    <row r="76" spans="1:11" x14ac:dyDescent="0.35">
      <c r="A76" s="19"/>
      <c r="D76" s="320"/>
      <c r="E76" s="320"/>
      <c r="I76" s="580">
        <f>_AGO14</f>
        <v>-1100</v>
      </c>
      <c r="J76" s="580"/>
      <c r="K76" s="577"/>
    </row>
    <row r="77" spans="1:11" x14ac:dyDescent="0.35">
      <c r="A77" s="19"/>
      <c r="D77" s="320"/>
      <c r="E77" s="320"/>
      <c r="I77" s="580">
        <f>_SEP14</f>
        <v>2600</v>
      </c>
      <c r="J77" s="580"/>
      <c r="K77" s="577"/>
    </row>
    <row r="78" spans="1:11" x14ac:dyDescent="0.35">
      <c r="A78" s="19"/>
      <c r="D78" s="320"/>
      <c r="E78" s="320"/>
      <c r="I78" s="580">
        <f>_OCT14</f>
        <v>400</v>
      </c>
      <c r="J78" s="580"/>
      <c r="K78" s="577"/>
    </row>
    <row r="79" spans="1:11" x14ac:dyDescent="0.35">
      <c r="A79" s="19"/>
      <c r="D79" s="320"/>
      <c r="E79" s="320"/>
      <c r="I79" s="580">
        <f>_NOV14</f>
        <v>1800</v>
      </c>
      <c r="J79" s="580"/>
      <c r="K79" s="577"/>
    </row>
    <row r="80" spans="1:11" x14ac:dyDescent="0.35">
      <c r="A80" s="19"/>
      <c r="D80" s="320"/>
      <c r="E80" s="320"/>
      <c r="I80" s="580">
        <f>_DIC14</f>
        <v>3200</v>
      </c>
      <c r="J80" s="580"/>
      <c r="K80" s="577"/>
    </row>
    <row r="81" spans="1:14" x14ac:dyDescent="0.35">
      <c r="A81" s="19"/>
      <c r="D81" s="320"/>
      <c r="E81" s="320"/>
      <c r="I81" s="580">
        <f>SUM(I69:I80)</f>
        <v>10000</v>
      </c>
      <c r="J81" s="580"/>
      <c r="K81" s="580">
        <f>I81-J81</f>
        <v>10000</v>
      </c>
    </row>
    <row r="82" spans="1:14" x14ac:dyDescent="0.35">
      <c r="A82" s="19"/>
      <c r="D82" s="320"/>
      <c r="E82" s="320"/>
      <c r="G82" s="585"/>
      <c r="H82" s="49"/>
      <c r="I82" s="323"/>
      <c r="J82" s="323"/>
      <c r="K82" s="51"/>
      <c r="L82" s="37"/>
      <c r="M82" s="37"/>
      <c r="N82" s="37"/>
    </row>
    <row r="83" spans="1:14" x14ac:dyDescent="0.35">
      <c r="A83" s="19"/>
      <c r="D83" s="320"/>
      <c r="E83" s="320"/>
      <c r="G83" s="585"/>
      <c r="H83" s="49"/>
      <c r="I83" s="181"/>
      <c r="J83" s="323"/>
      <c r="K83" s="51"/>
      <c r="L83" s="37"/>
      <c r="M83" s="576"/>
      <c r="N83" s="37"/>
    </row>
    <row r="84" spans="1:14" x14ac:dyDescent="0.35">
      <c r="A84" s="19"/>
      <c r="D84" s="320"/>
      <c r="E84" s="320"/>
      <c r="G84" s="585"/>
      <c r="H84" s="50"/>
      <c r="I84" s="181"/>
      <c r="J84" s="565"/>
      <c r="K84" s="51"/>
      <c r="L84" s="43"/>
      <c r="M84" s="37"/>
      <c r="N84" s="37"/>
    </row>
    <row r="85" spans="1:14" x14ac:dyDescent="0.35">
      <c r="A85" s="19"/>
      <c r="B85" s="380" t="s">
        <v>32</v>
      </c>
      <c r="C85" s="380" t="s">
        <v>33</v>
      </c>
      <c r="G85" s="585"/>
      <c r="H85" s="49"/>
      <c r="I85" s="181"/>
      <c r="J85" s="323"/>
      <c r="K85" s="51"/>
      <c r="L85" s="37"/>
      <c r="M85" s="37"/>
      <c r="N85" s="37"/>
    </row>
    <row r="86" spans="1:14" x14ac:dyDescent="0.35">
      <c r="A86" s="19"/>
      <c r="B86" s="380">
        <f>SUM(D5:D85)</f>
        <v>95000</v>
      </c>
      <c r="C86" s="380">
        <f>SUM(E5:E85)</f>
        <v>85000</v>
      </c>
      <c r="G86" s="585"/>
      <c r="H86" s="49"/>
      <c r="I86" s="323"/>
      <c r="J86" s="323"/>
      <c r="K86" s="51"/>
      <c r="L86" s="37"/>
      <c r="M86" s="37"/>
      <c r="N86" s="37"/>
    </row>
    <row r="87" spans="1:14" x14ac:dyDescent="0.35">
      <c r="A87" s="19"/>
      <c r="B87" s="518">
        <f>+B86-C86</f>
        <v>10000</v>
      </c>
      <c r="D87" s="320"/>
      <c r="E87" s="320"/>
      <c r="G87" s="585"/>
      <c r="H87" s="49"/>
      <c r="I87" s="584"/>
      <c r="J87" s="323"/>
      <c r="K87" s="51"/>
      <c r="L87" s="37"/>
      <c r="M87" s="37"/>
      <c r="N87" s="37"/>
    </row>
    <row r="88" spans="1:14" x14ac:dyDescent="0.35">
      <c r="A88" s="19"/>
      <c r="G88" s="585"/>
      <c r="H88" s="49"/>
      <c r="I88" s="181"/>
      <c r="J88" s="323"/>
      <c r="K88" s="51"/>
      <c r="L88" s="37"/>
      <c r="M88" s="37"/>
      <c r="N88" s="37"/>
    </row>
    <row r="89" spans="1:14" x14ac:dyDescent="0.35">
      <c r="A89" s="19"/>
      <c r="G89" s="585"/>
      <c r="H89" s="49"/>
      <c r="I89" s="181"/>
      <c r="J89" s="323"/>
      <c r="K89" s="51"/>
      <c r="L89" s="37"/>
      <c r="M89" s="37"/>
      <c r="N89" s="37"/>
    </row>
    <row r="90" spans="1:14" x14ac:dyDescent="0.35">
      <c r="A90" s="19"/>
      <c r="G90" s="585"/>
      <c r="H90" s="49"/>
      <c r="I90" s="181"/>
      <c r="J90" s="323"/>
      <c r="K90" s="51"/>
      <c r="L90" s="37"/>
      <c r="M90" s="37"/>
      <c r="N90" s="37"/>
    </row>
    <row r="91" spans="1:14" x14ac:dyDescent="0.3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5" x14ac:dyDescent="0.35"/>
  <cols>
    <col min="1" max="1" width="11.36328125" style="29" customWidth="1"/>
    <col min="2" max="2" width="18.36328125" style="20" customWidth="1"/>
    <col min="3" max="3" width="31.36328125" style="21" customWidth="1"/>
    <col min="4" max="4" width="16.26953125" style="397" customWidth="1"/>
    <col min="5" max="5" width="13.7265625" style="397" customWidth="1"/>
    <col min="6" max="6" width="14.26953125" style="22" customWidth="1"/>
    <col min="7" max="7" width="13.7265625" style="469" customWidth="1"/>
    <col min="8" max="8" width="14.7265625" style="10" customWidth="1"/>
    <col min="9" max="9" width="12.26953125" customWidth="1"/>
    <col min="10" max="10" width="13.36328125" customWidth="1"/>
    <col min="11" max="11" width="13.26953125" customWidth="1"/>
    <col min="13" max="13" width="11.7265625" customWidth="1"/>
  </cols>
  <sheetData>
    <row r="1" spans="1:12" s="3" customFormat="1" ht="13" x14ac:dyDescent="0.3">
      <c r="A1" s="1"/>
      <c r="B1" s="1178">
        <f ca="1">TODAY()</f>
        <v>44765</v>
      </c>
      <c r="C1" s="1179"/>
      <c r="D1" s="480" t="s">
        <v>0</v>
      </c>
      <c r="E1" s="481">
        <f>COUNTA(B6:B97)</f>
        <v>78</v>
      </c>
      <c r="F1" s="482" t="s">
        <v>1</v>
      </c>
      <c r="G1" s="483"/>
      <c r="H1" s="484"/>
    </row>
    <row r="2" spans="1:12" s="3" customFormat="1" ht="13" x14ac:dyDescent="0.3">
      <c r="A2" s="1"/>
      <c r="B2" s="485" t="s">
        <v>2</v>
      </c>
      <c r="C2" s="486">
        <f>E2</f>
        <v>1800</v>
      </c>
      <c r="D2" s="487" t="s">
        <v>3</v>
      </c>
      <c r="E2" s="488">
        <f>SUM(D5:D148)-SUM(E5:E148)</f>
        <v>1800</v>
      </c>
      <c r="F2" s="489" t="s">
        <v>4</v>
      </c>
      <c r="G2" s="490">
        <f>+E2</f>
        <v>1800</v>
      </c>
      <c r="H2" s="484"/>
    </row>
    <row r="3" spans="1:12" s="3" customFormat="1" ht="13" x14ac:dyDescent="0.3">
      <c r="A3" s="1"/>
      <c r="B3" s="485"/>
      <c r="C3" s="486"/>
      <c r="D3" s="491" t="s">
        <v>5</v>
      </c>
      <c r="E3" s="492">
        <v>1000</v>
      </c>
      <c r="F3" s="489" t="s">
        <v>6</v>
      </c>
      <c r="G3" s="490">
        <f>+E3*4.96</f>
        <v>4960</v>
      </c>
      <c r="H3" s="484"/>
    </row>
    <row r="4" spans="1:12" s="3" customFormat="1" ht="13" x14ac:dyDescent="0.3">
      <c r="A4" s="1"/>
      <c r="B4" s="7" t="s">
        <v>7</v>
      </c>
      <c r="C4" s="8" t="s">
        <v>8</v>
      </c>
      <c r="D4" s="493" t="s">
        <v>9</v>
      </c>
      <c r="E4" s="494" t="s">
        <v>63</v>
      </c>
      <c r="F4" s="9" t="s">
        <v>10</v>
      </c>
      <c r="G4" s="490">
        <f>+G2+G3</f>
        <v>6760</v>
      </c>
      <c r="H4" s="484"/>
    </row>
    <row r="5" spans="1:12" x14ac:dyDescent="0.35">
      <c r="A5" s="495"/>
      <c r="B5" s="496">
        <v>41275</v>
      </c>
      <c r="C5" s="497" t="s">
        <v>12</v>
      </c>
      <c r="D5" s="498">
        <v>1400</v>
      </c>
      <c r="E5" s="498"/>
      <c r="F5" s="499"/>
      <c r="G5" s="500"/>
    </row>
    <row r="6" spans="1:12" x14ac:dyDescent="0.35">
      <c r="A6" s="501"/>
      <c r="B6" s="496">
        <v>41281</v>
      </c>
      <c r="C6" s="497" t="s">
        <v>13</v>
      </c>
      <c r="D6" s="498">
        <v>3840</v>
      </c>
      <c r="E6" s="498"/>
      <c r="F6" s="502"/>
      <c r="G6" s="447"/>
      <c r="H6" s="11"/>
      <c r="I6" s="12"/>
    </row>
    <row r="7" spans="1:12" x14ac:dyDescent="0.35">
      <c r="A7" s="503"/>
      <c r="B7" s="496">
        <v>41281</v>
      </c>
      <c r="C7" s="497" t="s">
        <v>700</v>
      </c>
      <c r="D7" s="498"/>
      <c r="E7" s="498">
        <v>40</v>
      </c>
      <c r="F7" s="504"/>
      <c r="G7" s="447"/>
      <c r="H7" s="11"/>
      <c r="I7" s="12"/>
    </row>
    <row r="8" spans="1:12" x14ac:dyDescent="0.35">
      <c r="A8" s="495"/>
      <c r="B8" s="496">
        <v>41281</v>
      </c>
      <c r="C8" s="497" t="s">
        <v>701</v>
      </c>
      <c r="D8" s="498"/>
      <c r="E8" s="498">
        <v>170</v>
      </c>
      <c r="F8" s="502"/>
      <c r="G8" s="447"/>
      <c r="H8" s="11"/>
      <c r="I8" s="12"/>
    </row>
    <row r="9" spans="1:12" x14ac:dyDescent="0.35">
      <c r="A9" s="503"/>
      <c r="B9" s="496">
        <v>41281</v>
      </c>
      <c r="C9" s="497" t="s">
        <v>702</v>
      </c>
      <c r="D9" s="498"/>
      <c r="E9" s="498">
        <v>200</v>
      </c>
      <c r="F9" s="502"/>
      <c r="G9" s="447"/>
      <c r="H9" s="11"/>
      <c r="I9" s="12"/>
      <c r="L9" s="182"/>
    </row>
    <row r="10" spans="1:12" x14ac:dyDescent="0.35">
      <c r="A10" s="495"/>
      <c r="B10" s="496">
        <v>41285</v>
      </c>
      <c r="C10" s="497" t="s">
        <v>14</v>
      </c>
      <c r="D10" s="498"/>
      <c r="E10" s="498">
        <f>1160+160+20</f>
        <v>1340</v>
      </c>
      <c r="F10" s="502"/>
      <c r="G10" s="447"/>
      <c r="H10" s="11"/>
      <c r="I10" s="12"/>
    </row>
    <row r="11" spans="1:12" x14ac:dyDescent="0.35">
      <c r="A11" s="505"/>
      <c r="B11" s="496">
        <v>41281</v>
      </c>
      <c r="C11" s="497" t="s">
        <v>703</v>
      </c>
      <c r="D11" s="498"/>
      <c r="E11" s="498">
        <v>1150</v>
      </c>
      <c r="F11" s="504"/>
      <c r="G11" s="447"/>
      <c r="H11" s="448"/>
      <c r="I11" s="12"/>
    </row>
    <row r="12" spans="1:12" x14ac:dyDescent="0.35">
      <c r="A12" s="505"/>
      <c r="B12" s="496">
        <v>41285</v>
      </c>
      <c r="C12" s="497" t="s">
        <v>190</v>
      </c>
      <c r="D12" s="498"/>
      <c r="E12" s="498">
        <v>1600</v>
      </c>
      <c r="F12" s="504"/>
      <c r="G12" s="447"/>
      <c r="H12" s="448"/>
      <c r="I12" s="12"/>
    </row>
    <row r="13" spans="1:12" x14ac:dyDescent="0.35">
      <c r="A13" s="505"/>
      <c r="B13" s="496">
        <v>41294</v>
      </c>
      <c r="C13" s="497" t="s">
        <v>15</v>
      </c>
      <c r="D13" s="498"/>
      <c r="E13" s="498">
        <v>530</v>
      </c>
      <c r="F13" s="504"/>
      <c r="G13" s="447"/>
      <c r="H13" s="448"/>
      <c r="I13" s="12"/>
    </row>
    <row r="14" spans="1:12" x14ac:dyDescent="0.35">
      <c r="A14" s="505"/>
      <c r="B14" s="496"/>
      <c r="C14" s="497"/>
      <c r="D14" s="498"/>
      <c r="E14" s="498"/>
      <c r="F14" s="506">
        <f>SUM(D5:D14)-SUM(E5:E14)</f>
        <v>210</v>
      </c>
      <c r="G14" s="447"/>
      <c r="H14" s="448"/>
      <c r="I14" s="12"/>
    </row>
    <row r="15" spans="1:12" x14ac:dyDescent="0.35">
      <c r="A15" s="495"/>
      <c r="B15" s="496">
        <v>41318</v>
      </c>
      <c r="C15" s="497" t="s">
        <v>13</v>
      </c>
      <c r="D15" s="498">
        <v>3840</v>
      </c>
      <c r="E15" s="498"/>
      <c r="F15" s="507"/>
      <c r="G15" s="447"/>
      <c r="H15" s="11"/>
      <c r="I15" s="12"/>
    </row>
    <row r="16" spans="1:12" x14ac:dyDescent="0.35">
      <c r="A16" s="495"/>
      <c r="B16" s="496">
        <v>41313</v>
      </c>
      <c r="C16" s="497" t="s">
        <v>700</v>
      </c>
      <c r="D16" s="498"/>
      <c r="E16" s="498">
        <v>30</v>
      </c>
      <c r="F16" s="504"/>
      <c r="G16" s="447"/>
      <c r="H16" s="11"/>
      <c r="I16" s="450"/>
    </row>
    <row r="17" spans="1:9" x14ac:dyDescent="0.35">
      <c r="A17" s="495"/>
      <c r="B17" s="496">
        <v>41319</v>
      </c>
      <c r="C17" s="497" t="s">
        <v>701</v>
      </c>
      <c r="D17" s="498"/>
      <c r="E17" s="498">
        <v>230</v>
      </c>
      <c r="F17" s="504"/>
      <c r="G17" s="447"/>
      <c r="H17" s="11"/>
      <c r="I17" s="12"/>
    </row>
    <row r="18" spans="1:9" x14ac:dyDescent="0.35">
      <c r="A18" s="495"/>
      <c r="B18" s="496">
        <v>41319</v>
      </c>
      <c r="C18" s="497" t="s">
        <v>702</v>
      </c>
      <c r="D18" s="498"/>
      <c r="E18" s="498">
        <v>210</v>
      </c>
      <c r="F18" s="502"/>
      <c r="G18" s="447"/>
      <c r="H18" s="448"/>
      <c r="I18" s="12"/>
    </row>
    <row r="19" spans="1:9" x14ac:dyDescent="0.35">
      <c r="A19" s="495"/>
      <c r="B19" s="496">
        <v>41310</v>
      </c>
      <c r="C19" s="497" t="s">
        <v>19</v>
      </c>
      <c r="D19" s="498">
        <v>1920</v>
      </c>
      <c r="E19" s="498"/>
      <c r="F19" s="504"/>
      <c r="G19" s="447"/>
      <c r="H19" s="11"/>
      <c r="I19" s="12"/>
    </row>
    <row r="20" spans="1:9" x14ac:dyDescent="0.35">
      <c r="A20" s="495"/>
      <c r="B20" s="496">
        <v>41312</v>
      </c>
      <c r="C20" s="497" t="s">
        <v>14</v>
      </c>
      <c r="D20" s="498"/>
      <c r="E20" s="498">
        <v>20</v>
      </c>
      <c r="F20" s="504"/>
      <c r="G20" s="447"/>
      <c r="H20" s="11"/>
      <c r="I20" s="12"/>
    </row>
    <row r="21" spans="1:9" x14ac:dyDescent="0.35">
      <c r="A21" s="495"/>
      <c r="B21" s="496">
        <v>41306</v>
      </c>
      <c r="C21" s="497" t="s">
        <v>704</v>
      </c>
      <c r="D21" s="498"/>
      <c r="E21" s="498">
        <v>500</v>
      </c>
      <c r="F21" s="504"/>
      <c r="G21" s="447"/>
      <c r="H21" s="448"/>
      <c r="I21" s="12"/>
    </row>
    <row r="22" spans="1:9" x14ac:dyDescent="0.35">
      <c r="A22" s="495"/>
      <c r="B22" s="496">
        <v>41327</v>
      </c>
      <c r="C22" s="497" t="s">
        <v>15</v>
      </c>
      <c r="D22" s="498"/>
      <c r="E22" s="498">
        <v>1230</v>
      </c>
      <c r="F22" s="504"/>
      <c r="G22" s="447"/>
      <c r="H22" s="448"/>
      <c r="I22" s="12"/>
    </row>
    <row r="23" spans="1:9" x14ac:dyDescent="0.35">
      <c r="A23" s="495"/>
      <c r="B23" s="496">
        <v>41331</v>
      </c>
      <c r="C23" s="497" t="s">
        <v>705</v>
      </c>
      <c r="D23" s="498"/>
      <c r="E23" s="498">
        <f>1100+650+1000</f>
        <v>2750</v>
      </c>
      <c r="F23" s="504"/>
      <c r="G23" s="447"/>
      <c r="H23" s="448"/>
      <c r="I23" s="12"/>
    </row>
    <row r="24" spans="1:9" x14ac:dyDescent="0.35">
      <c r="A24" s="495"/>
      <c r="B24" s="496"/>
      <c r="C24" s="497"/>
      <c r="D24" s="498"/>
      <c r="E24" s="498"/>
      <c r="F24" s="508">
        <f>SUM(D15:D24)-SUM(E15:E24)</f>
        <v>790</v>
      </c>
      <c r="G24" s="447"/>
      <c r="H24" s="11"/>
      <c r="I24" s="12"/>
    </row>
    <row r="25" spans="1:9" x14ac:dyDescent="0.35">
      <c r="A25" s="495"/>
      <c r="B25" s="496">
        <v>41341</v>
      </c>
      <c r="C25" s="497" t="s">
        <v>13</v>
      </c>
      <c r="D25" s="498">
        <v>3840</v>
      </c>
      <c r="E25" s="498"/>
      <c r="F25" s="507"/>
      <c r="G25" s="447"/>
      <c r="H25" s="11"/>
      <c r="I25" s="12"/>
    </row>
    <row r="26" spans="1:9" x14ac:dyDescent="0.35">
      <c r="A26" s="495"/>
      <c r="B26" s="496">
        <v>41341</v>
      </c>
      <c r="C26" s="497" t="s">
        <v>700</v>
      </c>
      <c r="D26" s="498"/>
      <c r="E26" s="498">
        <v>170</v>
      </c>
      <c r="F26" s="502"/>
      <c r="G26" s="447"/>
      <c r="H26" s="11"/>
      <c r="I26" s="12"/>
    </row>
    <row r="27" spans="1:9" x14ac:dyDescent="0.35">
      <c r="A27" s="495"/>
      <c r="B27" s="496">
        <v>41342</v>
      </c>
      <c r="C27" s="497" t="s">
        <v>701</v>
      </c>
      <c r="D27" s="498"/>
      <c r="E27" s="498">
        <v>270</v>
      </c>
      <c r="F27" s="502"/>
      <c r="G27" s="447"/>
      <c r="H27" s="11"/>
      <c r="I27" s="12"/>
    </row>
    <row r="28" spans="1:9" x14ac:dyDescent="0.35">
      <c r="A28" s="495"/>
      <c r="B28" s="496">
        <v>41342</v>
      </c>
      <c r="C28" s="497" t="s">
        <v>702</v>
      </c>
      <c r="D28" s="498"/>
      <c r="E28" s="498">
        <v>210</v>
      </c>
      <c r="F28" s="502"/>
      <c r="G28" s="447"/>
      <c r="H28" s="11"/>
      <c r="I28" s="12"/>
    </row>
    <row r="29" spans="1:9" x14ac:dyDescent="0.35">
      <c r="A29" s="495"/>
      <c r="B29" s="496">
        <v>41341</v>
      </c>
      <c r="C29" s="497" t="s">
        <v>14</v>
      </c>
      <c r="D29" s="498"/>
      <c r="E29" s="498">
        <v>1800</v>
      </c>
      <c r="F29" s="504"/>
      <c r="G29" s="447"/>
      <c r="H29" s="448"/>
      <c r="I29" s="12"/>
    </row>
    <row r="30" spans="1:9" x14ac:dyDescent="0.35">
      <c r="A30" s="495"/>
      <c r="B30" s="496">
        <v>41341</v>
      </c>
      <c r="C30" s="497" t="s">
        <v>15</v>
      </c>
      <c r="D30" s="498"/>
      <c r="E30" s="498">
        <f>640+700</f>
        <v>1340</v>
      </c>
      <c r="F30" s="504"/>
      <c r="G30" s="447"/>
      <c r="H30" s="448"/>
      <c r="I30" s="12"/>
    </row>
    <row r="31" spans="1:9" x14ac:dyDescent="0.35">
      <c r="A31" s="495"/>
      <c r="B31" s="496">
        <v>41339</v>
      </c>
      <c r="C31" s="497" t="s">
        <v>190</v>
      </c>
      <c r="D31" s="498"/>
      <c r="E31" s="498">
        <v>1050</v>
      </c>
      <c r="F31" s="504"/>
      <c r="G31" s="447"/>
      <c r="H31" s="448"/>
      <c r="I31" s="12"/>
    </row>
    <row r="32" spans="1:9" x14ac:dyDescent="0.35">
      <c r="A32" s="495"/>
      <c r="B32" s="496"/>
      <c r="C32" s="497"/>
      <c r="D32" s="498"/>
      <c r="E32" s="498"/>
      <c r="F32" s="508">
        <f>SUM(D25:D32)-SUM(E25:E32)</f>
        <v>-1000</v>
      </c>
      <c r="G32" s="447"/>
      <c r="H32" s="448"/>
      <c r="I32" s="12"/>
    </row>
    <row r="33" spans="1:12" x14ac:dyDescent="0.35">
      <c r="A33" s="501"/>
      <c r="B33" s="496">
        <v>41372</v>
      </c>
      <c r="C33" s="497" t="s">
        <v>13</v>
      </c>
      <c r="D33" s="498">
        <v>3840</v>
      </c>
      <c r="E33" s="498"/>
      <c r="F33" s="507"/>
      <c r="G33" s="447"/>
      <c r="H33" s="11"/>
      <c r="I33" s="12"/>
    </row>
    <row r="34" spans="1:12" x14ac:dyDescent="0.35">
      <c r="A34" s="495"/>
      <c r="B34" s="496">
        <v>41372</v>
      </c>
      <c r="C34" s="497" t="s">
        <v>700</v>
      </c>
      <c r="D34" s="498"/>
      <c r="E34" s="498">
        <v>150</v>
      </c>
      <c r="F34" s="502"/>
      <c r="G34" s="447"/>
      <c r="H34" s="448"/>
      <c r="I34" s="12"/>
    </row>
    <row r="35" spans="1:12" x14ac:dyDescent="0.35">
      <c r="A35" s="503"/>
      <c r="B35" s="496">
        <v>41372</v>
      </c>
      <c r="C35" s="497" t="s">
        <v>701</v>
      </c>
      <c r="D35" s="498"/>
      <c r="E35" s="498">
        <v>180</v>
      </c>
      <c r="F35" s="502"/>
      <c r="G35" s="447"/>
      <c r="H35" s="11"/>
      <c r="I35" s="12"/>
    </row>
    <row r="36" spans="1:12" x14ac:dyDescent="0.35">
      <c r="A36" s="503"/>
      <c r="B36" s="496">
        <v>41372</v>
      </c>
      <c r="C36" s="497" t="s">
        <v>14</v>
      </c>
      <c r="D36" s="498"/>
      <c r="E36" s="498">
        <f>1330+160+250+70</f>
        <v>1810</v>
      </c>
      <c r="F36" s="502"/>
      <c r="G36" s="447"/>
      <c r="H36" s="11"/>
      <c r="I36" s="12"/>
      <c r="J36" s="15"/>
      <c r="K36" s="413"/>
    </row>
    <row r="37" spans="1:12" x14ac:dyDescent="0.35">
      <c r="A37" s="503"/>
      <c r="B37" s="496">
        <v>41389</v>
      </c>
      <c r="C37" s="497" t="s">
        <v>15</v>
      </c>
      <c r="D37" s="498"/>
      <c r="E37" s="498">
        <v>1080</v>
      </c>
      <c r="F37" s="502"/>
      <c r="G37" s="447"/>
      <c r="H37" s="11"/>
      <c r="I37" s="12"/>
      <c r="J37" s="15"/>
      <c r="K37" s="413"/>
    </row>
    <row r="38" spans="1:12" x14ac:dyDescent="0.35">
      <c r="A38" s="503"/>
      <c r="B38" s="496">
        <v>41374</v>
      </c>
      <c r="C38" s="497" t="s">
        <v>706</v>
      </c>
      <c r="D38" s="498"/>
      <c r="E38" s="498">
        <v>70</v>
      </c>
      <c r="F38" s="502"/>
      <c r="G38" s="447"/>
      <c r="H38" s="11"/>
      <c r="I38" s="12"/>
      <c r="J38" s="15"/>
      <c r="K38" s="413"/>
    </row>
    <row r="39" spans="1:12" x14ac:dyDescent="0.35">
      <c r="A39" s="495"/>
      <c r="B39" s="496"/>
      <c r="C39" s="497"/>
      <c r="D39" s="498"/>
      <c r="E39" s="498"/>
      <c r="F39" s="508">
        <f>SUM(D33:D39)-SUM(E33:E39)</f>
        <v>550</v>
      </c>
      <c r="G39" s="447"/>
      <c r="H39" s="11"/>
      <c r="I39" s="12"/>
      <c r="J39" s="15"/>
      <c r="K39" s="15"/>
    </row>
    <row r="40" spans="1:12" x14ac:dyDescent="0.35">
      <c r="A40" s="505"/>
      <c r="B40" s="496">
        <v>41403</v>
      </c>
      <c r="C40" s="497" t="s">
        <v>13</v>
      </c>
      <c r="D40" s="498">
        <f>3840</f>
        <v>3840</v>
      </c>
      <c r="E40" s="498"/>
      <c r="F40" s="507"/>
      <c r="G40" s="447"/>
      <c r="H40" s="11"/>
      <c r="I40" s="12"/>
      <c r="J40" s="15"/>
      <c r="K40" s="15"/>
    </row>
    <row r="41" spans="1:12" x14ac:dyDescent="0.35">
      <c r="A41" s="495"/>
      <c r="B41" s="496">
        <v>41402</v>
      </c>
      <c r="C41" s="497" t="s">
        <v>700</v>
      </c>
      <c r="D41" s="498"/>
      <c r="E41" s="498">
        <v>60</v>
      </c>
      <c r="F41" s="502"/>
      <c r="G41" s="447"/>
      <c r="H41" s="11"/>
      <c r="I41" s="12"/>
      <c r="J41" s="15"/>
      <c r="K41" s="15"/>
    </row>
    <row r="42" spans="1:12" x14ac:dyDescent="0.35">
      <c r="A42" s="495"/>
      <c r="B42" s="496">
        <v>41404</v>
      </c>
      <c r="C42" s="497" t="s">
        <v>701</v>
      </c>
      <c r="D42" s="498"/>
      <c r="E42" s="498">
        <f>220+140</f>
        <v>360</v>
      </c>
      <c r="F42" s="502"/>
      <c r="G42" s="447"/>
      <c r="H42" s="11"/>
      <c r="I42" s="12"/>
      <c r="J42" s="15"/>
      <c r="K42" s="15"/>
    </row>
    <row r="43" spans="1:12" x14ac:dyDescent="0.35">
      <c r="A43" s="495"/>
      <c r="B43" s="496">
        <v>41416</v>
      </c>
      <c r="C43" s="497" t="s">
        <v>15</v>
      </c>
      <c r="D43" s="498"/>
      <c r="E43" s="498">
        <v>1300</v>
      </c>
      <c r="F43" s="502"/>
      <c r="G43" s="447"/>
      <c r="H43" s="11"/>
      <c r="I43" s="12"/>
      <c r="J43" s="15"/>
      <c r="K43" s="15"/>
    </row>
    <row r="44" spans="1:12" x14ac:dyDescent="0.35">
      <c r="A44" s="495"/>
      <c r="B44" s="496">
        <v>41404</v>
      </c>
      <c r="C44" s="497" t="s">
        <v>14</v>
      </c>
      <c r="D44" s="498"/>
      <c r="E44" s="498">
        <f>1470+510+290</f>
        <v>2270</v>
      </c>
      <c r="F44" s="502"/>
      <c r="G44" s="447"/>
      <c r="H44" s="11"/>
      <c r="I44" s="12"/>
      <c r="J44" s="413"/>
      <c r="K44" s="15"/>
    </row>
    <row r="45" spans="1:12" x14ac:dyDescent="0.35">
      <c r="A45" s="495"/>
      <c r="B45" s="496"/>
      <c r="C45" s="497"/>
      <c r="D45" s="498"/>
      <c r="E45" s="498"/>
      <c r="F45" s="508">
        <f>SUM(D40:D45)-SUM(E40:E45)</f>
        <v>-150</v>
      </c>
      <c r="G45" s="447"/>
      <c r="H45" s="11"/>
      <c r="I45" s="12"/>
      <c r="J45" s="413"/>
      <c r="K45" s="15"/>
    </row>
    <row r="46" spans="1:12" x14ac:dyDescent="0.35">
      <c r="A46" s="495"/>
      <c r="B46" s="496">
        <v>41432</v>
      </c>
      <c r="C46" s="497" t="s">
        <v>13</v>
      </c>
      <c r="D46" s="498">
        <v>4300</v>
      </c>
      <c r="E46" s="498"/>
      <c r="F46" s="507"/>
      <c r="G46" s="447"/>
      <c r="H46" s="452"/>
      <c r="I46" s="12"/>
      <c r="L46" s="182"/>
    </row>
    <row r="47" spans="1:12" x14ac:dyDescent="0.35">
      <c r="A47" s="495"/>
      <c r="B47" s="496">
        <v>41433</v>
      </c>
      <c r="C47" s="497" t="s">
        <v>700</v>
      </c>
      <c r="D47" s="498"/>
      <c r="E47" s="498">
        <v>150</v>
      </c>
      <c r="F47" s="502"/>
      <c r="G47" s="447"/>
      <c r="H47" s="452"/>
      <c r="I47" s="12"/>
      <c r="K47" s="182"/>
    </row>
    <row r="48" spans="1:12" x14ac:dyDescent="0.35">
      <c r="A48" s="495"/>
      <c r="B48" s="496">
        <v>41433</v>
      </c>
      <c r="C48" s="497" t="s">
        <v>701</v>
      </c>
      <c r="D48" s="498"/>
      <c r="E48" s="498">
        <f>140+230</f>
        <v>370</v>
      </c>
      <c r="F48" s="509"/>
      <c r="G48" s="447"/>
      <c r="H48" s="448"/>
      <c r="I48" s="450"/>
      <c r="K48" s="182"/>
    </row>
    <row r="49" spans="1:11" x14ac:dyDescent="0.35">
      <c r="A49" s="501"/>
      <c r="B49" s="496">
        <v>41432</v>
      </c>
      <c r="C49" s="497" t="s">
        <v>702</v>
      </c>
      <c r="D49" s="498"/>
      <c r="E49" s="498">
        <v>0</v>
      </c>
      <c r="F49" s="509"/>
      <c r="G49" s="447"/>
      <c r="H49" s="452"/>
      <c r="I49" s="12"/>
    </row>
    <row r="50" spans="1:11" x14ac:dyDescent="0.35">
      <c r="A50" s="501"/>
      <c r="B50" s="496">
        <v>41434</v>
      </c>
      <c r="C50" s="497" t="s">
        <v>15</v>
      </c>
      <c r="D50" s="498"/>
      <c r="E50" s="498">
        <f>1110-150</f>
        <v>960</v>
      </c>
      <c r="F50" s="509"/>
      <c r="G50" s="447"/>
      <c r="H50" s="452"/>
      <c r="I50" s="12"/>
    </row>
    <row r="51" spans="1:11" x14ac:dyDescent="0.35">
      <c r="A51" s="495"/>
      <c r="B51" s="496">
        <v>41433</v>
      </c>
      <c r="C51" s="497" t="s">
        <v>14</v>
      </c>
      <c r="D51" s="498"/>
      <c r="E51" s="498">
        <f>1160+110+1200</f>
        <v>2470</v>
      </c>
      <c r="F51" s="509"/>
      <c r="G51" s="447"/>
      <c r="H51" s="448"/>
      <c r="I51" s="12"/>
      <c r="K51" s="182"/>
    </row>
    <row r="52" spans="1:11" x14ac:dyDescent="0.35">
      <c r="A52" s="503"/>
      <c r="B52" s="496"/>
      <c r="C52" s="497"/>
      <c r="D52" s="498"/>
      <c r="E52" s="498"/>
      <c r="F52" s="508">
        <f>SUM(D46:D52)-SUM(E46:E52)</f>
        <v>350</v>
      </c>
      <c r="G52" s="447"/>
      <c r="H52" s="448"/>
      <c r="I52" s="12"/>
      <c r="J52" s="182"/>
      <c r="K52" s="182"/>
    </row>
    <row r="53" spans="1:11" x14ac:dyDescent="0.35">
      <c r="A53" s="495"/>
      <c r="B53" s="496">
        <v>41460</v>
      </c>
      <c r="C53" s="497" t="s">
        <v>13</v>
      </c>
      <c r="D53" s="498">
        <f>4650</f>
        <v>4650</v>
      </c>
      <c r="E53" s="498"/>
      <c r="F53" s="507"/>
      <c r="G53" s="447"/>
      <c r="H53" s="448"/>
      <c r="I53" s="450"/>
    </row>
    <row r="54" spans="1:11" x14ac:dyDescent="0.35">
      <c r="A54" s="503"/>
      <c r="B54" s="496">
        <v>41460</v>
      </c>
      <c r="C54" s="497" t="s">
        <v>700</v>
      </c>
      <c r="D54" s="498"/>
      <c r="E54" s="498">
        <v>0</v>
      </c>
      <c r="F54" s="502"/>
      <c r="G54" s="447"/>
      <c r="H54" s="11"/>
      <c r="I54" s="12"/>
    </row>
    <row r="55" spans="1:11" x14ac:dyDescent="0.35">
      <c r="A55" s="495"/>
      <c r="B55" s="496">
        <v>41474</v>
      </c>
      <c r="C55" s="497" t="s">
        <v>701</v>
      </c>
      <c r="D55" s="498"/>
      <c r="E55" s="498">
        <f>150+200</f>
        <v>350</v>
      </c>
      <c r="F55" s="504"/>
      <c r="G55" s="471"/>
      <c r="H55" s="448"/>
      <c r="I55" s="12"/>
    </row>
    <row r="56" spans="1:11" x14ac:dyDescent="0.35">
      <c r="A56" s="495"/>
      <c r="B56" s="496">
        <v>41463</v>
      </c>
      <c r="C56" s="497" t="s">
        <v>707</v>
      </c>
      <c r="D56" s="498"/>
      <c r="E56" s="498">
        <v>400</v>
      </c>
      <c r="F56" s="504"/>
      <c r="G56" s="471"/>
      <c r="H56" s="448"/>
      <c r="I56" s="12"/>
    </row>
    <row r="57" spans="1:11" x14ac:dyDescent="0.35">
      <c r="A57" s="495"/>
      <c r="B57" s="496">
        <v>41481</v>
      </c>
      <c r="C57" s="497" t="s">
        <v>15</v>
      </c>
      <c r="D57" s="498"/>
      <c r="E57" s="498">
        <v>350</v>
      </c>
      <c r="F57" s="504"/>
      <c r="G57" s="471"/>
      <c r="H57" s="448"/>
      <c r="I57" s="12"/>
    </row>
    <row r="58" spans="1:11" x14ac:dyDescent="0.35">
      <c r="A58" s="505"/>
      <c r="B58" s="496">
        <v>41463</v>
      </c>
      <c r="C58" s="497" t="s">
        <v>708</v>
      </c>
      <c r="D58" s="498"/>
      <c r="E58" s="498">
        <v>250</v>
      </c>
      <c r="F58" s="502"/>
      <c r="G58" s="447"/>
      <c r="H58" s="448"/>
      <c r="I58" s="12"/>
    </row>
    <row r="59" spans="1:11" x14ac:dyDescent="0.35">
      <c r="A59" s="495"/>
      <c r="B59" s="496">
        <v>41465</v>
      </c>
      <c r="C59" s="497" t="s">
        <v>14</v>
      </c>
      <c r="D59" s="498"/>
      <c r="E59" s="498">
        <v>3150</v>
      </c>
      <c r="F59" s="502"/>
      <c r="G59" s="447"/>
      <c r="H59" s="11"/>
      <c r="I59" s="12"/>
    </row>
    <row r="60" spans="1:11" x14ac:dyDescent="0.35">
      <c r="A60" s="495"/>
      <c r="B60" s="496"/>
      <c r="C60" s="497"/>
      <c r="D60" s="498"/>
      <c r="E60" s="498"/>
      <c r="F60" s="508">
        <f>SUM(D53:D60)-SUM(E53:E60)</f>
        <v>150</v>
      </c>
      <c r="G60" s="447"/>
      <c r="H60" s="11"/>
      <c r="I60" s="12"/>
    </row>
    <row r="61" spans="1:11" x14ac:dyDescent="0.35">
      <c r="A61" s="495"/>
      <c r="B61" s="496">
        <v>41495</v>
      </c>
      <c r="C61" s="497" t="s">
        <v>13</v>
      </c>
      <c r="D61" s="498">
        <f>4610-40</f>
        <v>4570</v>
      </c>
      <c r="E61" s="498"/>
      <c r="F61" s="507"/>
      <c r="G61" s="447"/>
      <c r="H61" s="11"/>
      <c r="I61" s="12"/>
    </row>
    <row r="62" spans="1:11" x14ac:dyDescent="0.35">
      <c r="A62" s="495"/>
      <c r="B62" s="496">
        <v>41506</v>
      </c>
      <c r="C62" s="497" t="s">
        <v>700</v>
      </c>
      <c r="D62" s="498"/>
      <c r="E62" s="498">
        <v>140</v>
      </c>
      <c r="F62" s="502"/>
      <c r="G62" s="447"/>
      <c r="H62" s="11"/>
      <c r="I62" s="12"/>
    </row>
    <row r="63" spans="1:11" x14ac:dyDescent="0.35">
      <c r="A63" s="495"/>
      <c r="B63" s="496">
        <v>41487</v>
      </c>
      <c r="C63" s="497" t="s">
        <v>709</v>
      </c>
      <c r="D63" s="498"/>
      <c r="E63" s="498">
        <v>200</v>
      </c>
      <c r="F63" s="502"/>
      <c r="G63" s="447"/>
      <c r="H63" s="11"/>
      <c r="I63" s="12"/>
    </row>
    <row r="64" spans="1:11" x14ac:dyDescent="0.35">
      <c r="A64" s="495"/>
      <c r="B64" s="496">
        <v>41509</v>
      </c>
      <c r="C64" s="497" t="s">
        <v>19</v>
      </c>
      <c r="D64" s="498">
        <v>2300</v>
      </c>
      <c r="E64" s="498"/>
      <c r="F64" s="502"/>
      <c r="G64" s="447"/>
      <c r="H64" s="11"/>
      <c r="I64" s="12"/>
    </row>
    <row r="65" spans="1:12" x14ac:dyDescent="0.35">
      <c r="A65" s="495"/>
      <c r="B65" s="496">
        <v>41496</v>
      </c>
      <c r="C65" s="497" t="s">
        <v>15</v>
      </c>
      <c r="D65" s="498"/>
      <c r="E65" s="498">
        <f>970+200</f>
        <v>1170</v>
      </c>
      <c r="F65" s="502"/>
      <c r="G65" s="447"/>
      <c r="H65" s="11"/>
      <c r="I65" s="12"/>
    </row>
    <row r="66" spans="1:12" x14ac:dyDescent="0.35">
      <c r="A66" s="495"/>
      <c r="B66" s="496">
        <v>41502</v>
      </c>
      <c r="C66" s="497" t="s">
        <v>14</v>
      </c>
      <c r="D66" s="498"/>
      <c r="E66" s="498">
        <v>3460</v>
      </c>
      <c r="F66" s="502"/>
      <c r="G66" s="447"/>
      <c r="H66" s="182"/>
    </row>
    <row r="67" spans="1:12" x14ac:dyDescent="0.35">
      <c r="A67" s="510"/>
      <c r="B67" s="511"/>
      <c r="C67" s="512"/>
      <c r="D67" s="513"/>
      <c r="E67" s="513"/>
      <c r="F67" s="514">
        <f>SUM(D61:D67)-SUM(E61:E67)</f>
        <v>1900</v>
      </c>
      <c r="G67" s="447"/>
      <c r="H67" s="182"/>
      <c r="I67" s="182"/>
      <c r="J67" s="182"/>
      <c r="K67" s="182"/>
    </row>
    <row r="68" spans="1:12" x14ac:dyDescent="0.35">
      <c r="A68" s="495"/>
      <c r="B68" s="496">
        <v>41523</v>
      </c>
      <c r="C68" s="497" t="s">
        <v>13</v>
      </c>
      <c r="D68" s="498">
        <v>4610</v>
      </c>
      <c r="E68" s="498"/>
      <c r="F68" s="507"/>
      <c r="G68" s="447"/>
      <c r="H68" s="182"/>
      <c r="I68" s="182"/>
      <c r="J68" s="182"/>
      <c r="K68" s="182"/>
      <c r="L68" s="182"/>
    </row>
    <row r="69" spans="1:12" x14ac:dyDescent="0.35">
      <c r="A69" s="495"/>
      <c r="B69" s="496">
        <v>41523</v>
      </c>
      <c r="C69" s="497" t="s">
        <v>15</v>
      </c>
      <c r="D69" s="498"/>
      <c r="E69" s="498">
        <v>800</v>
      </c>
      <c r="F69" s="504"/>
      <c r="G69" s="447"/>
      <c r="H69" s="182"/>
      <c r="I69" s="182"/>
      <c r="J69" s="182"/>
      <c r="K69" s="182"/>
    </row>
    <row r="70" spans="1:12" x14ac:dyDescent="0.35">
      <c r="A70" s="495"/>
      <c r="B70" s="496">
        <v>41523</v>
      </c>
      <c r="C70" s="497" t="s">
        <v>14</v>
      </c>
      <c r="D70" s="498"/>
      <c r="E70" s="498">
        <v>3610</v>
      </c>
      <c r="F70" s="515"/>
      <c r="G70" s="447"/>
      <c r="H70" s="448"/>
      <c r="I70" s="12"/>
    </row>
    <row r="71" spans="1:12" x14ac:dyDescent="0.35">
      <c r="A71" s="495"/>
      <c r="B71" s="496"/>
      <c r="C71" s="497"/>
      <c r="D71" s="498"/>
      <c r="E71" s="498"/>
      <c r="F71" s="508">
        <f>SUM(D68:D71)-SUM(E68:E71)</f>
        <v>200</v>
      </c>
      <c r="G71" s="447"/>
      <c r="H71" s="448"/>
      <c r="I71" s="12"/>
    </row>
    <row r="72" spans="1:12" x14ac:dyDescent="0.35">
      <c r="A72" s="495"/>
      <c r="B72" s="496">
        <v>41551</v>
      </c>
      <c r="C72" s="497" t="s">
        <v>13</v>
      </c>
      <c r="D72" s="498">
        <v>4610</v>
      </c>
      <c r="E72" s="498"/>
      <c r="F72" s="507"/>
      <c r="G72" s="447"/>
      <c r="H72" s="448"/>
      <c r="I72" s="450"/>
    </row>
    <row r="73" spans="1:12" x14ac:dyDescent="0.35">
      <c r="A73" s="503"/>
      <c r="B73" s="496">
        <v>41551</v>
      </c>
      <c r="C73" s="497" t="s">
        <v>15</v>
      </c>
      <c r="D73" s="498"/>
      <c r="E73" s="498">
        <v>600</v>
      </c>
      <c r="F73" s="515"/>
      <c r="G73" s="447"/>
      <c r="H73" s="448"/>
      <c r="I73" s="12"/>
    </row>
    <row r="74" spans="1:12" x14ac:dyDescent="0.35">
      <c r="A74" s="503"/>
      <c r="B74" s="496">
        <v>41551</v>
      </c>
      <c r="C74" s="497" t="s">
        <v>14</v>
      </c>
      <c r="D74" s="498"/>
      <c r="E74" s="498">
        <v>4610</v>
      </c>
      <c r="F74" s="515"/>
      <c r="G74" s="447"/>
      <c r="H74" s="448"/>
      <c r="I74" s="12"/>
    </row>
    <row r="75" spans="1:12" x14ac:dyDescent="0.35">
      <c r="A75" s="503"/>
      <c r="B75" s="496"/>
      <c r="C75" s="497"/>
      <c r="D75" s="498"/>
      <c r="E75" s="498"/>
      <c r="F75" s="504">
        <f>SUM(D72:D75)-SUM(E72:E75)</f>
        <v>-600</v>
      </c>
      <c r="G75" s="447"/>
      <c r="H75" s="448"/>
      <c r="I75" s="12"/>
    </row>
    <row r="76" spans="1:12" x14ac:dyDescent="0.35">
      <c r="A76" s="503"/>
      <c r="B76" s="496">
        <v>41586</v>
      </c>
      <c r="C76" s="497" t="s">
        <v>13</v>
      </c>
      <c r="D76" s="498">
        <v>6000</v>
      </c>
      <c r="E76" s="498"/>
      <c r="F76" s="507"/>
      <c r="G76" s="447"/>
      <c r="H76" s="448"/>
      <c r="I76" s="12"/>
    </row>
    <row r="77" spans="1:12" x14ac:dyDescent="0.35">
      <c r="A77" s="503"/>
      <c r="B77" s="496">
        <v>41590</v>
      </c>
      <c r="C77" s="497" t="s">
        <v>700</v>
      </c>
      <c r="D77" s="498"/>
      <c r="E77" s="498">
        <v>200</v>
      </c>
      <c r="F77" s="515"/>
      <c r="G77" s="447"/>
      <c r="H77" s="448"/>
      <c r="I77" s="12"/>
    </row>
    <row r="78" spans="1:12" x14ac:dyDescent="0.35">
      <c r="A78" s="495"/>
      <c r="B78" s="496">
        <v>41588</v>
      </c>
      <c r="C78" s="497" t="s">
        <v>15</v>
      </c>
      <c r="D78" s="498">
        <f>500+600</f>
        <v>1100</v>
      </c>
      <c r="E78" s="498">
        <v>1900</v>
      </c>
      <c r="F78" s="516"/>
      <c r="G78" s="447"/>
      <c r="H78" s="448"/>
      <c r="I78" s="12"/>
    </row>
    <row r="79" spans="1:12" x14ac:dyDescent="0.35">
      <c r="A79" s="495"/>
      <c r="B79" s="496">
        <v>41590</v>
      </c>
      <c r="C79" s="497" t="s">
        <v>710</v>
      </c>
      <c r="D79" s="498"/>
      <c r="E79" s="498">
        <v>70</v>
      </c>
      <c r="F79" s="516"/>
      <c r="G79" s="447"/>
      <c r="H79" s="448"/>
      <c r="I79" s="12"/>
    </row>
    <row r="80" spans="1:12" x14ac:dyDescent="0.35">
      <c r="A80" s="495"/>
      <c r="B80" s="496">
        <v>41588</v>
      </c>
      <c r="C80" s="497" t="s">
        <v>711</v>
      </c>
      <c r="D80" s="498"/>
      <c r="E80" s="498">
        <v>1900</v>
      </c>
      <c r="F80" s="516"/>
      <c r="G80" s="447"/>
      <c r="H80" s="448"/>
      <c r="I80" s="12"/>
    </row>
    <row r="81" spans="1:11" x14ac:dyDescent="0.35">
      <c r="A81" s="495"/>
      <c r="B81" s="496">
        <v>41590</v>
      </c>
      <c r="C81" s="497" t="s">
        <v>712</v>
      </c>
      <c r="D81" s="498"/>
      <c r="E81" s="498">
        <v>1300</v>
      </c>
      <c r="F81" s="516"/>
      <c r="G81" s="447"/>
      <c r="H81" s="448"/>
      <c r="I81" s="12"/>
    </row>
    <row r="82" spans="1:11" x14ac:dyDescent="0.35">
      <c r="A82" s="495"/>
      <c r="B82" s="496">
        <v>41591</v>
      </c>
      <c r="C82" s="497" t="s">
        <v>713</v>
      </c>
      <c r="D82" s="498">
        <v>400</v>
      </c>
      <c r="E82" s="498"/>
      <c r="F82" s="516"/>
      <c r="G82" s="447"/>
      <c r="H82" s="448"/>
      <c r="I82" s="12"/>
    </row>
    <row r="83" spans="1:11" x14ac:dyDescent="0.35">
      <c r="A83" s="495"/>
      <c r="B83" s="496">
        <v>41591</v>
      </c>
      <c r="C83" s="497" t="s">
        <v>714</v>
      </c>
      <c r="D83" s="498"/>
      <c r="E83" s="498">
        <v>440</v>
      </c>
      <c r="F83" s="516"/>
      <c r="G83" s="447"/>
      <c r="H83" s="448"/>
      <c r="I83" s="12"/>
    </row>
    <row r="84" spans="1:11" x14ac:dyDescent="0.35">
      <c r="A84" s="495"/>
      <c r="B84" s="496">
        <v>41590</v>
      </c>
      <c r="C84" s="497" t="s">
        <v>715</v>
      </c>
      <c r="D84" s="498"/>
      <c r="E84" s="498">
        <v>240</v>
      </c>
      <c r="F84" s="516"/>
      <c r="G84" s="447"/>
      <c r="H84" s="448"/>
      <c r="I84" s="12"/>
    </row>
    <row r="85" spans="1:11" x14ac:dyDescent="0.35">
      <c r="A85" s="495"/>
      <c r="B85" s="496">
        <v>41590</v>
      </c>
      <c r="C85" s="497" t="s">
        <v>14</v>
      </c>
      <c r="D85" s="498"/>
      <c r="E85" s="498">
        <v>3150</v>
      </c>
      <c r="F85" s="516"/>
      <c r="G85" s="447"/>
      <c r="H85" s="448"/>
      <c r="I85" s="12"/>
    </row>
    <row r="86" spans="1:11" x14ac:dyDescent="0.35">
      <c r="A86" s="495"/>
      <c r="B86" s="496">
        <v>41604</v>
      </c>
      <c r="C86" s="497" t="s">
        <v>716</v>
      </c>
      <c r="D86" s="498"/>
      <c r="E86" s="498">
        <v>100</v>
      </c>
      <c r="F86" s="516"/>
      <c r="G86" s="447"/>
      <c r="H86" s="448"/>
      <c r="I86" s="12"/>
    </row>
    <row r="87" spans="1:11" x14ac:dyDescent="0.35">
      <c r="A87" s="495"/>
      <c r="B87" s="496">
        <v>41597</v>
      </c>
      <c r="C87" s="497" t="s">
        <v>717</v>
      </c>
      <c r="D87" s="498"/>
      <c r="E87" s="498">
        <v>300</v>
      </c>
      <c r="F87" s="516"/>
      <c r="G87" s="447"/>
      <c r="H87" s="448"/>
      <c r="I87" s="12"/>
    </row>
    <row r="88" spans="1:11" x14ac:dyDescent="0.35">
      <c r="A88" s="495"/>
      <c r="B88" s="496"/>
      <c r="C88" s="497"/>
      <c r="D88" s="498"/>
      <c r="E88" s="498"/>
      <c r="F88" s="504">
        <f>SUM(D76:D88)-SUM(E76:E88)</f>
        <v>-2100</v>
      </c>
      <c r="G88" s="447"/>
      <c r="H88" s="448"/>
      <c r="I88" s="12"/>
    </row>
    <row r="89" spans="1:11" x14ac:dyDescent="0.35">
      <c r="A89" s="501"/>
      <c r="B89" s="496">
        <v>41614</v>
      </c>
      <c r="C89" s="497" t="s">
        <v>13</v>
      </c>
      <c r="D89" s="498">
        <v>6400</v>
      </c>
      <c r="E89" s="498"/>
      <c r="F89" s="507"/>
      <c r="G89" s="447"/>
      <c r="H89" s="11"/>
      <c r="I89" s="12"/>
    </row>
    <row r="90" spans="1:11" x14ac:dyDescent="0.35">
      <c r="A90" s="495"/>
      <c r="B90" s="496">
        <v>41615</v>
      </c>
      <c r="C90" s="497" t="s">
        <v>718</v>
      </c>
      <c r="D90" s="498"/>
      <c r="E90" s="498">
        <v>1050</v>
      </c>
      <c r="F90" s="516"/>
      <c r="G90" s="472"/>
      <c r="H90" s="474"/>
      <c r="I90" s="12"/>
      <c r="J90" s="517"/>
    </row>
    <row r="91" spans="1:11" x14ac:dyDescent="0.35">
      <c r="A91" s="495"/>
      <c r="B91" s="496">
        <v>41616</v>
      </c>
      <c r="C91" s="497" t="s">
        <v>712</v>
      </c>
      <c r="D91" s="498"/>
      <c r="E91" s="498">
        <v>400</v>
      </c>
      <c r="F91" s="516"/>
      <c r="G91" s="472"/>
      <c r="H91" s="474"/>
      <c r="I91" s="12"/>
    </row>
    <row r="92" spans="1:11" x14ac:dyDescent="0.35">
      <c r="A92" s="503"/>
      <c r="B92" s="496">
        <v>41625</v>
      </c>
      <c r="C92" s="497" t="s">
        <v>15</v>
      </c>
      <c r="D92" s="498"/>
      <c r="E92" s="498">
        <v>800</v>
      </c>
      <c r="F92" s="516"/>
      <c r="G92" s="475"/>
      <c r="H92" s="473"/>
      <c r="I92" s="12"/>
      <c r="J92" s="15"/>
    </row>
    <row r="93" spans="1:11" x14ac:dyDescent="0.35">
      <c r="A93" s="503"/>
      <c r="B93" s="496">
        <v>41619</v>
      </c>
      <c r="C93" s="497" t="s">
        <v>163</v>
      </c>
      <c r="D93" s="498"/>
      <c r="E93" s="498">
        <f>2650-240</f>
        <v>2410</v>
      </c>
      <c r="F93" s="516"/>
      <c r="G93" s="475"/>
      <c r="H93" s="473"/>
      <c r="I93" s="12"/>
      <c r="K93" s="182"/>
    </row>
    <row r="94" spans="1:11" x14ac:dyDescent="0.35">
      <c r="A94" s="503"/>
      <c r="B94" s="496">
        <v>41619</v>
      </c>
      <c r="C94" s="497" t="s">
        <v>715</v>
      </c>
      <c r="D94" s="498"/>
      <c r="E94" s="498">
        <v>240</v>
      </c>
      <c r="F94" s="504">
        <f>SUM(D89:D94)-SUM(E89:E94)</f>
        <v>1500</v>
      </c>
      <c r="G94" s="475"/>
      <c r="H94" s="473"/>
      <c r="I94" s="12"/>
      <c r="K94" s="182"/>
    </row>
    <row r="95" spans="1:11" x14ac:dyDescent="0.35">
      <c r="A95" s="495"/>
      <c r="B95" s="496"/>
      <c r="C95" s="497"/>
      <c r="D95" s="498"/>
      <c r="E95" s="498"/>
      <c r="F95" s="516"/>
      <c r="G95" s="476"/>
      <c r="H95" s="473"/>
      <c r="I95" s="12"/>
    </row>
    <row r="96" spans="1:11" x14ac:dyDescent="0.35">
      <c r="A96" s="503"/>
      <c r="B96" s="496"/>
      <c r="C96" s="497"/>
      <c r="D96" s="498"/>
      <c r="E96" s="498"/>
      <c r="F96" s="502"/>
      <c r="G96" s="475"/>
      <c r="H96" s="11"/>
      <c r="I96" s="12"/>
    </row>
    <row r="97" spans="1:11" x14ac:dyDescent="0.35">
      <c r="A97" s="495"/>
      <c r="B97" s="496"/>
      <c r="C97" s="497"/>
      <c r="D97" s="498"/>
      <c r="E97" s="498"/>
      <c r="F97" s="504"/>
      <c r="G97" s="475"/>
      <c r="H97" s="448"/>
      <c r="I97" s="12"/>
    </row>
    <row r="98" spans="1:11" x14ac:dyDescent="0.35">
      <c r="A98" s="19"/>
      <c r="D98" s="320"/>
      <c r="E98" s="320"/>
    </row>
    <row r="99" spans="1:11" x14ac:dyDescent="0.35">
      <c r="A99" s="19"/>
      <c r="D99" s="320"/>
      <c r="E99" s="320"/>
    </row>
    <row r="100" spans="1:11" x14ac:dyDescent="0.35">
      <c r="A100" s="19"/>
      <c r="D100" s="320"/>
      <c r="E100" s="320"/>
    </row>
    <row r="101" spans="1:11" x14ac:dyDescent="0.35">
      <c r="A101" s="19"/>
      <c r="D101" s="320"/>
      <c r="E101" s="320"/>
      <c r="I101" s="577" t="s">
        <v>28</v>
      </c>
      <c r="J101" s="578">
        <f>E2</f>
        <v>1800</v>
      </c>
      <c r="K101" s="577"/>
    </row>
    <row r="102" spans="1:11" x14ac:dyDescent="0.35">
      <c r="A102" s="19"/>
      <c r="D102" s="320"/>
      <c r="E102" s="320"/>
      <c r="I102" s="577" t="s">
        <v>29</v>
      </c>
      <c r="J102" s="577" t="s">
        <v>30</v>
      </c>
      <c r="K102" s="577"/>
    </row>
    <row r="103" spans="1:11" x14ac:dyDescent="0.35">
      <c r="A103" s="19"/>
      <c r="D103" s="320"/>
      <c r="E103" s="320"/>
      <c r="I103" s="580">
        <f>_ENE13</f>
        <v>210</v>
      </c>
      <c r="J103" s="580"/>
      <c r="K103" s="577"/>
    </row>
    <row r="104" spans="1:11" x14ac:dyDescent="0.35">
      <c r="A104" s="19"/>
      <c r="D104" s="320"/>
      <c r="E104" s="320"/>
      <c r="I104" s="580">
        <f>_FEB13</f>
        <v>790</v>
      </c>
      <c r="J104" s="580"/>
      <c r="K104" s="577"/>
    </row>
    <row r="105" spans="1:11" x14ac:dyDescent="0.35">
      <c r="A105" s="19"/>
      <c r="D105" s="320"/>
      <c r="E105" s="320"/>
      <c r="I105" s="580">
        <f>_MAR13</f>
        <v>-1000</v>
      </c>
      <c r="J105" s="580"/>
      <c r="K105" s="577"/>
    </row>
    <row r="106" spans="1:11" x14ac:dyDescent="0.35">
      <c r="A106" s="19"/>
      <c r="D106" s="320"/>
      <c r="E106" s="320"/>
      <c r="I106" s="580">
        <f>_ABR13</f>
        <v>550</v>
      </c>
      <c r="J106" s="580"/>
      <c r="K106" s="577"/>
    </row>
    <row r="107" spans="1:11" x14ac:dyDescent="0.35">
      <c r="A107" s="19"/>
      <c r="D107" s="320"/>
      <c r="E107" s="320"/>
      <c r="I107" s="580">
        <f>_MAY13</f>
        <v>-150</v>
      </c>
      <c r="J107" s="580"/>
      <c r="K107" s="577"/>
    </row>
    <row r="108" spans="1:11" x14ac:dyDescent="0.35">
      <c r="A108" s="19"/>
      <c r="D108" s="320"/>
      <c r="E108" s="320"/>
      <c r="I108" s="580">
        <f>_JUN13</f>
        <v>350</v>
      </c>
      <c r="J108" s="580"/>
      <c r="K108" s="577"/>
    </row>
    <row r="109" spans="1:11" x14ac:dyDescent="0.35">
      <c r="A109" s="19"/>
      <c r="D109" s="320"/>
      <c r="E109" s="320"/>
      <c r="I109" s="580">
        <f>_JUL13</f>
        <v>150</v>
      </c>
      <c r="J109" s="580"/>
      <c r="K109" s="577"/>
    </row>
    <row r="110" spans="1:11" x14ac:dyDescent="0.35">
      <c r="A110" s="19"/>
      <c r="D110" s="320"/>
      <c r="E110" s="320"/>
      <c r="I110" s="580">
        <f>_AGO13</f>
        <v>1900</v>
      </c>
      <c r="J110" s="580"/>
      <c r="K110" s="577"/>
    </row>
    <row r="111" spans="1:11" x14ac:dyDescent="0.35">
      <c r="A111" s="19"/>
      <c r="D111" s="320"/>
      <c r="E111" s="320"/>
      <c r="I111" s="580">
        <f>_SEP13</f>
        <v>200</v>
      </c>
      <c r="J111" s="580"/>
      <c r="K111" s="577"/>
    </row>
    <row r="112" spans="1:11" x14ac:dyDescent="0.35">
      <c r="A112" s="19"/>
      <c r="D112" s="320"/>
      <c r="E112" s="320"/>
      <c r="I112" s="580">
        <f>_OCT13</f>
        <v>-600</v>
      </c>
      <c r="J112" s="580"/>
      <c r="K112" s="577"/>
    </row>
    <row r="113" spans="1:13" x14ac:dyDescent="0.35">
      <c r="A113" s="19"/>
      <c r="D113" s="320"/>
      <c r="E113" s="320"/>
      <c r="I113" s="580">
        <f>_NOV13</f>
        <v>-2100</v>
      </c>
      <c r="J113" s="580"/>
      <c r="K113" s="577"/>
    </row>
    <row r="114" spans="1:13" x14ac:dyDescent="0.35">
      <c r="A114" s="19"/>
      <c r="D114" s="320"/>
      <c r="E114" s="320"/>
      <c r="I114" s="580">
        <f>_DIC13</f>
        <v>1500</v>
      </c>
      <c r="J114" s="580"/>
      <c r="K114" s="577"/>
    </row>
    <row r="115" spans="1:13" x14ac:dyDescent="0.35">
      <c r="A115" s="19"/>
      <c r="D115" s="320"/>
      <c r="E115" s="320"/>
      <c r="I115" s="580">
        <f>SUM(I103:I114)</f>
        <v>1800</v>
      </c>
      <c r="J115" s="580">
        <f>-SUM(J103:J114)</f>
        <v>0</v>
      </c>
      <c r="K115" s="580">
        <f>I115-J115</f>
        <v>1800</v>
      </c>
    </row>
    <row r="116" spans="1:13" x14ac:dyDescent="0.35">
      <c r="A116" s="19"/>
      <c r="D116" s="320"/>
      <c r="E116" s="320"/>
      <c r="I116" s="23"/>
      <c r="J116" s="23"/>
      <c r="K116" s="15"/>
    </row>
    <row r="117" spans="1:13" x14ac:dyDescent="0.35">
      <c r="A117" s="19"/>
      <c r="D117" s="320"/>
      <c r="E117" s="320"/>
      <c r="G117" s="585"/>
      <c r="H117" s="49"/>
      <c r="I117" s="181"/>
      <c r="J117" s="323"/>
      <c r="K117" s="51"/>
      <c r="L117" s="37"/>
      <c r="M117" s="576"/>
    </row>
    <row r="118" spans="1:13" x14ac:dyDescent="0.35">
      <c r="A118" s="19"/>
      <c r="D118" s="320"/>
      <c r="E118" s="320"/>
      <c r="G118" s="585"/>
      <c r="H118" s="50"/>
      <c r="I118" s="181"/>
      <c r="J118" s="565"/>
      <c r="K118" s="51"/>
      <c r="L118" s="43"/>
      <c r="M118" s="37"/>
    </row>
    <row r="119" spans="1:13" x14ac:dyDescent="0.35">
      <c r="A119" s="19"/>
      <c r="B119" s="380" t="s">
        <v>32</v>
      </c>
      <c r="C119" s="380" t="s">
        <v>33</v>
      </c>
      <c r="G119" s="585"/>
      <c r="H119" s="49"/>
      <c r="I119" s="181"/>
      <c r="J119" s="323"/>
      <c r="K119" s="51"/>
      <c r="L119" s="37"/>
      <c r="M119" s="37"/>
    </row>
    <row r="120" spans="1:13" x14ac:dyDescent="0.35">
      <c r="A120" s="19"/>
      <c r="B120" s="380">
        <f>SUM(D6:D119)</f>
        <v>60060</v>
      </c>
      <c r="C120" s="380">
        <f>SUM(E6:E119)</f>
        <v>59660</v>
      </c>
      <c r="G120" s="585"/>
      <c r="H120" s="49"/>
      <c r="I120" s="323"/>
      <c r="J120" s="323"/>
      <c r="K120" s="51"/>
      <c r="L120" s="37"/>
      <c r="M120" s="37"/>
    </row>
    <row r="121" spans="1:13" x14ac:dyDescent="0.35">
      <c r="A121" s="19"/>
      <c r="B121" s="518">
        <f>+B120-C120</f>
        <v>400</v>
      </c>
      <c r="D121" s="320"/>
      <c r="E121" s="320"/>
      <c r="I121" s="453"/>
      <c r="J121" s="23"/>
      <c r="K121" s="15"/>
    </row>
    <row r="122" spans="1:13" x14ac:dyDescent="0.35">
      <c r="A122" s="19"/>
      <c r="I122" s="24"/>
      <c r="J122" s="23"/>
      <c r="K122" s="15"/>
    </row>
    <row r="123" spans="1:13" x14ac:dyDescent="0.35">
      <c r="A123" s="19"/>
      <c r="I123" s="24"/>
      <c r="J123" s="23"/>
      <c r="K123" s="15"/>
    </row>
    <row r="124" spans="1:13" x14ac:dyDescent="0.35">
      <c r="A124" s="19"/>
      <c r="I124" s="24"/>
      <c r="J124" s="23"/>
      <c r="K124" s="15"/>
    </row>
    <row r="125" spans="1:13" x14ac:dyDescent="0.3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5" x14ac:dyDescent="0.35"/>
  <cols>
    <col min="1" max="1" width="14.26953125" style="419" customWidth="1"/>
    <col min="2" max="2" width="10.81640625" style="20" customWidth="1"/>
    <col min="3" max="3" width="28.36328125" style="21" customWidth="1"/>
    <col min="4" max="4" width="16.26953125" style="397" customWidth="1"/>
    <col min="5" max="5" width="13.7265625" style="397" customWidth="1"/>
    <col min="6" max="6" width="8.36328125" style="22" customWidth="1"/>
    <col min="7" max="7" width="13.7265625" style="469" customWidth="1"/>
    <col min="8" max="8" width="14.7265625" style="10" customWidth="1"/>
    <col min="9" max="10" width="12.26953125" customWidth="1"/>
    <col min="11" max="11" width="13.26953125" customWidth="1"/>
    <col min="13" max="13" width="11.7265625" customWidth="1"/>
  </cols>
  <sheetData>
    <row r="1" spans="1:12" x14ac:dyDescent="0.35">
      <c r="B1" s="1182"/>
      <c r="C1" s="1183"/>
      <c r="D1" s="454" t="s">
        <v>0</v>
      </c>
      <c r="E1" s="455">
        <f>COUNTA(C6:C152)</f>
        <v>146</v>
      </c>
      <c r="F1" s="422" t="s">
        <v>1</v>
      </c>
      <c r="G1" s="456"/>
    </row>
    <row r="2" spans="1:12" x14ac:dyDescent="0.35">
      <c r="A2" s="419">
        <f>((A4-A3)*12)</f>
        <v>0</v>
      </c>
      <c r="B2" s="424" t="s">
        <v>2</v>
      </c>
      <c r="C2" s="425">
        <f>_ENE12+_FEB12+_MAR12+_ABR12+_MAY12+_JUN12+_JUL12+_AGO12+_SEP12+_OCT12+_NOV12+_DIC12</f>
        <v>2900</v>
      </c>
      <c r="D2" s="457" t="s">
        <v>3</v>
      </c>
      <c r="E2" s="458">
        <f>SUM(D5:D203)-SUM(E5:E203)</f>
        <v>2900</v>
      </c>
      <c r="F2" s="459" t="s">
        <v>4</v>
      </c>
      <c r="G2" s="460">
        <f>+E2</f>
        <v>2900</v>
      </c>
    </row>
    <row r="3" spans="1:12" x14ac:dyDescent="0.35">
      <c r="A3" s="419">
        <f>100*4.32</f>
        <v>432</v>
      </c>
      <c r="B3" s="424"/>
      <c r="C3" s="425"/>
      <c r="D3" s="461" t="s">
        <v>5</v>
      </c>
      <c r="E3" s="462">
        <v>500</v>
      </c>
      <c r="F3" s="459" t="s">
        <v>6</v>
      </c>
      <c r="G3" s="460">
        <f>+E3*4.32</f>
        <v>2160</v>
      </c>
    </row>
    <row r="4" spans="1:12" x14ac:dyDescent="0.35">
      <c r="A4" s="419">
        <f>100*4.32</f>
        <v>432</v>
      </c>
      <c r="B4" s="432" t="s">
        <v>7</v>
      </c>
      <c r="C4" s="433" t="s">
        <v>8</v>
      </c>
      <c r="D4" s="463" t="s">
        <v>9</v>
      </c>
      <c r="E4" s="464" t="s">
        <v>63</v>
      </c>
      <c r="F4" s="465" t="s">
        <v>10</v>
      </c>
      <c r="G4" s="460">
        <f>+G2+G3</f>
        <v>5060</v>
      </c>
    </row>
    <row r="5" spans="1:12" x14ac:dyDescent="0.35">
      <c r="B5" s="466"/>
      <c r="C5" s="467" t="s">
        <v>676</v>
      </c>
      <c r="D5" s="468">
        <v>0</v>
      </c>
      <c r="E5" s="468"/>
    </row>
    <row r="6" spans="1:12" x14ac:dyDescent="0.35">
      <c r="A6" s="438" t="s">
        <v>40</v>
      </c>
      <c r="B6" s="466"/>
      <c r="C6" s="467" t="s">
        <v>677</v>
      </c>
      <c r="D6" s="468">
        <f>3200+600</f>
        <v>3800</v>
      </c>
      <c r="E6" s="470"/>
      <c r="F6" s="11"/>
      <c r="G6" s="447"/>
      <c r="H6" s="11"/>
      <c r="I6" s="12"/>
    </row>
    <row r="7" spans="1:12" x14ac:dyDescent="0.35">
      <c r="A7" s="419" t="s">
        <v>620</v>
      </c>
      <c r="B7" s="466"/>
      <c r="C7" s="467" t="s">
        <v>530</v>
      </c>
      <c r="D7" s="468"/>
      <c r="E7" s="470">
        <v>180</v>
      </c>
      <c r="F7" s="448"/>
      <c r="G7" s="447"/>
      <c r="H7" s="11"/>
      <c r="I7" s="12"/>
    </row>
    <row r="8" spans="1:12" x14ac:dyDescent="0.35">
      <c r="A8" s="444">
        <f>SUM(D6:D21)</f>
        <v>5400</v>
      </c>
      <c r="B8" s="466"/>
      <c r="C8" s="467" t="s">
        <v>529</v>
      </c>
      <c r="D8" s="468"/>
      <c r="E8" s="470">
        <v>200</v>
      </c>
      <c r="F8" s="11"/>
      <c r="G8" s="447"/>
      <c r="H8" s="11"/>
      <c r="I8" s="12"/>
    </row>
    <row r="9" spans="1:12" x14ac:dyDescent="0.35">
      <c r="A9" s="419" t="s">
        <v>621</v>
      </c>
      <c r="B9" s="466"/>
      <c r="C9" s="467" t="s">
        <v>421</v>
      </c>
      <c r="D9" s="468"/>
      <c r="E9" s="470">
        <v>0</v>
      </c>
      <c r="F9" s="11"/>
      <c r="G9" s="447"/>
      <c r="H9" s="11"/>
      <c r="I9" s="12"/>
    </row>
    <row r="10" spans="1:12" x14ac:dyDescent="0.35">
      <c r="A10" s="444">
        <f>SUM(E6:E21)</f>
        <v>3400</v>
      </c>
      <c r="B10" s="466"/>
      <c r="C10" s="467" t="s">
        <v>639</v>
      </c>
      <c r="D10" s="468"/>
      <c r="E10" s="470">
        <v>70</v>
      </c>
      <c r="F10" s="11"/>
      <c r="G10" s="447"/>
      <c r="H10" s="11"/>
      <c r="I10" s="12"/>
      <c r="L10" s="182"/>
    </row>
    <row r="11" spans="1:12" x14ac:dyDescent="0.35">
      <c r="A11" s="419" t="s">
        <v>622</v>
      </c>
      <c r="B11" s="466"/>
      <c r="C11" s="467" t="s">
        <v>288</v>
      </c>
      <c r="D11" s="468"/>
      <c r="E11" s="470">
        <v>1250</v>
      </c>
      <c r="F11" s="11"/>
      <c r="G11" s="447"/>
      <c r="H11" s="11"/>
      <c r="I11" s="12"/>
    </row>
    <row r="12" spans="1:12" x14ac:dyDescent="0.35">
      <c r="A12" s="446">
        <f>+A8-A10</f>
        <v>2000</v>
      </c>
      <c r="B12" s="466"/>
      <c r="C12" s="467" t="s">
        <v>653</v>
      </c>
      <c r="D12" s="468"/>
      <c r="E12" s="470">
        <v>300</v>
      </c>
      <c r="F12" s="11"/>
      <c r="G12" s="447"/>
      <c r="H12" s="448"/>
      <c r="I12" s="12"/>
    </row>
    <row r="13" spans="1:12" x14ac:dyDescent="0.35">
      <c r="A13" s="419" t="s">
        <v>623</v>
      </c>
      <c r="B13" s="466"/>
      <c r="C13" s="467" t="s">
        <v>630</v>
      </c>
      <c r="D13" s="468"/>
      <c r="E13" s="470">
        <v>320</v>
      </c>
      <c r="F13" s="11"/>
      <c r="G13" s="447"/>
      <c r="H13" s="11"/>
      <c r="I13" s="12"/>
    </row>
    <row r="14" spans="1:12" x14ac:dyDescent="0.35">
      <c r="A14" s="419">
        <f>_ENE12-A4</f>
        <v>1568</v>
      </c>
      <c r="B14" s="466"/>
      <c r="C14" s="467" t="s">
        <v>678</v>
      </c>
      <c r="D14" s="468"/>
      <c r="E14" s="470">
        <f>230+150</f>
        <v>380</v>
      </c>
      <c r="F14" s="448"/>
      <c r="G14" s="447"/>
      <c r="H14" s="11"/>
      <c r="I14" s="12"/>
    </row>
    <row r="15" spans="1:12" x14ac:dyDescent="0.35">
      <c r="B15" s="466"/>
      <c r="C15" s="467" t="s">
        <v>19</v>
      </c>
      <c r="D15" s="468">
        <v>1600</v>
      </c>
      <c r="E15" s="470"/>
      <c r="F15" s="11"/>
      <c r="G15" s="447"/>
      <c r="H15" s="11"/>
      <c r="I15" s="12"/>
    </row>
    <row r="16" spans="1:12" x14ac:dyDescent="0.35">
      <c r="B16" s="466"/>
      <c r="C16" s="467" t="s">
        <v>356</v>
      </c>
      <c r="D16" s="468"/>
      <c r="E16" s="470">
        <v>100</v>
      </c>
      <c r="F16" s="11"/>
      <c r="G16" s="447"/>
      <c r="H16" s="11"/>
      <c r="I16" s="12"/>
    </row>
    <row r="17" spans="1:12" x14ac:dyDescent="0.35">
      <c r="B17" s="466"/>
      <c r="C17" s="467" t="s">
        <v>679</v>
      </c>
      <c r="D17" s="468"/>
      <c r="E17" s="470">
        <v>150</v>
      </c>
      <c r="F17" s="11"/>
      <c r="G17" s="447"/>
      <c r="H17" s="11"/>
      <c r="I17" s="12"/>
    </row>
    <row r="18" spans="1:12" x14ac:dyDescent="0.35">
      <c r="B18" s="466"/>
      <c r="C18" s="467" t="s">
        <v>680</v>
      </c>
      <c r="D18" s="468"/>
      <c r="E18" s="470">
        <v>100</v>
      </c>
      <c r="F18" s="11"/>
      <c r="G18" s="447"/>
      <c r="H18" s="11"/>
      <c r="I18" s="12"/>
    </row>
    <row r="19" spans="1:12" x14ac:dyDescent="0.35">
      <c r="B19" s="466"/>
      <c r="C19" s="467" t="s">
        <v>289</v>
      </c>
      <c r="D19" s="468"/>
      <c r="E19" s="470">
        <v>100</v>
      </c>
      <c r="F19" s="11"/>
      <c r="G19" s="447"/>
      <c r="H19" s="11"/>
      <c r="I19" s="12"/>
    </row>
    <row r="20" spans="1:12" x14ac:dyDescent="0.35">
      <c r="B20" s="466"/>
      <c r="C20" s="467" t="s">
        <v>681</v>
      </c>
      <c r="D20" s="468"/>
      <c r="E20" s="470">
        <v>150</v>
      </c>
      <c r="F20" s="11"/>
      <c r="G20" s="447"/>
      <c r="H20" s="11"/>
      <c r="I20" s="12"/>
    </row>
    <row r="21" spans="1:12" x14ac:dyDescent="0.35">
      <c r="B21" s="466"/>
      <c r="C21" s="467" t="s">
        <v>682</v>
      </c>
      <c r="D21" s="468"/>
      <c r="E21" s="470">
        <v>100</v>
      </c>
      <c r="F21" s="11"/>
      <c r="G21" s="447"/>
      <c r="H21" s="11"/>
      <c r="I21" s="12"/>
    </row>
    <row r="22" spans="1:12" x14ac:dyDescent="0.35">
      <c r="A22" s="438" t="s">
        <v>41</v>
      </c>
      <c r="B22" s="466"/>
      <c r="C22" s="467" t="s">
        <v>13</v>
      </c>
      <c r="D22" s="468">
        <v>3200</v>
      </c>
      <c r="E22" s="470"/>
      <c r="F22" s="448"/>
      <c r="G22" s="447"/>
      <c r="H22" s="11"/>
      <c r="I22" s="12"/>
    </row>
    <row r="23" spans="1:12" x14ac:dyDescent="0.35">
      <c r="A23" s="419" t="s">
        <v>620</v>
      </c>
      <c r="B23" s="466"/>
      <c r="C23" s="467" t="s">
        <v>530</v>
      </c>
      <c r="D23" s="468"/>
      <c r="E23" s="470">
        <v>100</v>
      </c>
      <c r="F23" s="11"/>
      <c r="G23" s="447"/>
      <c r="H23" s="448"/>
      <c r="I23" s="12"/>
    </row>
    <row r="24" spans="1:12" x14ac:dyDescent="0.35">
      <c r="A24" s="444">
        <f>SUM(D22:D34)</f>
        <v>3200</v>
      </c>
      <c r="B24" s="466"/>
      <c r="C24" s="467" t="s">
        <v>529</v>
      </c>
      <c r="D24" s="468"/>
      <c r="E24" s="470">
        <v>100</v>
      </c>
      <c r="F24" s="11"/>
      <c r="G24" s="447"/>
      <c r="H24" s="11"/>
      <c r="I24" s="12"/>
    </row>
    <row r="25" spans="1:12" x14ac:dyDescent="0.35">
      <c r="A25" s="419" t="s">
        <v>621</v>
      </c>
      <c r="B25" s="466"/>
      <c r="C25" s="467" t="s">
        <v>421</v>
      </c>
      <c r="D25" s="468"/>
      <c r="E25" s="470">
        <v>0</v>
      </c>
      <c r="F25" s="11"/>
      <c r="G25" s="447"/>
      <c r="H25" s="448"/>
      <c r="I25" s="12"/>
      <c r="K25" s="182"/>
      <c r="L25" s="182"/>
    </row>
    <row r="26" spans="1:12" x14ac:dyDescent="0.35">
      <c r="A26" s="444">
        <f>SUM(E22:E34)</f>
        <v>4300</v>
      </c>
      <c r="B26" s="466"/>
      <c r="C26" s="467" t="s">
        <v>639</v>
      </c>
      <c r="D26" s="468"/>
      <c r="E26" s="470">
        <v>0</v>
      </c>
      <c r="F26" s="11"/>
      <c r="G26" s="447"/>
      <c r="H26" s="11"/>
      <c r="I26" s="12"/>
      <c r="J26" s="15"/>
      <c r="K26" s="413"/>
    </row>
    <row r="27" spans="1:12" x14ac:dyDescent="0.35">
      <c r="A27" s="419" t="s">
        <v>622</v>
      </c>
      <c r="B27" s="466"/>
      <c r="C27" s="467" t="s">
        <v>288</v>
      </c>
      <c r="D27" s="468"/>
      <c r="E27" s="470">
        <v>1200</v>
      </c>
      <c r="F27" s="11"/>
      <c r="G27" s="447"/>
      <c r="H27" s="11"/>
      <c r="I27" s="12"/>
      <c r="J27" s="15"/>
      <c r="K27" s="15"/>
    </row>
    <row r="28" spans="1:12" x14ac:dyDescent="0.35">
      <c r="A28" s="446">
        <f>+A24-A26</f>
        <v>-1100</v>
      </c>
      <c r="B28" s="466"/>
      <c r="C28" s="467" t="s">
        <v>653</v>
      </c>
      <c r="D28" s="468"/>
      <c r="E28" s="470">
        <v>300</v>
      </c>
      <c r="F28" s="11"/>
      <c r="G28" s="447"/>
      <c r="H28" s="11"/>
      <c r="I28" s="12"/>
      <c r="J28" s="15"/>
      <c r="K28" s="15"/>
    </row>
    <row r="29" spans="1:12" x14ac:dyDescent="0.35">
      <c r="A29" s="419" t="s">
        <v>623</v>
      </c>
      <c r="B29" s="466"/>
      <c r="C29" s="467" t="s">
        <v>630</v>
      </c>
      <c r="D29" s="468"/>
      <c r="E29" s="470">
        <v>1100</v>
      </c>
      <c r="F29" s="11"/>
      <c r="G29" s="447"/>
      <c r="H29" s="11"/>
      <c r="I29" s="12"/>
    </row>
    <row r="30" spans="1:12" x14ac:dyDescent="0.35">
      <c r="A30" s="419">
        <f>_FEB12-A4+A14</f>
        <v>36</v>
      </c>
      <c r="B30" s="466"/>
      <c r="C30" s="467" t="s">
        <v>316</v>
      </c>
      <c r="D30" s="468"/>
      <c r="E30" s="470">
        <v>0</v>
      </c>
      <c r="F30" s="11"/>
      <c r="G30" s="447"/>
      <c r="H30" s="11"/>
      <c r="I30" s="12"/>
      <c r="J30" s="15"/>
      <c r="K30" s="15"/>
    </row>
    <row r="31" spans="1:12" x14ac:dyDescent="0.35">
      <c r="B31" s="466"/>
      <c r="C31" s="467" t="s">
        <v>678</v>
      </c>
      <c r="D31" s="468"/>
      <c r="E31" s="470">
        <v>600</v>
      </c>
      <c r="F31" s="11"/>
      <c r="G31" s="447"/>
      <c r="H31" s="11"/>
      <c r="I31" s="12"/>
      <c r="J31" s="15"/>
      <c r="K31" s="15"/>
    </row>
    <row r="32" spans="1:12" x14ac:dyDescent="0.35">
      <c r="B32" s="466"/>
      <c r="C32" s="467" t="s">
        <v>683</v>
      </c>
      <c r="D32" s="468"/>
      <c r="E32" s="470">
        <v>500</v>
      </c>
      <c r="F32" s="11"/>
      <c r="G32" s="447"/>
      <c r="H32" s="11"/>
      <c r="I32" s="12"/>
      <c r="J32" s="413"/>
      <c r="K32" s="15"/>
    </row>
    <row r="33" spans="1:12" x14ac:dyDescent="0.35">
      <c r="B33" s="466"/>
      <c r="C33" s="467" t="s">
        <v>684</v>
      </c>
      <c r="D33" s="468"/>
      <c r="E33" s="470">
        <v>100</v>
      </c>
      <c r="F33" s="11"/>
      <c r="G33" s="447"/>
      <c r="H33" s="11"/>
      <c r="I33" s="12"/>
      <c r="J33" s="15"/>
      <c r="K33" s="15"/>
      <c r="L33" s="182"/>
    </row>
    <row r="34" spans="1:12" x14ac:dyDescent="0.35">
      <c r="B34" s="466"/>
      <c r="C34" s="467" t="s">
        <v>685</v>
      </c>
      <c r="D34" s="468"/>
      <c r="E34" s="470">
        <v>300</v>
      </c>
      <c r="F34" s="11"/>
      <c r="G34" s="447"/>
      <c r="H34" s="452"/>
      <c r="I34" s="12"/>
      <c r="L34" s="182"/>
    </row>
    <row r="35" spans="1:12" x14ac:dyDescent="0.35">
      <c r="A35" s="438" t="s">
        <v>42</v>
      </c>
      <c r="B35" s="466"/>
      <c r="C35" s="467" t="s">
        <v>13</v>
      </c>
      <c r="D35" s="468">
        <v>3200</v>
      </c>
      <c r="E35" s="470"/>
      <c r="F35" s="449"/>
      <c r="G35" s="447"/>
      <c r="H35" s="11"/>
      <c r="I35" s="12"/>
    </row>
    <row r="36" spans="1:12" x14ac:dyDescent="0.35">
      <c r="A36" s="419" t="s">
        <v>620</v>
      </c>
      <c r="B36" s="466"/>
      <c r="C36" s="467" t="s">
        <v>530</v>
      </c>
      <c r="D36" s="468"/>
      <c r="E36" s="470">
        <v>110</v>
      </c>
      <c r="F36" s="449"/>
      <c r="G36" s="447"/>
      <c r="H36" s="448"/>
      <c r="I36" s="12"/>
      <c r="K36" s="182"/>
    </row>
    <row r="37" spans="1:12" x14ac:dyDescent="0.35">
      <c r="A37" s="444">
        <f>SUM(D35:D49)</f>
        <v>3200</v>
      </c>
      <c r="B37" s="466"/>
      <c r="C37" s="467" t="s">
        <v>529</v>
      </c>
      <c r="D37" s="468"/>
      <c r="E37" s="470">
        <v>140</v>
      </c>
      <c r="F37" s="11"/>
      <c r="G37" s="447"/>
      <c r="H37" s="448"/>
      <c r="I37" s="12"/>
      <c r="J37" s="182"/>
      <c r="K37" s="182"/>
    </row>
    <row r="38" spans="1:12" x14ac:dyDescent="0.35">
      <c r="A38" s="419" t="s">
        <v>621</v>
      </c>
      <c r="B38" s="466"/>
      <c r="C38" s="467" t="s">
        <v>421</v>
      </c>
      <c r="D38" s="468"/>
      <c r="E38" s="470">
        <v>0</v>
      </c>
      <c r="F38" s="11"/>
      <c r="G38" s="447"/>
      <c r="H38" s="448"/>
      <c r="I38" s="450"/>
    </row>
    <row r="39" spans="1:12" x14ac:dyDescent="0.35">
      <c r="A39" s="444">
        <f>SUM(E35:E49)</f>
        <v>3200</v>
      </c>
      <c r="B39" s="466"/>
      <c r="C39" s="467" t="s">
        <v>639</v>
      </c>
      <c r="D39" s="468"/>
      <c r="E39" s="470">
        <v>120</v>
      </c>
      <c r="F39" s="11"/>
      <c r="G39" s="447"/>
      <c r="H39" s="11"/>
      <c r="I39" s="12"/>
    </row>
    <row r="40" spans="1:12" x14ac:dyDescent="0.35">
      <c r="A40" s="419" t="s">
        <v>622</v>
      </c>
      <c r="B40" s="466"/>
      <c r="C40" s="467" t="s">
        <v>288</v>
      </c>
      <c r="D40" s="468"/>
      <c r="E40" s="470">
        <v>667</v>
      </c>
      <c r="F40" s="448"/>
      <c r="G40" s="471"/>
      <c r="H40" s="448"/>
      <c r="I40" s="12"/>
    </row>
    <row r="41" spans="1:12" x14ac:dyDescent="0.35">
      <c r="A41" s="446">
        <f>+A37-A39</f>
        <v>0</v>
      </c>
      <c r="B41" s="466"/>
      <c r="C41" s="467" t="s">
        <v>653</v>
      </c>
      <c r="D41" s="468"/>
      <c r="E41" s="470">
        <v>300</v>
      </c>
      <c r="F41" s="11"/>
      <c r="G41" s="447"/>
      <c r="H41" s="11"/>
      <c r="I41" s="12"/>
    </row>
    <row r="42" spans="1:12" x14ac:dyDescent="0.35">
      <c r="A42" s="419" t="s">
        <v>623</v>
      </c>
      <c r="B42" s="466"/>
      <c r="C42" s="467" t="s">
        <v>630</v>
      </c>
      <c r="D42" s="468"/>
      <c r="E42" s="470">
        <v>250</v>
      </c>
      <c r="F42" s="11"/>
      <c r="G42" s="447"/>
      <c r="H42" s="11"/>
      <c r="I42" s="12"/>
    </row>
    <row r="43" spans="1:12" x14ac:dyDescent="0.35">
      <c r="A43" s="419">
        <f>_MAR12-A4+A30</f>
        <v>-396</v>
      </c>
      <c r="B43" s="466"/>
      <c r="C43" s="467" t="s">
        <v>316</v>
      </c>
      <c r="D43" s="468"/>
      <c r="E43" s="470">
        <v>200</v>
      </c>
      <c r="F43" s="11"/>
      <c r="G43" s="447"/>
      <c r="H43" s="11"/>
      <c r="I43" s="12"/>
    </row>
    <row r="44" spans="1:12" x14ac:dyDescent="0.35">
      <c r="B44" s="466"/>
      <c r="C44" s="467" t="s">
        <v>686</v>
      </c>
      <c r="D44" s="468"/>
      <c r="E44" s="470">
        <f>200+50</f>
        <v>250</v>
      </c>
      <c r="F44" s="11"/>
      <c r="G44" s="447"/>
      <c r="H44" s="11"/>
      <c r="I44" s="12"/>
    </row>
    <row r="45" spans="1:12" x14ac:dyDescent="0.35">
      <c r="B45" s="466"/>
      <c r="C45" s="467" t="s">
        <v>684</v>
      </c>
      <c r="D45" s="468"/>
      <c r="E45" s="470">
        <v>250</v>
      </c>
      <c r="F45" s="11"/>
      <c r="G45" s="447"/>
      <c r="H45" s="11"/>
      <c r="I45" s="12"/>
    </row>
    <row r="46" spans="1:12" x14ac:dyDescent="0.35">
      <c r="B46" s="466"/>
      <c r="C46" s="467" t="s">
        <v>685</v>
      </c>
      <c r="D46" s="468"/>
      <c r="E46" s="470">
        <v>418</v>
      </c>
      <c r="F46" s="11"/>
      <c r="G46" s="447"/>
      <c r="H46" s="11"/>
      <c r="I46" s="12"/>
    </row>
    <row r="47" spans="1:12" x14ac:dyDescent="0.35">
      <c r="B47" s="466"/>
      <c r="C47" s="467" t="s">
        <v>685</v>
      </c>
      <c r="D47" s="468"/>
      <c r="E47" s="470">
        <v>225</v>
      </c>
      <c r="F47" s="11"/>
      <c r="G47" s="447"/>
      <c r="H47" s="11"/>
      <c r="I47" s="12"/>
    </row>
    <row r="48" spans="1:12" x14ac:dyDescent="0.35">
      <c r="B48" s="466"/>
      <c r="C48" s="467" t="s">
        <v>685</v>
      </c>
      <c r="D48" s="468"/>
      <c r="E48" s="470">
        <v>222</v>
      </c>
      <c r="F48" s="11"/>
      <c r="G48" s="447"/>
      <c r="H48" s="11"/>
      <c r="I48" s="12"/>
    </row>
    <row r="49" spans="1:12" x14ac:dyDescent="0.35">
      <c r="B49" s="466"/>
      <c r="C49" s="467" t="s">
        <v>685</v>
      </c>
      <c r="D49" s="468"/>
      <c r="E49" s="470">
        <v>48</v>
      </c>
      <c r="F49" s="448"/>
      <c r="G49" s="447"/>
      <c r="H49" s="448"/>
      <c r="I49" s="12"/>
      <c r="L49" s="182"/>
    </row>
    <row r="50" spans="1:12" x14ac:dyDescent="0.35">
      <c r="A50" s="438" t="s">
        <v>43</v>
      </c>
      <c r="B50" s="466"/>
      <c r="C50" s="467" t="s">
        <v>13</v>
      </c>
      <c r="D50" s="468">
        <v>3200</v>
      </c>
      <c r="E50" s="470"/>
      <c r="F50" s="448"/>
      <c r="G50" s="447"/>
      <c r="H50" s="448"/>
      <c r="I50" s="12"/>
    </row>
    <row r="51" spans="1:12" x14ac:dyDescent="0.35">
      <c r="A51" s="419" t="s">
        <v>620</v>
      </c>
      <c r="B51" s="466"/>
      <c r="C51" s="467" t="s">
        <v>530</v>
      </c>
      <c r="D51" s="468"/>
      <c r="E51" s="470">
        <v>200</v>
      </c>
      <c r="F51" s="448"/>
      <c r="G51" s="447"/>
      <c r="H51" s="448"/>
      <c r="I51" s="12"/>
      <c r="J51" s="182"/>
    </row>
    <row r="52" spans="1:12" x14ac:dyDescent="0.35">
      <c r="A52" s="444">
        <f>SUM(D50:D65)</f>
        <v>3200</v>
      </c>
      <c r="B52" s="466"/>
      <c r="C52" s="467" t="s">
        <v>529</v>
      </c>
      <c r="D52" s="468"/>
      <c r="E52" s="470">
        <v>100</v>
      </c>
      <c r="F52" s="472"/>
      <c r="G52" s="447"/>
      <c r="H52" s="448"/>
      <c r="I52" s="12"/>
    </row>
    <row r="53" spans="1:12" x14ac:dyDescent="0.35">
      <c r="A53" s="419" t="s">
        <v>621</v>
      </c>
      <c r="B53" s="466"/>
      <c r="C53" s="467" t="s">
        <v>421</v>
      </c>
      <c r="D53" s="468"/>
      <c r="E53" s="470">
        <v>0</v>
      </c>
      <c r="F53" s="473"/>
      <c r="G53" s="447"/>
      <c r="H53" s="448"/>
      <c r="I53" s="12"/>
    </row>
    <row r="54" spans="1:12" x14ac:dyDescent="0.35">
      <c r="A54" s="444">
        <f>SUM(E50:E65)</f>
        <v>3700</v>
      </c>
      <c r="B54" s="466"/>
      <c r="C54" s="467" t="s">
        <v>639</v>
      </c>
      <c r="D54" s="468"/>
      <c r="E54" s="470">
        <v>100</v>
      </c>
      <c r="F54" s="473"/>
      <c r="G54" s="447"/>
      <c r="H54" s="448"/>
      <c r="I54" s="12"/>
    </row>
    <row r="55" spans="1:12" x14ac:dyDescent="0.35">
      <c r="A55" s="419" t="s">
        <v>622</v>
      </c>
      <c r="B55" s="466"/>
      <c r="C55" s="467" t="s">
        <v>288</v>
      </c>
      <c r="D55" s="468"/>
      <c r="E55" s="470">
        <v>800</v>
      </c>
      <c r="F55" s="448"/>
      <c r="G55" s="447"/>
      <c r="H55" s="448"/>
      <c r="I55" s="450"/>
    </row>
    <row r="56" spans="1:12" x14ac:dyDescent="0.35">
      <c r="A56" s="446">
        <f>+A52-A54</f>
        <v>-500</v>
      </c>
      <c r="B56" s="466"/>
      <c r="C56" s="467" t="s">
        <v>653</v>
      </c>
      <c r="D56" s="468"/>
      <c r="E56" s="470">
        <v>0</v>
      </c>
      <c r="F56" s="473"/>
      <c r="G56" s="447"/>
      <c r="H56" s="448"/>
      <c r="I56" s="12"/>
    </row>
    <row r="57" spans="1:12" x14ac:dyDescent="0.35">
      <c r="A57" s="444" t="s">
        <v>623</v>
      </c>
      <c r="B57" s="466"/>
      <c r="C57" s="467" t="s">
        <v>630</v>
      </c>
      <c r="D57" s="468"/>
      <c r="E57" s="470">
        <v>820</v>
      </c>
      <c r="F57" s="473"/>
      <c r="G57" s="447"/>
      <c r="H57" s="448"/>
      <c r="I57" s="12"/>
    </row>
    <row r="58" spans="1:12" x14ac:dyDescent="0.35">
      <c r="A58" s="444">
        <f>_ABR12-A4+A43</f>
        <v>-1328</v>
      </c>
      <c r="B58" s="466"/>
      <c r="C58" s="467" t="s">
        <v>316</v>
      </c>
      <c r="D58" s="468"/>
      <c r="E58" s="470">
        <v>0</v>
      </c>
      <c r="F58" s="473"/>
      <c r="G58" s="447"/>
      <c r="H58" s="448"/>
      <c r="I58" s="12"/>
    </row>
    <row r="59" spans="1:12" x14ac:dyDescent="0.35">
      <c r="A59" s="444"/>
      <c r="B59" s="466"/>
      <c r="C59" s="467" t="s">
        <v>678</v>
      </c>
      <c r="D59" s="468"/>
      <c r="E59" s="470">
        <v>350</v>
      </c>
      <c r="F59" s="473"/>
      <c r="G59" s="447"/>
      <c r="H59" s="448"/>
      <c r="I59" s="12"/>
    </row>
    <row r="60" spans="1:12" x14ac:dyDescent="0.35">
      <c r="A60" s="444"/>
      <c r="B60" s="466"/>
      <c r="C60" s="467" t="s">
        <v>684</v>
      </c>
      <c r="D60" s="468"/>
      <c r="E60" s="470">
        <v>430</v>
      </c>
      <c r="F60" s="472"/>
      <c r="G60" s="447"/>
      <c r="H60" s="448"/>
      <c r="I60" s="12"/>
    </row>
    <row r="61" spans="1:12" x14ac:dyDescent="0.35">
      <c r="A61" s="444"/>
      <c r="B61" s="466"/>
      <c r="C61" s="467" t="s">
        <v>685</v>
      </c>
      <c r="D61" s="468"/>
      <c r="E61" s="470">
        <v>200</v>
      </c>
      <c r="F61" s="472"/>
      <c r="G61" s="447"/>
      <c r="H61" s="448"/>
      <c r="I61" s="12"/>
    </row>
    <row r="62" spans="1:12" x14ac:dyDescent="0.35">
      <c r="A62" s="444"/>
      <c r="B62" s="466"/>
      <c r="C62" s="467" t="s">
        <v>685</v>
      </c>
      <c r="D62" s="468"/>
      <c r="E62" s="470">
        <v>100</v>
      </c>
      <c r="F62" s="473"/>
      <c r="G62" s="447"/>
      <c r="H62" s="448"/>
      <c r="I62" s="12"/>
    </row>
    <row r="63" spans="1:12" x14ac:dyDescent="0.35">
      <c r="B63" s="466"/>
      <c r="C63" s="467" t="s">
        <v>685</v>
      </c>
      <c r="D63" s="468"/>
      <c r="E63" s="470">
        <v>300</v>
      </c>
      <c r="F63" s="472"/>
      <c r="G63" s="447"/>
      <c r="H63" s="448"/>
      <c r="I63" s="12"/>
    </row>
    <row r="64" spans="1:12" x14ac:dyDescent="0.35">
      <c r="B64" s="466"/>
      <c r="C64" s="467" t="s">
        <v>687</v>
      </c>
      <c r="D64" s="468"/>
      <c r="E64" s="470">
        <v>200</v>
      </c>
      <c r="F64" s="472"/>
      <c r="G64" s="447"/>
      <c r="H64" s="448"/>
      <c r="I64" s="12"/>
    </row>
    <row r="65" spans="1:12" x14ac:dyDescent="0.35">
      <c r="B65" s="466"/>
      <c r="C65" s="467" t="s">
        <v>688</v>
      </c>
      <c r="D65" s="468"/>
      <c r="E65" s="470">
        <v>100</v>
      </c>
      <c r="F65" s="472"/>
      <c r="G65" s="447"/>
      <c r="H65" s="448"/>
      <c r="I65" s="12"/>
    </row>
    <row r="66" spans="1:12" x14ac:dyDescent="0.35">
      <c r="A66" s="438" t="s">
        <v>44</v>
      </c>
      <c r="B66" s="466"/>
      <c r="C66" s="467" t="s">
        <v>13</v>
      </c>
      <c r="D66" s="468">
        <v>3200</v>
      </c>
      <c r="E66" s="470"/>
      <c r="F66" s="448"/>
      <c r="G66" s="447"/>
      <c r="H66" s="11"/>
      <c r="I66" s="12"/>
    </row>
    <row r="67" spans="1:12" x14ac:dyDescent="0.35">
      <c r="A67" s="419" t="s">
        <v>620</v>
      </c>
      <c r="B67" s="466"/>
      <c r="C67" s="467" t="s">
        <v>530</v>
      </c>
      <c r="D67" s="468"/>
      <c r="E67" s="470">
        <v>200</v>
      </c>
      <c r="F67" s="472"/>
      <c r="G67" s="472"/>
      <c r="H67" s="474"/>
      <c r="I67" s="12"/>
    </row>
    <row r="68" spans="1:12" x14ac:dyDescent="0.35">
      <c r="A68" s="444">
        <f>SUM(D66:D74)</f>
        <v>3200</v>
      </c>
      <c r="B68" s="466"/>
      <c r="C68" s="467" t="s">
        <v>529</v>
      </c>
      <c r="D68" s="468"/>
      <c r="E68" s="470">
        <v>290</v>
      </c>
      <c r="F68" s="472"/>
      <c r="G68" s="475"/>
      <c r="H68" s="473"/>
      <c r="I68" s="12"/>
    </row>
    <row r="69" spans="1:12" x14ac:dyDescent="0.35">
      <c r="A69" s="419" t="s">
        <v>621</v>
      </c>
      <c r="B69" s="466"/>
      <c r="C69" s="467" t="s">
        <v>689</v>
      </c>
      <c r="D69" s="468"/>
      <c r="E69" s="470">
        <v>800</v>
      </c>
      <c r="F69" s="472"/>
      <c r="G69" s="475"/>
      <c r="H69" s="473"/>
      <c r="I69" s="12"/>
    </row>
    <row r="70" spans="1:12" x14ac:dyDescent="0.35">
      <c r="A70" s="444">
        <f>SUM(E66:E74)</f>
        <v>2700</v>
      </c>
      <c r="B70" s="466"/>
      <c r="C70" s="467" t="s">
        <v>639</v>
      </c>
      <c r="D70" s="468"/>
      <c r="E70" s="470">
        <v>60</v>
      </c>
      <c r="F70" s="472"/>
      <c r="G70" s="475"/>
      <c r="H70" s="473"/>
      <c r="I70" s="12"/>
      <c r="K70" s="182"/>
    </row>
    <row r="71" spans="1:12" x14ac:dyDescent="0.35">
      <c r="A71" s="419" t="s">
        <v>622</v>
      </c>
      <c r="B71" s="466"/>
      <c r="C71" s="467" t="s">
        <v>690</v>
      </c>
      <c r="D71" s="468"/>
      <c r="E71" s="470">
        <v>1000</v>
      </c>
      <c r="F71" s="472"/>
      <c r="G71" s="476"/>
      <c r="H71" s="473"/>
      <c r="I71" s="12"/>
    </row>
    <row r="72" spans="1:12" x14ac:dyDescent="0.35">
      <c r="A72" s="446">
        <f>+A68-A70</f>
        <v>500</v>
      </c>
      <c r="B72" s="466"/>
      <c r="C72" s="467" t="s">
        <v>678</v>
      </c>
      <c r="D72" s="468"/>
      <c r="E72" s="470">
        <v>150</v>
      </c>
      <c r="F72" s="473"/>
      <c r="G72" s="476"/>
      <c r="H72" s="473"/>
      <c r="I72" s="12"/>
    </row>
    <row r="73" spans="1:12" x14ac:dyDescent="0.35">
      <c r="A73" s="444" t="s">
        <v>623</v>
      </c>
      <c r="B73" s="466"/>
      <c r="C73" s="467" t="s">
        <v>630</v>
      </c>
      <c r="D73" s="468"/>
      <c r="E73" s="470">
        <v>200</v>
      </c>
      <c r="F73" s="473"/>
      <c r="G73" s="475"/>
      <c r="H73" s="473"/>
      <c r="I73" s="12"/>
    </row>
    <row r="74" spans="1:12" x14ac:dyDescent="0.35">
      <c r="A74" s="444">
        <f>_MAY12-A4+A58</f>
        <v>-1260</v>
      </c>
      <c r="B74" s="466"/>
      <c r="C74" s="467"/>
      <c r="D74" s="468"/>
      <c r="E74" s="470"/>
      <c r="F74" s="448"/>
      <c r="G74" s="475"/>
      <c r="H74" s="473"/>
      <c r="I74" s="12"/>
    </row>
    <row r="75" spans="1:12" x14ac:dyDescent="0.35">
      <c r="A75" s="438" t="s">
        <v>45</v>
      </c>
      <c r="B75" s="466"/>
      <c r="C75" s="467" t="s">
        <v>13</v>
      </c>
      <c r="D75" s="468">
        <v>3200</v>
      </c>
      <c r="E75" s="470"/>
      <c r="F75" s="448"/>
      <c r="G75" s="447"/>
      <c r="H75" s="11"/>
      <c r="I75" s="12"/>
    </row>
    <row r="76" spans="1:12" x14ac:dyDescent="0.35">
      <c r="A76" s="419" t="s">
        <v>620</v>
      </c>
      <c r="B76" s="466"/>
      <c r="C76" s="467" t="s">
        <v>530</v>
      </c>
      <c r="D76" s="468"/>
      <c r="E76" s="470">
        <v>100</v>
      </c>
      <c r="F76" s="472"/>
      <c r="G76" s="447"/>
      <c r="H76" s="11"/>
      <c r="I76" s="12"/>
    </row>
    <row r="77" spans="1:12" x14ac:dyDescent="0.35">
      <c r="A77" s="444">
        <f>SUM(D75:D85)</f>
        <v>3200</v>
      </c>
      <c r="B77" s="466"/>
      <c r="C77" s="467" t="s">
        <v>529</v>
      </c>
      <c r="D77" s="468"/>
      <c r="E77" s="470">
        <v>240</v>
      </c>
      <c r="F77" s="472"/>
      <c r="G77" s="447"/>
      <c r="H77" s="11"/>
      <c r="I77" s="12"/>
      <c r="K77" s="182"/>
    </row>
    <row r="78" spans="1:12" x14ac:dyDescent="0.35">
      <c r="A78" s="419" t="s">
        <v>621</v>
      </c>
      <c r="B78" s="466"/>
      <c r="C78" s="467" t="s">
        <v>639</v>
      </c>
      <c r="D78" s="468"/>
      <c r="E78" s="470">
        <v>50</v>
      </c>
      <c r="F78" s="472"/>
      <c r="G78" s="447"/>
      <c r="H78" s="11"/>
      <c r="I78" s="12"/>
    </row>
    <row r="79" spans="1:12" x14ac:dyDescent="0.35">
      <c r="A79" s="444">
        <f>SUM(E75:E85)</f>
        <v>3800</v>
      </c>
      <c r="B79" s="466"/>
      <c r="C79" s="467" t="s">
        <v>690</v>
      </c>
      <c r="D79" s="468"/>
      <c r="E79" s="470">
        <v>1150</v>
      </c>
      <c r="F79" s="472"/>
      <c r="G79" s="447"/>
      <c r="H79" s="11"/>
      <c r="I79" s="450"/>
    </row>
    <row r="80" spans="1:12" x14ac:dyDescent="0.35">
      <c r="A80" s="419" t="s">
        <v>622</v>
      </c>
      <c r="B80" s="466"/>
      <c r="C80" s="467" t="s">
        <v>689</v>
      </c>
      <c r="D80" s="468"/>
      <c r="E80" s="470">
        <v>680</v>
      </c>
      <c r="F80" s="472"/>
      <c r="G80" s="472"/>
      <c r="H80" s="473"/>
      <c r="I80" s="450"/>
      <c r="L80" s="182"/>
    </row>
    <row r="81" spans="1:14" x14ac:dyDescent="0.35">
      <c r="A81" s="446">
        <f>+A77-A79</f>
        <v>-600</v>
      </c>
      <c r="B81" s="466"/>
      <c r="C81" s="467" t="s">
        <v>678</v>
      </c>
      <c r="D81" s="468"/>
      <c r="E81" s="470">
        <v>150</v>
      </c>
      <c r="F81" s="472"/>
      <c r="G81" s="447"/>
      <c r="H81" s="11"/>
      <c r="I81" s="450"/>
    </row>
    <row r="82" spans="1:14" x14ac:dyDescent="0.35">
      <c r="A82" s="444" t="s">
        <v>623</v>
      </c>
      <c r="B82" s="466"/>
      <c r="C82" s="467" t="s">
        <v>630</v>
      </c>
      <c r="D82" s="468"/>
      <c r="E82" s="470">
        <v>380</v>
      </c>
      <c r="F82" s="472"/>
      <c r="G82" s="447"/>
      <c r="H82" s="11"/>
      <c r="I82" s="450"/>
    </row>
    <row r="83" spans="1:14" x14ac:dyDescent="0.35">
      <c r="A83" s="444">
        <f>_JUN12-A4+A74</f>
        <v>-2292</v>
      </c>
      <c r="B83" s="466"/>
      <c r="C83" s="467" t="s">
        <v>674</v>
      </c>
      <c r="D83" s="468"/>
      <c r="E83" s="470">
        <v>750</v>
      </c>
      <c r="F83" s="472"/>
      <c r="G83" s="447"/>
      <c r="H83" s="11"/>
      <c r="I83" s="12"/>
    </row>
    <row r="84" spans="1:14" x14ac:dyDescent="0.35">
      <c r="A84" s="444"/>
      <c r="B84" s="466"/>
      <c r="C84" s="467" t="s">
        <v>691</v>
      </c>
      <c r="D84" s="468"/>
      <c r="E84" s="470">
        <v>100</v>
      </c>
      <c r="F84" s="472"/>
      <c r="G84" s="447"/>
      <c r="H84" s="11"/>
      <c r="I84" s="12"/>
    </row>
    <row r="85" spans="1:14" x14ac:dyDescent="0.35">
      <c r="A85" s="444"/>
      <c r="B85" s="466"/>
      <c r="C85" s="467" t="s">
        <v>692</v>
      </c>
      <c r="D85" s="468"/>
      <c r="E85" s="470">
        <v>200</v>
      </c>
      <c r="F85" s="472"/>
      <c r="G85" s="447"/>
      <c r="H85" s="11"/>
      <c r="I85" s="12"/>
    </row>
    <row r="86" spans="1:14" x14ac:dyDescent="0.35">
      <c r="A86" s="438" t="s">
        <v>46</v>
      </c>
      <c r="B86" s="466"/>
      <c r="C86" s="467" t="s">
        <v>13</v>
      </c>
      <c r="D86" s="468">
        <v>3200</v>
      </c>
      <c r="E86" s="470"/>
      <c r="F86" s="472"/>
      <c r="G86" s="477"/>
      <c r="H86" s="11"/>
      <c r="I86" s="12"/>
    </row>
    <row r="87" spans="1:14" x14ac:dyDescent="0.35">
      <c r="A87" s="419" t="s">
        <v>620</v>
      </c>
      <c r="B87" s="466"/>
      <c r="C87" s="467" t="s">
        <v>530</v>
      </c>
      <c r="D87" s="468"/>
      <c r="E87" s="470">
        <v>200</v>
      </c>
      <c r="F87" s="472"/>
      <c r="G87" s="477"/>
      <c r="H87" s="448"/>
      <c r="I87" s="451"/>
    </row>
    <row r="88" spans="1:14" x14ac:dyDescent="0.35">
      <c r="A88" s="444">
        <f>SUM(D86:D96)</f>
        <v>4800</v>
      </c>
      <c r="B88" s="466"/>
      <c r="C88" s="467" t="s">
        <v>529</v>
      </c>
      <c r="D88" s="468"/>
      <c r="E88" s="470">
        <v>270</v>
      </c>
      <c r="F88" s="472"/>
      <c r="G88" s="476"/>
      <c r="H88" s="11"/>
      <c r="I88" s="12"/>
      <c r="N88" s="182"/>
    </row>
    <row r="89" spans="1:14" x14ac:dyDescent="0.35">
      <c r="A89" s="419" t="s">
        <v>621</v>
      </c>
      <c r="B89" s="466"/>
      <c r="C89" s="467" t="s">
        <v>639</v>
      </c>
      <c r="D89" s="468"/>
      <c r="E89" s="470">
        <v>80</v>
      </c>
      <c r="F89" s="472"/>
      <c r="G89" s="477"/>
      <c r="H89" s="11"/>
      <c r="I89" s="12"/>
      <c r="N89" s="182"/>
    </row>
    <row r="90" spans="1:14" x14ac:dyDescent="0.35">
      <c r="A90" s="444">
        <f>SUM(E86:E96)</f>
        <v>3600</v>
      </c>
      <c r="B90" s="466"/>
      <c r="C90" s="467" t="s">
        <v>690</v>
      </c>
      <c r="D90" s="468"/>
      <c r="E90" s="470">
        <v>660</v>
      </c>
      <c r="F90" s="472"/>
      <c r="G90" s="477"/>
      <c r="H90" s="452"/>
      <c r="I90" s="12"/>
      <c r="K90" s="182"/>
      <c r="N90" s="182"/>
    </row>
    <row r="91" spans="1:14" x14ac:dyDescent="0.35">
      <c r="A91" s="419" t="s">
        <v>622</v>
      </c>
      <c r="B91" s="466"/>
      <c r="C91" s="467" t="s">
        <v>689</v>
      </c>
      <c r="D91" s="468"/>
      <c r="E91" s="470">
        <v>790</v>
      </c>
      <c r="F91" s="472"/>
      <c r="G91" s="477"/>
      <c r="H91" s="448"/>
      <c r="I91" s="451"/>
      <c r="N91" s="182"/>
    </row>
    <row r="92" spans="1:14" x14ac:dyDescent="0.35">
      <c r="A92" s="446">
        <f>+A88-A90</f>
        <v>1200</v>
      </c>
      <c r="B92" s="466"/>
      <c r="C92" s="467" t="s">
        <v>678</v>
      </c>
      <c r="D92" s="468"/>
      <c r="E92" s="470">
        <v>200</v>
      </c>
      <c r="F92" s="448"/>
      <c r="G92" s="477"/>
      <c r="H92" s="11"/>
      <c r="I92" s="451"/>
      <c r="K92" s="182"/>
      <c r="N92" s="182"/>
    </row>
    <row r="93" spans="1:14" x14ac:dyDescent="0.35">
      <c r="A93" s="419" t="s">
        <v>623</v>
      </c>
      <c r="B93" s="466"/>
      <c r="C93" s="467" t="s">
        <v>630</v>
      </c>
      <c r="D93" s="468"/>
      <c r="E93" s="470">
        <v>850</v>
      </c>
      <c r="F93" s="472"/>
      <c r="G93" s="477"/>
      <c r="H93" s="11"/>
      <c r="I93" s="12"/>
      <c r="N93" s="182"/>
    </row>
    <row r="94" spans="1:14" x14ac:dyDescent="0.35">
      <c r="A94" s="444">
        <f>_JUL12-A4+A83</f>
        <v>-1524</v>
      </c>
      <c r="B94" s="466"/>
      <c r="C94" s="467" t="s">
        <v>19</v>
      </c>
      <c r="D94" s="468">
        <v>1600</v>
      </c>
      <c r="E94" s="470"/>
      <c r="F94" s="472"/>
      <c r="G94" s="476"/>
      <c r="H94" s="11"/>
      <c r="I94" s="12"/>
    </row>
    <row r="95" spans="1:14" x14ac:dyDescent="0.35">
      <c r="B95" s="466"/>
      <c r="C95" s="467" t="s">
        <v>693</v>
      </c>
      <c r="D95" s="468"/>
      <c r="E95" s="470">
        <v>250</v>
      </c>
      <c r="F95" s="448"/>
      <c r="G95" s="477"/>
      <c r="H95" s="448"/>
      <c r="I95" s="450"/>
    </row>
    <row r="96" spans="1:14" x14ac:dyDescent="0.35">
      <c r="B96" s="466"/>
      <c r="C96" s="467" t="s">
        <v>694</v>
      </c>
      <c r="D96" s="468"/>
      <c r="E96" s="470">
        <v>300</v>
      </c>
      <c r="F96" s="472"/>
      <c r="G96" s="476"/>
      <c r="H96" s="448"/>
      <c r="I96" s="450"/>
      <c r="K96" s="182"/>
    </row>
    <row r="97" spans="1:13" x14ac:dyDescent="0.35">
      <c r="A97" s="438" t="s">
        <v>47</v>
      </c>
      <c r="B97" s="466"/>
      <c r="C97" s="467" t="s">
        <v>13</v>
      </c>
      <c r="D97" s="468">
        <v>3840</v>
      </c>
      <c r="E97" s="470"/>
      <c r="F97" s="11"/>
      <c r="G97" s="447"/>
      <c r="H97" s="11"/>
      <c r="I97" s="450"/>
    </row>
    <row r="98" spans="1:13" x14ac:dyDescent="0.35">
      <c r="A98" s="419" t="s">
        <v>620</v>
      </c>
      <c r="B98" s="466"/>
      <c r="C98" s="467" t="s">
        <v>530</v>
      </c>
      <c r="D98" s="468"/>
      <c r="E98" s="470">
        <v>0</v>
      </c>
      <c r="F98" s="11"/>
      <c r="G98" s="447"/>
      <c r="H98" s="11"/>
      <c r="I98" s="450"/>
    </row>
    <row r="99" spans="1:13" x14ac:dyDescent="0.35">
      <c r="A99" s="444">
        <f>SUM(D97:D108)</f>
        <v>3840</v>
      </c>
      <c r="B99" s="466"/>
      <c r="C99" s="467" t="s">
        <v>529</v>
      </c>
      <c r="D99" s="468"/>
      <c r="E99" s="470">
        <v>420</v>
      </c>
      <c r="F99" s="11"/>
      <c r="G99" s="447"/>
      <c r="H99" s="448"/>
      <c r="I99" s="12"/>
      <c r="L99" s="182"/>
      <c r="M99" s="182"/>
    </row>
    <row r="100" spans="1:13" x14ac:dyDescent="0.35">
      <c r="A100" s="419" t="s">
        <v>621</v>
      </c>
      <c r="B100" s="466"/>
      <c r="C100" s="467" t="s">
        <v>639</v>
      </c>
      <c r="D100" s="468"/>
      <c r="E100" s="470">
        <v>0</v>
      </c>
      <c r="F100" s="448"/>
      <c r="G100" s="447"/>
      <c r="H100" s="11"/>
      <c r="I100" s="12"/>
    </row>
    <row r="101" spans="1:13" x14ac:dyDescent="0.35">
      <c r="A101" s="444">
        <f>SUM(E97:E108)</f>
        <v>3640</v>
      </c>
      <c r="B101" s="466"/>
      <c r="C101" s="467" t="s">
        <v>690</v>
      </c>
      <c r="D101" s="468"/>
      <c r="E101" s="470">
        <v>330</v>
      </c>
      <c r="F101" s="448"/>
      <c r="G101" s="447"/>
      <c r="H101" s="11"/>
      <c r="I101" s="12"/>
    </row>
    <row r="102" spans="1:13" x14ac:dyDescent="0.35">
      <c r="A102" s="419" t="s">
        <v>622</v>
      </c>
      <c r="B102" s="466"/>
      <c r="C102" s="467" t="s">
        <v>689</v>
      </c>
      <c r="D102" s="468"/>
      <c r="E102" s="470">
        <v>420</v>
      </c>
      <c r="F102" s="11"/>
      <c r="G102" s="447"/>
      <c r="H102" s="11"/>
      <c r="I102" s="12"/>
    </row>
    <row r="103" spans="1:13" x14ac:dyDescent="0.35">
      <c r="A103" s="446">
        <f>+A99-A101</f>
        <v>200</v>
      </c>
      <c r="B103" s="466"/>
      <c r="C103" s="467" t="s">
        <v>678</v>
      </c>
      <c r="D103" s="468"/>
      <c r="E103" s="470">
        <v>450</v>
      </c>
      <c r="F103" s="448"/>
      <c r="G103" s="447"/>
      <c r="H103" s="11"/>
      <c r="I103" s="450"/>
    </row>
    <row r="104" spans="1:13" x14ac:dyDescent="0.35">
      <c r="A104" s="444" t="s">
        <v>623</v>
      </c>
      <c r="B104" s="466"/>
      <c r="C104" s="467" t="s">
        <v>630</v>
      </c>
      <c r="D104" s="468"/>
      <c r="E104" s="470">
        <v>1200</v>
      </c>
      <c r="F104" s="11"/>
      <c r="G104" s="447"/>
      <c r="H104" s="448"/>
      <c r="I104" s="12"/>
    </row>
    <row r="105" spans="1:13" x14ac:dyDescent="0.35">
      <c r="A105" s="444">
        <f>_AGO12-A4+A94</f>
        <v>-1756</v>
      </c>
      <c r="B105" s="466"/>
      <c r="C105" s="467" t="s">
        <v>695</v>
      </c>
      <c r="D105" s="468"/>
      <c r="E105" s="470">
        <v>200</v>
      </c>
      <c r="F105" s="11"/>
      <c r="G105" s="447"/>
      <c r="H105" s="11"/>
      <c r="I105" s="12"/>
    </row>
    <row r="106" spans="1:13" x14ac:dyDescent="0.35">
      <c r="A106" s="444"/>
      <c r="B106" s="466"/>
      <c r="C106" s="467" t="s">
        <v>653</v>
      </c>
      <c r="D106" s="468"/>
      <c r="E106" s="470">
        <v>200</v>
      </c>
      <c r="F106" s="11"/>
      <c r="G106" s="447"/>
      <c r="H106" s="11"/>
      <c r="I106" s="12"/>
    </row>
    <row r="107" spans="1:13" x14ac:dyDescent="0.35">
      <c r="A107" s="444"/>
      <c r="B107" s="466"/>
      <c r="C107" s="467" t="s">
        <v>674</v>
      </c>
      <c r="D107" s="468"/>
      <c r="E107" s="470">
        <v>150</v>
      </c>
      <c r="F107" s="11"/>
      <c r="G107" s="447"/>
      <c r="H107" s="11"/>
      <c r="I107" s="12"/>
    </row>
    <row r="108" spans="1:13" x14ac:dyDescent="0.35">
      <c r="A108" s="444"/>
      <c r="B108" s="466"/>
      <c r="C108" s="467" t="s">
        <v>690</v>
      </c>
      <c r="D108" s="468"/>
      <c r="E108" s="470">
        <v>270</v>
      </c>
      <c r="F108" s="11"/>
      <c r="G108" s="447"/>
      <c r="H108" s="11"/>
      <c r="I108" s="12"/>
    </row>
    <row r="109" spans="1:13" x14ac:dyDescent="0.35">
      <c r="A109" s="438" t="s">
        <v>48</v>
      </c>
      <c r="B109" s="466"/>
      <c r="C109" s="467" t="s">
        <v>13</v>
      </c>
      <c r="D109" s="468">
        <v>3840</v>
      </c>
      <c r="E109" s="470"/>
      <c r="F109" s="473"/>
      <c r="G109" s="475"/>
      <c r="H109" s="473"/>
      <c r="I109" s="12"/>
    </row>
    <row r="110" spans="1:13" x14ac:dyDescent="0.35">
      <c r="A110" s="419" t="s">
        <v>620</v>
      </c>
      <c r="B110" s="466"/>
      <c r="C110" s="467" t="s">
        <v>530</v>
      </c>
      <c r="D110" s="468"/>
      <c r="E110" s="470">
        <v>280</v>
      </c>
      <c r="F110" s="478"/>
      <c r="G110" s="479"/>
      <c r="H110" s="473"/>
      <c r="I110" s="12"/>
    </row>
    <row r="111" spans="1:13" x14ac:dyDescent="0.35">
      <c r="A111" s="444">
        <f>SUM(D109:D120)</f>
        <v>3840</v>
      </c>
      <c r="B111" s="466"/>
      <c r="C111" s="467" t="s">
        <v>696</v>
      </c>
      <c r="D111" s="468"/>
      <c r="E111" s="470">
        <v>150</v>
      </c>
      <c r="F111" s="478"/>
      <c r="G111" s="475"/>
      <c r="H111" s="473"/>
      <c r="I111" s="12"/>
    </row>
    <row r="112" spans="1:13" x14ac:dyDescent="0.35">
      <c r="A112" s="419" t="s">
        <v>621</v>
      </c>
      <c r="B112" s="466"/>
      <c r="C112" s="467" t="s">
        <v>639</v>
      </c>
      <c r="D112" s="468"/>
      <c r="E112" s="470">
        <v>90</v>
      </c>
      <c r="F112" s="478"/>
      <c r="G112" s="475"/>
      <c r="H112" s="473"/>
      <c r="I112" s="12"/>
    </row>
    <row r="113" spans="1:9" x14ac:dyDescent="0.35">
      <c r="A113" s="444">
        <f>SUM(E109:E120)</f>
        <v>3740</v>
      </c>
      <c r="B113" s="466"/>
      <c r="C113" s="467" t="s">
        <v>690</v>
      </c>
      <c r="D113" s="468"/>
      <c r="E113" s="470">
        <f>530</f>
        <v>530</v>
      </c>
      <c r="F113" s="478"/>
      <c r="G113" s="475"/>
      <c r="H113" s="473"/>
      <c r="I113" s="12"/>
    </row>
    <row r="114" spans="1:9" x14ac:dyDescent="0.35">
      <c r="A114" s="419" t="s">
        <v>622</v>
      </c>
      <c r="B114" s="466"/>
      <c r="C114" s="467" t="s">
        <v>689</v>
      </c>
      <c r="D114" s="468"/>
      <c r="E114" s="470">
        <f>450+130</f>
        <v>580</v>
      </c>
      <c r="F114" s="478"/>
      <c r="G114" s="479"/>
      <c r="H114" s="473"/>
      <c r="I114" s="12"/>
    </row>
    <row r="115" spans="1:9" x14ac:dyDescent="0.35">
      <c r="A115" s="446">
        <f>+A111-A113</f>
        <v>100</v>
      </c>
      <c r="B115" s="466"/>
      <c r="C115" s="467" t="s">
        <v>678</v>
      </c>
      <c r="D115" s="468"/>
      <c r="E115" s="470">
        <v>500</v>
      </c>
      <c r="F115" s="473"/>
      <c r="G115" s="475"/>
      <c r="H115" s="448"/>
      <c r="I115" s="12"/>
    </row>
    <row r="116" spans="1:9" x14ac:dyDescent="0.35">
      <c r="A116" s="419" t="s">
        <v>623</v>
      </c>
      <c r="B116" s="466"/>
      <c r="C116" s="467" t="s">
        <v>630</v>
      </c>
      <c r="D116" s="468"/>
      <c r="E116" s="470">
        <v>1070</v>
      </c>
      <c r="F116" s="473"/>
      <c r="G116" s="475"/>
      <c r="H116" s="473"/>
      <c r="I116" s="12"/>
    </row>
    <row r="117" spans="1:9" x14ac:dyDescent="0.35">
      <c r="A117" s="444">
        <f>_SEP12-A4+A105</f>
        <v>-2088</v>
      </c>
      <c r="B117" s="466"/>
      <c r="C117" s="467" t="s">
        <v>653</v>
      </c>
      <c r="D117" s="468"/>
      <c r="E117" s="470">
        <v>200</v>
      </c>
      <c r="F117" s="478"/>
      <c r="G117" s="475"/>
      <c r="H117" s="473"/>
      <c r="I117" s="12"/>
    </row>
    <row r="118" spans="1:9" x14ac:dyDescent="0.35">
      <c r="A118" s="444"/>
      <c r="B118" s="466"/>
      <c r="C118" s="467" t="s">
        <v>697</v>
      </c>
      <c r="D118" s="468"/>
      <c r="E118" s="470">
        <v>200</v>
      </c>
      <c r="F118" s="473"/>
      <c r="G118" s="475"/>
      <c r="H118" s="473"/>
      <c r="I118" s="12"/>
    </row>
    <row r="119" spans="1:9" x14ac:dyDescent="0.35">
      <c r="A119" s="444"/>
      <c r="B119" s="466"/>
      <c r="C119" s="467" t="s">
        <v>698</v>
      </c>
      <c r="D119" s="468"/>
      <c r="E119" s="470">
        <v>40</v>
      </c>
      <c r="F119" s="478"/>
      <c r="G119" s="479"/>
      <c r="H119" s="473"/>
      <c r="I119" s="12"/>
    </row>
    <row r="120" spans="1:9" x14ac:dyDescent="0.35">
      <c r="A120" s="444"/>
      <c r="B120" s="466"/>
      <c r="C120" s="467" t="s">
        <v>699</v>
      </c>
      <c r="D120" s="468"/>
      <c r="E120" s="470">
        <v>100</v>
      </c>
      <c r="F120" s="473"/>
      <c r="G120" s="475"/>
      <c r="H120" s="473"/>
      <c r="I120" s="12"/>
    </row>
    <row r="121" spans="1:9" x14ac:dyDescent="0.35">
      <c r="A121" s="438" t="s">
        <v>49</v>
      </c>
      <c r="B121" s="466"/>
      <c r="C121" s="467" t="s">
        <v>13</v>
      </c>
      <c r="D121" s="468">
        <v>3840</v>
      </c>
      <c r="E121" s="470"/>
      <c r="F121" s="473"/>
      <c r="G121" s="476"/>
      <c r="H121" s="448"/>
      <c r="I121" s="12"/>
    </row>
    <row r="122" spans="1:9" x14ac:dyDescent="0.35">
      <c r="A122" s="419" t="s">
        <v>620</v>
      </c>
      <c r="B122" s="466"/>
      <c r="C122" s="467" t="s">
        <v>530</v>
      </c>
      <c r="D122" s="468"/>
      <c r="E122" s="470">
        <v>140</v>
      </c>
      <c r="F122" s="478"/>
      <c r="G122" s="475"/>
      <c r="H122" s="11"/>
      <c r="I122" s="12"/>
    </row>
    <row r="123" spans="1:9" x14ac:dyDescent="0.35">
      <c r="A123" s="444">
        <f>SUM(D121:D131)</f>
        <v>3840</v>
      </c>
      <c r="B123" s="466"/>
      <c r="C123" s="467" t="s">
        <v>529</v>
      </c>
      <c r="D123" s="468"/>
      <c r="E123" s="470">
        <v>150</v>
      </c>
      <c r="F123" s="478"/>
      <c r="G123" s="475"/>
      <c r="H123" s="11"/>
      <c r="I123" s="12"/>
    </row>
    <row r="124" spans="1:9" x14ac:dyDescent="0.35">
      <c r="A124" s="419" t="s">
        <v>621</v>
      </c>
      <c r="B124" s="466"/>
      <c r="C124" s="467" t="s">
        <v>639</v>
      </c>
      <c r="D124" s="468"/>
      <c r="E124" s="470">
        <v>120</v>
      </c>
      <c r="F124" s="478"/>
      <c r="G124" s="475"/>
      <c r="H124" s="11"/>
      <c r="I124" s="12"/>
    </row>
    <row r="125" spans="1:9" x14ac:dyDescent="0.35">
      <c r="A125" s="444">
        <f>SUM(E121:E131)</f>
        <v>3190</v>
      </c>
      <c r="B125" s="466"/>
      <c r="C125" s="467" t="s">
        <v>690</v>
      </c>
      <c r="D125" s="468"/>
      <c r="E125" s="470">
        <v>500</v>
      </c>
      <c r="F125" s="478"/>
      <c r="G125" s="475"/>
      <c r="H125" s="11"/>
      <c r="I125" s="12"/>
    </row>
    <row r="126" spans="1:9" x14ac:dyDescent="0.35">
      <c r="A126" s="419" t="s">
        <v>622</v>
      </c>
      <c r="B126" s="466"/>
      <c r="C126" s="467" t="s">
        <v>689</v>
      </c>
      <c r="D126" s="468"/>
      <c r="E126" s="470">
        <v>620</v>
      </c>
      <c r="F126" s="478"/>
      <c r="G126" s="479"/>
      <c r="H126" s="11"/>
      <c r="I126" s="12"/>
    </row>
    <row r="127" spans="1:9" x14ac:dyDescent="0.35">
      <c r="A127" s="446">
        <f>+A123-A125</f>
        <v>650</v>
      </c>
      <c r="B127" s="466"/>
      <c r="C127" s="467" t="s">
        <v>698</v>
      </c>
      <c r="D127" s="468"/>
      <c r="E127" s="470">
        <v>100</v>
      </c>
      <c r="F127" s="478"/>
      <c r="G127" s="479"/>
      <c r="H127" s="11"/>
      <c r="I127" s="12"/>
    </row>
    <row r="128" spans="1:9" x14ac:dyDescent="0.35">
      <c r="A128" s="419" t="s">
        <v>623</v>
      </c>
      <c r="B128" s="466"/>
      <c r="C128" s="467" t="s">
        <v>653</v>
      </c>
      <c r="D128" s="468"/>
      <c r="E128" s="470">
        <v>200</v>
      </c>
      <c r="F128" s="478"/>
      <c r="G128" s="475"/>
      <c r="H128" s="11"/>
      <c r="I128" s="12"/>
    </row>
    <row r="129" spans="1:9" x14ac:dyDescent="0.35">
      <c r="A129" s="444">
        <f>_OCT12-A4+A117</f>
        <v>-1870</v>
      </c>
      <c r="B129" s="466"/>
      <c r="C129" s="467" t="s">
        <v>630</v>
      </c>
      <c r="D129" s="468"/>
      <c r="E129" s="470">
        <v>860</v>
      </c>
      <c r="F129" s="478"/>
      <c r="G129" s="475"/>
      <c r="H129" s="11"/>
      <c r="I129" s="12"/>
    </row>
    <row r="130" spans="1:9" x14ac:dyDescent="0.35">
      <c r="A130" s="444"/>
      <c r="B130" s="466"/>
      <c r="C130" s="467" t="s">
        <v>678</v>
      </c>
      <c r="D130" s="468"/>
      <c r="E130" s="470">
        <v>400</v>
      </c>
      <c r="F130" s="473"/>
      <c r="G130" s="475"/>
      <c r="H130" s="11"/>
      <c r="I130" s="12"/>
    </row>
    <row r="131" spans="1:9" x14ac:dyDescent="0.35">
      <c r="A131" s="444"/>
      <c r="B131" s="466"/>
      <c r="C131" s="467" t="s">
        <v>539</v>
      </c>
      <c r="D131" s="468"/>
      <c r="E131" s="470">
        <v>100</v>
      </c>
      <c r="F131" s="473"/>
      <c r="G131" s="475"/>
      <c r="H131" s="11"/>
      <c r="I131" s="12"/>
    </row>
    <row r="132" spans="1:9" x14ac:dyDescent="0.35">
      <c r="A132" s="438" t="s">
        <v>50</v>
      </c>
      <c r="B132" s="466"/>
      <c r="C132" s="467" t="s">
        <v>13</v>
      </c>
      <c r="D132" s="468">
        <v>3840</v>
      </c>
      <c r="E132" s="470"/>
      <c r="F132" s="11"/>
      <c r="G132" s="447"/>
      <c r="H132" s="11"/>
      <c r="I132" s="12"/>
    </row>
    <row r="133" spans="1:9" x14ac:dyDescent="0.35">
      <c r="A133" s="419" t="s">
        <v>620</v>
      </c>
      <c r="B133" s="466"/>
      <c r="C133" s="467" t="s">
        <v>530</v>
      </c>
      <c r="D133" s="468"/>
      <c r="E133" s="470">
        <v>200</v>
      </c>
      <c r="F133" s="478"/>
      <c r="G133" s="447"/>
      <c r="H133" s="11"/>
      <c r="I133" s="12"/>
    </row>
    <row r="134" spans="1:9" x14ac:dyDescent="0.35">
      <c r="A134" s="444">
        <f>SUM(D132:D142)</f>
        <v>3840</v>
      </c>
      <c r="B134" s="466"/>
      <c r="C134" s="467" t="s">
        <v>529</v>
      </c>
      <c r="D134" s="468"/>
      <c r="E134" s="470">
        <v>120</v>
      </c>
      <c r="F134" s="478"/>
      <c r="G134" s="475"/>
      <c r="H134" s="11"/>
      <c r="I134" s="12"/>
    </row>
    <row r="135" spans="1:9" x14ac:dyDescent="0.35">
      <c r="A135" s="419" t="s">
        <v>621</v>
      </c>
      <c r="B135" s="466"/>
      <c r="C135" s="467" t="s">
        <v>639</v>
      </c>
      <c r="D135" s="468"/>
      <c r="E135" s="470">
        <v>40</v>
      </c>
      <c r="F135" s="478"/>
      <c r="G135" s="475"/>
      <c r="H135" s="11"/>
      <c r="I135" s="12"/>
    </row>
    <row r="136" spans="1:9" x14ac:dyDescent="0.35">
      <c r="A136" s="444">
        <f>SUM(E132:E142)</f>
        <v>5090</v>
      </c>
      <c r="B136" s="466"/>
      <c r="C136" s="467" t="s">
        <v>690</v>
      </c>
      <c r="D136" s="468"/>
      <c r="E136" s="470">
        <v>1880</v>
      </c>
      <c r="F136" s="478"/>
      <c r="G136" s="475"/>
      <c r="H136" s="11"/>
      <c r="I136" s="12"/>
    </row>
    <row r="137" spans="1:9" x14ac:dyDescent="0.35">
      <c r="A137" s="419" t="s">
        <v>622</v>
      </c>
      <c r="B137" s="466"/>
      <c r="C137" s="467" t="s">
        <v>689</v>
      </c>
      <c r="D137" s="468"/>
      <c r="E137" s="470">
        <v>950</v>
      </c>
      <c r="F137" s="478"/>
      <c r="G137" s="479"/>
      <c r="H137" s="448"/>
      <c r="I137" s="450"/>
    </row>
    <row r="138" spans="1:9" x14ac:dyDescent="0.35">
      <c r="A138" s="446">
        <f>+A134-A136</f>
        <v>-1250</v>
      </c>
      <c r="B138" s="466"/>
      <c r="C138" s="467" t="s">
        <v>698</v>
      </c>
      <c r="D138" s="468"/>
      <c r="E138" s="470">
        <v>250</v>
      </c>
      <c r="F138" s="478"/>
      <c r="G138" s="479"/>
      <c r="H138" s="11"/>
      <c r="I138" s="12"/>
    </row>
    <row r="139" spans="1:9" x14ac:dyDescent="0.35">
      <c r="A139" s="419" t="s">
        <v>623</v>
      </c>
      <c r="B139" s="466"/>
      <c r="C139" s="467" t="s">
        <v>653</v>
      </c>
      <c r="D139" s="468"/>
      <c r="E139" s="470">
        <v>200</v>
      </c>
      <c r="F139" s="478"/>
      <c r="G139" s="475"/>
      <c r="H139" s="11"/>
      <c r="I139" s="12"/>
    </row>
    <row r="140" spans="1:9" x14ac:dyDescent="0.35">
      <c r="A140" s="444">
        <f>_NOV12-A4+A129</f>
        <v>-3552</v>
      </c>
      <c r="B140" s="466"/>
      <c r="C140" s="467" t="s">
        <v>630</v>
      </c>
      <c r="D140" s="468"/>
      <c r="E140" s="470">
        <v>750</v>
      </c>
      <c r="F140" s="478"/>
      <c r="G140" s="475"/>
      <c r="H140" s="11"/>
      <c r="I140" s="12"/>
    </row>
    <row r="141" spans="1:9" x14ac:dyDescent="0.35">
      <c r="A141" s="444"/>
      <c r="B141" s="466"/>
      <c r="C141" s="467" t="s">
        <v>678</v>
      </c>
      <c r="D141" s="468"/>
      <c r="E141" s="470">
        <v>600</v>
      </c>
      <c r="F141" s="11"/>
      <c r="G141" s="475"/>
      <c r="H141" s="11"/>
      <c r="I141" s="12"/>
    </row>
    <row r="142" spans="1:9" x14ac:dyDescent="0.35">
      <c r="A142" s="444"/>
      <c r="B142" s="466"/>
      <c r="C142" s="467" t="s">
        <v>539</v>
      </c>
      <c r="D142" s="468"/>
      <c r="E142" s="470">
        <v>100</v>
      </c>
      <c r="F142" s="11"/>
      <c r="G142" s="475"/>
      <c r="H142" s="11"/>
      <c r="I142" s="12"/>
    </row>
    <row r="143" spans="1:9" x14ac:dyDescent="0.35">
      <c r="A143" s="438" t="s">
        <v>51</v>
      </c>
      <c r="B143" s="466"/>
      <c r="C143" s="467" t="s">
        <v>13</v>
      </c>
      <c r="D143" s="468">
        <v>3840</v>
      </c>
      <c r="E143" s="470"/>
      <c r="F143" s="448"/>
      <c r="G143" s="476"/>
      <c r="H143" s="11"/>
      <c r="I143" s="12"/>
    </row>
    <row r="144" spans="1:9" x14ac:dyDescent="0.35">
      <c r="A144" s="419" t="s">
        <v>620</v>
      </c>
      <c r="B144" s="466"/>
      <c r="C144" s="467" t="s">
        <v>530</v>
      </c>
      <c r="D144" s="468"/>
      <c r="E144" s="470">
        <v>220</v>
      </c>
      <c r="F144" s="478"/>
      <c r="G144" s="475"/>
      <c r="H144" s="11"/>
      <c r="I144" s="12"/>
    </row>
    <row r="145" spans="1:11" x14ac:dyDescent="0.35">
      <c r="A145" s="444">
        <f>SUM(D143:D152)</f>
        <v>3840</v>
      </c>
      <c r="B145" s="466"/>
      <c r="C145" s="467" t="s">
        <v>529</v>
      </c>
      <c r="D145" s="468"/>
      <c r="E145" s="470">
        <v>170</v>
      </c>
      <c r="F145" s="478"/>
      <c r="G145" s="475"/>
      <c r="H145" s="11"/>
      <c r="I145" s="12"/>
    </row>
    <row r="146" spans="1:11" x14ac:dyDescent="0.35">
      <c r="A146" s="419" t="s">
        <v>621</v>
      </c>
      <c r="B146" s="466"/>
      <c r="C146" s="467" t="s">
        <v>639</v>
      </c>
      <c r="D146" s="468"/>
      <c r="E146" s="470">
        <v>0</v>
      </c>
      <c r="F146" s="478"/>
      <c r="G146" s="475"/>
      <c r="H146" s="11"/>
      <c r="I146" s="12"/>
    </row>
    <row r="147" spans="1:11" x14ac:dyDescent="0.35">
      <c r="A147" s="444">
        <f>SUM(E143:E152)</f>
        <v>2140</v>
      </c>
      <c r="B147" s="466"/>
      <c r="C147" s="467" t="s">
        <v>690</v>
      </c>
      <c r="D147" s="468"/>
      <c r="E147" s="470">
        <v>0</v>
      </c>
      <c r="F147" s="478"/>
      <c r="G147" s="475"/>
      <c r="H147" s="11"/>
      <c r="I147" s="12"/>
    </row>
    <row r="148" spans="1:11" x14ac:dyDescent="0.35">
      <c r="A148" s="419" t="s">
        <v>622</v>
      </c>
      <c r="B148" s="466"/>
      <c r="C148" s="467" t="s">
        <v>689</v>
      </c>
      <c r="D148" s="468"/>
      <c r="E148" s="470">
        <v>0</v>
      </c>
      <c r="F148" s="478"/>
      <c r="G148" s="475"/>
      <c r="H148" s="11"/>
      <c r="I148" s="12"/>
    </row>
    <row r="149" spans="1:11" x14ac:dyDescent="0.35">
      <c r="A149" s="446">
        <f>+A145-A147</f>
        <v>1700</v>
      </c>
      <c r="B149" s="466"/>
      <c r="C149" s="467" t="s">
        <v>698</v>
      </c>
      <c r="D149" s="468"/>
      <c r="E149" s="470">
        <v>0</v>
      </c>
      <c r="F149" s="478"/>
      <c r="G149" s="475"/>
      <c r="H149" s="11"/>
      <c r="I149" s="12"/>
    </row>
    <row r="150" spans="1:11" x14ac:dyDescent="0.35">
      <c r="A150" s="419" t="s">
        <v>623</v>
      </c>
      <c r="B150" s="466"/>
      <c r="C150" s="467" t="s">
        <v>653</v>
      </c>
      <c r="D150" s="468"/>
      <c r="E150" s="470">
        <v>200</v>
      </c>
      <c r="F150" s="478"/>
      <c r="G150" s="475"/>
      <c r="H150" s="11"/>
      <c r="I150" s="12"/>
    </row>
    <row r="151" spans="1:11" x14ac:dyDescent="0.35">
      <c r="A151" s="444">
        <f>_DIC12-A4+A140</f>
        <v>-2284</v>
      </c>
      <c r="B151" s="466"/>
      <c r="C151" s="467" t="s">
        <v>630</v>
      </c>
      <c r="D151" s="468"/>
      <c r="E151" s="470">
        <v>1000</v>
      </c>
      <c r="F151" s="478"/>
      <c r="G151" s="475"/>
      <c r="H151" s="11"/>
      <c r="I151" s="12"/>
    </row>
    <row r="152" spans="1:11" x14ac:dyDescent="0.35">
      <c r="A152" s="444"/>
      <c r="B152" s="466"/>
      <c r="C152" s="467" t="s">
        <v>678</v>
      </c>
      <c r="D152" s="468"/>
      <c r="E152" s="470">
        <v>550</v>
      </c>
      <c r="F152" s="11"/>
      <c r="G152" s="475"/>
      <c r="H152" s="11"/>
      <c r="I152" s="12"/>
    </row>
    <row r="153" spans="1:11" x14ac:dyDescent="0.35">
      <c r="D153" s="320"/>
      <c r="E153" s="320"/>
    </row>
    <row r="154" spans="1:11" x14ac:dyDescent="0.35">
      <c r="D154" s="320"/>
      <c r="E154" s="320"/>
    </row>
    <row r="155" spans="1:11" x14ac:dyDescent="0.35">
      <c r="D155" s="320"/>
      <c r="E155" s="320"/>
    </row>
    <row r="156" spans="1:11" x14ac:dyDescent="0.35">
      <c r="D156" s="320"/>
      <c r="E156" s="320"/>
      <c r="I156" s="577" t="s">
        <v>28</v>
      </c>
      <c r="J156" s="942">
        <f>E2</f>
        <v>2900</v>
      </c>
      <c r="K156" s="577"/>
    </row>
    <row r="157" spans="1:11" x14ac:dyDescent="0.35">
      <c r="D157" s="320"/>
      <c r="E157" s="320"/>
      <c r="I157" s="577" t="s">
        <v>29</v>
      </c>
      <c r="J157" s="577"/>
      <c r="K157" s="577"/>
    </row>
    <row r="158" spans="1:11" x14ac:dyDescent="0.35">
      <c r="D158" s="320"/>
      <c r="E158" s="320"/>
      <c r="I158" s="580">
        <f>_ENE12</f>
        <v>2000</v>
      </c>
      <c r="J158" s="580"/>
      <c r="K158" s="577" t="s">
        <v>31</v>
      </c>
    </row>
    <row r="159" spans="1:11" x14ac:dyDescent="0.35">
      <c r="D159" s="320"/>
      <c r="E159" s="320"/>
      <c r="I159" s="580">
        <f>_FEB12</f>
        <v>-1100</v>
      </c>
      <c r="J159" s="580"/>
      <c r="K159" s="577"/>
    </row>
    <row r="160" spans="1:11" x14ac:dyDescent="0.35">
      <c r="D160" s="320"/>
      <c r="E160" s="320"/>
      <c r="I160" s="580">
        <f>_MAR12</f>
        <v>0</v>
      </c>
      <c r="J160" s="580"/>
      <c r="K160" s="577"/>
    </row>
    <row r="161" spans="2:14" x14ac:dyDescent="0.35">
      <c r="D161" s="320"/>
      <c r="E161" s="320"/>
      <c r="I161" s="580">
        <f>_ABR12</f>
        <v>-500</v>
      </c>
      <c r="J161" s="580"/>
      <c r="K161" s="577"/>
    </row>
    <row r="162" spans="2:14" x14ac:dyDescent="0.35">
      <c r="D162" s="320"/>
      <c r="E162" s="320"/>
      <c r="I162" s="580">
        <f>_MAY12</f>
        <v>500</v>
      </c>
      <c r="J162" s="580"/>
      <c r="K162" s="577"/>
    </row>
    <row r="163" spans="2:14" x14ac:dyDescent="0.35">
      <c r="D163" s="320"/>
      <c r="E163" s="320"/>
      <c r="I163" s="580">
        <f>_JUN12</f>
        <v>-600</v>
      </c>
      <c r="J163" s="580"/>
      <c r="K163" s="577"/>
    </row>
    <row r="164" spans="2:14" x14ac:dyDescent="0.35">
      <c r="D164" s="320"/>
      <c r="E164" s="320"/>
      <c r="I164" s="580">
        <f>_JUL12</f>
        <v>1200</v>
      </c>
      <c r="J164" s="580"/>
      <c r="K164" s="577"/>
    </row>
    <row r="165" spans="2:14" x14ac:dyDescent="0.35">
      <c r="D165" s="320"/>
      <c r="E165" s="320"/>
      <c r="I165" s="580">
        <f>_AGO12</f>
        <v>200</v>
      </c>
      <c r="J165" s="580"/>
      <c r="K165" s="577"/>
    </row>
    <row r="166" spans="2:14" x14ac:dyDescent="0.35">
      <c r="D166" s="320"/>
      <c r="E166" s="320"/>
      <c r="I166" s="580">
        <f>_SEP12</f>
        <v>100</v>
      </c>
      <c r="J166" s="580"/>
      <c r="K166" s="577"/>
    </row>
    <row r="167" spans="2:14" x14ac:dyDescent="0.35">
      <c r="D167" s="320"/>
      <c r="E167" s="320"/>
      <c r="I167" s="580">
        <f>_OCT12</f>
        <v>650</v>
      </c>
      <c r="J167" s="580"/>
      <c r="K167" s="577"/>
    </row>
    <row r="168" spans="2:14" x14ac:dyDescent="0.35">
      <c r="D168" s="320"/>
      <c r="E168" s="320"/>
      <c r="I168" s="580">
        <f>_NOV12</f>
        <v>-1250</v>
      </c>
      <c r="J168" s="580"/>
      <c r="K168" s="577"/>
    </row>
    <row r="169" spans="2:14" x14ac:dyDescent="0.35">
      <c r="D169" s="320"/>
      <c r="E169" s="320"/>
      <c r="I169" s="580">
        <f>_DIC12</f>
        <v>1700</v>
      </c>
      <c r="J169" s="580"/>
      <c r="K169" s="577"/>
    </row>
    <row r="170" spans="2:14" x14ac:dyDescent="0.35">
      <c r="D170" s="320"/>
      <c r="E170" s="320"/>
      <c r="I170" s="580">
        <f>SUM(I158:I169)</f>
        <v>2900</v>
      </c>
      <c r="J170" s="580"/>
      <c r="K170" s="580">
        <f>I170-J170</f>
        <v>2900</v>
      </c>
    </row>
    <row r="171" spans="2:14" x14ac:dyDescent="0.35">
      <c r="D171" s="320"/>
      <c r="E171" s="320"/>
      <c r="I171" s="23"/>
      <c r="J171" s="23"/>
      <c r="K171" s="15"/>
    </row>
    <row r="172" spans="2:14" x14ac:dyDescent="0.35">
      <c r="D172" s="320"/>
      <c r="E172" s="320"/>
      <c r="G172" s="585"/>
      <c r="H172" s="49"/>
      <c r="I172" s="181"/>
      <c r="J172" s="323"/>
      <c r="K172" s="51"/>
      <c r="L172" s="37"/>
      <c r="M172" s="576"/>
      <c r="N172" s="37"/>
    </row>
    <row r="173" spans="2:14" x14ac:dyDescent="0.35">
      <c r="D173" s="320"/>
      <c r="E173" s="320"/>
      <c r="G173" s="585"/>
      <c r="H173" s="50"/>
      <c r="I173" s="181"/>
      <c r="J173" s="565"/>
      <c r="K173" s="51"/>
      <c r="L173" s="43"/>
      <c r="M173" s="37"/>
      <c r="N173" s="37"/>
    </row>
    <row r="174" spans="2:14" x14ac:dyDescent="0.35">
      <c r="B174" s="380" t="s">
        <v>32</v>
      </c>
      <c r="C174" s="380" t="s">
        <v>33</v>
      </c>
      <c r="G174" s="585"/>
      <c r="H174" s="49"/>
      <c r="I174" s="181"/>
      <c r="J174" s="323"/>
      <c r="K174" s="51"/>
      <c r="L174" s="37"/>
      <c r="M174" s="37"/>
      <c r="N174" s="37"/>
    </row>
    <row r="175" spans="2:14" x14ac:dyDescent="0.35">
      <c r="B175" s="380">
        <f>SUM(D6:D174)</f>
        <v>45400</v>
      </c>
      <c r="C175" s="380">
        <f>SUM(E6:E174)</f>
        <v>42500</v>
      </c>
      <c r="G175" s="585"/>
      <c r="H175" s="49"/>
      <c r="I175" s="323"/>
      <c r="J175" s="323"/>
      <c r="K175" s="51"/>
      <c r="L175" s="37"/>
      <c r="M175" s="37"/>
      <c r="N175" s="37"/>
    </row>
    <row r="176" spans="2:14" x14ac:dyDescent="0.35">
      <c r="D176" s="320"/>
      <c r="E176" s="320"/>
      <c r="G176" s="585"/>
      <c r="H176" s="49"/>
      <c r="I176" s="584"/>
      <c r="J176" s="323"/>
      <c r="K176" s="51"/>
      <c r="L176" s="37"/>
      <c r="M176" s="37"/>
      <c r="N176" s="37"/>
    </row>
    <row r="177" spans="7:14" x14ac:dyDescent="0.35">
      <c r="G177" s="585"/>
      <c r="H177" s="49"/>
      <c r="I177" s="181"/>
      <c r="J177" s="323"/>
      <c r="K177" s="51"/>
      <c r="L177" s="37"/>
      <c r="M177" s="37"/>
      <c r="N177" s="37"/>
    </row>
    <row r="178" spans="7:14" x14ac:dyDescent="0.35">
      <c r="G178" s="585"/>
      <c r="H178" s="49"/>
      <c r="I178" s="181"/>
      <c r="J178" s="323"/>
      <c r="K178" s="51"/>
      <c r="L178" s="37"/>
      <c r="M178" s="37"/>
      <c r="N178" s="37"/>
    </row>
    <row r="179" spans="7:14" x14ac:dyDescent="0.35">
      <c r="I179" s="24"/>
      <c r="J179" s="23"/>
      <c r="K179" s="15"/>
    </row>
    <row r="180" spans="7:14" x14ac:dyDescent="0.3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5" x14ac:dyDescent="0.35"/>
  <cols>
    <col min="1" max="1" width="14.7265625" style="419" customWidth="1"/>
    <col min="2" max="2" width="10.81640625" style="20" customWidth="1"/>
    <col min="3" max="3" width="35.36328125" style="21" customWidth="1"/>
    <col min="4" max="4" width="16.26953125" style="397" customWidth="1"/>
    <col min="5" max="5" width="13.7265625" style="397" customWidth="1"/>
    <col min="6" max="6" width="8.36328125" style="22" customWidth="1"/>
    <col min="7" max="7" width="12.26953125" style="437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7265625" customWidth="1"/>
  </cols>
  <sheetData>
    <row r="1" spans="1:12" ht="12" customHeight="1" x14ac:dyDescent="0.35">
      <c r="B1" s="1184"/>
      <c r="C1" s="1185"/>
      <c r="D1" s="420" t="s">
        <v>0</v>
      </c>
      <c r="E1" s="421">
        <f>COUNTA(C6:C193)</f>
        <v>149</v>
      </c>
      <c r="F1" s="422" t="s">
        <v>1</v>
      </c>
      <c r="G1" s="423"/>
    </row>
    <row r="2" spans="1:12" x14ac:dyDescent="0.35">
      <c r="A2" s="419">
        <f>((A4-A3)*12)</f>
        <v>0</v>
      </c>
      <c r="B2" s="424" t="s">
        <v>2</v>
      </c>
      <c r="C2" s="425">
        <f>_ENE11+_FEB11+_MAR11+_ABR11+_MAY11+_JUN11+_JUL11+_AGO11+_SEP11+_OCT11+_NOV11+_DIC11</f>
        <v>600</v>
      </c>
      <c r="D2" s="426" t="s">
        <v>3</v>
      </c>
      <c r="E2" s="427">
        <f>SUM(D5:D244)-SUM(E5:E244)</f>
        <v>600</v>
      </c>
      <c r="F2" s="428" t="s">
        <v>4</v>
      </c>
      <c r="G2" s="429">
        <f>+E2</f>
        <v>600</v>
      </c>
    </row>
    <row r="3" spans="1:12" x14ac:dyDescent="0.35">
      <c r="A3" s="419">
        <v>400</v>
      </c>
      <c r="B3" s="424"/>
      <c r="C3" s="425"/>
      <c r="D3" s="430" t="s">
        <v>5</v>
      </c>
      <c r="E3" s="431"/>
      <c r="F3" s="428" t="s">
        <v>6</v>
      </c>
      <c r="G3" s="429"/>
    </row>
    <row r="4" spans="1:12" x14ac:dyDescent="0.35">
      <c r="A4" s="419">
        <v>400</v>
      </c>
      <c r="B4" s="432" t="s">
        <v>7</v>
      </c>
      <c r="C4" s="433" t="s">
        <v>8</v>
      </c>
      <c r="D4" s="434" t="s">
        <v>9</v>
      </c>
      <c r="E4" s="435" t="s">
        <v>63</v>
      </c>
      <c r="F4" s="436" t="s">
        <v>10</v>
      </c>
      <c r="G4" s="429"/>
    </row>
    <row r="5" spans="1:12" x14ac:dyDescent="0.35">
      <c r="B5" s="405"/>
      <c r="C5" s="406" t="s">
        <v>619</v>
      </c>
      <c r="D5" s="407">
        <v>0</v>
      </c>
      <c r="E5" s="407"/>
    </row>
    <row r="6" spans="1:12" x14ac:dyDescent="0.35">
      <c r="A6" s="438" t="s">
        <v>40</v>
      </c>
      <c r="B6" s="439"/>
      <c r="C6" s="440" t="s">
        <v>13</v>
      </c>
      <c r="D6" s="441">
        <v>2500</v>
      </c>
      <c r="E6" s="442"/>
      <c r="F6" s="11"/>
      <c r="G6" s="443"/>
      <c r="H6" s="11"/>
      <c r="I6" s="12"/>
    </row>
    <row r="7" spans="1:12" x14ac:dyDescent="0.35">
      <c r="A7" s="419" t="s">
        <v>620</v>
      </c>
      <c r="B7" s="439"/>
      <c r="C7" s="440" t="s">
        <v>530</v>
      </c>
      <c r="D7" s="441"/>
      <c r="E7" s="442">
        <v>200</v>
      </c>
      <c r="F7" s="11"/>
      <c r="G7" s="443"/>
      <c r="H7" s="11"/>
      <c r="I7" s="12"/>
    </row>
    <row r="8" spans="1:12" x14ac:dyDescent="0.35">
      <c r="A8" s="444">
        <f>SUM(D6:D21)</f>
        <v>3750</v>
      </c>
      <c r="B8" s="439"/>
      <c r="C8" s="440" t="s">
        <v>529</v>
      </c>
      <c r="D8" s="441"/>
      <c r="E8" s="442">
        <v>100</v>
      </c>
      <c r="F8" s="11"/>
      <c r="G8" s="445"/>
      <c r="H8" s="11"/>
      <c r="I8" s="12"/>
    </row>
    <row r="9" spans="1:12" x14ac:dyDescent="0.35">
      <c r="A9" s="419" t="s">
        <v>621</v>
      </c>
      <c r="B9" s="439"/>
      <c r="C9" s="440" t="s">
        <v>288</v>
      </c>
      <c r="D9" s="441"/>
      <c r="E9" s="442">
        <v>700</v>
      </c>
      <c r="F9" s="11"/>
      <c r="G9" s="445"/>
      <c r="H9" s="11"/>
      <c r="I9" s="12"/>
    </row>
    <row r="10" spans="1:12" x14ac:dyDescent="0.35">
      <c r="A10" s="444">
        <f>SUM(E6:E21)</f>
        <v>2750</v>
      </c>
      <c r="B10" s="439"/>
      <c r="C10" s="440" t="s">
        <v>421</v>
      </c>
      <c r="D10" s="441"/>
      <c r="E10" s="442">
        <v>50</v>
      </c>
      <c r="F10" s="11"/>
      <c r="G10" s="445"/>
      <c r="H10" s="11"/>
      <c r="I10" s="12"/>
      <c r="L10" s="182"/>
    </row>
    <row r="11" spans="1:12" x14ac:dyDescent="0.35">
      <c r="A11" s="419" t="s">
        <v>622</v>
      </c>
      <c r="B11" s="439"/>
      <c r="C11" s="440" t="s">
        <v>290</v>
      </c>
      <c r="D11" s="441"/>
      <c r="E11" s="442">
        <v>200</v>
      </c>
      <c r="F11" s="11"/>
      <c r="G11" s="445"/>
      <c r="H11" s="11"/>
      <c r="I11" s="12"/>
    </row>
    <row r="12" spans="1:12" x14ac:dyDescent="0.35">
      <c r="A12" s="446">
        <f>+A8-A10</f>
        <v>1000</v>
      </c>
      <c r="B12" s="439"/>
      <c r="C12" s="440" t="s">
        <v>356</v>
      </c>
      <c r="D12" s="441"/>
      <c r="E12" s="442">
        <v>200</v>
      </c>
      <c r="F12" s="11"/>
      <c r="G12" s="445"/>
      <c r="H12" s="11"/>
      <c r="I12" s="12"/>
    </row>
    <row r="13" spans="1:12" x14ac:dyDescent="0.35">
      <c r="A13" s="419" t="s">
        <v>623</v>
      </c>
      <c r="B13" s="439"/>
      <c r="C13" s="440" t="s">
        <v>624</v>
      </c>
      <c r="D13" s="441"/>
      <c r="E13" s="442">
        <v>300</v>
      </c>
      <c r="F13" s="11"/>
      <c r="G13" s="445"/>
      <c r="H13" s="11"/>
      <c r="I13" s="12"/>
    </row>
    <row r="14" spans="1:12" x14ac:dyDescent="0.35">
      <c r="A14" s="419">
        <f>_ENE11-A4</f>
        <v>600</v>
      </c>
      <c r="B14" s="439"/>
      <c r="C14" s="440" t="s">
        <v>19</v>
      </c>
      <c r="D14" s="441">
        <v>1250</v>
      </c>
      <c r="E14" s="442"/>
      <c r="F14" s="11"/>
      <c r="G14" s="443"/>
      <c r="H14" s="11"/>
      <c r="I14" s="12"/>
    </row>
    <row r="15" spans="1:12" x14ac:dyDescent="0.35">
      <c r="B15" s="439"/>
      <c r="C15" s="440" t="s">
        <v>625</v>
      </c>
      <c r="D15" s="441"/>
      <c r="E15" s="442">
        <v>100</v>
      </c>
      <c r="F15" s="11"/>
      <c r="G15" s="443"/>
      <c r="H15" s="11"/>
      <c r="I15" s="12"/>
    </row>
    <row r="16" spans="1:12" x14ac:dyDescent="0.35">
      <c r="B16" s="439"/>
      <c r="C16" s="440" t="s">
        <v>626</v>
      </c>
      <c r="D16" s="441"/>
      <c r="E16" s="442">
        <v>200</v>
      </c>
      <c r="F16" s="11"/>
      <c r="G16" s="443"/>
      <c r="H16" s="11"/>
      <c r="I16" s="12"/>
    </row>
    <row r="17" spans="1:12" x14ac:dyDescent="0.35">
      <c r="B17" s="439"/>
      <c r="C17" s="440" t="s">
        <v>627</v>
      </c>
      <c r="D17" s="441"/>
      <c r="E17" s="442">
        <v>100</v>
      </c>
      <c r="F17" s="11"/>
      <c r="G17" s="443"/>
      <c r="H17" s="11"/>
      <c r="I17" s="12"/>
    </row>
    <row r="18" spans="1:12" x14ac:dyDescent="0.35">
      <c r="B18" s="439"/>
      <c r="C18" s="440" t="s">
        <v>628</v>
      </c>
      <c r="D18" s="441"/>
      <c r="E18" s="442">
        <v>100</v>
      </c>
      <c r="F18" s="11"/>
      <c r="G18" s="443"/>
      <c r="H18" s="11"/>
      <c r="I18" s="12"/>
    </row>
    <row r="19" spans="1:12" x14ac:dyDescent="0.35">
      <c r="B19" s="439"/>
      <c r="C19" s="440" t="s">
        <v>244</v>
      </c>
      <c r="D19" s="441"/>
      <c r="E19" s="442">
        <v>100</v>
      </c>
      <c r="F19" s="11"/>
      <c r="G19" s="443"/>
      <c r="H19" s="11"/>
      <c r="I19" s="12"/>
    </row>
    <row r="20" spans="1:12" x14ac:dyDescent="0.35">
      <c r="B20" s="439"/>
      <c r="C20" s="440" t="s">
        <v>629</v>
      </c>
      <c r="D20" s="441"/>
      <c r="E20" s="442">
        <v>400</v>
      </c>
      <c r="F20" s="11"/>
      <c r="G20" s="447"/>
      <c r="H20" s="11"/>
      <c r="I20" s="12"/>
    </row>
    <row r="21" spans="1:12" x14ac:dyDescent="0.35">
      <c r="B21" s="439"/>
      <c r="C21" s="440"/>
      <c r="D21" s="441"/>
      <c r="E21" s="442"/>
      <c r="F21" s="448"/>
      <c r="G21" s="447"/>
      <c r="H21" s="448"/>
      <c r="I21" s="12"/>
    </row>
    <row r="22" spans="1:12" x14ac:dyDescent="0.35">
      <c r="A22" s="438" t="s">
        <v>41</v>
      </c>
      <c r="B22" s="439"/>
      <c r="C22" s="440" t="s">
        <v>13</v>
      </c>
      <c r="D22" s="441">
        <v>2500</v>
      </c>
      <c r="E22" s="442"/>
      <c r="F22" s="11"/>
      <c r="G22" s="443"/>
      <c r="H22" s="11"/>
      <c r="I22" s="12"/>
    </row>
    <row r="23" spans="1:12" x14ac:dyDescent="0.35">
      <c r="A23" s="419" t="s">
        <v>620</v>
      </c>
      <c r="B23" s="439"/>
      <c r="C23" s="440" t="s">
        <v>530</v>
      </c>
      <c r="D23" s="441"/>
      <c r="E23" s="442">
        <v>200</v>
      </c>
      <c r="F23" s="11"/>
      <c r="G23" s="443"/>
      <c r="H23" s="448"/>
      <c r="I23" s="12"/>
    </row>
    <row r="24" spans="1:12" x14ac:dyDescent="0.35">
      <c r="A24" s="444">
        <f>SUM(D22:D36)</f>
        <v>2500</v>
      </c>
      <c r="B24" s="439"/>
      <c r="C24" s="440" t="s">
        <v>529</v>
      </c>
      <c r="D24" s="441"/>
      <c r="E24" s="442">
        <v>170</v>
      </c>
      <c r="F24" s="11"/>
      <c r="G24" s="443"/>
      <c r="H24" s="11"/>
      <c r="I24" s="12"/>
    </row>
    <row r="25" spans="1:12" x14ac:dyDescent="0.35">
      <c r="A25" s="419" t="s">
        <v>621</v>
      </c>
      <c r="B25" s="439"/>
      <c r="C25" s="440" t="s">
        <v>288</v>
      </c>
      <c r="D25" s="441"/>
      <c r="E25" s="442">
        <v>700</v>
      </c>
      <c r="F25" s="11"/>
      <c r="G25" s="443"/>
      <c r="H25" s="448"/>
      <c r="I25" s="12"/>
      <c r="K25" s="182"/>
      <c r="L25" s="182"/>
    </row>
    <row r="26" spans="1:12" x14ac:dyDescent="0.35">
      <c r="A26" s="444">
        <f>SUM(E22:E36)</f>
        <v>3100</v>
      </c>
      <c r="B26" s="439"/>
      <c r="C26" s="440" t="s">
        <v>421</v>
      </c>
      <c r="D26" s="441"/>
      <c r="E26" s="442">
        <v>100</v>
      </c>
      <c r="F26" s="11"/>
      <c r="G26" s="443"/>
      <c r="H26" s="11"/>
      <c r="I26" s="12"/>
      <c r="J26" s="15"/>
      <c r="K26" s="413"/>
    </row>
    <row r="27" spans="1:12" x14ac:dyDescent="0.35">
      <c r="A27" s="419" t="s">
        <v>622</v>
      </c>
      <c r="B27" s="439"/>
      <c r="C27" s="440" t="s">
        <v>630</v>
      </c>
      <c r="D27" s="441"/>
      <c r="E27" s="442">
        <v>930</v>
      </c>
      <c r="F27" s="11"/>
      <c r="G27" s="443"/>
      <c r="H27" s="11"/>
      <c r="I27" s="12"/>
      <c r="J27" s="15"/>
      <c r="K27" s="15"/>
    </row>
    <row r="28" spans="1:12" x14ac:dyDescent="0.35">
      <c r="A28" s="446">
        <f>+A24-A26</f>
        <v>-600</v>
      </c>
      <c r="B28" s="439"/>
      <c r="C28" s="440" t="s">
        <v>356</v>
      </c>
      <c r="D28" s="441"/>
      <c r="E28" s="442">
        <v>200</v>
      </c>
      <c r="F28" s="11"/>
      <c r="G28" s="443"/>
      <c r="H28" s="11"/>
      <c r="I28" s="12"/>
      <c r="J28" s="15"/>
      <c r="K28" s="15"/>
    </row>
    <row r="29" spans="1:12" x14ac:dyDescent="0.35">
      <c r="A29" s="419" t="s">
        <v>623</v>
      </c>
      <c r="B29" s="439"/>
      <c r="C29" s="440" t="s">
        <v>631</v>
      </c>
      <c r="D29" s="441"/>
      <c r="E29" s="442">
        <v>300</v>
      </c>
      <c r="F29" s="11"/>
      <c r="G29" s="443"/>
      <c r="H29" s="11"/>
      <c r="I29" s="12"/>
    </row>
    <row r="30" spans="1:12" x14ac:dyDescent="0.35">
      <c r="A30" s="419">
        <f>_FEB11-A4+A14</f>
        <v>-400</v>
      </c>
      <c r="B30" s="439"/>
      <c r="C30" s="440" t="s">
        <v>632</v>
      </c>
      <c r="D30" s="441"/>
      <c r="E30" s="442">
        <v>100</v>
      </c>
      <c r="F30" s="11"/>
      <c r="G30" s="443"/>
      <c r="H30" s="11"/>
      <c r="I30" s="12"/>
      <c r="J30" s="15"/>
      <c r="K30" s="15"/>
    </row>
    <row r="31" spans="1:12" x14ac:dyDescent="0.35">
      <c r="B31" s="439"/>
      <c r="C31" s="440" t="s">
        <v>633</v>
      </c>
      <c r="D31" s="441"/>
      <c r="E31" s="442">
        <v>200</v>
      </c>
      <c r="F31" s="11"/>
      <c r="G31" s="443"/>
      <c r="H31" s="11"/>
      <c r="I31" s="12"/>
      <c r="J31" s="15"/>
      <c r="K31" s="15"/>
    </row>
    <row r="32" spans="1:12" x14ac:dyDescent="0.35">
      <c r="B32" s="439"/>
      <c r="C32" s="440" t="s">
        <v>634</v>
      </c>
      <c r="D32" s="441"/>
      <c r="E32" s="442">
        <v>50</v>
      </c>
      <c r="F32" s="11"/>
      <c r="G32" s="443"/>
      <c r="H32" s="11"/>
      <c r="I32" s="12"/>
      <c r="J32" s="413"/>
      <c r="K32" s="15"/>
    </row>
    <row r="33" spans="1:12" x14ac:dyDescent="0.35">
      <c r="B33" s="439"/>
      <c r="C33" s="440" t="s">
        <v>635</v>
      </c>
      <c r="D33" s="441"/>
      <c r="E33" s="442">
        <v>150</v>
      </c>
      <c r="F33" s="11"/>
      <c r="G33" s="443"/>
      <c r="H33" s="11"/>
      <c r="I33" s="12"/>
      <c r="J33" s="15"/>
      <c r="K33" s="15"/>
      <c r="L33" s="182"/>
    </row>
    <row r="34" spans="1:12" x14ac:dyDescent="0.35">
      <c r="B34" s="439"/>
      <c r="C34" s="440"/>
      <c r="D34" s="441"/>
      <c r="E34" s="442"/>
      <c r="F34" s="11"/>
      <c r="G34" s="443"/>
      <c r="H34" s="11"/>
      <c r="I34" s="12"/>
      <c r="L34" s="182"/>
    </row>
    <row r="35" spans="1:12" x14ac:dyDescent="0.35">
      <c r="B35" s="439"/>
      <c r="C35" s="440"/>
      <c r="D35" s="441"/>
      <c r="E35" s="442"/>
      <c r="F35" s="11"/>
      <c r="G35" s="447"/>
      <c r="H35" s="11"/>
      <c r="I35" s="12"/>
      <c r="K35" s="182"/>
    </row>
    <row r="36" spans="1:12" x14ac:dyDescent="0.35">
      <c r="B36" s="439"/>
      <c r="C36" s="440"/>
      <c r="D36" s="441"/>
      <c r="E36" s="442"/>
      <c r="F36" s="449"/>
      <c r="G36" s="443"/>
      <c r="H36" s="448"/>
      <c r="I36" s="12"/>
      <c r="K36" s="182"/>
    </row>
    <row r="37" spans="1:12" x14ac:dyDescent="0.35">
      <c r="A37" s="438" t="s">
        <v>42</v>
      </c>
      <c r="B37" s="439"/>
      <c r="C37" s="440" t="s">
        <v>13</v>
      </c>
      <c r="D37" s="441">
        <v>2500</v>
      </c>
      <c r="E37" s="442"/>
      <c r="F37" s="449"/>
      <c r="G37" s="443"/>
      <c r="H37" s="11"/>
      <c r="I37" s="12"/>
    </row>
    <row r="38" spans="1:12" x14ac:dyDescent="0.35">
      <c r="A38" s="419" t="s">
        <v>620</v>
      </c>
      <c r="B38" s="439"/>
      <c r="C38" s="440" t="s">
        <v>530</v>
      </c>
      <c r="D38" s="441"/>
      <c r="E38" s="442">
        <v>150</v>
      </c>
      <c r="F38" s="449"/>
      <c r="G38" s="443"/>
      <c r="H38" s="448"/>
      <c r="I38" s="12"/>
      <c r="K38" s="182"/>
    </row>
    <row r="39" spans="1:12" x14ac:dyDescent="0.35">
      <c r="A39" s="444">
        <f>SUM(D37:D51)</f>
        <v>2500</v>
      </c>
      <c r="B39" s="439"/>
      <c r="C39" s="440" t="s">
        <v>529</v>
      </c>
      <c r="D39" s="441"/>
      <c r="E39" s="442">
        <v>150</v>
      </c>
      <c r="F39" s="11"/>
      <c r="G39" s="443"/>
      <c r="H39" s="448"/>
      <c r="I39" s="12"/>
      <c r="J39" s="182"/>
      <c r="K39" s="182"/>
    </row>
    <row r="40" spans="1:12" x14ac:dyDescent="0.35">
      <c r="A40" s="419" t="s">
        <v>621</v>
      </c>
      <c r="B40" s="439"/>
      <c r="C40" s="440" t="s">
        <v>636</v>
      </c>
      <c r="D40" s="441"/>
      <c r="E40" s="442">
        <v>100</v>
      </c>
      <c r="F40" s="11"/>
      <c r="G40" s="443"/>
      <c r="H40" s="448"/>
      <c r="I40" s="450"/>
    </row>
    <row r="41" spans="1:12" x14ac:dyDescent="0.35">
      <c r="A41" s="444">
        <f>SUM(E37:E51)</f>
        <v>2700</v>
      </c>
      <c r="B41" s="439"/>
      <c r="C41" s="440" t="s">
        <v>630</v>
      </c>
      <c r="D41" s="441"/>
      <c r="E41" s="442">
        <v>510</v>
      </c>
      <c r="F41" s="11"/>
      <c r="G41" s="443"/>
      <c r="H41" s="11"/>
      <c r="I41" s="12"/>
    </row>
    <row r="42" spans="1:12" x14ac:dyDescent="0.35">
      <c r="A42" s="419" t="s">
        <v>622</v>
      </c>
      <c r="B42" s="439"/>
      <c r="C42" s="440" t="s">
        <v>288</v>
      </c>
      <c r="D42" s="441"/>
      <c r="E42" s="949">
        <v>1110</v>
      </c>
      <c r="F42" s="11"/>
      <c r="G42" s="443"/>
      <c r="H42" s="448"/>
      <c r="I42" s="12"/>
    </row>
    <row r="43" spans="1:12" x14ac:dyDescent="0.35">
      <c r="A43" s="446">
        <f>+A39-A41</f>
        <v>-200</v>
      </c>
      <c r="B43" s="439"/>
      <c r="C43" s="440" t="s">
        <v>637</v>
      </c>
      <c r="D43" s="441"/>
      <c r="E43" s="442">
        <v>80</v>
      </c>
      <c r="F43" s="11"/>
      <c r="G43" s="443"/>
      <c r="H43" s="11"/>
      <c r="I43" s="12"/>
    </row>
    <row r="44" spans="1:12" x14ac:dyDescent="0.35">
      <c r="A44" s="419" t="s">
        <v>623</v>
      </c>
      <c r="B44" s="439"/>
      <c r="C44" s="440" t="s">
        <v>638</v>
      </c>
      <c r="D44" s="441"/>
      <c r="E44" s="442">
        <v>200</v>
      </c>
      <c r="F44" s="11"/>
      <c r="G44" s="443"/>
      <c r="H44" s="11"/>
      <c r="I44" s="12"/>
    </row>
    <row r="45" spans="1:12" x14ac:dyDescent="0.35">
      <c r="A45" s="419">
        <f>_MAR11-A4+A30</f>
        <v>-1000</v>
      </c>
      <c r="B45" s="439"/>
      <c r="C45" s="440" t="s">
        <v>639</v>
      </c>
      <c r="D45" s="441"/>
      <c r="E45" s="442">
        <v>200</v>
      </c>
      <c r="F45" s="11"/>
      <c r="G45" s="443"/>
      <c r="H45" s="11"/>
      <c r="I45" s="12"/>
    </row>
    <row r="46" spans="1:12" x14ac:dyDescent="0.35">
      <c r="B46" s="439"/>
      <c r="C46" s="440" t="s">
        <v>640</v>
      </c>
      <c r="D46" s="441"/>
      <c r="E46" s="442">
        <v>100</v>
      </c>
      <c r="F46" s="11"/>
      <c r="G46" s="443"/>
      <c r="H46" s="11"/>
      <c r="I46" s="12"/>
    </row>
    <row r="47" spans="1:12" x14ac:dyDescent="0.35">
      <c r="B47" s="439"/>
      <c r="C47" s="440" t="s">
        <v>641</v>
      </c>
      <c r="D47" s="441"/>
      <c r="E47" s="442">
        <v>100</v>
      </c>
      <c r="F47" s="11"/>
      <c r="G47" s="443"/>
      <c r="H47" s="11"/>
      <c r="I47" s="12"/>
    </row>
    <row r="48" spans="1:12" x14ac:dyDescent="0.35">
      <c r="B48" s="439"/>
      <c r="C48" s="440"/>
      <c r="D48" s="441"/>
      <c r="E48" s="442"/>
      <c r="F48" s="11"/>
      <c r="G48" s="443"/>
      <c r="H48" s="11"/>
      <c r="I48" s="12"/>
    </row>
    <row r="49" spans="1:12" x14ac:dyDescent="0.35">
      <c r="B49" s="439"/>
      <c r="C49" s="440"/>
      <c r="D49" s="441"/>
      <c r="E49" s="442"/>
      <c r="F49" s="11"/>
      <c r="G49" s="443"/>
      <c r="H49" s="11"/>
      <c r="I49" s="12"/>
    </row>
    <row r="50" spans="1:12" x14ac:dyDescent="0.35">
      <c r="B50" s="439"/>
      <c r="C50" s="440"/>
      <c r="D50" s="441"/>
      <c r="E50" s="442"/>
      <c r="F50" s="11"/>
      <c r="G50" s="447"/>
      <c r="H50" s="11"/>
      <c r="I50" s="12"/>
    </row>
    <row r="51" spans="1:12" x14ac:dyDescent="0.35">
      <c r="B51" s="439"/>
      <c r="C51" s="440"/>
      <c r="D51" s="441"/>
      <c r="E51" s="442"/>
      <c r="F51" s="448"/>
      <c r="G51" s="447"/>
      <c r="H51" s="448"/>
      <c r="I51" s="12"/>
      <c r="L51" s="182"/>
    </row>
    <row r="52" spans="1:12" x14ac:dyDescent="0.35">
      <c r="A52" s="438" t="s">
        <v>43</v>
      </c>
      <c r="B52" s="439"/>
      <c r="C52" s="440" t="s">
        <v>13</v>
      </c>
      <c r="D52" s="441">
        <v>2900</v>
      </c>
      <c r="E52" s="442"/>
      <c r="F52" s="448"/>
      <c r="G52" s="447"/>
      <c r="H52" s="448"/>
      <c r="I52" s="12"/>
    </row>
    <row r="53" spans="1:12" x14ac:dyDescent="0.35">
      <c r="A53" s="419" t="s">
        <v>620</v>
      </c>
      <c r="B53" s="439"/>
      <c r="C53" s="440" t="s">
        <v>530</v>
      </c>
      <c r="D53" s="441"/>
      <c r="E53" s="442">
        <v>125</v>
      </c>
      <c r="F53" s="448"/>
      <c r="G53" s="443"/>
      <c r="H53" s="11"/>
      <c r="I53" s="12"/>
      <c r="J53" s="182"/>
    </row>
    <row r="54" spans="1:12" x14ac:dyDescent="0.35">
      <c r="A54" s="444">
        <f>SUM(D52:D66)</f>
        <v>2900</v>
      </c>
      <c r="B54" s="439"/>
      <c r="C54" s="440" t="s">
        <v>529</v>
      </c>
      <c r="D54" s="441"/>
      <c r="E54" s="442">
        <v>150</v>
      </c>
      <c r="F54" s="448"/>
      <c r="G54" s="447"/>
      <c r="H54" s="448"/>
      <c r="I54" s="12"/>
    </row>
    <row r="55" spans="1:12" x14ac:dyDescent="0.35">
      <c r="A55" s="419" t="s">
        <v>621</v>
      </c>
      <c r="B55" s="439"/>
      <c r="C55" s="440" t="s">
        <v>421</v>
      </c>
      <c r="D55" s="441"/>
      <c r="E55" s="442">
        <v>100</v>
      </c>
      <c r="F55" s="448"/>
      <c r="G55" s="447"/>
      <c r="H55" s="448"/>
      <c r="I55" s="12"/>
    </row>
    <row r="56" spans="1:12" x14ac:dyDescent="0.35">
      <c r="A56" s="444">
        <f>SUM(E52:E66)</f>
        <v>2350</v>
      </c>
      <c r="B56" s="439"/>
      <c r="C56" s="440" t="s">
        <v>630</v>
      </c>
      <c r="D56" s="441"/>
      <c r="E56" s="442">
        <v>250</v>
      </c>
      <c r="F56" s="448"/>
      <c r="G56" s="447"/>
      <c r="H56" s="448"/>
      <c r="I56" s="12"/>
    </row>
    <row r="57" spans="1:12" x14ac:dyDescent="0.35">
      <c r="A57" s="419" t="s">
        <v>622</v>
      </c>
      <c r="B57" s="439"/>
      <c r="C57" s="440" t="s">
        <v>288</v>
      </c>
      <c r="D57" s="441"/>
      <c r="E57" s="442">
        <v>1000</v>
      </c>
      <c r="F57" s="448"/>
      <c r="G57" s="447"/>
      <c r="H57" s="448"/>
      <c r="I57" s="12"/>
    </row>
    <row r="58" spans="1:12" x14ac:dyDescent="0.35">
      <c r="A58" s="446">
        <f>+A54-A56</f>
        <v>550</v>
      </c>
      <c r="B58" s="439"/>
      <c r="C58" s="440" t="s">
        <v>636</v>
      </c>
      <c r="D58" s="441"/>
      <c r="E58" s="442">
        <v>100</v>
      </c>
      <c r="F58" s="11"/>
      <c r="G58" s="443"/>
      <c r="H58" s="448"/>
      <c r="I58" s="12"/>
    </row>
    <row r="59" spans="1:12" x14ac:dyDescent="0.35">
      <c r="A59" s="444" t="s">
        <v>623</v>
      </c>
      <c r="B59" s="439"/>
      <c r="C59" s="440" t="s">
        <v>639</v>
      </c>
      <c r="D59" s="441"/>
      <c r="E59" s="442">
        <v>100</v>
      </c>
      <c r="F59" s="11"/>
      <c r="G59" s="443"/>
      <c r="H59" s="448"/>
      <c r="I59" s="12"/>
    </row>
    <row r="60" spans="1:12" x14ac:dyDescent="0.35">
      <c r="A60" s="444">
        <f>_ABR11-A4+A45</f>
        <v>-850</v>
      </c>
      <c r="B60" s="439"/>
      <c r="C60" s="440" t="s">
        <v>640</v>
      </c>
      <c r="D60" s="441"/>
      <c r="E60" s="442">
        <v>50</v>
      </c>
      <c r="F60" s="11"/>
      <c r="G60" s="443"/>
      <c r="H60" s="11"/>
      <c r="I60" s="12"/>
    </row>
    <row r="61" spans="1:12" x14ac:dyDescent="0.35">
      <c r="A61" s="444"/>
      <c r="B61" s="439"/>
      <c r="C61" s="440" t="s">
        <v>642</v>
      </c>
      <c r="D61" s="441"/>
      <c r="E61" s="442">
        <v>200</v>
      </c>
      <c r="F61" s="11"/>
      <c r="G61" s="443"/>
      <c r="H61" s="11"/>
      <c r="I61" s="12"/>
    </row>
    <row r="62" spans="1:12" x14ac:dyDescent="0.35">
      <c r="A62" s="444"/>
      <c r="B62" s="439"/>
      <c r="C62" s="440" t="s">
        <v>643</v>
      </c>
      <c r="D62" s="441"/>
      <c r="E62" s="442">
        <v>275</v>
      </c>
      <c r="F62" s="11"/>
      <c r="G62" s="443"/>
      <c r="H62" s="11"/>
      <c r="I62" s="12"/>
    </row>
    <row r="63" spans="1:12" x14ac:dyDescent="0.35">
      <c r="A63" s="444"/>
      <c r="B63" s="439"/>
      <c r="C63" s="440"/>
      <c r="D63" s="441"/>
      <c r="E63" s="442"/>
      <c r="F63" s="11"/>
      <c r="G63" s="443"/>
      <c r="H63" s="11"/>
      <c r="I63" s="12"/>
    </row>
    <row r="64" spans="1:12" x14ac:dyDescent="0.35">
      <c r="A64" s="444"/>
      <c r="B64" s="439"/>
      <c r="C64" s="440"/>
      <c r="D64" s="441"/>
      <c r="E64" s="442"/>
      <c r="F64" s="11"/>
      <c r="G64" s="443"/>
      <c r="H64" s="11"/>
      <c r="I64" s="12"/>
    </row>
    <row r="65" spans="1:11" x14ac:dyDescent="0.35">
      <c r="B65" s="439"/>
      <c r="C65" s="440"/>
      <c r="D65" s="441"/>
      <c r="E65" s="442"/>
      <c r="F65" s="11"/>
      <c r="G65" s="447"/>
      <c r="H65" s="11"/>
      <c r="I65" s="12"/>
    </row>
    <row r="66" spans="1:11" x14ac:dyDescent="0.35">
      <c r="B66" s="439"/>
      <c r="C66" s="440"/>
      <c r="D66" s="441"/>
      <c r="E66" s="442"/>
      <c r="F66" s="448"/>
      <c r="G66" s="447"/>
      <c r="H66" s="448"/>
      <c r="I66" s="12"/>
    </row>
    <row r="67" spans="1:11" x14ac:dyDescent="0.35">
      <c r="A67" s="438" t="s">
        <v>44</v>
      </c>
      <c r="B67" s="439"/>
      <c r="C67" s="440" t="s">
        <v>13</v>
      </c>
      <c r="D67" s="441">
        <v>2900</v>
      </c>
      <c r="E67" s="442"/>
      <c r="F67" s="11"/>
      <c r="G67" s="443"/>
      <c r="H67" s="11"/>
      <c r="I67" s="12"/>
    </row>
    <row r="68" spans="1:11" x14ac:dyDescent="0.35">
      <c r="A68" s="419" t="s">
        <v>620</v>
      </c>
      <c r="B68" s="439"/>
      <c r="C68" s="440" t="s">
        <v>530</v>
      </c>
      <c r="D68" s="441"/>
      <c r="E68" s="442">
        <v>150</v>
      </c>
      <c r="F68" s="11"/>
      <c r="G68" s="443"/>
      <c r="H68" s="11"/>
      <c r="I68" s="12"/>
    </row>
    <row r="69" spans="1:11" x14ac:dyDescent="0.35">
      <c r="A69" s="444">
        <f>SUM(D67:D81)</f>
        <v>2900</v>
      </c>
      <c r="B69" s="439"/>
      <c r="C69" s="440" t="s">
        <v>639</v>
      </c>
      <c r="D69" s="441"/>
      <c r="E69" s="442">
        <v>100</v>
      </c>
      <c r="F69" s="11"/>
      <c r="G69" s="443"/>
      <c r="H69" s="11"/>
      <c r="I69" s="12"/>
    </row>
    <row r="70" spans="1:11" x14ac:dyDescent="0.35">
      <c r="A70" s="419" t="s">
        <v>621</v>
      </c>
      <c r="B70" s="439"/>
      <c r="C70" s="440" t="s">
        <v>421</v>
      </c>
      <c r="D70" s="441"/>
      <c r="E70" s="442">
        <v>100</v>
      </c>
      <c r="F70" s="11"/>
      <c r="G70" s="443"/>
      <c r="H70" s="11"/>
      <c r="I70" s="12"/>
    </row>
    <row r="71" spans="1:11" x14ac:dyDescent="0.35">
      <c r="A71" s="444">
        <f>SUM(E67:E81)</f>
        <v>2650</v>
      </c>
      <c r="B71" s="439"/>
      <c r="C71" s="440" t="s">
        <v>630</v>
      </c>
      <c r="D71" s="441"/>
      <c r="E71" s="442">
        <v>450</v>
      </c>
      <c r="F71" s="11"/>
      <c r="G71" s="443"/>
      <c r="H71" s="11"/>
      <c r="I71" s="12"/>
      <c r="K71" s="182"/>
    </row>
    <row r="72" spans="1:11" x14ac:dyDescent="0.35">
      <c r="A72" s="419" t="s">
        <v>622</v>
      </c>
      <c r="B72" s="439"/>
      <c r="C72" s="440" t="s">
        <v>288</v>
      </c>
      <c r="D72" s="441"/>
      <c r="E72" s="442">
        <v>950</v>
      </c>
      <c r="F72" s="11"/>
      <c r="G72" s="443"/>
      <c r="H72" s="11"/>
      <c r="I72" s="12"/>
    </row>
    <row r="73" spans="1:11" x14ac:dyDescent="0.35">
      <c r="A73" s="446">
        <f>+A69-A71</f>
        <v>250</v>
      </c>
      <c r="B73" s="439"/>
      <c r="C73" s="440" t="s">
        <v>640</v>
      </c>
      <c r="D73" s="441"/>
      <c r="E73" s="442">
        <v>50</v>
      </c>
      <c r="F73" s="11"/>
      <c r="G73" s="447"/>
      <c r="H73" s="448"/>
      <c r="I73" s="12"/>
    </row>
    <row r="74" spans="1:11" x14ac:dyDescent="0.35">
      <c r="A74" s="444" t="s">
        <v>623</v>
      </c>
      <c r="B74" s="439"/>
      <c r="C74" s="440" t="s">
        <v>333</v>
      </c>
      <c r="D74" s="441"/>
      <c r="E74" s="442">
        <v>450</v>
      </c>
      <c r="F74" s="11"/>
      <c r="G74" s="447"/>
      <c r="H74" s="11"/>
      <c r="I74" s="12"/>
    </row>
    <row r="75" spans="1:11" x14ac:dyDescent="0.35">
      <c r="A75" s="444">
        <f>_MAY11-A4+A60</f>
        <v>-1000</v>
      </c>
      <c r="B75" s="439"/>
      <c r="C75" s="440" t="s">
        <v>529</v>
      </c>
      <c r="D75" s="441"/>
      <c r="E75" s="442">
        <v>100</v>
      </c>
      <c r="F75" s="11"/>
      <c r="G75" s="447"/>
      <c r="H75" s="11"/>
      <c r="I75" s="12"/>
    </row>
    <row r="76" spans="1:11" x14ac:dyDescent="0.35">
      <c r="A76" s="444"/>
      <c r="B76" s="439"/>
      <c r="C76" s="440" t="s">
        <v>644</v>
      </c>
      <c r="D76" s="441"/>
      <c r="E76" s="442">
        <v>100</v>
      </c>
      <c r="F76" s="11"/>
      <c r="G76" s="447"/>
      <c r="H76" s="11"/>
      <c r="I76" s="12"/>
    </row>
    <row r="77" spans="1:11" x14ac:dyDescent="0.35">
      <c r="A77" s="444"/>
      <c r="B77" s="439"/>
      <c r="C77" s="440" t="s">
        <v>645</v>
      </c>
      <c r="D77" s="441"/>
      <c r="E77" s="442">
        <v>50</v>
      </c>
      <c r="F77" s="11"/>
      <c r="G77" s="447"/>
      <c r="H77" s="11"/>
      <c r="I77" s="12"/>
    </row>
    <row r="78" spans="1:11" x14ac:dyDescent="0.35">
      <c r="A78" s="444"/>
      <c r="B78" s="439"/>
      <c r="C78" s="440" t="s">
        <v>963</v>
      </c>
      <c r="D78" s="441"/>
      <c r="E78" s="442">
        <v>100</v>
      </c>
      <c r="F78" s="11"/>
      <c r="G78" s="447"/>
      <c r="H78" s="11"/>
      <c r="I78" s="12"/>
    </row>
    <row r="79" spans="1:11" x14ac:dyDescent="0.35">
      <c r="A79" s="444"/>
      <c r="B79" s="439"/>
      <c r="C79" s="440" t="s">
        <v>646</v>
      </c>
      <c r="D79" s="441"/>
      <c r="E79" s="442">
        <v>50</v>
      </c>
      <c r="F79" s="11"/>
      <c r="G79" s="447"/>
      <c r="H79" s="11"/>
      <c r="I79" s="12"/>
    </row>
    <row r="80" spans="1:11" x14ac:dyDescent="0.35">
      <c r="A80" s="444"/>
      <c r="B80" s="439"/>
      <c r="C80" s="440"/>
      <c r="D80" s="441"/>
      <c r="E80" s="442"/>
      <c r="F80" s="11"/>
      <c r="G80" s="447"/>
      <c r="H80" s="11"/>
      <c r="I80" s="12"/>
    </row>
    <row r="81" spans="1:12" x14ac:dyDescent="0.35">
      <c r="B81" s="439"/>
      <c r="C81" s="440"/>
      <c r="D81" s="441"/>
      <c r="E81" s="442"/>
      <c r="F81" s="448"/>
      <c r="G81" s="447"/>
      <c r="H81" s="448"/>
      <c r="I81" s="12"/>
    </row>
    <row r="82" spans="1:12" x14ac:dyDescent="0.35">
      <c r="A82" s="438" t="s">
        <v>45</v>
      </c>
      <c r="B82" s="439"/>
      <c r="C82" s="440" t="s">
        <v>13</v>
      </c>
      <c r="D82" s="441">
        <v>2900</v>
      </c>
      <c r="E82" s="442"/>
      <c r="F82" s="11"/>
      <c r="G82" s="443"/>
      <c r="H82" s="11"/>
      <c r="I82" s="12"/>
    </row>
    <row r="83" spans="1:12" x14ac:dyDescent="0.35">
      <c r="A83" s="419" t="s">
        <v>620</v>
      </c>
      <c r="B83" s="439"/>
      <c r="C83" s="440" t="s">
        <v>530</v>
      </c>
      <c r="D83" s="441"/>
      <c r="E83" s="442">
        <v>33</v>
      </c>
      <c r="F83" s="11"/>
      <c r="G83" s="443"/>
      <c r="H83" s="11"/>
      <c r="I83" s="12"/>
    </row>
    <row r="84" spans="1:12" x14ac:dyDescent="0.35">
      <c r="A84" s="444">
        <f>SUM(D82:D96)</f>
        <v>2900</v>
      </c>
      <c r="B84" s="439"/>
      <c r="C84" s="440" t="s">
        <v>639</v>
      </c>
      <c r="D84" s="441"/>
      <c r="E84" s="442">
        <f>65+11+8</f>
        <v>84</v>
      </c>
      <c r="F84" s="11"/>
      <c r="G84" s="443"/>
      <c r="H84" s="11"/>
      <c r="I84" s="12"/>
      <c r="K84" s="182"/>
    </row>
    <row r="85" spans="1:12" x14ac:dyDescent="0.35">
      <c r="A85" s="419" t="s">
        <v>621</v>
      </c>
      <c r="B85" s="439"/>
      <c r="C85" s="440" t="s">
        <v>421</v>
      </c>
      <c r="D85" s="441"/>
      <c r="E85" s="442">
        <v>100</v>
      </c>
      <c r="F85" s="11"/>
      <c r="G85" s="443"/>
      <c r="H85" s="11"/>
      <c r="I85" s="12"/>
    </row>
    <row r="86" spans="1:12" x14ac:dyDescent="0.35">
      <c r="A86" s="444">
        <f>SUM(E82:E96)</f>
        <v>2600</v>
      </c>
      <c r="B86" s="439"/>
      <c r="C86" s="440" t="s">
        <v>630</v>
      </c>
      <c r="D86" s="441"/>
      <c r="E86" s="442">
        <v>463</v>
      </c>
      <c r="F86" s="11"/>
      <c r="G86" s="443"/>
      <c r="H86" s="11"/>
      <c r="I86" s="12"/>
    </row>
    <row r="87" spans="1:12" x14ac:dyDescent="0.35">
      <c r="A87" s="419" t="s">
        <v>622</v>
      </c>
      <c r="B87" s="439"/>
      <c r="C87" s="440" t="s">
        <v>288</v>
      </c>
      <c r="D87" s="441"/>
      <c r="E87" s="442">
        <v>910</v>
      </c>
      <c r="F87" s="11"/>
      <c r="G87" s="443"/>
      <c r="H87" s="11"/>
      <c r="I87" s="12"/>
      <c r="L87" s="182"/>
    </row>
    <row r="88" spans="1:12" x14ac:dyDescent="0.35">
      <c r="A88" s="446">
        <f>+A84-A86</f>
        <v>300</v>
      </c>
      <c r="B88" s="439"/>
      <c r="C88" s="440" t="s">
        <v>313</v>
      </c>
      <c r="D88" s="441"/>
      <c r="E88" s="442">
        <v>0</v>
      </c>
      <c r="F88" s="11"/>
      <c r="G88" s="447"/>
      <c r="H88" s="11"/>
      <c r="I88" s="12"/>
    </row>
    <row r="89" spans="1:12" x14ac:dyDescent="0.35">
      <c r="A89" s="444" t="s">
        <v>623</v>
      </c>
      <c r="B89" s="439"/>
      <c r="C89" s="440" t="s">
        <v>333</v>
      </c>
      <c r="D89" s="441"/>
      <c r="E89" s="442">
        <v>300</v>
      </c>
      <c r="F89" s="11"/>
      <c r="G89" s="447"/>
      <c r="H89" s="11"/>
      <c r="I89" s="12"/>
    </row>
    <row r="90" spans="1:12" x14ac:dyDescent="0.35">
      <c r="A90" s="444">
        <f>_JUN11-A4+A75</f>
        <v>-1100</v>
      </c>
      <c r="B90" s="439"/>
      <c r="C90" s="440" t="s">
        <v>529</v>
      </c>
      <c r="D90" s="441"/>
      <c r="E90" s="442">
        <v>210</v>
      </c>
      <c r="F90" s="11"/>
      <c r="G90" s="447"/>
      <c r="H90" s="11"/>
      <c r="I90" s="12"/>
    </row>
    <row r="91" spans="1:12" x14ac:dyDescent="0.35">
      <c r="A91" s="444"/>
      <c r="B91" s="439"/>
      <c r="C91" s="440" t="s">
        <v>289</v>
      </c>
      <c r="D91" s="441"/>
      <c r="E91" s="442">
        <v>500</v>
      </c>
      <c r="F91" s="11"/>
      <c r="G91" s="447"/>
      <c r="H91" s="11"/>
      <c r="I91" s="12"/>
    </row>
    <row r="92" spans="1:12" x14ac:dyDescent="0.35">
      <c r="A92" s="444"/>
      <c r="B92" s="439"/>
      <c r="C92" s="440"/>
      <c r="D92" s="441"/>
      <c r="E92" s="442"/>
      <c r="F92" s="11"/>
      <c r="G92" s="447"/>
      <c r="H92" s="11"/>
      <c r="I92" s="12"/>
    </row>
    <row r="93" spans="1:12" x14ac:dyDescent="0.35">
      <c r="A93" s="444"/>
      <c r="B93" s="439"/>
      <c r="C93" s="440"/>
      <c r="D93" s="441"/>
      <c r="E93" s="442"/>
      <c r="F93" s="11"/>
      <c r="G93" s="447"/>
      <c r="H93" s="11"/>
      <c r="I93" s="12"/>
    </row>
    <row r="94" spans="1:12" x14ac:dyDescent="0.35">
      <c r="A94" s="444"/>
      <c r="B94" s="439"/>
      <c r="C94" s="440"/>
      <c r="D94" s="441"/>
      <c r="E94" s="442"/>
      <c r="F94" s="11"/>
      <c r="G94" s="447"/>
      <c r="H94" s="448"/>
      <c r="I94" s="12"/>
    </row>
    <row r="95" spans="1:12" x14ac:dyDescent="0.35">
      <c r="A95" s="444"/>
      <c r="B95" s="439"/>
      <c r="C95" s="440"/>
      <c r="D95" s="441"/>
      <c r="E95" s="442"/>
      <c r="F95" s="11"/>
      <c r="G95" s="447"/>
      <c r="H95" s="11"/>
      <c r="I95" s="12"/>
    </row>
    <row r="96" spans="1:12" x14ac:dyDescent="0.35">
      <c r="B96" s="439"/>
      <c r="C96" s="440"/>
      <c r="D96" s="441"/>
      <c r="E96" s="442"/>
      <c r="F96" s="448"/>
      <c r="G96" s="447"/>
      <c r="H96" s="448"/>
      <c r="I96" s="12"/>
    </row>
    <row r="97" spans="1:14" x14ac:dyDescent="0.35">
      <c r="A97" s="438" t="s">
        <v>46</v>
      </c>
      <c r="B97" s="439"/>
      <c r="C97" s="440" t="s">
        <v>13</v>
      </c>
      <c r="D97" s="441">
        <v>2900</v>
      </c>
      <c r="E97" s="442"/>
      <c r="F97" s="448"/>
      <c r="G97" s="443"/>
      <c r="H97" s="11"/>
      <c r="I97" s="12"/>
    </row>
    <row r="98" spans="1:14" x14ac:dyDescent="0.35">
      <c r="A98" s="419" t="s">
        <v>620</v>
      </c>
      <c r="B98" s="439"/>
      <c r="C98" s="440" t="s">
        <v>530</v>
      </c>
      <c r="D98" s="441"/>
      <c r="E98" s="442">
        <v>200</v>
      </c>
      <c r="F98" s="448"/>
      <c r="G98" s="443"/>
      <c r="H98" s="448"/>
      <c r="I98" s="451"/>
    </row>
    <row r="99" spans="1:14" x14ac:dyDescent="0.35">
      <c r="A99" s="444">
        <f>SUM(D97:D113)</f>
        <v>4350</v>
      </c>
      <c r="B99" s="439"/>
      <c r="C99" s="440" t="s">
        <v>639</v>
      </c>
      <c r="D99" s="441"/>
      <c r="E99" s="442">
        <v>100</v>
      </c>
      <c r="F99" s="11"/>
      <c r="G99" s="443"/>
      <c r="H99" s="11"/>
      <c r="I99" s="12"/>
      <c r="N99" s="182"/>
    </row>
    <row r="100" spans="1:14" x14ac:dyDescent="0.35">
      <c r="A100" s="419" t="s">
        <v>621</v>
      </c>
      <c r="B100" s="439"/>
      <c r="C100" s="440" t="s">
        <v>421</v>
      </c>
      <c r="D100" s="441"/>
      <c r="E100" s="442">
        <v>0</v>
      </c>
      <c r="F100" s="11"/>
      <c r="G100" s="443"/>
      <c r="H100" s="11"/>
      <c r="I100" s="12"/>
      <c r="N100" s="182"/>
    </row>
    <row r="101" spans="1:14" x14ac:dyDescent="0.35">
      <c r="A101" s="444">
        <f>SUM(E97:E113)</f>
        <v>4250</v>
      </c>
      <c r="B101" s="439"/>
      <c r="C101" s="440" t="s">
        <v>630</v>
      </c>
      <c r="D101" s="441"/>
      <c r="E101" s="442">
        <f>610+150+100+200</f>
        <v>1060</v>
      </c>
      <c r="F101" s="11"/>
      <c r="G101" s="443"/>
      <c r="H101" s="452"/>
      <c r="I101" s="12"/>
      <c r="K101" s="182"/>
      <c r="N101" s="182"/>
    </row>
    <row r="102" spans="1:14" x14ac:dyDescent="0.35">
      <c r="A102" s="419" t="s">
        <v>622</v>
      </c>
      <c r="B102" s="439"/>
      <c r="C102" s="440" t="s">
        <v>288</v>
      </c>
      <c r="D102" s="441"/>
      <c r="E102" s="442">
        <v>1040</v>
      </c>
      <c r="F102" s="11"/>
      <c r="G102" s="443"/>
      <c r="H102" s="448"/>
      <c r="I102" s="451"/>
      <c r="N102" s="182"/>
    </row>
    <row r="103" spans="1:14" x14ac:dyDescent="0.35">
      <c r="A103" s="446">
        <f>+A99-A101</f>
        <v>100</v>
      </c>
      <c r="B103" s="439"/>
      <c r="C103" s="440" t="s">
        <v>529</v>
      </c>
      <c r="D103" s="441"/>
      <c r="E103" s="442">
        <v>110</v>
      </c>
      <c r="F103" s="11"/>
      <c r="G103" s="443"/>
      <c r="H103" s="11"/>
      <c r="I103" s="451"/>
      <c r="K103" s="182"/>
      <c r="N103" s="182"/>
    </row>
    <row r="104" spans="1:14" x14ac:dyDescent="0.35">
      <c r="A104" s="419" t="s">
        <v>623</v>
      </c>
      <c r="B104" s="439"/>
      <c r="C104" s="440" t="s">
        <v>19</v>
      </c>
      <c r="D104" s="441">
        <v>1450</v>
      </c>
      <c r="E104" s="442"/>
      <c r="F104" s="11"/>
      <c r="G104" s="443"/>
      <c r="H104" s="11"/>
      <c r="I104" s="12"/>
      <c r="N104" s="182"/>
    </row>
    <row r="105" spans="1:14" x14ac:dyDescent="0.35">
      <c r="A105" s="444">
        <f>_JUL11-A4+A90</f>
        <v>-1400</v>
      </c>
      <c r="B105" s="439"/>
      <c r="C105" s="440" t="s">
        <v>647</v>
      </c>
      <c r="D105" s="441"/>
      <c r="E105" s="442">
        <v>940</v>
      </c>
      <c r="F105" s="11"/>
      <c r="G105" s="443"/>
      <c r="H105" s="11"/>
      <c r="I105" s="12"/>
    </row>
    <row r="106" spans="1:14" x14ac:dyDescent="0.35">
      <c r="B106" s="439"/>
      <c r="C106" s="440" t="s">
        <v>648</v>
      </c>
      <c r="D106" s="441"/>
      <c r="E106" s="442">
        <v>500</v>
      </c>
      <c r="F106" s="11"/>
      <c r="G106" s="443"/>
      <c r="H106" s="448"/>
      <c r="I106" s="450"/>
    </row>
    <row r="107" spans="1:14" x14ac:dyDescent="0.35">
      <c r="B107" s="439"/>
      <c r="C107" s="440" t="s">
        <v>649</v>
      </c>
      <c r="D107" s="441"/>
      <c r="E107" s="442">
        <v>100</v>
      </c>
      <c r="F107" s="11"/>
      <c r="G107" s="443"/>
      <c r="H107" s="448"/>
      <c r="I107" s="450"/>
      <c r="K107" s="182"/>
    </row>
    <row r="108" spans="1:14" x14ac:dyDescent="0.35">
      <c r="B108" s="439"/>
      <c r="C108" s="440" t="s">
        <v>630</v>
      </c>
      <c r="D108" s="441"/>
      <c r="E108" s="442">
        <v>200</v>
      </c>
      <c r="F108" s="11"/>
      <c r="G108" s="443"/>
      <c r="H108" s="448"/>
      <c r="I108" s="450"/>
      <c r="K108" s="182"/>
    </row>
    <row r="109" spans="1:14" x14ac:dyDescent="0.35">
      <c r="B109" s="439"/>
      <c r="C109" s="440"/>
      <c r="D109" s="441"/>
      <c r="E109" s="442"/>
      <c r="F109" s="11"/>
      <c r="G109" s="443"/>
      <c r="H109" s="448"/>
      <c r="I109" s="450"/>
    </row>
    <row r="110" spans="1:14" x14ac:dyDescent="0.35">
      <c r="B110" s="439"/>
      <c r="C110" s="440"/>
      <c r="D110" s="441"/>
      <c r="E110" s="442"/>
      <c r="F110" s="11"/>
      <c r="G110" s="443"/>
      <c r="H110" s="11"/>
      <c r="I110" s="450"/>
    </row>
    <row r="111" spans="1:14" x14ac:dyDescent="0.35">
      <c r="B111" s="439"/>
      <c r="C111" s="440"/>
      <c r="D111" s="441"/>
      <c r="E111" s="442"/>
      <c r="F111" s="11"/>
      <c r="G111" s="443"/>
      <c r="H111" s="11"/>
      <c r="I111" s="12"/>
    </row>
    <row r="112" spans="1:14" x14ac:dyDescent="0.35">
      <c r="B112" s="439"/>
      <c r="C112" s="440"/>
      <c r="D112" s="441"/>
      <c r="E112" s="442"/>
      <c r="F112" s="11"/>
      <c r="G112" s="443"/>
      <c r="H112" s="11"/>
      <c r="I112" s="450"/>
    </row>
    <row r="113" spans="1:13" x14ac:dyDescent="0.35">
      <c r="B113" s="439"/>
      <c r="C113" s="440"/>
      <c r="D113" s="441"/>
      <c r="E113" s="442"/>
      <c r="F113" s="448"/>
      <c r="G113" s="447"/>
      <c r="H113" s="448"/>
      <c r="I113" s="450"/>
    </row>
    <row r="114" spans="1:13" x14ac:dyDescent="0.35">
      <c r="A114" s="438" t="s">
        <v>47</v>
      </c>
      <c r="B114" s="439"/>
      <c r="C114" s="440" t="s">
        <v>13</v>
      </c>
      <c r="D114" s="441">
        <v>2900</v>
      </c>
      <c r="E114" s="442"/>
      <c r="F114" s="11"/>
      <c r="G114" s="443"/>
      <c r="H114" s="11"/>
      <c r="I114" s="450"/>
    </row>
    <row r="115" spans="1:13" x14ac:dyDescent="0.35">
      <c r="A115" s="419" t="s">
        <v>620</v>
      </c>
      <c r="B115" s="439"/>
      <c r="C115" s="440" t="s">
        <v>530</v>
      </c>
      <c r="D115" s="441"/>
      <c r="E115" s="442">
        <v>120</v>
      </c>
      <c r="F115" s="11"/>
      <c r="G115" s="443"/>
      <c r="H115" s="11"/>
      <c r="I115" s="450"/>
    </row>
    <row r="116" spans="1:13" x14ac:dyDescent="0.35">
      <c r="A116" s="444">
        <f>SUM(D114:D132)</f>
        <v>2900</v>
      </c>
      <c r="B116" s="439"/>
      <c r="C116" s="440" t="s">
        <v>639</v>
      </c>
      <c r="D116" s="441"/>
      <c r="E116" s="442">
        <v>100</v>
      </c>
      <c r="F116" s="11"/>
      <c r="G116" s="443"/>
      <c r="H116" s="11"/>
      <c r="I116" s="12"/>
      <c r="L116" s="182"/>
      <c r="M116" s="182"/>
    </row>
    <row r="117" spans="1:13" x14ac:dyDescent="0.35">
      <c r="A117" s="419" t="s">
        <v>621</v>
      </c>
      <c r="B117" s="439"/>
      <c r="C117" s="440" t="s">
        <v>421</v>
      </c>
      <c r="D117" s="441"/>
      <c r="E117" s="442">
        <v>0</v>
      </c>
      <c r="F117" s="11"/>
      <c r="G117" s="443"/>
      <c r="H117" s="11"/>
      <c r="I117" s="12"/>
    </row>
    <row r="118" spans="1:13" x14ac:dyDescent="0.35">
      <c r="A118" s="444">
        <f>SUM(E114:E132)</f>
        <v>2700</v>
      </c>
      <c r="B118" s="439"/>
      <c r="C118" s="440" t="s">
        <v>630</v>
      </c>
      <c r="D118" s="441"/>
      <c r="E118" s="442">
        <v>555</v>
      </c>
      <c r="F118" s="11"/>
      <c r="G118" s="443"/>
      <c r="H118" s="11"/>
      <c r="I118" s="12"/>
    </row>
    <row r="119" spans="1:13" x14ac:dyDescent="0.35">
      <c r="A119" s="419" t="s">
        <v>622</v>
      </c>
      <c r="B119" s="439"/>
      <c r="C119" s="440" t="s">
        <v>650</v>
      </c>
      <c r="D119" s="441"/>
      <c r="E119" s="442">
        <v>600</v>
      </c>
      <c r="F119" s="11"/>
      <c r="G119" s="443"/>
      <c r="H119" s="11"/>
      <c r="I119" s="12"/>
    </row>
    <row r="120" spans="1:13" x14ac:dyDescent="0.35">
      <c r="A120" s="446">
        <f>+A116-A118</f>
        <v>200</v>
      </c>
      <c r="B120" s="439"/>
      <c r="C120" s="440" t="s">
        <v>529</v>
      </c>
      <c r="D120" s="441"/>
      <c r="E120" s="442">
        <v>130</v>
      </c>
      <c r="F120" s="11"/>
      <c r="G120" s="443"/>
      <c r="H120" s="11"/>
      <c r="I120" s="450"/>
    </row>
    <row r="121" spans="1:13" x14ac:dyDescent="0.35">
      <c r="A121" s="444" t="s">
        <v>623</v>
      </c>
      <c r="B121" s="439"/>
      <c r="C121" s="440" t="s">
        <v>651</v>
      </c>
      <c r="D121" s="441"/>
      <c r="E121" s="442">
        <v>500</v>
      </c>
      <c r="F121" s="11"/>
      <c r="G121" s="443"/>
      <c r="H121" s="448"/>
      <c r="I121" s="12"/>
    </row>
    <row r="122" spans="1:13" x14ac:dyDescent="0.35">
      <c r="A122" s="444">
        <f>_AGO11-A4+A105</f>
        <v>-1600</v>
      </c>
      <c r="B122" s="439"/>
      <c r="C122" s="440" t="s">
        <v>630</v>
      </c>
      <c r="D122" s="441"/>
      <c r="E122" s="442">
        <v>300</v>
      </c>
      <c r="F122" s="11"/>
      <c r="G122" s="447"/>
      <c r="H122" s="11"/>
      <c r="I122" s="12"/>
    </row>
    <row r="123" spans="1:13" x14ac:dyDescent="0.35">
      <c r="A123" s="444"/>
      <c r="B123" s="439"/>
      <c r="C123" s="440" t="s">
        <v>652</v>
      </c>
      <c r="D123" s="441"/>
      <c r="E123" s="442">
        <f>70+50</f>
        <v>120</v>
      </c>
      <c r="F123" s="11"/>
      <c r="G123" s="447"/>
      <c r="H123" s="11"/>
      <c r="I123" s="12"/>
    </row>
    <row r="124" spans="1:13" x14ac:dyDescent="0.35">
      <c r="A124" s="444"/>
      <c r="B124" s="439"/>
      <c r="C124" s="440" t="s">
        <v>653</v>
      </c>
      <c r="D124" s="441"/>
      <c r="E124" s="442">
        <v>275</v>
      </c>
      <c r="F124" s="11"/>
      <c r="G124" s="447"/>
      <c r="H124" s="11"/>
      <c r="I124" s="12"/>
    </row>
    <row r="125" spans="1:13" x14ac:dyDescent="0.35">
      <c r="A125" s="444"/>
      <c r="B125" s="439"/>
      <c r="C125" s="440"/>
      <c r="D125" s="441"/>
      <c r="E125" s="442"/>
      <c r="F125" s="11"/>
      <c r="G125" s="447"/>
      <c r="H125" s="11"/>
      <c r="I125" s="12"/>
    </row>
    <row r="126" spans="1:13" x14ac:dyDescent="0.35">
      <c r="A126" s="444"/>
      <c r="B126" s="439"/>
      <c r="C126" s="440"/>
      <c r="D126" s="441"/>
      <c r="E126" s="442"/>
      <c r="F126" s="11"/>
      <c r="G126" s="447"/>
      <c r="H126" s="11"/>
      <c r="I126" s="12"/>
    </row>
    <row r="127" spans="1:13" x14ac:dyDescent="0.35">
      <c r="A127" s="444"/>
      <c r="B127" s="439"/>
      <c r="C127" s="440"/>
      <c r="D127" s="441"/>
      <c r="E127" s="442"/>
      <c r="F127" s="11"/>
      <c r="G127" s="447"/>
      <c r="H127" s="11"/>
      <c r="I127" s="12"/>
    </row>
    <row r="128" spans="1:13" x14ac:dyDescent="0.35">
      <c r="A128" s="444"/>
      <c r="B128" s="439"/>
      <c r="C128" s="440"/>
      <c r="D128" s="441"/>
      <c r="E128" s="442"/>
      <c r="F128" s="11"/>
      <c r="G128" s="447"/>
      <c r="H128" s="11"/>
      <c r="I128" s="12"/>
    </row>
    <row r="129" spans="1:9" x14ac:dyDescent="0.35">
      <c r="A129" s="444"/>
      <c r="B129" s="439"/>
      <c r="C129" s="440"/>
      <c r="D129" s="441"/>
      <c r="E129" s="442"/>
      <c r="F129" s="11"/>
      <c r="G129" s="447"/>
      <c r="H129" s="11"/>
      <c r="I129" s="12"/>
    </row>
    <row r="130" spans="1:9" x14ac:dyDescent="0.35">
      <c r="A130" s="444"/>
      <c r="B130" s="439"/>
      <c r="C130" s="440"/>
      <c r="D130" s="441"/>
      <c r="E130" s="442"/>
      <c r="F130" s="11"/>
      <c r="G130" s="447"/>
      <c r="H130" s="11"/>
      <c r="I130" s="12"/>
    </row>
    <row r="131" spans="1:9" x14ac:dyDescent="0.35">
      <c r="A131" s="444"/>
      <c r="B131" s="439"/>
      <c r="C131" s="440"/>
      <c r="D131" s="441"/>
      <c r="E131" s="442"/>
      <c r="F131" s="11"/>
      <c r="G131" s="447"/>
      <c r="H131" s="11"/>
      <c r="I131" s="12"/>
    </row>
    <row r="132" spans="1:9" x14ac:dyDescent="0.35">
      <c r="B132" s="439"/>
      <c r="C132" s="440"/>
      <c r="D132" s="441"/>
      <c r="E132" s="442"/>
      <c r="F132" s="448"/>
      <c r="G132" s="447"/>
      <c r="H132" s="448"/>
      <c r="I132" s="12"/>
    </row>
    <row r="133" spans="1:9" x14ac:dyDescent="0.35">
      <c r="A133" s="438" t="s">
        <v>48</v>
      </c>
      <c r="B133" s="439"/>
      <c r="C133" s="440" t="s">
        <v>13</v>
      </c>
      <c r="D133" s="441">
        <v>2900</v>
      </c>
      <c r="E133" s="442"/>
      <c r="F133" s="11"/>
      <c r="G133" s="443"/>
      <c r="H133" s="11"/>
      <c r="I133" s="12"/>
    </row>
    <row r="134" spans="1:9" x14ac:dyDescent="0.35">
      <c r="A134" s="419" t="s">
        <v>620</v>
      </c>
      <c r="B134" s="439"/>
      <c r="C134" s="440" t="s">
        <v>530</v>
      </c>
      <c r="D134" s="441"/>
      <c r="E134" s="442">
        <v>100</v>
      </c>
      <c r="F134" s="11"/>
      <c r="G134" s="443"/>
      <c r="H134" s="11"/>
      <c r="I134" s="12"/>
    </row>
    <row r="135" spans="1:9" x14ac:dyDescent="0.35">
      <c r="A135" s="444">
        <f>SUM(D133:D147)</f>
        <v>2900</v>
      </c>
      <c r="B135" s="439"/>
      <c r="C135" s="440" t="s">
        <v>639</v>
      </c>
      <c r="D135" s="441"/>
      <c r="E135" s="442">
        <v>100</v>
      </c>
      <c r="F135" s="11"/>
      <c r="G135" s="443"/>
      <c r="H135" s="11"/>
      <c r="I135" s="12"/>
    </row>
    <row r="136" spans="1:9" x14ac:dyDescent="0.35">
      <c r="A136" s="419" t="s">
        <v>621</v>
      </c>
      <c r="B136" s="439"/>
      <c r="C136" s="440" t="s">
        <v>654</v>
      </c>
      <c r="D136" s="441"/>
      <c r="E136" s="442">
        <v>100</v>
      </c>
      <c r="F136" s="11"/>
      <c r="G136" s="443"/>
      <c r="H136" s="11"/>
      <c r="I136" s="12"/>
    </row>
    <row r="137" spans="1:9" x14ac:dyDescent="0.35">
      <c r="A137" s="444">
        <f>SUM(E133:E147)</f>
        <v>3200</v>
      </c>
      <c r="B137" s="439"/>
      <c r="C137" s="440" t="s">
        <v>630</v>
      </c>
      <c r="D137" s="441"/>
      <c r="E137" s="442">
        <v>700</v>
      </c>
      <c r="F137" s="11"/>
      <c r="G137" s="443"/>
      <c r="H137" s="11"/>
      <c r="I137" s="12"/>
    </row>
    <row r="138" spans="1:9" x14ac:dyDescent="0.35">
      <c r="A138" s="419" t="s">
        <v>622</v>
      </c>
      <c r="B138" s="439"/>
      <c r="C138" s="440" t="s">
        <v>529</v>
      </c>
      <c r="D138" s="441"/>
      <c r="E138" s="442">
        <v>260</v>
      </c>
      <c r="F138" s="11"/>
      <c r="G138" s="443"/>
      <c r="H138" s="11"/>
      <c r="I138" s="12"/>
    </row>
    <row r="139" spans="1:9" x14ac:dyDescent="0.35">
      <c r="A139" s="446">
        <f>+A135-A137</f>
        <v>-300</v>
      </c>
      <c r="B139" s="439"/>
      <c r="C139" s="440" t="s">
        <v>653</v>
      </c>
      <c r="D139" s="441"/>
      <c r="E139" s="442">
        <v>300</v>
      </c>
      <c r="F139" s="11"/>
      <c r="G139" s="443"/>
      <c r="H139" s="11"/>
      <c r="I139" s="12"/>
    </row>
    <row r="140" spans="1:9" x14ac:dyDescent="0.35">
      <c r="A140" s="419" t="s">
        <v>623</v>
      </c>
      <c r="B140" s="439"/>
      <c r="C140" s="440" t="s">
        <v>655</v>
      </c>
      <c r="D140" s="441"/>
      <c r="E140" s="442">
        <v>640</v>
      </c>
      <c r="F140" s="11"/>
      <c r="G140" s="443"/>
      <c r="H140" s="11"/>
      <c r="I140" s="12"/>
    </row>
    <row r="141" spans="1:9" x14ac:dyDescent="0.35">
      <c r="A141" s="444">
        <f>_SEP11-A4+A122</f>
        <v>-2300</v>
      </c>
      <c r="B141" s="439"/>
      <c r="C141" s="440" t="s">
        <v>656</v>
      </c>
      <c r="D141" s="441"/>
      <c r="E141" s="442">
        <v>100</v>
      </c>
      <c r="F141" s="11"/>
      <c r="G141" s="447"/>
      <c r="H141" s="11"/>
      <c r="I141" s="12"/>
    </row>
    <row r="142" spans="1:9" x14ac:dyDescent="0.35">
      <c r="A142" s="444"/>
      <c r="B142" s="439"/>
      <c r="C142" s="440" t="s">
        <v>657</v>
      </c>
      <c r="D142" s="441"/>
      <c r="E142" s="442">
        <v>500</v>
      </c>
      <c r="F142" s="11"/>
      <c r="G142" s="447"/>
      <c r="H142" s="11"/>
      <c r="I142" s="12"/>
    </row>
    <row r="143" spans="1:9" x14ac:dyDescent="0.35">
      <c r="A143" s="444"/>
      <c r="B143" s="439"/>
      <c r="C143" s="440" t="s">
        <v>658</v>
      </c>
      <c r="D143" s="441"/>
      <c r="E143" s="442">
        <v>300</v>
      </c>
      <c r="F143" s="11"/>
      <c r="G143" s="447"/>
      <c r="H143" s="11"/>
      <c r="I143" s="12"/>
    </row>
    <row r="144" spans="1:9" x14ac:dyDescent="0.35">
      <c r="A144" s="444"/>
      <c r="B144" s="439"/>
      <c r="C144" s="440" t="s">
        <v>964</v>
      </c>
      <c r="D144" s="441"/>
      <c r="E144" s="442">
        <v>100</v>
      </c>
      <c r="F144" s="11"/>
      <c r="G144" s="447"/>
      <c r="H144" s="11"/>
      <c r="I144" s="12"/>
    </row>
    <row r="145" spans="1:9" x14ac:dyDescent="0.35">
      <c r="A145" s="444"/>
      <c r="B145" s="439"/>
      <c r="C145" s="440"/>
      <c r="D145" s="441"/>
      <c r="E145" s="442"/>
      <c r="F145" s="11"/>
      <c r="G145" s="447"/>
      <c r="H145" s="11"/>
      <c r="I145" s="12"/>
    </row>
    <row r="146" spans="1:9" x14ac:dyDescent="0.35">
      <c r="A146" s="444"/>
      <c r="B146" s="439"/>
      <c r="C146" s="440"/>
      <c r="D146" s="441"/>
      <c r="E146" s="442"/>
      <c r="F146" s="11"/>
      <c r="G146" s="447"/>
      <c r="H146" s="11"/>
      <c r="I146" s="12"/>
    </row>
    <row r="147" spans="1:9" x14ac:dyDescent="0.35">
      <c r="B147" s="439"/>
      <c r="C147" s="440"/>
      <c r="D147" s="441"/>
      <c r="E147" s="442"/>
      <c r="F147" s="448"/>
      <c r="G147" s="447"/>
      <c r="H147" s="448"/>
      <c r="I147" s="12"/>
    </row>
    <row r="148" spans="1:9" x14ac:dyDescent="0.35">
      <c r="A148" s="438" t="s">
        <v>49</v>
      </c>
      <c r="B148" s="439"/>
      <c r="C148" s="440" t="s">
        <v>13</v>
      </c>
      <c r="D148" s="441">
        <v>2900</v>
      </c>
      <c r="E148" s="442"/>
      <c r="F148" s="11"/>
      <c r="G148" s="443"/>
      <c r="H148" s="11"/>
      <c r="I148" s="12"/>
    </row>
    <row r="149" spans="1:9" x14ac:dyDescent="0.35">
      <c r="A149" s="419" t="s">
        <v>620</v>
      </c>
      <c r="B149" s="439"/>
      <c r="C149" s="440" t="s">
        <v>530</v>
      </c>
      <c r="D149" s="441"/>
      <c r="E149" s="442">
        <v>200</v>
      </c>
      <c r="F149" s="11"/>
      <c r="G149" s="443"/>
      <c r="H149" s="11"/>
      <c r="I149" s="12"/>
    </row>
    <row r="150" spans="1:9" x14ac:dyDescent="0.35">
      <c r="A150" s="444">
        <f>SUM(D148:D162)</f>
        <v>2900</v>
      </c>
      <c r="B150" s="439"/>
      <c r="C150" s="440" t="s">
        <v>639</v>
      </c>
      <c r="D150" s="441"/>
      <c r="E150" s="442">
        <v>100</v>
      </c>
      <c r="F150" s="11"/>
      <c r="G150" s="443"/>
      <c r="H150" s="11"/>
      <c r="I150" s="12"/>
    </row>
    <row r="151" spans="1:9" x14ac:dyDescent="0.35">
      <c r="A151" s="419" t="s">
        <v>621</v>
      </c>
      <c r="B151" s="439"/>
      <c r="C151" s="440" t="s">
        <v>421</v>
      </c>
      <c r="D151" s="441"/>
      <c r="E151" s="442">
        <v>0</v>
      </c>
      <c r="F151" s="11"/>
      <c r="G151" s="443"/>
      <c r="H151" s="11"/>
      <c r="I151" s="12"/>
    </row>
    <row r="152" spans="1:9" x14ac:dyDescent="0.35">
      <c r="A152" s="444">
        <f>SUM(E148:E162)</f>
        <v>3200</v>
      </c>
      <c r="B152" s="439"/>
      <c r="C152" s="440" t="s">
        <v>630</v>
      </c>
      <c r="D152" s="441"/>
      <c r="E152" s="442">
        <v>745</v>
      </c>
      <c r="F152" s="11"/>
      <c r="G152" s="443"/>
      <c r="H152" s="11"/>
      <c r="I152" s="12"/>
    </row>
    <row r="153" spans="1:9" x14ac:dyDescent="0.35">
      <c r="A153" s="419" t="s">
        <v>622</v>
      </c>
      <c r="B153" s="439"/>
      <c r="C153" s="440" t="s">
        <v>529</v>
      </c>
      <c r="D153" s="441"/>
      <c r="E153" s="442">
        <f>140+60</f>
        <v>200</v>
      </c>
      <c r="F153" s="11"/>
      <c r="G153" s="443"/>
      <c r="H153" s="11"/>
      <c r="I153" s="12"/>
    </row>
    <row r="154" spans="1:9" x14ac:dyDescent="0.35">
      <c r="A154" s="446">
        <f>+A150-A152</f>
        <v>-300</v>
      </c>
      <c r="B154" s="439"/>
      <c r="C154" s="440" t="s">
        <v>653</v>
      </c>
      <c r="D154" s="441"/>
      <c r="E154" s="442">
        <v>300</v>
      </c>
      <c r="F154" s="11"/>
      <c r="G154" s="443"/>
      <c r="H154" s="11"/>
      <c r="I154" s="12"/>
    </row>
    <row r="155" spans="1:9" x14ac:dyDescent="0.35">
      <c r="A155" s="419" t="s">
        <v>623</v>
      </c>
      <c r="B155" s="439"/>
      <c r="C155" s="440" t="s">
        <v>659</v>
      </c>
      <c r="D155" s="441"/>
      <c r="E155" s="442">
        <v>300</v>
      </c>
      <c r="F155" s="11"/>
      <c r="G155" s="443"/>
      <c r="H155" s="11"/>
      <c r="I155" s="12"/>
    </row>
    <row r="156" spans="1:9" x14ac:dyDescent="0.35">
      <c r="A156" s="444">
        <f>_OCT11-A4+A141</f>
        <v>-3000</v>
      </c>
      <c r="B156" s="439"/>
      <c r="C156" s="440" t="s">
        <v>660</v>
      </c>
      <c r="D156" s="441"/>
      <c r="E156" s="442">
        <v>525</v>
      </c>
      <c r="F156" s="11"/>
      <c r="G156" s="447"/>
      <c r="H156" s="11"/>
      <c r="I156" s="12"/>
    </row>
    <row r="157" spans="1:9" x14ac:dyDescent="0.35">
      <c r="A157" s="444"/>
      <c r="B157" s="439"/>
      <c r="C157" s="440" t="s">
        <v>965</v>
      </c>
      <c r="D157" s="441"/>
      <c r="E157" s="442">
        <v>200</v>
      </c>
      <c r="F157" s="11"/>
      <c r="G157" s="447"/>
      <c r="H157" s="11"/>
      <c r="I157" s="12"/>
    </row>
    <row r="158" spans="1:9" x14ac:dyDescent="0.35">
      <c r="A158" s="444"/>
      <c r="B158" s="439"/>
      <c r="C158" s="440" t="s">
        <v>661</v>
      </c>
      <c r="D158" s="441"/>
      <c r="E158" s="442">
        <v>200</v>
      </c>
      <c r="F158" s="11"/>
      <c r="G158" s="447"/>
      <c r="H158" s="11"/>
      <c r="I158" s="12"/>
    </row>
    <row r="159" spans="1:9" x14ac:dyDescent="0.35">
      <c r="A159" s="444"/>
      <c r="B159" s="439"/>
      <c r="C159" s="440" t="s">
        <v>658</v>
      </c>
      <c r="D159" s="441"/>
      <c r="E159" s="442">
        <v>250</v>
      </c>
      <c r="F159" s="11"/>
      <c r="G159" s="447"/>
      <c r="H159" s="11"/>
      <c r="I159" s="12"/>
    </row>
    <row r="160" spans="1:9" x14ac:dyDescent="0.35">
      <c r="A160" s="444"/>
      <c r="B160" s="439"/>
      <c r="C160" s="440" t="s">
        <v>662</v>
      </c>
      <c r="D160" s="441"/>
      <c r="E160" s="442">
        <v>180</v>
      </c>
      <c r="F160" s="11"/>
      <c r="G160" s="447"/>
      <c r="H160" s="11"/>
      <c r="I160" s="12"/>
    </row>
    <row r="161" spans="1:9" x14ac:dyDescent="0.35">
      <c r="A161" s="444"/>
      <c r="B161" s="439"/>
      <c r="C161" s="440"/>
      <c r="D161" s="441"/>
      <c r="E161" s="442"/>
      <c r="F161" s="11"/>
      <c r="G161" s="447"/>
      <c r="H161" s="11"/>
      <c r="I161" s="12"/>
    </row>
    <row r="162" spans="1:9" x14ac:dyDescent="0.35">
      <c r="B162" s="439"/>
      <c r="C162" s="440"/>
      <c r="D162" s="441"/>
      <c r="E162" s="442"/>
      <c r="F162" s="448"/>
      <c r="G162" s="447"/>
      <c r="H162" s="448"/>
      <c r="I162" s="12"/>
    </row>
    <row r="163" spans="1:9" x14ac:dyDescent="0.35">
      <c r="A163" s="438" t="s">
        <v>50</v>
      </c>
      <c r="B163" s="439"/>
      <c r="C163" s="440" t="s">
        <v>13</v>
      </c>
      <c r="D163" s="441">
        <v>2900</v>
      </c>
      <c r="E163" s="442"/>
      <c r="F163" s="11"/>
      <c r="G163" s="443"/>
      <c r="H163" s="11"/>
      <c r="I163" s="12"/>
    </row>
    <row r="164" spans="1:9" x14ac:dyDescent="0.35">
      <c r="A164" s="419" t="s">
        <v>620</v>
      </c>
      <c r="B164" s="439"/>
      <c r="C164" s="440" t="s">
        <v>530</v>
      </c>
      <c r="D164" s="441"/>
      <c r="E164" s="442">
        <v>130</v>
      </c>
      <c r="F164" s="11"/>
      <c r="G164" s="443"/>
      <c r="H164" s="11"/>
      <c r="I164" s="12"/>
    </row>
    <row r="165" spans="1:9" x14ac:dyDescent="0.35">
      <c r="A165" s="444">
        <f>SUM(D163:D177)</f>
        <v>2900</v>
      </c>
      <c r="B165" s="439"/>
      <c r="C165" s="440" t="s">
        <v>639</v>
      </c>
      <c r="D165" s="441"/>
      <c r="E165" s="442">
        <v>80</v>
      </c>
      <c r="F165" s="11"/>
      <c r="G165" s="443"/>
      <c r="H165" s="11"/>
      <c r="I165" s="450"/>
    </row>
    <row r="166" spans="1:9" x14ac:dyDescent="0.35">
      <c r="A166" s="419" t="s">
        <v>621</v>
      </c>
      <c r="B166" s="439"/>
      <c r="C166" s="440" t="s">
        <v>421</v>
      </c>
      <c r="D166" s="441"/>
      <c r="E166" s="442">
        <v>0</v>
      </c>
      <c r="F166" s="11"/>
      <c r="G166" s="443"/>
      <c r="H166" s="11"/>
      <c r="I166" s="12"/>
    </row>
    <row r="167" spans="1:9" x14ac:dyDescent="0.35">
      <c r="A167" s="444">
        <f>SUM(E163:E177)</f>
        <v>3200</v>
      </c>
      <c r="B167" s="439"/>
      <c r="C167" s="440" t="s">
        <v>630</v>
      </c>
      <c r="D167" s="441"/>
      <c r="E167" s="442">
        <v>500</v>
      </c>
      <c r="F167" s="11"/>
      <c r="G167" s="443"/>
      <c r="H167" s="11"/>
      <c r="I167" s="12"/>
    </row>
    <row r="168" spans="1:9" x14ac:dyDescent="0.35">
      <c r="A168" s="419" t="s">
        <v>622</v>
      </c>
      <c r="B168" s="439"/>
      <c r="C168" s="440" t="s">
        <v>529</v>
      </c>
      <c r="D168" s="441"/>
      <c r="E168" s="442">
        <v>120</v>
      </c>
      <c r="F168" s="11"/>
      <c r="G168" s="443"/>
      <c r="H168" s="11"/>
      <c r="I168" s="12"/>
    </row>
    <row r="169" spans="1:9" x14ac:dyDescent="0.35">
      <c r="A169" s="446">
        <f>+A165-A167</f>
        <v>-300</v>
      </c>
      <c r="B169" s="439"/>
      <c r="C169" s="440" t="s">
        <v>653</v>
      </c>
      <c r="D169" s="441"/>
      <c r="E169" s="442">
        <v>300</v>
      </c>
      <c r="F169" s="11"/>
      <c r="G169" s="443"/>
      <c r="H169" s="11"/>
      <c r="I169" s="12"/>
    </row>
    <row r="170" spans="1:9" x14ac:dyDescent="0.35">
      <c r="A170" s="419" t="s">
        <v>623</v>
      </c>
      <c r="B170" s="439"/>
      <c r="C170" s="440" t="s">
        <v>663</v>
      </c>
      <c r="D170" s="441"/>
      <c r="E170" s="442">
        <v>670</v>
      </c>
      <c r="F170" s="448"/>
      <c r="G170" s="443"/>
      <c r="H170" s="11"/>
      <c r="I170" s="12"/>
    </row>
    <row r="171" spans="1:9" x14ac:dyDescent="0.35">
      <c r="A171" s="444">
        <f>_NOV11-A4+A156</f>
        <v>-3700</v>
      </c>
      <c r="B171" s="439"/>
      <c r="C171" s="440" t="s">
        <v>658</v>
      </c>
      <c r="D171" s="441"/>
      <c r="E171" s="442">
        <v>400</v>
      </c>
      <c r="F171" s="11"/>
      <c r="G171" s="447"/>
      <c r="H171" s="11"/>
      <c r="I171" s="12"/>
    </row>
    <row r="172" spans="1:9" x14ac:dyDescent="0.35">
      <c r="A172" s="444"/>
      <c r="B172" s="439"/>
      <c r="C172" s="440" t="s">
        <v>664</v>
      </c>
      <c r="D172" s="441"/>
      <c r="E172" s="442">
        <v>450</v>
      </c>
      <c r="F172" s="11"/>
      <c r="G172" s="447"/>
      <c r="H172" s="11"/>
      <c r="I172" s="12"/>
    </row>
    <row r="173" spans="1:9" x14ac:dyDescent="0.35">
      <c r="A173" s="444"/>
      <c r="B173" s="439"/>
      <c r="C173" s="440" t="s">
        <v>665</v>
      </c>
      <c r="D173" s="441"/>
      <c r="E173" s="442">
        <v>200</v>
      </c>
      <c r="F173" s="11"/>
      <c r="G173" s="447"/>
      <c r="H173" s="11"/>
      <c r="I173" s="12"/>
    </row>
    <row r="174" spans="1:9" x14ac:dyDescent="0.35">
      <c r="A174" s="444"/>
      <c r="B174" s="439"/>
      <c r="C174" s="440" t="s">
        <v>666</v>
      </c>
      <c r="D174" s="441"/>
      <c r="E174" s="442">
        <v>100</v>
      </c>
      <c r="F174" s="11"/>
      <c r="G174" s="447"/>
      <c r="H174" s="11"/>
      <c r="I174" s="12"/>
    </row>
    <row r="175" spans="1:9" x14ac:dyDescent="0.35">
      <c r="A175" s="444"/>
      <c r="B175" s="439"/>
      <c r="C175" s="440" t="s">
        <v>667</v>
      </c>
      <c r="D175" s="441"/>
      <c r="E175" s="442">
        <v>150</v>
      </c>
      <c r="F175" s="11"/>
      <c r="G175" s="447"/>
      <c r="H175" s="11"/>
      <c r="I175" s="12"/>
    </row>
    <row r="176" spans="1:9" x14ac:dyDescent="0.35">
      <c r="A176" s="444"/>
      <c r="B176" s="439"/>
      <c r="C176" s="440" t="s">
        <v>668</v>
      </c>
      <c r="D176" s="441"/>
      <c r="E176" s="442">
        <v>100</v>
      </c>
      <c r="F176" s="11"/>
      <c r="G176" s="447"/>
      <c r="H176" s="448"/>
      <c r="I176" s="12"/>
    </row>
    <row r="177" spans="1:10" x14ac:dyDescent="0.35">
      <c r="B177" s="439"/>
      <c r="C177" s="440"/>
      <c r="D177" s="441"/>
      <c r="E177" s="442"/>
      <c r="F177" s="448"/>
      <c r="G177" s="447"/>
      <c r="H177" s="448"/>
      <c r="I177" s="12"/>
    </row>
    <row r="178" spans="1:10" x14ac:dyDescent="0.35">
      <c r="A178" s="438" t="s">
        <v>51</v>
      </c>
      <c r="B178" s="439"/>
      <c r="C178" s="440" t="s">
        <v>13</v>
      </c>
      <c r="D178" s="441">
        <v>3200</v>
      </c>
      <c r="E178" s="442"/>
      <c r="F178" s="11"/>
      <c r="G178" s="443"/>
      <c r="H178" s="11"/>
      <c r="I178" s="12"/>
    </row>
    <row r="179" spans="1:10" x14ac:dyDescent="0.35">
      <c r="A179" s="419" t="s">
        <v>620</v>
      </c>
      <c r="B179" s="439"/>
      <c r="C179" s="440" t="s">
        <v>530</v>
      </c>
      <c r="D179" s="441"/>
      <c r="E179" s="442">
        <v>40</v>
      </c>
      <c r="F179" s="11"/>
      <c r="G179" s="447"/>
      <c r="H179" s="11"/>
      <c r="I179" s="12"/>
    </row>
    <row r="180" spans="1:10" x14ac:dyDescent="0.35">
      <c r="A180" s="444">
        <f>SUM(D178:D193)</f>
        <v>3200</v>
      </c>
      <c r="B180" s="439"/>
      <c r="C180" s="440" t="s">
        <v>639</v>
      </c>
      <c r="D180" s="441"/>
      <c r="E180" s="442">
        <v>50</v>
      </c>
      <c r="F180" s="11"/>
      <c r="G180" s="447"/>
      <c r="H180" s="11"/>
      <c r="I180" s="12"/>
    </row>
    <row r="181" spans="1:10" x14ac:dyDescent="0.35">
      <c r="A181" s="419" t="s">
        <v>621</v>
      </c>
      <c r="B181" s="439"/>
      <c r="C181" s="440" t="s">
        <v>421</v>
      </c>
      <c r="D181" s="441"/>
      <c r="E181" s="442">
        <v>100</v>
      </c>
      <c r="F181" s="11"/>
      <c r="G181" s="447"/>
      <c r="H181" s="11"/>
      <c r="I181" s="12"/>
      <c r="J181" s="15"/>
    </row>
    <row r="182" spans="1:10" x14ac:dyDescent="0.35">
      <c r="A182" s="444">
        <f>SUM(E178:E193)</f>
        <v>3300</v>
      </c>
      <c r="B182" s="439"/>
      <c r="C182" s="440" t="s">
        <v>630</v>
      </c>
      <c r="D182" s="441"/>
      <c r="E182" s="442">
        <v>760</v>
      </c>
      <c r="F182" s="11"/>
      <c r="G182" s="447"/>
      <c r="H182" s="448"/>
      <c r="I182" s="450"/>
      <c r="J182" s="15"/>
    </row>
    <row r="183" spans="1:10" x14ac:dyDescent="0.35">
      <c r="A183" s="419" t="s">
        <v>622</v>
      </c>
      <c r="B183" s="439"/>
      <c r="C183" s="440" t="s">
        <v>529</v>
      </c>
      <c r="D183" s="441"/>
      <c r="E183" s="442">
        <v>190</v>
      </c>
      <c r="F183" s="11"/>
      <c r="G183" s="447"/>
      <c r="H183" s="11"/>
      <c r="I183" s="450"/>
      <c r="J183" s="15"/>
    </row>
    <row r="184" spans="1:10" x14ac:dyDescent="0.35">
      <c r="A184" s="446">
        <f>+A180-A182</f>
        <v>-100</v>
      </c>
      <c r="B184" s="439"/>
      <c r="C184" s="440" t="s">
        <v>653</v>
      </c>
      <c r="D184" s="441"/>
      <c r="E184" s="442">
        <v>310</v>
      </c>
      <c r="F184" s="11"/>
      <c r="G184" s="447"/>
      <c r="H184" s="11"/>
      <c r="I184" s="12"/>
      <c r="J184" s="15"/>
    </row>
    <row r="185" spans="1:10" x14ac:dyDescent="0.35">
      <c r="A185" s="419" t="s">
        <v>623</v>
      </c>
      <c r="B185" s="439"/>
      <c r="C185" s="440" t="s">
        <v>669</v>
      </c>
      <c r="D185" s="441"/>
      <c r="E185" s="442">
        <v>650</v>
      </c>
      <c r="F185" s="11"/>
      <c r="G185" s="447"/>
      <c r="H185" s="448"/>
      <c r="I185" s="450"/>
      <c r="J185" s="15"/>
    </row>
    <row r="186" spans="1:10" x14ac:dyDescent="0.35">
      <c r="A186" s="444">
        <f>_DIC11-A4+A171</f>
        <v>-4200</v>
      </c>
      <c r="B186" s="439"/>
      <c r="C186" s="440" t="s">
        <v>658</v>
      </c>
      <c r="D186" s="441"/>
      <c r="E186" s="442">
        <v>400</v>
      </c>
      <c r="F186" s="11"/>
      <c r="G186" s="447"/>
      <c r="H186" s="11"/>
      <c r="I186" s="450"/>
      <c r="J186" s="15"/>
    </row>
    <row r="187" spans="1:10" x14ac:dyDescent="0.35">
      <c r="A187" s="444"/>
      <c r="B187" s="439"/>
      <c r="C187" s="440" t="s">
        <v>670</v>
      </c>
      <c r="D187" s="441"/>
      <c r="E187" s="442">
        <v>100</v>
      </c>
      <c r="F187" s="11"/>
      <c r="G187" s="447"/>
      <c r="H187" s="448"/>
      <c r="I187" s="450"/>
      <c r="J187" s="15"/>
    </row>
    <row r="188" spans="1:10" x14ac:dyDescent="0.35">
      <c r="A188" s="444"/>
      <c r="B188" s="439"/>
      <c r="C188" s="440" t="s">
        <v>671</v>
      </c>
      <c r="D188" s="441"/>
      <c r="E188" s="442">
        <v>100</v>
      </c>
      <c r="F188" s="11"/>
      <c r="G188" s="447"/>
      <c r="H188" s="11"/>
      <c r="I188" s="450"/>
      <c r="J188" s="15"/>
    </row>
    <row r="189" spans="1:10" x14ac:dyDescent="0.35">
      <c r="A189" s="444"/>
      <c r="B189" s="439"/>
      <c r="C189" s="440" t="s">
        <v>672</v>
      </c>
      <c r="D189" s="441"/>
      <c r="E189" s="442">
        <v>50</v>
      </c>
      <c r="F189" s="11"/>
      <c r="G189" s="447"/>
      <c r="H189" s="11"/>
      <c r="I189" s="450"/>
      <c r="J189" s="15"/>
    </row>
    <row r="190" spans="1:10" x14ac:dyDescent="0.35">
      <c r="A190" s="444"/>
      <c r="B190" s="439"/>
      <c r="C190" s="440" t="s">
        <v>673</v>
      </c>
      <c r="D190" s="441"/>
      <c r="E190" s="442">
        <v>250</v>
      </c>
      <c r="F190" s="11"/>
      <c r="G190" s="447"/>
      <c r="H190" s="11"/>
      <c r="I190" s="12"/>
    </row>
    <row r="191" spans="1:10" x14ac:dyDescent="0.35">
      <c r="A191" s="444"/>
      <c r="B191" s="439"/>
      <c r="C191" s="440" t="s">
        <v>674</v>
      </c>
      <c r="D191" s="441"/>
      <c r="E191" s="442">
        <v>200</v>
      </c>
      <c r="F191" s="11"/>
      <c r="G191" s="447"/>
      <c r="H191" s="11"/>
      <c r="I191" s="12"/>
    </row>
    <row r="192" spans="1:10" x14ac:dyDescent="0.35">
      <c r="A192" s="444"/>
      <c r="B192" s="439"/>
      <c r="C192" s="440" t="s">
        <v>675</v>
      </c>
      <c r="D192" s="441"/>
      <c r="E192" s="442">
        <v>100</v>
      </c>
      <c r="F192" s="11"/>
      <c r="G192" s="447"/>
      <c r="H192" s="11"/>
      <c r="I192" s="12"/>
    </row>
    <row r="193" spans="2:11" x14ac:dyDescent="0.35">
      <c r="B193" s="439"/>
      <c r="C193" s="440"/>
      <c r="D193" s="441"/>
      <c r="E193" s="442"/>
      <c r="F193" s="448"/>
      <c r="G193" s="447"/>
      <c r="H193" s="448"/>
      <c r="I193" s="12"/>
    </row>
    <row r="194" spans="2:11" x14ac:dyDescent="0.35">
      <c r="D194" s="320"/>
      <c r="E194" s="320"/>
    </row>
    <row r="195" spans="2:11" x14ac:dyDescent="0.35">
      <c r="D195" s="320"/>
      <c r="E195" s="320"/>
    </row>
    <row r="196" spans="2:11" x14ac:dyDescent="0.35">
      <c r="D196" s="320"/>
      <c r="E196" s="320"/>
    </row>
    <row r="197" spans="2:11" x14ac:dyDescent="0.35">
      <c r="D197" s="320"/>
      <c r="E197" s="320"/>
      <c r="I197" s="577" t="s">
        <v>28</v>
      </c>
      <c r="J197" s="578">
        <f>E2</f>
        <v>600</v>
      </c>
      <c r="K197" s="577"/>
    </row>
    <row r="198" spans="2:11" x14ac:dyDescent="0.35">
      <c r="D198" s="320"/>
      <c r="E198" s="320"/>
      <c r="I198" s="577" t="s">
        <v>29</v>
      </c>
      <c r="J198" s="577"/>
      <c r="K198" s="577"/>
    </row>
    <row r="199" spans="2:11" x14ac:dyDescent="0.35">
      <c r="D199" s="320"/>
      <c r="E199" s="320"/>
      <c r="I199" s="580">
        <f>_ENE11</f>
        <v>1000</v>
      </c>
      <c r="J199" s="580"/>
      <c r="K199" s="577" t="s">
        <v>31</v>
      </c>
    </row>
    <row r="200" spans="2:11" x14ac:dyDescent="0.35">
      <c r="D200" s="320"/>
      <c r="E200" s="320"/>
      <c r="I200" s="580">
        <f>_FEB11</f>
        <v>-600</v>
      </c>
      <c r="J200" s="580"/>
      <c r="K200" s="577"/>
    </row>
    <row r="201" spans="2:11" x14ac:dyDescent="0.35">
      <c r="D201" s="320"/>
      <c r="E201" s="320"/>
      <c r="I201" s="580">
        <f>_MAR11</f>
        <v>-200</v>
      </c>
      <c r="J201" s="580"/>
      <c r="K201" s="577"/>
    </row>
    <row r="202" spans="2:11" x14ac:dyDescent="0.35">
      <c r="D202" s="320"/>
      <c r="E202" s="320"/>
      <c r="I202" s="580">
        <f>_ABR11</f>
        <v>550</v>
      </c>
      <c r="J202" s="580"/>
      <c r="K202" s="577"/>
    </row>
    <row r="203" spans="2:11" x14ac:dyDescent="0.35">
      <c r="D203" s="320"/>
      <c r="E203" s="320"/>
      <c r="I203" s="580">
        <f>_MAY11</f>
        <v>250</v>
      </c>
      <c r="J203" s="580"/>
      <c r="K203" s="577"/>
    </row>
    <row r="204" spans="2:11" x14ac:dyDescent="0.35">
      <c r="D204" s="320"/>
      <c r="E204" s="320"/>
      <c r="I204" s="580">
        <f>_JUN11</f>
        <v>300</v>
      </c>
      <c r="J204" s="580"/>
      <c r="K204" s="577"/>
    </row>
    <row r="205" spans="2:11" x14ac:dyDescent="0.35">
      <c r="D205" s="320"/>
      <c r="E205" s="320"/>
      <c r="I205" s="580">
        <f>_JUL11</f>
        <v>100</v>
      </c>
      <c r="J205" s="580"/>
      <c r="K205" s="577"/>
    </row>
    <row r="206" spans="2:11" x14ac:dyDescent="0.35">
      <c r="D206" s="320"/>
      <c r="E206" s="320"/>
      <c r="I206" s="580">
        <f>_AGO11</f>
        <v>200</v>
      </c>
      <c r="J206" s="580"/>
      <c r="K206" s="577"/>
    </row>
    <row r="207" spans="2:11" x14ac:dyDescent="0.35">
      <c r="D207" s="320"/>
      <c r="E207" s="320"/>
      <c r="I207" s="580">
        <f>_SEP11</f>
        <v>-300</v>
      </c>
      <c r="J207" s="580"/>
      <c r="K207" s="577"/>
    </row>
    <row r="208" spans="2:11" x14ac:dyDescent="0.35">
      <c r="D208" s="320"/>
      <c r="E208" s="320"/>
      <c r="I208" s="580">
        <f>_OCT11</f>
        <v>-300</v>
      </c>
      <c r="J208" s="580"/>
      <c r="K208" s="577"/>
    </row>
    <row r="209" spans="2:14" x14ac:dyDescent="0.35">
      <c r="D209" s="320"/>
      <c r="E209" s="320"/>
      <c r="I209" s="580">
        <f>_NOV11</f>
        <v>-300</v>
      </c>
      <c r="J209" s="580"/>
      <c r="K209" s="577"/>
    </row>
    <row r="210" spans="2:14" x14ac:dyDescent="0.35">
      <c r="D210" s="320"/>
      <c r="E210" s="320"/>
      <c r="I210" s="580">
        <f>_DIC11</f>
        <v>-100</v>
      </c>
      <c r="J210" s="580"/>
      <c r="K210" s="577"/>
    </row>
    <row r="211" spans="2:14" x14ac:dyDescent="0.35">
      <c r="D211" s="320"/>
      <c r="E211" s="320"/>
      <c r="I211" s="580">
        <f>SUM(I199:I210)</f>
        <v>600</v>
      </c>
      <c r="J211" s="580">
        <f>-SUM(J199:J210)</f>
        <v>0</v>
      </c>
      <c r="K211" s="580">
        <f>I211-J211</f>
        <v>600</v>
      </c>
    </row>
    <row r="212" spans="2:14" x14ac:dyDescent="0.35">
      <c r="D212" s="320"/>
      <c r="E212" s="320"/>
      <c r="I212" s="23"/>
      <c r="J212" s="23"/>
      <c r="K212" s="15"/>
    </row>
    <row r="213" spans="2:14" x14ac:dyDescent="0.35">
      <c r="D213" s="320"/>
      <c r="E213" s="320"/>
      <c r="F213" s="582"/>
      <c r="G213" s="583"/>
      <c r="H213" s="49"/>
      <c r="I213" s="181"/>
      <c r="J213" s="323"/>
      <c r="K213" s="51"/>
      <c r="L213" s="37"/>
      <c r="M213" s="576"/>
      <c r="N213" s="37"/>
    </row>
    <row r="214" spans="2:14" x14ac:dyDescent="0.35">
      <c r="D214" s="320"/>
      <c r="E214" s="320"/>
      <c r="F214" s="582"/>
      <c r="G214" s="583"/>
      <c r="H214" s="50"/>
      <c r="I214" s="181"/>
      <c r="J214" s="565"/>
      <c r="K214" s="51"/>
      <c r="L214" s="43"/>
      <c r="M214" s="37"/>
      <c r="N214" s="37"/>
    </row>
    <row r="215" spans="2:14" x14ac:dyDescent="0.35">
      <c r="B215" s="380" t="s">
        <v>32</v>
      </c>
      <c r="C215" s="380" t="s">
        <v>33</v>
      </c>
      <c r="F215" s="582"/>
      <c r="G215" s="583"/>
      <c r="H215" s="49"/>
      <c r="I215" s="181"/>
      <c r="J215" s="323"/>
      <c r="K215" s="51"/>
      <c r="L215" s="37"/>
      <c r="M215" s="37"/>
      <c r="N215" s="37"/>
    </row>
    <row r="216" spans="2:14" x14ac:dyDescent="0.35">
      <c r="B216" s="380">
        <f>SUM(D6:D215)</f>
        <v>36600</v>
      </c>
      <c r="C216" s="380">
        <f>SUM(E6:E215)</f>
        <v>36000</v>
      </c>
      <c r="F216" s="582"/>
      <c r="G216" s="583"/>
      <c r="H216" s="49"/>
      <c r="I216" s="323"/>
      <c r="J216" s="323"/>
      <c r="K216" s="51"/>
      <c r="L216" s="37"/>
      <c r="M216" s="37"/>
      <c r="N216" s="37"/>
    </row>
    <row r="217" spans="2:14" x14ac:dyDescent="0.35">
      <c r="D217" s="320"/>
      <c r="E217" s="320"/>
      <c r="F217" s="582"/>
      <c r="G217" s="583"/>
      <c r="H217" s="49"/>
      <c r="I217" s="584"/>
      <c r="J217" s="323"/>
      <c r="K217" s="51"/>
      <c r="L217" s="37"/>
      <c r="M217" s="37"/>
      <c r="N217" s="37"/>
    </row>
    <row r="218" spans="2:14" x14ac:dyDescent="0.35">
      <c r="F218" s="582"/>
      <c r="G218" s="583"/>
      <c r="H218" s="49"/>
      <c r="I218" s="181"/>
      <c r="J218" s="323"/>
      <c r="K218" s="51"/>
      <c r="L218" s="37"/>
      <c r="M218" s="37"/>
      <c r="N218" s="37"/>
    </row>
    <row r="219" spans="2:14" x14ac:dyDescent="0.35">
      <c r="I219" s="24"/>
      <c r="J219" s="23"/>
      <c r="K219" s="15"/>
    </row>
    <row r="220" spans="2:14" x14ac:dyDescent="0.35">
      <c r="I220" s="24"/>
      <c r="J220" s="23"/>
      <c r="K220" s="15"/>
    </row>
    <row r="221" spans="2:14" x14ac:dyDescent="0.3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I10" sqref="I10"/>
    </sheetView>
  </sheetViews>
  <sheetFormatPr baseColWidth="10" defaultColWidth="11.36328125" defaultRowHeight="14.5" x14ac:dyDescent="0.35"/>
  <cols>
    <col min="1" max="1" width="15.36328125" style="1074" customWidth="1"/>
    <col min="2" max="2" width="41.26953125" style="229" customWidth="1"/>
    <col min="3" max="3" width="15.36328125" style="1073" customWidth="1"/>
    <col min="4" max="4" width="15.7265625" style="229" customWidth="1"/>
    <col min="5" max="5" width="15.26953125" style="229" customWidth="1"/>
    <col min="6" max="6" width="11.36328125" style="229"/>
    <col min="7" max="7" width="15.36328125" style="229" customWidth="1"/>
    <col min="8" max="8" width="11.36328125" style="229"/>
    <col min="9" max="9" width="13.08984375" style="859" bestFit="1" customWidth="1"/>
    <col min="10" max="16384" width="11.36328125" style="229"/>
  </cols>
  <sheetData>
    <row r="1" spans="1:9" x14ac:dyDescent="0.35">
      <c r="A1" s="961">
        <v>44732</v>
      </c>
      <c r="B1" s="229" t="s">
        <v>992</v>
      </c>
      <c r="D1" s="229">
        <v>12</v>
      </c>
      <c r="E1" s="37">
        <v>1077.4100000000001</v>
      </c>
      <c r="F1" s="229">
        <v>11</v>
      </c>
      <c r="G1" s="229">
        <f t="shared" ref="G1:G4" si="0">+F1*E1</f>
        <v>11851.51</v>
      </c>
      <c r="H1" s="229">
        <v>10</v>
      </c>
      <c r="I1" s="859">
        <f t="shared" ref="I1:I4" si="1">+H1*E1</f>
        <v>10774.1</v>
      </c>
    </row>
    <row r="2" spans="1:9" x14ac:dyDescent="0.35">
      <c r="A2" s="961">
        <v>44759</v>
      </c>
      <c r="B2" s="229" t="s">
        <v>1136</v>
      </c>
      <c r="D2" s="229">
        <v>3</v>
      </c>
      <c r="E2" s="37">
        <v>1900</v>
      </c>
      <c r="F2" s="229">
        <v>2</v>
      </c>
      <c r="G2" s="229">
        <f t="shared" si="0"/>
        <v>3800</v>
      </c>
      <c r="H2" s="229">
        <v>1</v>
      </c>
      <c r="I2" s="859">
        <f t="shared" si="1"/>
        <v>1900</v>
      </c>
    </row>
    <row r="3" spans="1:9" x14ac:dyDescent="0.35">
      <c r="A3" s="961">
        <v>44676</v>
      </c>
      <c r="B3" s="229" t="s">
        <v>992</v>
      </c>
      <c r="D3" s="229">
        <v>12</v>
      </c>
      <c r="E3" s="37">
        <v>10281.52</v>
      </c>
      <c r="F3" s="229">
        <v>8</v>
      </c>
      <c r="G3" s="229">
        <f t="shared" si="0"/>
        <v>82252.160000000003</v>
      </c>
      <c r="H3" s="229">
        <v>7</v>
      </c>
      <c r="I3" s="859">
        <f t="shared" si="1"/>
        <v>71970.64</v>
      </c>
    </row>
    <row r="4" spans="1:9" x14ac:dyDescent="0.35">
      <c r="A4" s="961">
        <v>44639</v>
      </c>
      <c r="B4" s="229" t="s">
        <v>998</v>
      </c>
      <c r="C4" s="1035"/>
      <c r="D4" s="960">
        <v>12</v>
      </c>
      <c r="E4" s="229">
        <v>7674.33</v>
      </c>
      <c r="F4" s="229">
        <v>8</v>
      </c>
      <c r="G4" s="229">
        <f t="shared" si="0"/>
        <v>61394.64</v>
      </c>
      <c r="H4" s="229">
        <v>7</v>
      </c>
      <c r="I4" s="859">
        <f t="shared" si="1"/>
        <v>53720.31</v>
      </c>
    </row>
    <row r="5" spans="1:9" x14ac:dyDescent="0.35">
      <c r="G5" s="229">
        <f>SUM(G1:G4)</f>
        <v>159298.31</v>
      </c>
      <c r="I5" s="859">
        <f>SUM(I1:I4)-I1-I3</f>
        <v>55620.31</v>
      </c>
    </row>
    <row r="7" spans="1:9" x14ac:dyDescent="0.35">
      <c r="C7" s="1073">
        <v>201552</v>
      </c>
      <c r="G7" s="229">
        <f>+G5/C7</f>
        <v>0.790358</v>
      </c>
      <c r="I7" s="807">
        <f>+I5/C7</f>
        <v>0.27595999999999998</v>
      </c>
    </row>
    <row r="8" spans="1:9" x14ac:dyDescent="0.35">
      <c r="G8" s="229" t="s">
        <v>1012</v>
      </c>
      <c r="I8" s="859" t="s">
        <v>1075</v>
      </c>
    </row>
    <row r="9" spans="1:9" x14ac:dyDescent="0.35">
      <c r="C9" s="229"/>
      <c r="G9" s="229">
        <f>5201.81+E1+E3+5381.82+8133.33+1666.33+824.87+1866.43+1009.33+3298.35+5201.81+5201.81+5201.81+5201.81+5381.82+5381.82+5381.82+5381.82+5381.82+824.87+824.87+824.87+824.87+824.87+824.87+824.87+824.87+1009.33+1009.33+3298.35+3298.35+3298.35+829+736.44+272.87+1900</f>
        <v>108708.52</v>
      </c>
      <c r="I9" s="859">
        <f>E1+E2+E3+829+736.44</f>
        <v>14824.37</v>
      </c>
    </row>
    <row r="10" spans="1:9" x14ac:dyDescent="0.35">
      <c r="A10" s="823"/>
      <c r="C10" s="229"/>
      <c r="G10" s="229">
        <f>+G9+6170.39</f>
        <v>114878.91</v>
      </c>
      <c r="I10" s="859">
        <f>+I9+6180</f>
        <v>21004.37</v>
      </c>
    </row>
    <row r="11" spans="1:9" x14ac:dyDescent="0.35">
      <c r="A11" s="823"/>
      <c r="C11" s="229"/>
      <c r="G11" s="229">
        <v>0</v>
      </c>
      <c r="I11" s="859">
        <v>0</v>
      </c>
    </row>
    <row r="12" spans="1:9" x14ac:dyDescent="0.35">
      <c r="A12" s="823"/>
      <c r="B12" s="37"/>
      <c r="C12" s="229"/>
      <c r="G12" s="229">
        <v>7674.37</v>
      </c>
      <c r="I12" s="859">
        <v>7674.37</v>
      </c>
    </row>
    <row r="13" spans="1:9" x14ac:dyDescent="0.35">
      <c r="B13" s="37"/>
      <c r="C13" s="229"/>
      <c r="G13" s="229">
        <f>+G12+G11+G10</f>
        <v>122553.28</v>
      </c>
      <c r="I13" s="859">
        <f>+I12+I11+I10</f>
        <v>28678.74</v>
      </c>
    </row>
    <row r="16" spans="1:9" x14ac:dyDescent="0.35">
      <c r="F16" s="1075"/>
    </row>
    <row r="17" spans="6:6" x14ac:dyDescent="0.35">
      <c r="F17" s="1075"/>
    </row>
    <row r="18" spans="6:6" x14ac:dyDescent="0.35">
      <c r="F18" s="1075"/>
    </row>
    <row r="19" spans="6:6" x14ac:dyDescent="0.35">
      <c r="F19" s="1075"/>
    </row>
    <row r="20" spans="6:6" x14ac:dyDescent="0.35">
      <c r="F20" s="1075"/>
    </row>
    <row r="21" spans="6:6" x14ac:dyDescent="0.35">
      <c r="F21" s="1075"/>
    </row>
    <row r="22" spans="6:6" x14ac:dyDescent="0.35">
      <c r="F22" s="1075"/>
    </row>
    <row r="23" spans="6:6" x14ac:dyDescent="0.35">
      <c r="F23" s="1075"/>
    </row>
    <row r="24" spans="6:6" x14ac:dyDescent="0.35">
      <c r="F24" s="1075"/>
    </row>
    <row r="25" spans="6:6" x14ac:dyDescent="0.35">
      <c r="F25" s="1075"/>
    </row>
    <row r="26" spans="6:6" x14ac:dyDescent="0.35">
      <c r="F26" s="1075"/>
    </row>
    <row r="27" spans="6:6" x14ac:dyDescent="0.35">
      <c r="F27" s="1075"/>
    </row>
    <row r="28" spans="6:6" x14ac:dyDescent="0.35">
      <c r="F28" s="1075"/>
    </row>
    <row r="29" spans="6:6" x14ac:dyDescent="0.35">
      <c r="F29" s="1075"/>
    </row>
    <row r="30" spans="6:6" x14ac:dyDescent="0.35">
      <c r="F30" s="1075"/>
    </row>
    <row r="31" spans="6:6" x14ac:dyDescent="0.35">
      <c r="F31" s="1075"/>
    </row>
    <row r="32" spans="6:6" x14ac:dyDescent="0.35">
      <c r="F32" s="1075"/>
    </row>
    <row r="33" spans="6:6" x14ac:dyDescent="0.35">
      <c r="F33" s="1075"/>
    </row>
    <row r="34" spans="6:6" x14ac:dyDescent="0.35">
      <c r="F34" s="107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5" x14ac:dyDescent="0.35"/>
  <cols>
    <col min="1" max="1" width="17.7265625" style="20" customWidth="1"/>
    <col min="2" max="2" width="45.26953125" style="21" customWidth="1"/>
    <col min="3" max="3" width="16.26953125" style="397" customWidth="1"/>
    <col min="4" max="4" width="13.36328125" style="397" customWidth="1"/>
    <col min="5" max="5" width="17.08984375" customWidth="1"/>
    <col min="6" max="7" width="13.7265625" customWidth="1"/>
    <col min="8" max="8" width="14.26953125" customWidth="1"/>
    <col min="9" max="9" width="10.81640625" customWidth="1"/>
    <col min="10" max="10" width="13.26953125" customWidth="1"/>
    <col min="11" max="11" width="13.7265625" customWidth="1"/>
    <col min="12" max="12" width="11.7265625" customWidth="1"/>
  </cols>
  <sheetData>
    <row r="1" spans="1:11" ht="12" customHeight="1" x14ac:dyDescent="0.35">
      <c r="A1" s="1186"/>
      <c r="B1" s="1187"/>
      <c r="C1" s="398" t="s">
        <v>0</v>
      </c>
      <c r="D1" s="399">
        <f>COUNTA(A6:A154)</f>
        <v>149</v>
      </c>
      <c r="E1" s="357" t="s">
        <v>1</v>
      </c>
      <c r="F1" s="358"/>
    </row>
    <row r="2" spans="1:11" x14ac:dyDescent="0.35">
      <c r="A2" s="292" t="s">
        <v>2</v>
      </c>
      <c r="B2" s="293">
        <f>G16+G31+G44+G53+G61+G69+G85+G98+G111+G125+G140+G154</f>
        <v>5000</v>
      </c>
      <c r="C2" s="400" t="s">
        <v>3</v>
      </c>
      <c r="D2" s="824">
        <f>SUM(C5:C205)-SUM(D5:D205)</f>
        <v>21930.45</v>
      </c>
      <c r="E2" s="401" t="s">
        <v>4</v>
      </c>
      <c r="F2" s="824">
        <f>+D2</f>
        <v>21930.45</v>
      </c>
      <c r="H2">
        <v>500</v>
      </c>
      <c r="I2">
        <f>+I4*12</f>
        <v>0</v>
      </c>
    </row>
    <row r="3" spans="1:11" x14ac:dyDescent="0.35">
      <c r="A3" s="292"/>
      <c r="B3" s="293"/>
      <c r="C3" s="402" t="s">
        <v>5</v>
      </c>
      <c r="D3" s="403"/>
      <c r="E3" s="401" t="s">
        <v>6</v>
      </c>
      <c r="F3" s="824"/>
    </row>
    <row r="4" spans="1:11" x14ac:dyDescent="0.35">
      <c r="A4" s="388" t="s">
        <v>7</v>
      </c>
      <c r="B4" s="389" t="s">
        <v>8</v>
      </c>
      <c r="C4" s="390" t="s">
        <v>9</v>
      </c>
      <c r="D4" s="391" t="s">
        <v>63</v>
      </c>
      <c r="E4" s="404" t="s">
        <v>10</v>
      </c>
      <c r="F4" s="824">
        <f>+F2-F3</f>
        <v>21930.45</v>
      </c>
      <c r="H4">
        <v>500</v>
      </c>
      <c r="I4">
        <f>-(+H2-H4)</f>
        <v>0</v>
      </c>
    </row>
    <row r="5" spans="1:11" x14ac:dyDescent="0.35">
      <c r="A5" s="363"/>
      <c r="B5" s="364" t="s">
        <v>557</v>
      </c>
      <c r="C5" s="365">
        <v>16930.45</v>
      </c>
      <c r="D5" s="365"/>
    </row>
    <row r="6" spans="1:11" x14ac:dyDescent="0.35">
      <c r="A6" s="405">
        <v>40179</v>
      </c>
      <c r="B6" s="406" t="s">
        <v>558</v>
      </c>
      <c r="C6" s="407">
        <v>300</v>
      </c>
      <c r="D6" s="407"/>
    </row>
    <row r="7" spans="1:11" x14ac:dyDescent="0.35">
      <c r="A7" s="405">
        <v>40179</v>
      </c>
      <c r="B7" s="406" t="s">
        <v>13</v>
      </c>
      <c r="C7" s="407">
        <v>2200</v>
      </c>
      <c r="D7" s="407"/>
    </row>
    <row r="8" spans="1:11" x14ac:dyDescent="0.35">
      <c r="A8" s="405">
        <v>40179</v>
      </c>
      <c r="B8" s="406" t="s">
        <v>19</v>
      </c>
      <c r="C8" s="407">
        <v>1100</v>
      </c>
      <c r="D8" s="407"/>
      <c r="F8" s="340"/>
      <c r="G8" s="305"/>
    </row>
    <row r="9" spans="1:11" x14ac:dyDescent="0.35">
      <c r="A9" s="405">
        <v>40179</v>
      </c>
      <c r="B9" s="406" t="s">
        <v>559</v>
      </c>
      <c r="C9" s="407"/>
      <c r="D9" s="407">
        <v>400</v>
      </c>
      <c r="F9" s="340"/>
      <c r="G9" s="315"/>
      <c r="H9" s="304"/>
    </row>
    <row r="10" spans="1:11" x14ac:dyDescent="0.35">
      <c r="A10" s="405">
        <v>40179</v>
      </c>
      <c r="B10" s="406" t="s">
        <v>560</v>
      </c>
      <c r="C10" s="407"/>
      <c r="D10" s="407">
        <v>200</v>
      </c>
      <c r="F10" s="340"/>
      <c r="G10" s="315"/>
      <c r="H10" s="304"/>
      <c r="K10" s="182"/>
    </row>
    <row r="11" spans="1:11" x14ac:dyDescent="0.35">
      <c r="A11" s="405">
        <v>40179</v>
      </c>
      <c r="B11" s="406" t="s">
        <v>561</v>
      </c>
      <c r="C11" s="407"/>
      <c r="D11" s="407">
        <v>100</v>
      </c>
      <c r="F11" s="340"/>
      <c r="G11" s="315"/>
      <c r="H11" s="304"/>
    </row>
    <row r="12" spans="1:11" x14ac:dyDescent="0.35">
      <c r="A12" s="405">
        <v>40179</v>
      </c>
      <c r="B12" s="406" t="s">
        <v>562</v>
      </c>
      <c r="C12" s="407"/>
      <c r="D12" s="407">
        <v>300</v>
      </c>
      <c r="F12" s="340"/>
      <c r="G12" s="315"/>
      <c r="H12" s="304"/>
    </row>
    <row r="13" spans="1:11" x14ac:dyDescent="0.35">
      <c r="A13" s="405">
        <v>40179</v>
      </c>
      <c r="B13" s="406" t="s">
        <v>290</v>
      </c>
      <c r="C13" s="407"/>
      <c r="D13" s="407">
        <v>230</v>
      </c>
      <c r="F13" s="340"/>
      <c r="G13" s="315"/>
      <c r="H13" s="304"/>
    </row>
    <row r="14" spans="1:11" x14ac:dyDescent="0.35">
      <c r="A14" s="405">
        <v>40179</v>
      </c>
      <c r="B14" s="406" t="s">
        <v>529</v>
      </c>
      <c r="C14" s="407"/>
      <c r="D14" s="407">
        <v>150</v>
      </c>
      <c r="E14" s="371" t="s">
        <v>11</v>
      </c>
      <c r="F14" s="305"/>
      <c r="G14" s="305"/>
    </row>
    <row r="15" spans="1:11" x14ac:dyDescent="0.35">
      <c r="A15" s="405">
        <v>40179</v>
      </c>
      <c r="B15" s="406" t="s">
        <v>441</v>
      </c>
      <c r="C15" s="407"/>
      <c r="D15" s="407">
        <v>100</v>
      </c>
      <c r="E15" s="372" t="s">
        <v>299</v>
      </c>
      <c r="F15" s="373">
        <f>COUNTA(A6:A16)</f>
        <v>11</v>
      </c>
      <c r="G15" s="305"/>
    </row>
    <row r="16" spans="1:11" ht="15" thickBot="1" x14ac:dyDescent="0.4">
      <c r="A16" s="408">
        <v>40179</v>
      </c>
      <c r="B16" s="409" t="s">
        <v>530</v>
      </c>
      <c r="C16" s="410"/>
      <c r="D16" s="410">
        <v>120</v>
      </c>
      <c r="E16" s="411">
        <f>SUM(C6:C16)</f>
        <v>3600</v>
      </c>
      <c r="F16" s="947">
        <f>SUM(D6:D16)</f>
        <v>1600</v>
      </c>
      <c r="G16" s="947">
        <f>E16-F16</f>
        <v>2000</v>
      </c>
      <c r="H16" s="739">
        <f>_ENE10-H4</f>
        <v>1500</v>
      </c>
    </row>
    <row r="17" spans="1:11" x14ac:dyDescent="0.35">
      <c r="A17" s="405">
        <v>40213</v>
      </c>
      <c r="B17" s="406" t="s">
        <v>558</v>
      </c>
      <c r="C17" s="407">
        <v>250</v>
      </c>
      <c r="D17" s="407"/>
      <c r="E17" s="305"/>
      <c r="F17" s="305"/>
      <c r="G17" s="305"/>
    </row>
    <row r="18" spans="1:11" x14ac:dyDescent="0.35">
      <c r="A18" s="405">
        <v>40213</v>
      </c>
      <c r="B18" s="406" t="s">
        <v>13</v>
      </c>
      <c r="C18" s="407">
        <v>2500</v>
      </c>
      <c r="D18" s="407"/>
      <c r="E18" s="305"/>
      <c r="F18" s="305"/>
      <c r="G18" s="305"/>
    </row>
    <row r="19" spans="1:11" x14ac:dyDescent="0.35">
      <c r="A19" s="405">
        <v>40213</v>
      </c>
      <c r="B19" s="412" t="s">
        <v>310</v>
      </c>
      <c r="C19" s="407"/>
      <c r="D19" s="407">
        <v>150</v>
      </c>
      <c r="E19" s="305"/>
      <c r="F19" s="305"/>
      <c r="G19" s="305"/>
    </row>
    <row r="20" spans="1:11" x14ac:dyDescent="0.35">
      <c r="A20" s="405">
        <v>40213</v>
      </c>
      <c r="B20" s="406" t="s">
        <v>563</v>
      </c>
      <c r="C20" s="407"/>
      <c r="D20" s="407">
        <v>150</v>
      </c>
      <c r="E20" s="305"/>
      <c r="F20" s="305"/>
      <c r="G20" s="305"/>
      <c r="J20" s="182"/>
      <c r="K20" s="182"/>
    </row>
    <row r="21" spans="1:11" x14ac:dyDescent="0.35">
      <c r="A21" s="405">
        <v>40213</v>
      </c>
      <c r="B21" s="406" t="s">
        <v>564</v>
      </c>
      <c r="C21" s="407"/>
      <c r="D21" s="407">
        <v>200</v>
      </c>
      <c r="E21" s="15"/>
      <c r="F21" s="15"/>
      <c r="G21" s="15"/>
      <c r="H21" s="15"/>
      <c r="I21" s="15"/>
      <c r="J21" s="413"/>
    </row>
    <row r="22" spans="1:11" x14ac:dyDescent="0.35">
      <c r="A22" s="405">
        <v>40213</v>
      </c>
      <c r="B22" s="406" t="s">
        <v>565</v>
      </c>
      <c r="C22" s="407"/>
      <c r="D22" s="407">
        <v>750</v>
      </c>
      <c r="E22" s="15"/>
      <c r="F22" s="15"/>
      <c r="G22" s="15"/>
      <c r="H22" s="15"/>
      <c r="I22" s="15"/>
      <c r="J22" s="15"/>
    </row>
    <row r="23" spans="1:11" x14ac:dyDescent="0.35">
      <c r="A23" s="405">
        <v>40213</v>
      </c>
      <c r="B23" s="406" t="s">
        <v>566</v>
      </c>
      <c r="C23" s="407"/>
      <c r="D23" s="407">
        <v>300</v>
      </c>
      <c r="E23" s="15"/>
      <c r="F23" s="15"/>
      <c r="G23" s="15"/>
      <c r="H23" s="15"/>
      <c r="I23" s="15"/>
      <c r="J23" s="15"/>
    </row>
    <row r="24" spans="1:11" x14ac:dyDescent="0.35">
      <c r="A24" s="405">
        <v>40213</v>
      </c>
      <c r="B24" s="412" t="s">
        <v>567</v>
      </c>
      <c r="C24" s="407"/>
      <c r="D24" s="407">
        <v>100</v>
      </c>
      <c r="E24" s="305"/>
      <c r="F24" s="305"/>
      <c r="G24" s="305"/>
    </row>
    <row r="25" spans="1:11" x14ac:dyDescent="0.35">
      <c r="A25" s="405">
        <v>40213</v>
      </c>
      <c r="B25" s="412" t="s">
        <v>365</v>
      </c>
      <c r="C25" s="407"/>
      <c r="D25" s="407">
        <v>40</v>
      </c>
      <c r="E25" s="15"/>
      <c r="F25" s="15"/>
      <c r="G25" s="15"/>
      <c r="H25" s="15"/>
      <c r="I25" s="15"/>
      <c r="J25" s="15"/>
    </row>
    <row r="26" spans="1:11" x14ac:dyDescent="0.35">
      <c r="A26" s="405">
        <v>40213</v>
      </c>
      <c r="B26" s="412" t="s">
        <v>568</v>
      </c>
      <c r="C26" s="407"/>
      <c r="D26" s="407">
        <v>40</v>
      </c>
      <c r="E26" s="15"/>
      <c r="F26" s="15"/>
      <c r="G26" s="15"/>
      <c r="H26" s="15"/>
      <c r="I26" s="15"/>
      <c r="J26" s="15"/>
    </row>
    <row r="27" spans="1:11" x14ac:dyDescent="0.35">
      <c r="A27" s="405">
        <v>40213</v>
      </c>
      <c r="B27" s="406" t="s">
        <v>569</v>
      </c>
      <c r="C27" s="407"/>
      <c r="D27" s="407">
        <v>250</v>
      </c>
      <c r="E27" s="15"/>
      <c r="F27" s="15"/>
      <c r="G27" s="15"/>
      <c r="H27" s="15"/>
      <c r="I27" s="413"/>
      <c r="J27" s="15"/>
    </row>
    <row r="28" spans="1:11" x14ac:dyDescent="0.35">
      <c r="A28" s="405">
        <v>40213</v>
      </c>
      <c r="B28" s="406" t="s">
        <v>290</v>
      </c>
      <c r="C28" s="407"/>
      <c r="D28" s="407">
        <v>300</v>
      </c>
      <c r="E28" s="15"/>
      <c r="F28" s="15"/>
      <c r="G28" s="15"/>
      <c r="H28" s="15"/>
      <c r="I28" s="15"/>
      <c r="J28" s="15"/>
      <c r="K28" s="182"/>
    </row>
    <row r="29" spans="1:11" x14ac:dyDescent="0.35">
      <c r="A29" s="405">
        <v>40213</v>
      </c>
      <c r="B29" s="406" t="s">
        <v>529</v>
      </c>
      <c r="C29" s="407"/>
      <c r="D29" s="407">
        <v>150</v>
      </c>
      <c r="E29" s="371" t="s">
        <v>16</v>
      </c>
      <c r="F29" s="305"/>
      <c r="G29" s="305"/>
      <c r="K29" s="182"/>
    </row>
    <row r="30" spans="1:11" x14ac:dyDescent="0.35">
      <c r="A30" s="405">
        <v>40213</v>
      </c>
      <c r="B30" s="406" t="s">
        <v>441</v>
      </c>
      <c r="C30" s="407"/>
      <c r="D30" s="407">
        <v>100</v>
      </c>
      <c r="E30" s="372" t="s">
        <v>299</v>
      </c>
      <c r="F30" s="373">
        <f>COUNTA(A17:A31)</f>
        <v>15</v>
      </c>
      <c r="G30" s="305"/>
      <c r="J30" s="182"/>
    </row>
    <row r="31" spans="1:11" ht="15" thickBot="1" x14ac:dyDescent="0.4">
      <c r="A31" s="408">
        <v>40213</v>
      </c>
      <c r="B31" s="409" t="s">
        <v>530</v>
      </c>
      <c r="C31" s="410"/>
      <c r="D31" s="410">
        <v>120</v>
      </c>
      <c r="E31" s="414">
        <f>SUM(C17:C31)</f>
        <v>2750</v>
      </c>
      <c r="F31" s="414">
        <f>SUM(D17:D31)</f>
        <v>2650</v>
      </c>
      <c r="G31" s="414">
        <f>E31-F31</f>
        <v>100</v>
      </c>
      <c r="H31">
        <f>_FEB10-H4+H16</f>
        <v>1100</v>
      </c>
      <c r="J31" s="182"/>
    </row>
    <row r="32" spans="1:11" x14ac:dyDescent="0.35">
      <c r="A32" s="405">
        <v>40238</v>
      </c>
      <c r="B32" s="406" t="s">
        <v>558</v>
      </c>
      <c r="C32" s="407">
        <v>200</v>
      </c>
      <c r="D32" s="407"/>
      <c r="E32" s="305"/>
      <c r="F32" s="305"/>
      <c r="G32" s="305"/>
    </row>
    <row r="33" spans="1:11" x14ac:dyDescent="0.35">
      <c r="A33" s="405">
        <v>40238</v>
      </c>
      <c r="B33" s="406" t="s">
        <v>13</v>
      </c>
      <c r="C33" s="407">
        <v>2500</v>
      </c>
      <c r="D33" s="407"/>
      <c r="E33" s="305"/>
      <c r="F33" s="305"/>
      <c r="G33" s="305"/>
      <c r="J33" s="182"/>
    </row>
    <row r="34" spans="1:11" x14ac:dyDescent="0.35">
      <c r="A34" s="405">
        <v>40238</v>
      </c>
      <c r="B34" s="406" t="s">
        <v>570</v>
      </c>
      <c r="C34" s="407"/>
      <c r="D34" s="407">
        <v>100</v>
      </c>
      <c r="E34" s="305"/>
      <c r="F34" s="305"/>
      <c r="G34" s="413"/>
      <c r="I34" s="182"/>
      <c r="J34" s="182"/>
    </row>
    <row r="35" spans="1:11" x14ac:dyDescent="0.35">
      <c r="A35" s="405">
        <v>40238</v>
      </c>
      <c r="B35" s="412" t="s">
        <v>571</v>
      </c>
      <c r="C35" s="407"/>
      <c r="D35" s="407">
        <v>100</v>
      </c>
      <c r="E35" s="305"/>
      <c r="F35" s="305"/>
      <c r="G35" s="15"/>
    </row>
    <row r="36" spans="1:11" x14ac:dyDescent="0.35">
      <c r="A36" s="415">
        <v>40238</v>
      </c>
      <c r="B36" s="406" t="s">
        <v>572</v>
      </c>
      <c r="C36" s="407"/>
      <c r="D36" s="407">
        <v>600</v>
      </c>
      <c r="E36" s="305"/>
      <c r="F36" s="305"/>
      <c r="G36" s="15"/>
    </row>
    <row r="37" spans="1:11" x14ac:dyDescent="0.35">
      <c r="A37" s="405">
        <v>40238</v>
      </c>
      <c r="B37" s="406" t="s">
        <v>573</v>
      </c>
      <c r="C37" s="407"/>
      <c r="D37" s="407">
        <v>400</v>
      </c>
      <c r="E37" s="305"/>
      <c r="F37" s="305"/>
      <c r="G37" s="15"/>
    </row>
    <row r="38" spans="1:11" x14ac:dyDescent="0.35">
      <c r="A38" s="405">
        <v>40238</v>
      </c>
      <c r="B38" s="406" t="s">
        <v>574</v>
      </c>
      <c r="C38" s="407"/>
      <c r="D38" s="407">
        <v>500</v>
      </c>
      <c r="E38" s="305"/>
      <c r="F38" s="305"/>
      <c r="G38" s="305"/>
    </row>
    <row r="39" spans="1:11" x14ac:dyDescent="0.35">
      <c r="A39" s="405">
        <v>40238</v>
      </c>
      <c r="B39" s="412" t="s">
        <v>568</v>
      </c>
      <c r="C39" s="407"/>
      <c r="D39" s="407">
        <v>30</v>
      </c>
      <c r="E39" s="305"/>
      <c r="F39" s="305"/>
      <c r="G39" s="305"/>
    </row>
    <row r="40" spans="1:11" x14ac:dyDescent="0.35">
      <c r="A40" s="405">
        <v>40238</v>
      </c>
      <c r="B40" s="406" t="s">
        <v>575</v>
      </c>
      <c r="C40" s="407"/>
      <c r="D40" s="407">
        <v>200</v>
      </c>
      <c r="E40" s="305"/>
      <c r="F40" s="305"/>
      <c r="G40" s="305"/>
    </row>
    <row r="41" spans="1:11" x14ac:dyDescent="0.35">
      <c r="A41" s="405">
        <v>40238</v>
      </c>
      <c r="B41" s="406" t="s">
        <v>290</v>
      </c>
      <c r="C41" s="407"/>
      <c r="D41" s="407">
        <v>200</v>
      </c>
      <c r="E41" s="305"/>
      <c r="F41" s="305"/>
      <c r="G41" s="305"/>
    </row>
    <row r="42" spans="1:11" x14ac:dyDescent="0.35">
      <c r="A42" s="405">
        <v>40238</v>
      </c>
      <c r="B42" s="406" t="s">
        <v>529</v>
      </c>
      <c r="C42" s="407"/>
      <c r="D42" s="407">
        <v>150</v>
      </c>
      <c r="E42" s="371" t="s">
        <v>17</v>
      </c>
      <c r="F42" s="305"/>
      <c r="G42" s="305"/>
    </row>
    <row r="43" spans="1:11" x14ac:dyDescent="0.35">
      <c r="A43" s="405">
        <v>40238</v>
      </c>
      <c r="B43" s="406" t="s">
        <v>441</v>
      </c>
      <c r="C43" s="407"/>
      <c r="D43" s="407">
        <v>100</v>
      </c>
      <c r="E43" s="372" t="s">
        <v>299</v>
      </c>
      <c r="F43" s="373">
        <f>COUNTA(A32:A44)</f>
        <v>13</v>
      </c>
      <c r="G43" s="305"/>
    </row>
    <row r="44" spans="1:11" ht="15" thickBot="1" x14ac:dyDescent="0.4">
      <c r="A44" s="408">
        <v>40238</v>
      </c>
      <c r="B44" s="409" t="s">
        <v>530</v>
      </c>
      <c r="C44" s="410"/>
      <c r="D44" s="410">
        <v>120</v>
      </c>
      <c r="E44" s="411">
        <f>SUM(C32:C44)</f>
        <v>2700</v>
      </c>
      <c r="F44" s="411">
        <f>SUM(D32:D44)</f>
        <v>2500</v>
      </c>
      <c r="G44" s="411">
        <f>E44-F44</f>
        <v>200</v>
      </c>
      <c r="H44">
        <f>_MAR10-H4+H31</f>
        <v>800</v>
      </c>
      <c r="K44" s="182"/>
    </row>
    <row r="45" spans="1:11" x14ac:dyDescent="0.35">
      <c r="A45" s="415">
        <v>40277</v>
      </c>
      <c r="B45" s="416" t="s">
        <v>13</v>
      </c>
      <c r="C45" s="417">
        <v>2500</v>
      </c>
      <c r="D45" s="417"/>
      <c r="E45" s="376"/>
      <c r="F45" s="376"/>
      <c r="G45" s="376"/>
    </row>
    <row r="46" spans="1:11" x14ac:dyDescent="0.35">
      <c r="A46" s="405">
        <v>40277</v>
      </c>
      <c r="B46" s="412" t="s">
        <v>576</v>
      </c>
      <c r="C46" s="407"/>
      <c r="D46" s="407">
        <v>100</v>
      </c>
      <c r="E46" s="305"/>
      <c r="F46" s="305"/>
      <c r="G46" s="305"/>
    </row>
    <row r="47" spans="1:11" x14ac:dyDescent="0.35">
      <c r="A47" s="405">
        <v>40277</v>
      </c>
      <c r="B47" s="406" t="s">
        <v>574</v>
      </c>
      <c r="C47" s="407"/>
      <c r="D47" s="407">
        <v>1300</v>
      </c>
      <c r="E47" s="376"/>
      <c r="F47" s="376"/>
      <c r="G47" s="376"/>
    </row>
    <row r="48" spans="1:11" x14ac:dyDescent="0.35">
      <c r="A48" s="405">
        <v>40277</v>
      </c>
      <c r="B48" s="412" t="s">
        <v>577</v>
      </c>
      <c r="C48" s="407"/>
      <c r="D48" s="407">
        <v>20</v>
      </c>
      <c r="E48" s="376"/>
      <c r="F48" s="376"/>
      <c r="G48" s="376"/>
    </row>
    <row r="49" spans="1:10" x14ac:dyDescent="0.35">
      <c r="A49" s="405">
        <v>40277</v>
      </c>
      <c r="B49" s="406" t="s">
        <v>578</v>
      </c>
      <c r="C49" s="407"/>
      <c r="D49" s="407">
        <v>210</v>
      </c>
      <c r="E49" s="376"/>
      <c r="F49" s="376"/>
      <c r="G49" s="376"/>
    </row>
    <row r="50" spans="1:10" x14ac:dyDescent="0.35">
      <c r="A50" s="405">
        <v>40277</v>
      </c>
      <c r="B50" s="406" t="s">
        <v>290</v>
      </c>
      <c r="C50" s="407"/>
      <c r="D50" s="407">
        <v>320</v>
      </c>
      <c r="E50" s="376"/>
      <c r="F50" s="376"/>
      <c r="G50" s="376"/>
    </row>
    <row r="51" spans="1:10" x14ac:dyDescent="0.35">
      <c r="A51" s="405">
        <v>40277</v>
      </c>
      <c r="B51" s="406" t="s">
        <v>529</v>
      </c>
      <c r="C51" s="407"/>
      <c r="D51" s="407">
        <v>150</v>
      </c>
      <c r="E51" s="371" t="s">
        <v>18</v>
      </c>
      <c r="F51" s="305"/>
      <c r="G51" s="305"/>
    </row>
    <row r="52" spans="1:10" x14ac:dyDescent="0.35">
      <c r="A52" s="405">
        <v>40277</v>
      </c>
      <c r="B52" s="406" t="s">
        <v>441</v>
      </c>
      <c r="C52" s="407"/>
      <c r="D52" s="407">
        <v>100</v>
      </c>
      <c r="E52" s="371" t="s">
        <v>299</v>
      </c>
      <c r="F52" s="373">
        <f>COUNTA(A45:A53)</f>
        <v>9</v>
      </c>
      <c r="G52" s="305"/>
    </row>
    <row r="53" spans="1:10" ht="15" thickBot="1" x14ac:dyDescent="0.4">
      <c r="A53" s="408">
        <v>40277</v>
      </c>
      <c r="B53" s="409" t="s">
        <v>530</v>
      </c>
      <c r="C53" s="410"/>
      <c r="D53" s="410">
        <v>100</v>
      </c>
      <c r="E53" s="411">
        <f>SUM(C45:C53)</f>
        <v>2500</v>
      </c>
      <c r="F53" s="411">
        <f>SUM(D45:D53)</f>
        <v>2300</v>
      </c>
      <c r="G53" s="411">
        <f>E53-F53</f>
        <v>200</v>
      </c>
      <c r="H53">
        <f>_ABR10-H4+H44</f>
        <v>500</v>
      </c>
    </row>
    <row r="54" spans="1:10" x14ac:dyDescent="0.35">
      <c r="A54" s="415">
        <v>40299</v>
      </c>
      <c r="B54" s="416" t="s">
        <v>13</v>
      </c>
      <c r="C54" s="417">
        <v>2500</v>
      </c>
      <c r="D54" s="417"/>
      <c r="E54" s="305"/>
      <c r="F54" s="305"/>
      <c r="G54" s="305"/>
    </row>
    <row r="55" spans="1:10" x14ac:dyDescent="0.35">
      <c r="A55" s="405">
        <v>40299</v>
      </c>
      <c r="B55" s="406" t="s">
        <v>579</v>
      </c>
      <c r="C55" s="407"/>
      <c r="D55" s="407">
        <v>1400</v>
      </c>
      <c r="E55" s="305"/>
      <c r="F55" s="305"/>
      <c r="G55" s="305"/>
    </row>
    <row r="56" spans="1:10" x14ac:dyDescent="0.35">
      <c r="A56" s="415">
        <v>40299</v>
      </c>
      <c r="B56" s="412" t="s">
        <v>365</v>
      </c>
      <c r="C56" s="407"/>
      <c r="D56" s="407">
        <v>70</v>
      </c>
      <c r="E56" s="305"/>
      <c r="F56" s="305"/>
      <c r="G56" s="305"/>
    </row>
    <row r="57" spans="1:10" x14ac:dyDescent="0.35">
      <c r="A57" s="415">
        <v>40299</v>
      </c>
      <c r="B57" s="406" t="s">
        <v>547</v>
      </c>
      <c r="C57" s="407"/>
      <c r="D57" s="407">
        <v>300</v>
      </c>
      <c r="E57" s="305"/>
      <c r="F57" s="305"/>
      <c r="G57" s="305"/>
    </row>
    <row r="58" spans="1:10" x14ac:dyDescent="0.35">
      <c r="A58" s="415">
        <v>40299</v>
      </c>
      <c r="B58" s="406" t="s">
        <v>290</v>
      </c>
      <c r="C58" s="407"/>
      <c r="D58" s="407">
        <v>180</v>
      </c>
      <c r="E58" s="305"/>
      <c r="F58" s="305"/>
      <c r="G58" s="305"/>
      <c r="J58" s="182"/>
    </row>
    <row r="59" spans="1:10" x14ac:dyDescent="0.35">
      <c r="A59" s="415">
        <v>40299</v>
      </c>
      <c r="B59" s="406" t="s">
        <v>529</v>
      </c>
      <c r="C59" s="407"/>
      <c r="D59" s="407">
        <v>150</v>
      </c>
      <c r="E59" s="371" t="s">
        <v>20</v>
      </c>
      <c r="F59" s="305"/>
      <c r="G59" s="305"/>
    </row>
    <row r="60" spans="1:10" x14ac:dyDescent="0.35">
      <c r="A60" s="415">
        <v>40299</v>
      </c>
      <c r="B60" s="406" t="s">
        <v>441</v>
      </c>
      <c r="C60" s="407"/>
      <c r="D60" s="407">
        <v>100</v>
      </c>
      <c r="E60" s="371" t="s">
        <v>299</v>
      </c>
      <c r="F60" s="373">
        <f>COUNTA(A54:A61)</f>
        <v>8</v>
      </c>
      <c r="G60" s="305"/>
    </row>
    <row r="61" spans="1:10" ht="15" thickBot="1" x14ac:dyDescent="0.4">
      <c r="A61" s="408">
        <v>40299</v>
      </c>
      <c r="B61" s="409" t="s">
        <v>530</v>
      </c>
      <c r="C61" s="410"/>
      <c r="D61" s="410">
        <v>100</v>
      </c>
      <c r="E61" s="411">
        <f>SUM(C54:C61)</f>
        <v>2500</v>
      </c>
      <c r="F61" s="411">
        <f>SUM(D54:D61)</f>
        <v>2300</v>
      </c>
      <c r="G61" s="411">
        <f>E61-F61</f>
        <v>200</v>
      </c>
      <c r="H61">
        <f>_MAY10-H4+H53</f>
        <v>200</v>
      </c>
    </row>
    <row r="62" spans="1:10" x14ac:dyDescent="0.35">
      <c r="A62" s="415">
        <v>40330</v>
      </c>
      <c r="B62" s="416" t="s">
        <v>13</v>
      </c>
      <c r="C62" s="417">
        <v>2500</v>
      </c>
      <c r="D62" s="417"/>
      <c r="E62" s="305"/>
      <c r="F62" s="305"/>
      <c r="G62" s="305"/>
    </row>
    <row r="63" spans="1:10" x14ac:dyDescent="0.35">
      <c r="A63" s="415">
        <v>40330</v>
      </c>
      <c r="B63" s="412" t="s">
        <v>579</v>
      </c>
      <c r="C63" s="407"/>
      <c r="D63" s="407">
        <v>1300</v>
      </c>
      <c r="E63" s="305"/>
      <c r="F63" s="305"/>
      <c r="G63" s="305"/>
    </row>
    <row r="64" spans="1:10" x14ac:dyDescent="0.35">
      <c r="A64" s="415">
        <v>40330</v>
      </c>
      <c r="B64" s="406" t="s">
        <v>580</v>
      </c>
      <c r="C64" s="407"/>
      <c r="D64" s="407">
        <v>300</v>
      </c>
      <c r="E64" s="305"/>
      <c r="F64" s="305"/>
      <c r="G64" s="305"/>
      <c r="J64" s="182"/>
    </row>
    <row r="65" spans="1:13" x14ac:dyDescent="0.35">
      <c r="A65" s="415">
        <v>40330</v>
      </c>
      <c r="B65" s="406" t="s">
        <v>547</v>
      </c>
      <c r="C65" s="407"/>
      <c r="D65" s="407">
        <v>300</v>
      </c>
      <c r="E65" s="305"/>
      <c r="F65" s="305"/>
      <c r="G65" s="305"/>
    </row>
    <row r="66" spans="1:13" x14ac:dyDescent="0.35">
      <c r="A66" s="415">
        <v>40330</v>
      </c>
      <c r="B66" s="406" t="s">
        <v>290</v>
      </c>
      <c r="C66" s="407"/>
      <c r="D66" s="407">
        <v>150</v>
      </c>
      <c r="E66" s="305"/>
      <c r="F66" s="305"/>
      <c r="G66" s="305"/>
    </row>
    <row r="67" spans="1:13" x14ac:dyDescent="0.35">
      <c r="A67" s="415">
        <v>40330</v>
      </c>
      <c r="B67" s="406" t="s">
        <v>529</v>
      </c>
      <c r="C67" s="407"/>
      <c r="D67" s="407">
        <v>100</v>
      </c>
      <c r="E67" s="371" t="s">
        <v>21</v>
      </c>
      <c r="F67" s="305"/>
      <c r="G67" s="305"/>
      <c r="K67" s="182"/>
    </row>
    <row r="68" spans="1:13" x14ac:dyDescent="0.35">
      <c r="A68" s="415">
        <v>40330</v>
      </c>
      <c r="B68" s="406" t="s">
        <v>441</v>
      </c>
      <c r="C68" s="407"/>
      <c r="D68" s="407">
        <v>50</v>
      </c>
      <c r="E68" s="371" t="s">
        <v>299</v>
      </c>
      <c r="F68" s="373">
        <f>COUNTA(A62:A69)</f>
        <v>8</v>
      </c>
      <c r="G68" s="305"/>
    </row>
    <row r="69" spans="1:13" ht="15" thickBot="1" x14ac:dyDescent="0.4">
      <c r="A69" s="408">
        <v>40330</v>
      </c>
      <c r="B69" s="409" t="s">
        <v>530</v>
      </c>
      <c r="C69" s="410"/>
      <c r="D69" s="410">
        <v>100</v>
      </c>
      <c r="E69" s="411">
        <f>SUM(C62:C69)</f>
        <v>2500</v>
      </c>
      <c r="F69" s="411">
        <f>SUM(D62:D69)</f>
        <v>2300</v>
      </c>
      <c r="G69" s="411">
        <f>E69-F69</f>
        <v>200</v>
      </c>
      <c r="H69">
        <f>_JUN10-H4+H61</f>
        <v>-100</v>
      </c>
    </row>
    <row r="70" spans="1:13" x14ac:dyDescent="0.35">
      <c r="A70" s="415">
        <v>40367</v>
      </c>
      <c r="B70" s="416" t="s">
        <v>13</v>
      </c>
      <c r="C70" s="417">
        <v>2500</v>
      </c>
      <c r="D70" s="417"/>
      <c r="E70" s="305"/>
      <c r="F70" s="305"/>
      <c r="G70" s="305"/>
    </row>
    <row r="71" spans="1:13" x14ac:dyDescent="0.35">
      <c r="A71" s="405">
        <v>40375</v>
      </c>
      <c r="B71" s="406" t="s">
        <v>19</v>
      </c>
      <c r="C71" s="407">
        <f>+C70/2</f>
        <v>1250</v>
      </c>
      <c r="D71" s="407"/>
      <c r="E71" s="305"/>
      <c r="F71" s="305"/>
      <c r="G71" s="305"/>
    </row>
    <row r="72" spans="1:13" x14ac:dyDescent="0.35">
      <c r="A72" s="405">
        <v>40360</v>
      </c>
      <c r="B72" s="406" t="s">
        <v>581</v>
      </c>
      <c r="C72" s="407">
        <v>300</v>
      </c>
      <c r="D72" s="407"/>
      <c r="E72" s="305"/>
      <c r="F72" s="305"/>
      <c r="G72" s="305"/>
      <c r="M72" s="182"/>
    </row>
    <row r="73" spans="1:13" x14ac:dyDescent="0.35">
      <c r="A73" s="415">
        <v>40375</v>
      </c>
      <c r="B73" s="406" t="s">
        <v>581</v>
      </c>
      <c r="C73" s="407">
        <v>500</v>
      </c>
      <c r="D73" s="407"/>
      <c r="E73" s="305"/>
      <c r="F73" s="305"/>
      <c r="G73" s="305"/>
      <c r="M73" s="182"/>
    </row>
    <row r="74" spans="1:13" x14ac:dyDescent="0.35">
      <c r="A74" s="415">
        <v>40372</v>
      </c>
      <c r="B74" s="406" t="s">
        <v>582</v>
      </c>
      <c r="C74" s="407"/>
      <c r="D74" s="407">
        <v>250</v>
      </c>
      <c r="E74" s="305"/>
      <c r="F74" s="305"/>
      <c r="G74" s="305"/>
      <c r="M74" s="182"/>
    </row>
    <row r="75" spans="1:13" x14ac:dyDescent="0.35">
      <c r="A75" s="415">
        <v>40370</v>
      </c>
      <c r="B75" s="406" t="s">
        <v>583</v>
      </c>
      <c r="C75" s="407"/>
      <c r="D75" s="407">
        <v>100</v>
      </c>
      <c r="E75" s="305"/>
      <c r="F75" s="305"/>
      <c r="G75" s="305"/>
      <c r="M75" s="182"/>
    </row>
    <row r="76" spans="1:13" x14ac:dyDescent="0.35">
      <c r="A76" s="415">
        <v>40368</v>
      </c>
      <c r="B76" s="406" t="s">
        <v>584</v>
      </c>
      <c r="C76" s="407"/>
      <c r="D76" s="407">
        <v>100</v>
      </c>
      <c r="E76" s="305"/>
      <c r="F76" s="305"/>
      <c r="G76" s="305"/>
      <c r="M76" s="182"/>
    </row>
    <row r="77" spans="1:13" x14ac:dyDescent="0.35">
      <c r="A77" s="415">
        <v>40367</v>
      </c>
      <c r="B77" s="406" t="s">
        <v>585</v>
      </c>
      <c r="C77" s="407"/>
      <c r="D77" s="407">
        <v>50</v>
      </c>
      <c r="E77" s="305"/>
      <c r="F77" s="305"/>
      <c r="G77" s="305"/>
      <c r="M77" s="182"/>
    </row>
    <row r="78" spans="1:13" x14ac:dyDescent="0.35">
      <c r="A78" s="415">
        <v>40367</v>
      </c>
      <c r="B78" s="406" t="s">
        <v>586</v>
      </c>
      <c r="C78" s="407"/>
      <c r="D78" s="407">
        <v>400</v>
      </c>
      <c r="E78" s="305"/>
      <c r="F78" s="305"/>
      <c r="G78" s="305"/>
    </row>
    <row r="79" spans="1:13" x14ac:dyDescent="0.35">
      <c r="A79" s="415">
        <v>40367</v>
      </c>
      <c r="B79" s="412" t="s">
        <v>579</v>
      </c>
      <c r="C79" s="407"/>
      <c r="D79" s="407">
        <v>1170</v>
      </c>
      <c r="E79" s="305"/>
      <c r="F79" s="305"/>
      <c r="G79" s="413"/>
      <c r="H79" s="182"/>
    </row>
    <row r="80" spans="1:13" x14ac:dyDescent="0.35">
      <c r="A80" s="415">
        <v>40367</v>
      </c>
      <c r="B80" s="412" t="s">
        <v>587</v>
      </c>
      <c r="C80" s="407"/>
      <c r="D80" s="407">
        <v>870</v>
      </c>
      <c r="E80" s="305"/>
      <c r="F80" s="305"/>
      <c r="G80" s="305"/>
      <c r="H80" s="182"/>
    </row>
    <row r="81" spans="1:12" x14ac:dyDescent="0.35">
      <c r="A81" s="415">
        <v>40367</v>
      </c>
      <c r="B81" s="406" t="s">
        <v>547</v>
      </c>
      <c r="C81" s="407"/>
      <c r="D81" s="407">
        <v>240</v>
      </c>
      <c r="E81" s="305"/>
      <c r="F81" s="305"/>
      <c r="G81" s="305"/>
    </row>
    <row r="82" spans="1:12" x14ac:dyDescent="0.35">
      <c r="A82" s="415">
        <v>40367</v>
      </c>
      <c r="B82" s="406" t="s">
        <v>290</v>
      </c>
      <c r="C82" s="407"/>
      <c r="D82" s="407">
        <v>120</v>
      </c>
      <c r="E82" s="305"/>
      <c r="F82" s="305"/>
      <c r="G82" s="305"/>
    </row>
    <row r="83" spans="1:12" x14ac:dyDescent="0.35">
      <c r="A83" s="415">
        <v>40367</v>
      </c>
      <c r="B83" s="406" t="s">
        <v>529</v>
      </c>
      <c r="C83" s="407"/>
      <c r="D83" s="407">
        <v>100</v>
      </c>
      <c r="E83" s="371" t="s">
        <v>22</v>
      </c>
      <c r="F83" s="305"/>
      <c r="G83" s="305"/>
    </row>
    <row r="84" spans="1:12" x14ac:dyDescent="0.35">
      <c r="A84" s="415">
        <v>40367</v>
      </c>
      <c r="B84" s="406" t="s">
        <v>441</v>
      </c>
      <c r="C84" s="407"/>
      <c r="D84" s="407">
        <v>50</v>
      </c>
      <c r="E84" s="371" t="s">
        <v>299</v>
      </c>
      <c r="F84" s="373">
        <f>COUNTA(A70:A85)</f>
        <v>16</v>
      </c>
      <c r="G84" s="305"/>
    </row>
    <row r="85" spans="1:12" ht="15" thickBot="1" x14ac:dyDescent="0.4">
      <c r="A85" s="408">
        <v>40367</v>
      </c>
      <c r="B85" s="409" t="s">
        <v>530</v>
      </c>
      <c r="C85" s="410"/>
      <c r="D85" s="410">
        <v>200</v>
      </c>
      <c r="E85" s="411">
        <f>SUM(C70:C85)</f>
        <v>4550</v>
      </c>
      <c r="F85" s="411">
        <f>SUM(D70:D85)</f>
        <v>3650</v>
      </c>
      <c r="G85" s="411">
        <f>E85-F85</f>
        <v>900</v>
      </c>
      <c r="H85">
        <f>_JUL10-H4+H69</f>
        <v>300</v>
      </c>
    </row>
    <row r="86" spans="1:12" x14ac:dyDescent="0.35">
      <c r="A86" s="415">
        <v>40399</v>
      </c>
      <c r="B86" s="416" t="s">
        <v>13</v>
      </c>
      <c r="C86" s="417">
        <v>2500</v>
      </c>
      <c r="D86" s="417"/>
      <c r="E86" s="305"/>
      <c r="F86" s="305"/>
      <c r="G86" s="305"/>
    </row>
    <row r="87" spans="1:12" x14ac:dyDescent="0.35">
      <c r="A87" s="415">
        <v>40399</v>
      </c>
      <c r="B87" s="416" t="s">
        <v>588</v>
      </c>
      <c r="C87" s="417"/>
      <c r="D87" s="417">
        <f>1050+550</f>
        <v>1600</v>
      </c>
      <c r="E87" s="305"/>
      <c r="F87" s="305"/>
      <c r="G87" s="305"/>
    </row>
    <row r="88" spans="1:12" x14ac:dyDescent="0.35">
      <c r="A88" s="415">
        <v>40419</v>
      </c>
      <c r="B88" s="416" t="s">
        <v>589</v>
      </c>
      <c r="C88" s="417"/>
      <c r="D88" s="417">
        <v>100</v>
      </c>
      <c r="E88" s="305"/>
      <c r="F88" s="305"/>
      <c r="G88" s="305"/>
    </row>
    <row r="89" spans="1:12" x14ac:dyDescent="0.35">
      <c r="A89" s="415">
        <v>40415</v>
      </c>
      <c r="B89" s="416" t="s">
        <v>589</v>
      </c>
      <c r="C89" s="417"/>
      <c r="D89" s="417">
        <v>100</v>
      </c>
      <c r="E89" s="305"/>
      <c r="F89" s="305"/>
      <c r="G89" s="305"/>
    </row>
    <row r="90" spans="1:12" x14ac:dyDescent="0.35">
      <c r="A90" s="415">
        <v>40406</v>
      </c>
      <c r="B90" s="416" t="s">
        <v>590</v>
      </c>
      <c r="C90" s="417"/>
      <c r="D90" s="417">
        <v>100</v>
      </c>
      <c r="E90" s="305"/>
      <c r="F90" s="305"/>
      <c r="G90" s="305"/>
    </row>
    <row r="91" spans="1:12" x14ac:dyDescent="0.35">
      <c r="A91" s="415">
        <v>40407</v>
      </c>
      <c r="B91" s="416" t="s">
        <v>591</v>
      </c>
      <c r="C91" s="417"/>
      <c r="D91" s="417">
        <v>100</v>
      </c>
      <c r="E91" s="305"/>
      <c r="F91" s="305"/>
      <c r="G91" s="305"/>
    </row>
    <row r="92" spans="1:12" x14ac:dyDescent="0.35">
      <c r="A92" s="405">
        <v>40400</v>
      </c>
      <c r="B92" s="406" t="s">
        <v>259</v>
      </c>
      <c r="C92" s="407"/>
      <c r="D92" s="407">
        <v>50</v>
      </c>
      <c r="E92" s="305"/>
      <c r="F92" s="305"/>
      <c r="G92" s="305"/>
      <c r="K92" s="182"/>
      <c r="L92" s="182"/>
    </row>
    <row r="93" spans="1:12" x14ac:dyDescent="0.35">
      <c r="A93" s="415">
        <v>40399</v>
      </c>
      <c r="B93" s="406" t="s">
        <v>592</v>
      </c>
      <c r="C93" s="407"/>
      <c r="D93" s="407">
        <v>570</v>
      </c>
      <c r="E93" s="305"/>
      <c r="F93" s="305"/>
      <c r="G93" s="305"/>
    </row>
    <row r="94" spans="1:12" x14ac:dyDescent="0.35">
      <c r="A94" s="415">
        <v>40399</v>
      </c>
      <c r="B94" s="406" t="s">
        <v>547</v>
      </c>
      <c r="C94" s="407"/>
      <c r="D94" s="407">
        <v>240</v>
      </c>
      <c r="E94" s="305"/>
      <c r="F94" s="305"/>
      <c r="G94" s="305"/>
    </row>
    <row r="95" spans="1:12" x14ac:dyDescent="0.35">
      <c r="A95" s="415">
        <v>40399</v>
      </c>
      <c r="B95" s="406" t="s">
        <v>290</v>
      </c>
      <c r="C95" s="407"/>
      <c r="D95" s="407">
        <v>100</v>
      </c>
      <c r="E95" s="305"/>
      <c r="F95" s="305"/>
      <c r="G95" s="305"/>
    </row>
    <row r="96" spans="1:12" x14ac:dyDescent="0.35">
      <c r="A96" s="415">
        <v>40399</v>
      </c>
      <c r="B96" s="406" t="s">
        <v>529</v>
      </c>
      <c r="C96" s="407"/>
      <c r="D96" s="407">
        <v>100</v>
      </c>
      <c r="E96" s="371" t="s">
        <v>23</v>
      </c>
      <c r="F96" s="305"/>
      <c r="G96" s="305"/>
    </row>
    <row r="97" spans="1:8" x14ac:dyDescent="0.35">
      <c r="A97" s="415">
        <v>40399</v>
      </c>
      <c r="B97" s="406" t="s">
        <v>441</v>
      </c>
      <c r="C97" s="407"/>
      <c r="D97" s="407">
        <v>50</v>
      </c>
      <c r="E97" s="371" t="s">
        <v>299</v>
      </c>
      <c r="F97" s="373">
        <f>COUNTA(A86:A98)</f>
        <v>13</v>
      </c>
      <c r="G97" s="305"/>
    </row>
    <row r="98" spans="1:8" ht="15" thickBot="1" x14ac:dyDescent="0.4">
      <c r="A98" s="408">
        <v>40399</v>
      </c>
      <c r="B98" s="409" t="s">
        <v>530</v>
      </c>
      <c r="C98" s="410"/>
      <c r="D98" s="410">
        <v>190</v>
      </c>
      <c r="E98" s="411">
        <f>SUM(C86:C98)</f>
        <v>2500</v>
      </c>
      <c r="F98" s="411">
        <f>SUM(D86:D98)</f>
        <v>3300</v>
      </c>
      <c r="G98" s="411">
        <f>E98-F98</f>
        <v>-800</v>
      </c>
      <c r="H98">
        <f>_AGO10-H4+H85</f>
        <v>-1000</v>
      </c>
    </row>
    <row r="99" spans="1:8" x14ac:dyDescent="0.35">
      <c r="A99" s="415">
        <v>40422</v>
      </c>
      <c r="B99" s="416" t="s">
        <v>13</v>
      </c>
      <c r="C99" s="417">
        <v>2500</v>
      </c>
      <c r="D99" s="417"/>
      <c r="E99" s="305"/>
      <c r="F99" s="305"/>
      <c r="G99" s="305"/>
    </row>
    <row r="100" spans="1:8" x14ac:dyDescent="0.35">
      <c r="A100" s="415">
        <v>40422</v>
      </c>
      <c r="B100" s="416" t="s">
        <v>581</v>
      </c>
      <c r="C100" s="417">
        <v>300</v>
      </c>
      <c r="D100" s="417"/>
      <c r="E100" s="305"/>
      <c r="F100" s="305"/>
      <c r="G100" s="305"/>
    </row>
    <row r="101" spans="1:8" x14ac:dyDescent="0.35">
      <c r="A101" s="415">
        <v>40440</v>
      </c>
      <c r="B101" s="416" t="s">
        <v>593</v>
      </c>
      <c r="C101" s="417"/>
      <c r="D101" s="417">
        <v>100</v>
      </c>
      <c r="E101" s="305"/>
      <c r="F101" s="305"/>
      <c r="G101" s="305"/>
    </row>
    <row r="102" spans="1:8" x14ac:dyDescent="0.35">
      <c r="A102" s="415">
        <v>40445</v>
      </c>
      <c r="B102" s="416" t="s">
        <v>594</v>
      </c>
      <c r="C102" s="417"/>
      <c r="D102" s="417">
        <v>100</v>
      </c>
      <c r="E102" s="305"/>
      <c r="F102" s="305"/>
      <c r="G102" s="305"/>
    </row>
    <row r="103" spans="1:8" x14ac:dyDescent="0.35">
      <c r="A103" s="415">
        <v>40447</v>
      </c>
      <c r="B103" s="416" t="s">
        <v>595</v>
      </c>
      <c r="C103" s="417"/>
      <c r="D103" s="417">
        <v>50</v>
      </c>
      <c r="E103" s="305"/>
      <c r="F103" s="305"/>
      <c r="G103" s="305"/>
    </row>
    <row r="104" spans="1:8" x14ac:dyDescent="0.35">
      <c r="A104" s="405">
        <v>40422</v>
      </c>
      <c r="B104" s="406" t="s">
        <v>596</v>
      </c>
      <c r="C104" s="407"/>
      <c r="D104" s="407">
        <v>200</v>
      </c>
      <c r="E104" s="305"/>
      <c r="F104" s="305"/>
      <c r="G104" s="305"/>
    </row>
    <row r="105" spans="1:8" x14ac:dyDescent="0.35">
      <c r="A105" s="405">
        <v>40422</v>
      </c>
      <c r="B105" s="406" t="s">
        <v>597</v>
      </c>
      <c r="C105" s="407"/>
      <c r="D105" s="407">
        <v>300</v>
      </c>
      <c r="E105" s="305"/>
      <c r="F105" s="305"/>
      <c r="G105" s="305"/>
    </row>
    <row r="106" spans="1:8" x14ac:dyDescent="0.35">
      <c r="A106" s="405">
        <v>40422</v>
      </c>
      <c r="B106" s="406" t="s">
        <v>592</v>
      </c>
      <c r="C106" s="407"/>
      <c r="D106" s="407">
        <v>560</v>
      </c>
      <c r="E106" s="305"/>
      <c r="F106" s="305"/>
      <c r="G106" s="305"/>
    </row>
    <row r="107" spans="1:8" x14ac:dyDescent="0.35">
      <c r="A107" s="405">
        <v>40422</v>
      </c>
      <c r="B107" s="406" t="s">
        <v>547</v>
      </c>
      <c r="C107" s="407"/>
      <c r="D107" s="407">
        <v>300</v>
      </c>
      <c r="E107" s="305"/>
      <c r="F107" s="305"/>
      <c r="G107" s="305"/>
    </row>
    <row r="108" spans="1:8" x14ac:dyDescent="0.35">
      <c r="A108" s="405">
        <v>40422</v>
      </c>
      <c r="B108" s="406" t="s">
        <v>290</v>
      </c>
      <c r="C108" s="407"/>
      <c r="D108" s="407">
        <v>100</v>
      </c>
      <c r="E108" s="305"/>
      <c r="F108" s="305"/>
      <c r="G108" s="305"/>
    </row>
    <row r="109" spans="1:8" x14ac:dyDescent="0.35">
      <c r="A109" s="405">
        <v>40422</v>
      </c>
      <c r="B109" s="406" t="s">
        <v>529</v>
      </c>
      <c r="C109" s="407"/>
      <c r="D109" s="407">
        <v>100</v>
      </c>
      <c r="E109" s="371" t="s">
        <v>24</v>
      </c>
      <c r="F109" s="305"/>
      <c r="G109" s="305"/>
    </row>
    <row r="110" spans="1:8" x14ac:dyDescent="0.35">
      <c r="A110" s="405">
        <v>40422</v>
      </c>
      <c r="B110" s="406" t="s">
        <v>441</v>
      </c>
      <c r="C110" s="407"/>
      <c r="D110" s="407">
        <v>50</v>
      </c>
      <c r="E110" s="371" t="s">
        <v>299</v>
      </c>
      <c r="F110" s="373">
        <f>COUNTA(A99:A111)</f>
        <v>13</v>
      </c>
      <c r="G110" s="305"/>
    </row>
    <row r="111" spans="1:8" ht="15" thickBot="1" x14ac:dyDescent="0.4">
      <c r="A111" s="408">
        <v>40422</v>
      </c>
      <c r="B111" s="409" t="s">
        <v>530</v>
      </c>
      <c r="C111" s="410"/>
      <c r="D111" s="410">
        <v>190</v>
      </c>
      <c r="E111" s="411">
        <f>SUM(C99:C111)</f>
        <v>2800</v>
      </c>
      <c r="F111" s="411">
        <f>SUM(D99:D111)</f>
        <v>2050</v>
      </c>
      <c r="G111" s="411">
        <f>+E111-F111</f>
        <v>750</v>
      </c>
      <c r="H111">
        <f>_SEP10-H4+H98</f>
        <v>-750</v>
      </c>
    </row>
    <row r="112" spans="1:8" x14ac:dyDescent="0.35">
      <c r="A112" s="415">
        <v>40457</v>
      </c>
      <c r="B112" s="416" t="s">
        <v>13</v>
      </c>
      <c r="C112" s="417">
        <v>2500</v>
      </c>
      <c r="D112" s="417"/>
      <c r="E112" s="305"/>
      <c r="F112" s="305"/>
      <c r="G112" s="305"/>
    </row>
    <row r="113" spans="1:8" x14ac:dyDescent="0.35">
      <c r="A113" s="415">
        <v>40467</v>
      </c>
      <c r="B113" s="416" t="s">
        <v>598</v>
      </c>
      <c r="C113" s="417"/>
      <c r="D113" s="417">
        <v>200</v>
      </c>
      <c r="E113" s="305"/>
      <c r="F113" s="305"/>
      <c r="G113" s="305"/>
    </row>
    <row r="114" spans="1:8" x14ac:dyDescent="0.35">
      <c r="A114" s="415">
        <v>40466</v>
      </c>
      <c r="B114" s="416" t="s">
        <v>599</v>
      </c>
      <c r="C114" s="417"/>
      <c r="D114" s="417">
        <v>200</v>
      </c>
      <c r="E114" s="305"/>
      <c r="F114" s="305"/>
      <c r="G114" s="305"/>
    </row>
    <row r="115" spans="1:8" x14ac:dyDescent="0.35">
      <c r="A115" s="415">
        <v>40466</v>
      </c>
      <c r="B115" s="416" t="s">
        <v>600</v>
      </c>
      <c r="C115" s="417"/>
      <c r="D115" s="417">
        <v>100</v>
      </c>
      <c r="E115" s="305"/>
      <c r="F115" s="305"/>
      <c r="G115" s="305"/>
    </row>
    <row r="116" spans="1:8" x14ac:dyDescent="0.35">
      <c r="A116" s="415">
        <v>40461</v>
      </c>
      <c r="B116" s="416" t="s">
        <v>601</v>
      </c>
      <c r="C116" s="417"/>
      <c r="D116" s="417">
        <v>200</v>
      </c>
      <c r="E116" s="305"/>
      <c r="F116" s="305"/>
      <c r="G116" s="305"/>
    </row>
    <row r="117" spans="1:8" x14ac:dyDescent="0.35">
      <c r="A117" s="415">
        <v>40458</v>
      </c>
      <c r="B117" s="416" t="s">
        <v>602</v>
      </c>
      <c r="C117" s="417"/>
      <c r="D117" s="417">
        <v>50</v>
      </c>
      <c r="E117" s="305"/>
      <c r="F117" s="305"/>
      <c r="G117" s="305"/>
    </row>
    <row r="118" spans="1:8" x14ac:dyDescent="0.35">
      <c r="A118" s="405">
        <v>40457</v>
      </c>
      <c r="B118" s="418" t="s">
        <v>603</v>
      </c>
      <c r="C118" s="407"/>
      <c r="D118" s="407">
        <v>100</v>
      </c>
      <c r="E118" s="305"/>
      <c r="F118" s="305"/>
      <c r="G118" s="305"/>
    </row>
    <row r="119" spans="1:8" x14ac:dyDescent="0.35">
      <c r="A119" s="405">
        <v>40457</v>
      </c>
      <c r="B119" s="406" t="s">
        <v>604</v>
      </c>
      <c r="C119" s="407"/>
      <c r="D119" s="407">
        <v>200</v>
      </c>
      <c r="E119" s="305"/>
      <c r="F119" s="305"/>
      <c r="G119" s="305"/>
    </row>
    <row r="120" spans="1:8" x14ac:dyDescent="0.35">
      <c r="A120" s="405">
        <v>40457</v>
      </c>
      <c r="B120" s="406" t="s">
        <v>592</v>
      </c>
      <c r="C120" s="407"/>
      <c r="D120" s="407">
        <v>560</v>
      </c>
      <c r="E120" s="305"/>
      <c r="F120" s="305"/>
      <c r="G120" s="305"/>
    </row>
    <row r="121" spans="1:8" x14ac:dyDescent="0.35">
      <c r="A121" s="405">
        <v>40457</v>
      </c>
      <c r="B121" s="406" t="s">
        <v>547</v>
      </c>
      <c r="C121" s="407"/>
      <c r="D121" s="407">
        <v>240</v>
      </c>
      <c r="E121" s="305"/>
      <c r="F121" s="305"/>
      <c r="G121" s="305"/>
    </row>
    <row r="122" spans="1:8" x14ac:dyDescent="0.35">
      <c r="A122" s="405">
        <v>40457</v>
      </c>
      <c r="B122" s="406" t="s">
        <v>290</v>
      </c>
      <c r="C122" s="407"/>
      <c r="D122" s="407">
        <v>60</v>
      </c>
      <c r="E122" s="305"/>
      <c r="F122" s="305"/>
      <c r="G122" s="305"/>
    </row>
    <row r="123" spans="1:8" x14ac:dyDescent="0.35">
      <c r="A123" s="405">
        <v>40457</v>
      </c>
      <c r="B123" s="406" t="s">
        <v>529</v>
      </c>
      <c r="C123" s="407"/>
      <c r="D123" s="407">
        <v>100</v>
      </c>
      <c r="E123" s="371" t="s">
        <v>25</v>
      </c>
      <c r="F123" s="305"/>
      <c r="G123" s="305"/>
    </row>
    <row r="124" spans="1:8" x14ac:dyDescent="0.35">
      <c r="A124" s="405">
        <v>40457</v>
      </c>
      <c r="B124" s="406" t="s">
        <v>441</v>
      </c>
      <c r="C124" s="407"/>
      <c r="D124" s="407">
        <v>50</v>
      </c>
      <c r="E124" s="371" t="s">
        <v>299</v>
      </c>
      <c r="F124" s="373">
        <f>COUNTA(A112:A125)</f>
        <v>14</v>
      </c>
      <c r="G124" s="305"/>
    </row>
    <row r="125" spans="1:8" ht="15" thickBot="1" x14ac:dyDescent="0.4">
      <c r="A125" s="408">
        <v>40457</v>
      </c>
      <c r="B125" s="409" t="s">
        <v>530</v>
      </c>
      <c r="C125" s="410"/>
      <c r="D125" s="410">
        <v>190</v>
      </c>
      <c r="E125" s="411">
        <f>SUM(C112:C125)</f>
        <v>2500</v>
      </c>
      <c r="F125" s="411">
        <f>SUM(D112:D125)</f>
        <v>2250</v>
      </c>
      <c r="G125" s="411">
        <f>E125-F125</f>
        <v>250</v>
      </c>
      <c r="H125">
        <f>_OCT10-H4+H111</f>
        <v>-1000</v>
      </c>
    </row>
    <row r="126" spans="1:8" x14ac:dyDescent="0.35">
      <c r="A126" s="415">
        <v>40488</v>
      </c>
      <c r="B126" s="416" t="s">
        <v>13</v>
      </c>
      <c r="C126" s="417">
        <v>2500</v>
      </c>
      <c r="D126" s="417"/>
      <c r="E126" s="305"/>
      <c r="F126" s="305"/>
      <c r="G126" s="305"/>
    </row>
    <row r="127" spans="1:8" x14ac:dyDescent="0.35">
      <c r="A127" s="415">
        <v>40504</v>
      </c>
      <c r="B127" s="416" t="s">
        <v>605</v>
      </c>
      <c r="C127" s="417"/>
      <c r="D127" s="417">
        <v>600</v>
      </c>
      <c r="E127" s="305"/>
      <c r="F127" s="305"/>
      <c r="G127" s="305"/>
    </row>
    <row r="128" spans="1:8" x14ac:dyDescent="0.35">
      <c r="A128" s="415">
        <v>40495</v>
      </c>
      <c r="B128" s="416" t="s">
        <v>290</v>
      </c>
      <c r="C128" s="417"/>
      <c r="D128" s="417">
        <v>100</v>
      </c>
      <c r="E128" s="305"/>
      <c r="F128" s="305"/>
      <c r="G128" s="305"/>
    </row>
    <row r="129" spans="1:11" x14ac:dyDescent="0.35">
      <c r="A129" s="415">
        <v>40492</v>
      </c>
      <c r="B129" s="416" t="s">
        <v>290</v>
      </c>
      <c r="C129" s="417"/>
      <c r="D129" s="417">
        <v>100</v>
      </c>
      <c r="E129" s="305"/>
      <c r="F129" s="305"/>
      <c r="G129" s="305"/>
    </row>
    <row r="130" spans="1:11" x14ac:dyDescent="0.35">
      <c r="A130" s="415">
        <v>40489</v>
      </c>
      <c r="B130" s="416" t="s">
        <v>606</v>
      </c>
      <c r="C130" s="417"/>
      <c r="D130" s="417">
        <v>100</v>
      </c>
      <c r="E130" s="305"/>
      <c r="F130" s="305"/>
      <c r="G130" s="305"/>
    </row>
    <row r="131" spans="1:11" x14ac:dyDescent="0.35">
      <c r="A131" s="415">
        <v>40489</v>
      </c>
      <c r="B131" s="416" t="s">
        <v>607</v>
      </c>
      <c r="C131" s="417"/>
      <c r="D131" s="417">
        <v>100</v>
      </c>
      <c r="E131" s="305"/>
      <c r="F131" s="305"/>
      <c r="G131" s="305"/>
    </row>
    <row r="132" spans="1:11" x14ac:dyDescent="0.35">
      <c r="A132" s="415">
        <v>40489</v>
      </c>
      <c r="B132" s="416" t="s">
        <v>608</v>
      </c>
      <c r="C132" s="417"/>
      <c r="D132" s="417">
        <v>200</v>
      </c>
      <c r="E132" s="305"/>
      <c r="F132" s="305"/>
      <c r="G132" s="305"/>
    </row>
    <row r="133" spans="1:11" x14ac:dyDescent="0.35">
      <c r="A133" s="415">
        <v>40489</v>
      </c>
      <c r="B133" s="416" t="s">
        <v>290</v>
      </c>
      <c r="C133" s="417"/>
      <c r="D133" s="417">
        <v>200</v>
      </c>
      <c r="E133" s="305"/>
      <c r="F133" s="305"/>
      <c r="G133" s="305"/>
    </row>
    <row r="134" spans="1:11" x14ac:dyDescent="0.35">
      <c r="A134" s="405">
        <v>40488</v>
      </c>
      <c r="B134" s="406" t="s">
        <v>289</v>
      </c>
      <c r="C134" s="407"/>
      <c r="D134" s="407">
        <v>200</v>
      </c>
      <c r="E134" s="305"/>
      <c r="F134" s="305"/>
      <c r="G134" s="305"/>
    </row>
    <row r="135" spans="1:11" x14ac:dyDescent="0.35">
      <c r="A135" s="405">
        <v>40488</v>
      </c>
      <c r="B135" s="406" t="s">
        <v>609</v>
      </c>
      <c r="C135" s="407"/>
      <c r="D135" s="407">
        <v>200</v>
      </c>
      <c r="E135" s="305"/>
      <c r="F135" s="305"/>
      <c r="G135" s="305"/>
      <c r="H135" s="182"/>
    </row>
    <row r="136" spans="1:11" x14ac:dyDescent="0.35">
      <c r="A136" s="405">
        <v>40488</v>
      </c>
      <c r="B136" s="406" t="s">
        <v>610</v>
      </c>
      <c r="C136" s="407"/>
      <c r="D136" s="407">
        <v>100</v>
      </c>
      <c r="E136" s="305"/>
      <c r="F136" s="305"/>
      <c r="G136" s="305"/>
      <c r="J136" s="182"/>
      <c r="K136" s="182"/>
    </row>
    <row r="137" spans="1:11" x14ac:dyDescent="0.35">
      <c r="A137" s="405">
        <v>40488</v>
      </c>
      <c r="B137" s="406" t="s">
        <v>592</v>
      </c>
      <c r="C137" s="407"/>
      <c r="D137" s="407">
        <v>300</v>
      </c>
      <c r="E137" s="305"/>
      <c r="F137" s="305"/>
      <c r="G137" s="305"/>
      <c r="J137" s="182"/>
    </row>
    <row r="138" spans="1:11" x14ac:dyDescent="0.35">
      <c r="A138" s="405">
        <v>40488</v>
      </c>
      <c r="B138" s="406" t="s">
        <v>529</v>
      </c>
      <c r="C138" s="407"/>
      <c r="D138" s="407">
        <v>100</v>
      </c>
      <c r="E138" s="371" t="s">
        <v>26</v>
      </c>
      <c r="F138" s="305"/>
      <c r="G138" s="305"/>
    </row>
    <row r="139" spans="1:11" x14ac:dyDescent="0.35">
      <c r="A139" s="405">
        <v>40488</v>
      </c>
      <c r="B139" s="406" t="s">
        <v>441</v>
      </c>
      <c r="C139" s="407"/>
      <c r="D139" s="407">
        <v>50</v>
      </c>
      <c r="E139" s="371" t="s">
        <v>299</v>
      </c>
      <c r="F139" s="373">
        <f>COUNTA(A126:A140)</f>
        <v>15</v>
      </c>
      <c r="G139" s="305"/>
    </row>
    <row r="140" spans="1:11" ht="15" thickBot="1" x14ac:dyDescent="0.4">
      <c r="A140" s="408">
        <v>40488</v>
      </c>
      <c r="B140" s="409" t="s">
        <v>530</v>
      </c>
      <c r="C140" s="410"/>
      <c r="D140" s="410">
        <v>150</v>
      </c>
      <c r="E140" s="411">
        <f>SUM(C126:C140)</f>
        <v>2500</v>
      </c>
      <c r="F140" s="411">
        <f>SUM(D126:D140)</f>
        <v>2500</v>
      </c>
      <c r="G140" s="411">
        <f>E140-F140</f>
        <v>0</v>
      </c>
      <c r="H140">
        <f>_NOV10-H4+H125</f>
        <v>-1500</v>
      </c>
    </row>
    <row r="141" spans="1:11" x14ac:dyDescent="0.35">
      <c r="A141" s="415">
        <v>40515</v>
      </c>
      <c r="B141" s="416" t="s">
        <v>13</v>
      </c>
      <c r="C141" s="417">
        <v>2500</v>
      </c>
      <c r="D141" s="417"/>
      <c r="E141" s="305"/>
      <c r="F141" s="305"/>
      <c r="G141" s="305"/>
    </row>
    <row r="142" spans="1:11" x14ac:dyDescent="0.35">
      <c r="A142" s="405">
        <v>40515</v>
      </c>
      <c r="B142" s="406" t="s">
        <v>611</v>
      </c>
      <c r="C142" s="407">
        <v>1100</v>
      </c>
      <c r="D142" s="407"/>
      <c r="E142" s="305"/>
      <c r="F142" s="305"/>
      <c r="G142" s="305"/>
    </row>
    <row r="143" spans="1:11" x14ac:dyDescent="0.35">
      <c r="A143" s="405">
        <v>40544</v>
      </c>
      <c r="B143" s="406" t="s">
        <v>612</v>
      </c>
      <c r="C143" s="407"/>
      <c r="D143" s="407">
        <v>200</v>
      </c>
      <c r="E143" s="305"/>
      <c r="F143" s="305"/>
      <c r="G143" s="305"/>
    </row>
    <row r="144" spans="1:11" x14ac:dyDescent="0.35">
      <c r="A144" s="405">
        <v>40908</v>
      </c>
      <c r="B144" s="406" t="s">
        <v>613</v>
      </c>
      <c r="C144" s="407"/>
      <c r="D144" s="407">
        <v>100</v>
      </c>
      <c r="E144" s="305"/>
      <c r="F144" s="305"/>
      <c r="G144" s="305"/>
    </row>
    <row r="145" spans="1:12" x14ac:dyDescent="0.35">
      <c r="A145" s="405">
        <v>40536</v>
      </c>
      <c r="B145" s="406" t="s">
        <v>614</v>
      </c>
      <c r="C145" s="407"/>
      <c r="D145" s="407">
        <v>400</v>
      </c>
      <c r="E145" s="305"/>
      <c r="F145" s="305"/>
      <c r="G145" s="305"/>
    </row>
    <row r="146" spans="1:12" x14ac:dyDescent="0.35">
      <c r="A146" s="405">
        <v>40530</v>
      </c>
      <c r="B146" s="406" t="s">
        <v>615</v>
      </c>
      <c r="C146" s="407"/>
      <c r="D146" s="407">
        <v>300</v>
      </c>
      <c r="E146" s="305"/>
      <c r="F146" s="305"/>
      <c r="G146" s="305"/>
    </row>
    <row r="147" spans="1:12" x14ac:dyDescent="0.35">
      <c r="A147" s="405">
        <v>40515</v>
      </c>
      <c r="B147" s="406" t="s">
        <v>616</v>
      </c>
      <c r="C147" s="407"/>
      <c r="D147" s="407">
        <v>400</v>
      </c>
      <c r="E147" s="305"/>
      <c r="F147" s="305"/>
      <c r="G147" s="305"/>
      <c r="L147" s="182"/>
    </row>
    <row r="148" spans="1:12" x14ac:dyDescent="0.35">
      <c r="A148" s="405">
        <v>40517</v>
      </c>
      <c r="B148" s="406" t="s">
        <v>617</v>
      </c>
      <c r="C148" s="407"/>
      <c r="D148" s="407">
        <v>350</v>
      </c>
      <c r="E148" s="305"/>
      <c r="F148" s="305"/>
      <c r="G148" s="305"/>
      <c r="L148" s="182"/>
    </row>
    <row r="149" spans="1:12" x14ac:dyDescent="0.35">
      <c r="A149" s="405">
        <v>40515</v>
      </c>
      <c r="B149" s="406" t="s">
        <v>290</v>
      </c>
      <c r="C149" s="407"/>
      <c r="D149" s="407">
        <v>100</v>
      </c>
      <c r="E149" s="305"/>
      <c r="F149" s="305"/>
      <c r="G149" s="305"/>
    </row>
    <row r="150" spans="1:12" x14ac:dyDescent="0.35">
      <c r="A150" s="405">
        <v>40515</v>
      </c>
      <c r="B150" s="406" t="s">
        <v>618</v>
      </c>
      <c r="C150" s="407"/>
      <c r="D150" s="407">
        <v>100</v>
      </c>
      <c r="E150" s="305"/>
      <c r="F150" s="305"/>
      <c r="G150" s="305"/>
    </row>
    <row r="151" spans="1:12" x14ac:dyDescent="0.35">
      <c r="A151" s="405">
        <v>40515</v>
      </c>
      <c r="B151" s="406" t="s">
        <v>592</v>
      </c>
      <c r="C151" s="407"/>
      <c r="D151" s="407">
        <v>300</v>
      </c>
      <c r="E151" s="305"/>
      <c r="F151" s="305"/>
      <c r="G151" s="305"/>
    </row>
    <row r="152" spans="1:12" x14ac:dyDescent="0.35">
      <c r="A152" s="405">
        <v>40515</v>
      </c>
      <c r="B152" s="406" t="s">
        <v>529</v>
      </c>
      <c r="C152" s="407"/>
      <c r="D152" s="407">
        <v>100</v>
      </c>
      <c r="E152" s="371" t="s">
        <v>27</v>
      </c>
      <c r="F152" s="305"/>
      <c r="G152" s="305"/>
    </row>
    <row r="153" spans="1:12" x14ac:dyDescent="0.35">
      <c r="A153" s="405">
        <v>40515</v>
      </c>
      <c r="B153" s="406" t="s">
        <v>441</v>
      </c>
      <c r="C153" s="407"/>
      <c r="D153" s="407">
        <v>50</v>
      </c>
      <c r="E153" s="371" t="s">
        <v>299</v>
      </c>
      <c r="F153" s="373">
        <f>COUNTA(A141:A154)</f>
        <v>14</v>
      </c>
      <c r="G153" s="305"/>
    </row>
    <row r="154" spans="1:12" ht="15" thickBot="1" x14ac:dyDescent="0.4">
      <c r="A154" s="408">
        <v>40515</v>
      </c>
      <c r="B154" s="409" t="s">
        <v>530</v>
      </c>
      <c r="C154" s="410"/>
      <c r="D154" s="410">
        <v>200</v>
      </c>
      <c r="E154" s="411">
        <f>SUM(C141:C154)</f>
        <v>3600</v>
      </c>
      <c r="F154" s="411">
        <f>SUM(D141:D154)</f>
        <v>2600</v>
      </c>
      <c r="G154" s="411">
        <f>E154-F154</f>
        <v>1000</v>
      </c>
      <c r="H154">
        <f>_DIC10-H4+H140</f>
        <v>-1000</v>
      </c>
    </row>
    <row r="155" spans="1:12" x14ac:dyDescent="0.35">
      <c r="C155" s="320"/>
      <c r="D155" s="320"/>
    </row>
    <row r="156" spans="1:12" x14ac:dyDescent="0.35">
      <c r="C156" s="320"/>
      <c r="D156" s="320"/>
    </row>
    <row r="157" spans="1:12" x14ac:dyDescent="0.35">
      <c r="C157" s="320"/>
      <c r="D157" s="320"/>
    </row>
    <row r="158" spans="1:12" x14ac:dyDescent="0.35">
      <c r="C158" s="320"/>
      <c r="D158" s="320"/>
      <c r="H158" s="577" t="s">
        <v>28</v>
      </c>
      <c r="I158" s="948">
        <f>D2</f>
        <v>21930.45</v>
      </c>
      <c r="J158" s="579"/>
    </row>
    <row r="159" spans="1:12" x14ac:dyDescent="0.35">
      <c r="C159" s="320"/>
      <c r="D159" s="320"/>
      <c r="H159" s="577" t="s">
        <v>29</v>
      </c>
      <c r="I159" s="577"/>
      <c r="J159" s="579"/>
    </row>
    <row r="160" spans="1:12" x14ac:dyDescent="0.35">
      <c r="C160" s="320"/>
      <c r="D160" s="320"/>
      <c r="H160" s="580">
        <f>_ENE10</f>
        <v>2000</v>
      </c>
      <c r="I160" s="580"/>
      <c r="J160" s="579"/>
    </row>
    <row r="161" spans="1:13" x14ac:dyDescent="0.35">
      <c r="C161" s="320"/>
      <c r="D161" s="320"/>
      <c r="H161" s="580">
        <f>_FEB10</f>
        <v>100</v>
      </c>
      <c r="I161" s="580"/>
      <c r="J161" s="579"/>
    </row>
    <row r="162" spans="1:13" x14ac:dyDescent="0.35">
      <c r="C162" s="320"/>
      <c r="D162" s="320"/>
      <c r="H162" s="580">
        <f>_MAR10</f>
        <v>200</v>
      </c>
      <c r="I162" s="580"/>
      <c r="J162" s="579"/>
    </row>
    <row r="163" spans="1:13" x14ac:dyDescent="0.35">
      <c r="C163" s="320"/>
      <c r="D163" s="320"/>
      <c r="H163" s="580">
        <f>_ABR10</f>
        <v>200</v>
      </c>
      <c r="I163" s="580"/>
      <c r="J163" s="579"/>
    </row>
    <row r="164" spans="1:13" x14ac:dyDescent="0.35">
      <c r="C164" s="320"/>
      <c r="D164" s="320"/>
      <c r="H164" s="580">
        <f>_MAY10</f>
        <v>200</v>
      </c>
      <c r="I164" s="580"/>
      <c r="J164" s="579"/>
    </row>
    <row r="165" spans="1:13" x14ac:dyDescent="0.35">
      <c r="C165" s="320"/>
      <c r="D165" s="320"/>
      <c r="H165" s="580">
        <f>_JUN10</f>
        <v>200</v>
      </c>
      <c r="I165" s="580"/>
      <c r="J165" s="579"/>
    </row>
    <row r="166" spans="1:13" x14ac:dyDescent="0.35">
      <c r="C166" s="320"/>
      <c r="D166" s="320"/>
      <c r="H166" s="580">
        <f>_JUL10</f>
        <v>900</v>
      </c>
      <c r="I166" s="580"/>
      <c r="J166" s="579"/>
    </row>
    <row r="167" spans="1:13" x14ac:dyDescent="0.35">
      <c r="C167" s="320"/>
      <c r="D167" s="320"/>
      <c r="H167" s="580">
        <f>_AGO10</f>
        <v>-800</v>
      </c>
      <c r="I167" s="580"/>
      <c r="J167" s="579"/>
    </row>
    <row r="168" spans="1:13" x14ac:dyDescent="0.35">
      <c r="C168" s="320"/>
      <c r="D168" s="320"/>
      <c r="H168" s="580">
        <f>_SEP10</f>
        <v>750</v>
      </c>
      <c r="I168" s="580"/>
      <c r="J168" s="579"/>
    </row>
    <row r="169" spans="1:13" x14ac:dyDescent="0.35">
      <c r="C169" s="320"/>
      <c r="D169" s="320"/>
      <c r="H169" s="580">
        <f>_OCT10</f>
        <v>250</v>
      </c>
      <c r="I169" s="580"/>
      <c r="J169" s="579"/>
    </row>
    <row r="170" spans="1:13" x14ac:dyDescent="0.35">
      <c r="C170" s="320"/>
      <c r="D170" s="320"/>
      <c r="H170" s="580">
        <f>_NOV10</f>
        <v>0</v>
      </c>
      <c r="I170" s="580"/>
      <c r="J170" s="579"/>
    </row>
    <row r="171" spans="1:13" x14ac:dyDescent="0.35">
      <c r="C171" s="320"/>
      <c r="D171" s="320"/>
      <c r="H171" s="580">
        <f>_DIC10</f>
        <v>1000</v>
      </c>
      <c r="I171" s="580"/>
      <c r="J171" s="579"/>
    </row>
    <row r="172" spans="1:13" x14ac:dyDescent="0.35">
      <c r="C172" s="320"/>
      <c r="D172" s="320"/>
      <c r="H172" s="580">
        <f>SUM(H160:H171)</f>
        <v>5000</v>
      </c>
      <c r="I172" s="580">
        <f>-SUM(I160:I171)</f>
        <v>0</v>
      </c>
      <c r="J172" s="581">
        <f>H172-I172</f>
        <v>5000</v>
      </c>
    </row>
    <row r="173" spans="1:13" x14ac:dyDescent="0.35">
      <c r="C173" s="320"/>
      <c r="D173" s="320"/>
      <c r="H173" s="23"/>
      <c r="I173" s="23"/>
      <c r="J173" s="15"/>
    </row>
    <row r="174" spans="1:13" x14ac:dyDescent="0.35">
      <c r="C174" s="320"/>
      <c r="D174" s="320"/>
      <c r="E174" s="37"/>
      <c r="F174" s="37"/>
      <c r="G174" s="37"/>
      <c r="H174" s="181"/>
      <c r="I174" s="323"/>
      <c r="J174" s="51"/>
      <c r="K174" s="37"/>
      <c r="L174" s="576"/>
      <c r="M174" s="37"/>
    </row>
    <row r="175" spans="1:13" x14ac:dyDescent="0.35">
      <c r="C175" s="320"/>
      <c r="D175" s="320"/>
      <c r="E175" s="37"/>
      <c r="F175" s="43"/>
      <c r="G175" s="43"/>
      <c r="H175" s="181"/>
      <c r="I175" s="565"/>
      <c r="J175" s="51"/>
      <c r="K175" s="43"/>
      <c r="L175" s="37"/>
      <c r="M175" s="37"/>
    </row>
    <row r="176" spans="1:13" x14ac:dyDescent="0.35">
      <c r="A176" s="380" t="s">
        <v>32</v>
      </c>
      <c r="B176" s="380" t="s">
        <v>33</v>
      </c>
      <c r="E176" s="37"/>
      <c r="F176" s="37"/>
      <c r="G176" s="37"/>
      <c r="H176" s="181"/>
      <c r="I176" s="323"/>
      <c r="J176" s="51"/>
      <c r="K176" s="37"/>
      <c r="L176" s="37"/>
      <c r="M176" s="37"/>
    </row>
    <row r="177" spans="1:13" x14ac:dyDescent="0.35">
      <c r="A177" s="380">
        <f>SUM(C6:C176)</f>
        <v>35000</v>
      </c>
      <c r="B177" s="380">
        <f>SUM(D6:D176)</f>
        <v>30000</v>
      </c>
      <c r="E177" s="37"/>
      <c r="F177" s="37"/>
      <c r="G177" s="37"/>
      <c r="H177" s="323"/>
      <c r="I177" s="323"/>
      <c r="J177" s="51"/>
      <c r="K177" s="37"/>
      <c r="L177" s="37"/>
      <c r="M177" s="37"/>
    </row>
    <row r="178" spans="1:13" x14ac:dyDescent="0.35">
      <c r="C178" s="320"/>
      <c r="D178" s="320"/>
      <c r="E178" s="37"/>
      <c r="F178" s="37"/>
      <c r="G178" s="37"/>
      <c r="H178" s="565"/>
      <c r="I178" s="323"/>
      <c r="J178" s="51"/>
      <c r="K178" s="37"/>
      <c r="L178" s="37"/>
      <c r="M178" s="37"/>
    </row>
    <row r="179" spans="1:13" x14ac:dyDescent="0.35">
      <c r="E179" s="37"/>
      <c r="F179" s="37"/>
      <c r="G179" s="37"/>
      <c r="H179" s="181"/>
      <c r="I179" s="323"/>
      <c r="J179" s="51"/>
      <c r="K179" s="37"/>
      <c r="L179" s="37"/>
      <c r="M179" s="37"/>
    </row>
    <row r="180" spans="1:13" x14ac:dyDescent="0.35">
      <c r="E180" s="37"/>
      <c r="F180" s="37"/>
      <c r="G180" s="37"/>
      <c r="H180" s="181"/>
      <c r="I180" s="323"/>
      <c r="J180" s="51"/>
      <c r="K180" s="37"/>
      <c r="L180" s="37"/>
      <c r="M180" s="37"/>
    </row>
    <row r="181" spans="1:13" x14ac:dyDescent="0.35">
      <c r="H181" s="24"/>
      <c r="I181" s="23"/>
      <c r="J181" s="15"/>
    </row>
    <row r="182" spans="1:13" x14ac:dyDescent="0.3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97" customWidth="1"/>
    <col min="4" max="4" width="13.7265625" style="397" customWidth="1"/>
    <col min="5" max="5" width="16.36328125" customWidth="1"/>
    <col min="6" max="6" width="13.7265625" customWidth="1"/>
    <col min="7" max="8" width="14.7265625" customWidth="1"/>
    <col min="9" max="9" width="14.36328125" customWidth="1"/>
    <col min="10" max="10" width="13.26953125" customWidth="1"/>
    <col min="12" max="12" width="11.7265625" customWidth="1"/>
  </cols>
  <sheetData>
    <row r="1" spans="1:9" ht="12" customHeight="1" x14ac:dyDescent="0.35">
      <c r="A1" s="1188"/>
      <c r="B1" s="1189"/>
      <c r="C1" s="383" t="s">
        <v>0</v>
      </c>
      <c r="D1" s="384">
        <f>COUNTA(A5:A167)</f>
        <v>163</v>
      </c>
      <c r="E1" s="357" t="s">
        <v>1</v>
      </c>
      <c r="F1" s="358">
        <f>F2+F3</f>
        <v>0</v>
      </c>
    </row>
    <row r="2" spans="1:9" x14ac:dyDescent="0.35">
      <c r="A2" s="292" t="s">
        <v>2</v>
      </c>
      <c r="B2" s="293">
        <f>G18+G29+G38+G50+G69+G89+G105+G115+G127+G145+G153+G167</f>
        <v>9000</v>
      </c>
      <c r="C2" s="385" t="s">
        <v>251</v>
      </c>
      <c r="D2" s="945">
        <f>SUM(C4:C167)-SUM(D4:D167)</f>
        <v>16930.45</v>
      </c>
      <c r="E2" s="387" t="s">
        <v>407</v>
      </c>
      <c r="F2" s="386">
        <v>0</v>
      </c>
      <c r="H2">
        <v>800</v>
      </c>
      <c r="I2">
        <f>+I3*12</f>
        <v>0</v>
      </c>
    </row>
    <row r="3" spans="1:9" x14ac:dyDescent="0.35">
      <c r="A3" s="388" t="s">
        <v>7</v>
      </c>
      <c r="B3" s="389" t="s">
        <v>8</v>
      </c>
      <c r="C3" s="390" t="s">
        <v>9</v>
      </c>
      <c r="D3" s="391" t="s">
        <v>63</v>
      </c>
      <c r="E3" s="392" t="s">
        <v>10</v>
      </c>
      <c r="F3" s="386">
        <v>0</v>
      </c>
      <c r="H3">
        <v>800</v>
      </c>
      <c r="I3">
        <f>-(+H2-H3)</f>
        <v>0</v>
      </c>
    </row>
    <row r="4" spans="1:9" x14ac:dyDescent="0.35">
      <c r="A4" s="363"/>
      <c r="B4" s="364" t="s">
        <v>517</v>
      </c>
      <c r="C4" s="365">
        <v>7930.45</v>
      </c>
      <c r="D4" s="365"/>
    </row>
    <row r="5" spans="1:9" x14ac:dyDescent="0.35">
      <c r="A5" s="366">
        <v>39795</v>
      </c>
      <c r="B5" s="367" t="s">
        <v>518</v>
      </c>
      <c r="C5" s="368"/>
      <c r="D5" s="946">
        <v>1000</v>
      </c>
    </row>
    <row r="6" spans="1:9" x14ac:dyDescent="0.35">
      <c r="A6" s="366">
        <v>39802</v>
      </c>
      <c r="B6" s="367" t="s">
        <v>289</v>
      </c>
      <c r="C6" s="368"/>
      <c r="D6" s="368">
        <v>100</v>
      </c>
    </row>
    <row r="7" spans="1:9" x14ac:dyDescent="0.35">
      <c r="A7" s="366">
        <v>39806</v>
      </c>
      <c r="B7" s="367" t="s">
        <v>19</v>
      </c>
      <c r="C7" s="368">
        <v>1100</v>
      </c>
      <c r="D7" s="368"/>
    </row>
    <row r="8" spans="1:9" x14ac:dyDescent="0.35">
      <c r="A8" s="366">
        <v>39806</v>
      </c>
      <c r="B8" s="367" t="s">
        <v>461</v>
      </c>
      <c r="C8" s="368">
        <v>150</v>
      </c>
      <c r="D8" s="368"/>
      <c r="F8" s="340"/>
      <c r="G8" s="305"/>
    </row>
    <row r="9" spans="1:9" x14ac:dyDescent="0.35">
      <c r="A9" s="366">
        <v>39806</v>
      </c>
      <c r="B9" s="367" t="s">
        <v>519</v>
      </c>
      <c r="C9" s="368">
        <v>150</v>
      </c>
      <c r="D9" s="368"/>
      <c r="F9" s="340"/>
      <c r="G9" s="315"/>
    </row>
    <row r="10" spans="1:9" x14ac:dyDescent="0.35">
      <c r="A10" s="366">
        <v>39821</v>
      </c>
      <c r="B10" s="367" t="s">
        <v>375</v>
      </c>
      <c r="C10" s="368"/>
      <c r="D10" s="368">
        <v>100</v>
      </c>
      <c r="F10" s="340"/>
      <c r="G10" s="315"/>
      <c r="H10" s="304"/>
    </row>
    <row r="11" spans="1:9" x14ac:dyDescent="0.35">
      <c r="A11" s="366">
        <v>39822</v>
      </c>
      <c r="B11" s="367" t="s">
        <v>13</v>
      </c>
      <c r="C11" s="368">
        <v>2200</v>
      </c>
      <c r="D11" s="368"/>
      <c r="F11" s="340"/>
      <c r="G11" s="315"/>
      <c r="H11" s="304"/>
    </row>
    <row r="12" spans="1:9" x14ac:dyDescent="0.35">
      <c r="A12" s="366">
        <v>39822</v>
      </c>
      <c r="B12" s="367" t="s">
        <v>520</v>
      </c>
      <c r="C12" s="368"/>
      <c r="D12" s="368">
        <v>25</v>
      </c>
      <c r="F12" s="340"/>
      <c r="G12" s="315"/>
      <c r="H12" s="304"/>
    </row>
    <row r="13" spans="1:9" x14ac:dyDescent="0.35">
      <c r="A13" s="366">
        <v>39822</v>
      </c>
      <c r="B13" s="367" t="s">
        <v>290</v>
      </c>
      <c r="C13" s="368"/>
      <c r="D13" s="368">
        <v>100</v>
      </c>
      <c r="F13" s="340"/>
      <c r="G13" s="315"/>
      <c r="H13" s="304"/>
    </row>
    <row r="14" spans="1:9" x14ac:dyDescent="0.35">
      <c r="A14" s="366">
        <v>39822</v>
      </c>
      <c r="B14" s="367" t="s">
        <v>386</v>
      </c>
      <c r="C14" s="368"/>
      <c r="D14" s="368">
        <v>350</v>
      </c>
      <c r="F14" s="340"/>
      <c r="G14" s="315"/>
      <c r="H14" s="304"/>
    </row>
    <row r="15" spans="1:9" x14ac:dyDescent="0.35">
      <c r="A15" s="366">
        <v>39822</v>
      </c>
      <c r="B15" s="367" t="s">
        <v>287</v>
      </c>
      <c r="C15" s="368"/>
      <c r="D15" s="368">
        <v>80</v>
      </c>
      <c r="F15" s="340"/>
      <c r="G15" s="315"/>
      <c r="H15" s="304"/>
    </row>
    <row r="16" spans="1:9" x14ac:dyDescent="0.35">
      <c r="A16" s="366">
        <v>39822</v>
      </c>
      <c r="B16" s="367" t="s">
        <v>521</v>
      </c>
      <c r="C16" s="368"/>
      <c r="D16" s="368">
        <v>150</v>
      </c>
      <c r="E16" s="371" t="s">
        <v>11</v>
      </c>
      <c r="F16" s="305"/>
      <c r="G16" s="305"/>
    </row>
    <row r="17" spans="1:10" x14ac:dyDescent="0.35">
      <c r="A17" s="366">
        <v>39822</v>
      </c>
      <c r="B17" s="367" t="s">
        <v>522</v>
      </c>
      <c r="C17" s="368"/>
      <c r="D17" s="368">
        <v>270</v>
      </c>
      <c r="E17" s="372" t="s">
        <v>299</v>
      </c>
      <c r="F17" s="373">
        <f>COUNTA(A5:A18)</f>
        <v>14</v>
      </c>
      <c r="G17" s="305"/>
    </row>
    <row r="18" spans="1:10" x14ac:dyDescent="0.35">
      <c r="A18" s="363">
        <v>39822</v>
      </c>
      <c r="B18" s="364" t="s">
        <v>441</v>
      </c>
      <c r="C18" s="365"/>
      <c r="D18" s="365">
        <v>25</v>
      </c>
      <c r="E18" s="374">
        <f>SUM(C5:C18)</f>
        <v>3600</v>
      </c>
      <c r="F18" s="374">
        <f>SUM(D5:D18)</f>
        <v>2200</v>
      </c>
      <c r="G18" s="374">
        <f>E18-F18</f>
        <v>1400</v>
      </c>
      <c r="H18">
        <f>_ENE09-H3</f>
        <v>600</v>
      </c>
    </row>
    <row r="19" spans="1:10" x14ac:dyDescent="0.35">
      <c r="A19" s="366">
        <v>39850</v>
      </c>
      <c r="B19" s="367" t="s">
        <v>13</v>
      </c>
      <c r="C19" s="368">
        <v>2200</v>
      </c>
      <c r="D19" s="368"/>
      <c r="E19" s="305"/>
      <c r="F19" s="305"/>
      <c r="G19" s="305"/>
    </row>
    <row r="20" spans="1:10" x14ac:dyDescent="0.35">
      <c r="A20" s="366">
        <v>39850</v>
      </c>
      <c r="B20" s="367" t="s">
        <v>386</v>
      </c>
      <c r="C20" s="368"/>
      <c r="D20" s="368">
        <v>350</v>
      </c>
      <c r="E20" s="305"/>
      <c r="F20" s="305"/>
      <c r="G20" s="305"/>
    </row>
    <row r="21" spans="1:10" x14ac:dyDescent="0.35">
      <c r="A21" s="366">
        <v>39850</v>
      </c>
      <c r="B21" s="367" t="s">
        <v>523</v>
      </c>
      <c r="C21" s="368"/>
      <c r="D21" s="368">
        <f>7+27+1</f>
        <v>35</v>
      </c>
      <c r="E21" s="305"/>
      <c r="F21" s="305"/>
      <c r="G21" s="305"/>
    </row>
    <row r="22" spans="1:10" x14ac:dyDescent="0.35">
      <c r="A22" s="366">
        <v>39850</v>
      </c>
      <c r="B22" s="367" t="s">
        <v>479</v>
      </c>
      <c r="C22" s="368"/>
      <c r="D22" s="368">
        <v>216</v>
      </c>
      <c r="E22" s="15"/>
      <c r="F22" s="15"/>
      <c r="G22" s="15"/>
      <c r="H22" s="15"/>
      <c r="I22" s="15"/>
      <c r="J22" s="15"/>
    </row>
    <row r="23" spans="1:10" x14ac:dyDescent="0.35">
      <c r="A23" s="366">
        <v>39850</v>
      </c>
      <c r="B23" s="367" t="s">
        <v>521</v>
      </c>
      <c r="C23" s="368"/>
      <c r="D23" s="368">
        <v>200</v>
      </c>
      <c r="E23" s="15"/>
      <c r="F23" s="15"/>
      <c r="G23" s="15"/>
      <c r="H23" s="15"/>
      <c r="I23" s="15"/>
      <c r="J23" s="15"/>
    </row>
    <row r="24" spans="1:10" x14ac:dyDescent="0.35">
      <c r="A24" s="366">
        <v>39850</v>
      </c>
      <c r="B24" s="367" t="s">
        <v>287</v>
      </c>
      <c r="C24" s="368"/>
      <c r="D24" s="368">
        <f>57+100</f>
        <v>157</v>
      </c>
      <c r="E24" s="15"/>
      <c r="F24" s="15"/>
      <c r="G24" s="15"/>
      <c r="H24" s="15"/>
      <c r="I24" s="15"/>
      <c r="J24" s="15"/>
    </row>
    <row r="25" spans="1:10" x14ac:dyDescent="0.35">
      <c r="A25" s="366">
        <v>39850</v>
      </c>
      <c r="B25" s="367" t="s">
        <v>297</v>
      </c>
      <c r="C25" s="368"/>
      <c r="D25" s="368">
        <v>10</v>
      </c>
      <c r="E25" s="15"/>
      <c r="F25" s="15"/>
      <c r="G25" s="15"/>
      <c r="H25" s="15"/>
      <c r="I25" s="15"/>
      <c r="J25" s="15"/>
    </row>
    <row r="26" spans="1:10" x14ac:dyDescent="0.35">
      <c r="A26" s="366">
        <v>39850</v>
      </c>
      <c r="B26" s="367" t="s">
        <v>290</v>
      </c>
      <c r="C26" s="368"/>
      <c r="D26" s="368">
        <v>210</v>
      </c>
      <c r="E26" s="15"/>
      <c r="F26" s="15"/>
      <c r="G26" s="15"/>
      <c r="H26" s="15"/>
      <c r="I26" s="15"/>
      <c r="J26" s="15"/>
    </row>
    <row r="27" spans="1:10" x14ac:dyDescent="0.35">
      <c r="A27" s="366">
        <v>39850</v>
      </c>
      <c r="B27" s="367" t="s">
        <v>524</v>
      </c>
      <c r="C27" s="368"/>
      <c r="D27" s="368">
        <v>10</v>
      </c>
      <c r="E27" s="371" t="s">
        <v>16</v>
      </c>
      <c r="F27" s="305"/>
      <c r="G27" s="305"/>
    </row>
    <row r="28" spans="1:10" x14ac:dyDescent="0.35">
      <c r="A28" s="366">
        <v>39850</v>
      </c>
      <c r="B28" s="367" t="s">
        <v>525</v>
      </c>
      <c r="C28" s="368"/>
      <c r="D28" s="368">
        <v>12</v>
      </c>
      <c r="E28" s="372" t="s">
        <v>299</v>
      </c>
      <c r="F28" s="373">
        <f>COUNTA(A19:A29)</f>
        <v>11</v>
      </c>
      <c r="G28" s="305"/>
    </row>
    <row r="29" spans="1:10" x14ac:dyDescent="0.35">
      <c r="A29" s="363">
        <v>39863</v>
      </c>
      <c r="B29" s="364" t="s">
        <v>309</v>
      </c>
      <c r="C29" s="365"/>
      <c r="D29" s="365">
        <v>50</v>
      </c>
      <c r="E29" s="375">
        <f>SUM(C19:C29)</f>
        <v>2200</v>
      </c>
      <c r="F29" s="375">
        <f>SUM(D19:D29)</f>
        <v>1250</v>
      </c>
      <c r="G29" s="375">
        <f>E29-F29</f>
        <v>950</v>
      </c>
      <c r="H29">
        <f>_FEB09-H3+H18</f>
        <v>750</v>
      </c>
    </row>
    <row r="30" spans="1:10" x14ac:dyDescent="0.35">
      <c r="A30" s="366">
        <v>39882</v>
      </c>
      <c r="B30" s="367" t="s">
        <v>13</v>
      </c>
      <c r="C30" s="368">
        <v>2200</v>
      </c>
      <c r="D30" s="368"/>
      <c r="E30" s="305"/>
      <c r="F30" s="305"/>
      <c r="G30" s="305"/>
    </row>
    <row r="31" spans="1:10" x14ac:dyDescent="0.35">
      <c r="A31" s="366">
        <v>39854</v>
      </c>
      <c r="B31" s="367" t="s">
        <v>386</v>
      </c>
      <c r="C31" s="368"/>
      <c r="D31" s="368">
        <v>350</v>
      </c>
      <c r="E31" s="305"/>
      <c r="F31" s="305"/>
      <c r="G31" s="305"/>
    </row>
    <row r="32" spans="1:10" x14ac:dyDescent="0.35">
      <c r="A32" s="366">
        <v>39855</v>
      </c>
      <c r="B32" s="367" t="s">
        <v>518</v>
      </c>
      <c r="C32" s="368"/>
      <c r="D32" s="368">
        <v>300</v>
      </c>
      <c r="E32" s="305"/>
      <c r="F32" s="305"/>
      <c r="G32" s="305"/>
    </row>
    <row r="33" spans="1:8" x14ac:dyDescent="0.35">
      <c r="A33" s="366">
        <v>39900</v>
      </c>
      <c r="B33" s="367" t="s">
        <v>526</v>
      </c>
      <c r="C33" s="368"/>
      <c r="D33" s="368">
        <v>100</v>
      </c>
      <c r="E33" s="305"/>
      <c r="F33" s="305"/>
      <c r="G33" s="305"/>
    </row>
    <row r="34" spans="1:8" x14ac:dyDescent="0.35">
      <c r="A34" s="366">
        <v>39882</v>
      </c>
      <c r="B34" s="367" t="s">
        <v>433</v>
      </c>
      <c r="C34" s="368"/>
      <c r="D34" s="368">
        <v>20</v>
      </c>
      <c r="E34" s="305"/>
      <c r="F34" s="305"/>
      <c r="G34" s="305"/>
    </row>
    <row r="35" spans="1:8" x14ac:dyDescent="0.35">
      <c r="A35" s="366">
        <v>39882</v>
      </c>
      <c r="B35" s="367" t="s">
        <v>290</v>
      </c>
      <c r="C35" s="368"/>
      <c r="D35" s="368">
        <v>220</v>
      </c>
      <c r="E35" s="305"/>
      <c r="F35" s="305"/>
      <c r="G35" s="305"/>
    </row>
    <row r="36" spans="1:8" x14ac:dyDescent="0.35">
      <c r="A36" s="366">
        <v>39882</v>
      </c>
      <c r="B36" s="367" t="s">
        <v>287</v>
      </c>
      <c r="C36" s="368"/>
      <c r="D36" s="368">
        <v>60</v>
      </c>
      <c r="E36" s="371" t="s">
        <v>17</v>
      </c>
      <c r="F36" s="305"/>
      <c r="G36" s="305"/>
    </row>
    <row r="37" spans="1:8" x14ac:dyDescent="0.35">
      <c r="A37" s="366">
        <v>39882</v>
      </c>
      <c r="B37" s="367" t="s">
        <v>521</v>
      </c>
      <c r="C37" s="368"/>
      <c r="D37" s="368">
        <v>250</v>
      </c>
      <c r="E37" s="372" t="s">
        <v>299</v>
      </c>
      <c r="F37" s="373">
        <f>COUNTA(A30:A38)</f>
        <v>9</v>
      </c>
      <c r="G37" s="305"/>
    </row>
    <row r="38" spans="1:8" x14ac:dyDescent="0.35">
      <c r="A38" s="363">
        <v>39882</v>
      </c>
      <c r="B38" s="364" t="s">
        <v>527</v>
      </c>
      <c r="C38" s="365"/>
      <c r="D38" s="365">
        <v>50</v>
      </c>
      <c r="E38" s="374">
        <f>SUM(C30:C38)</f>
        <v>2200</v>
      </c>
      <c r="F38" s="374">
        <f>SUM(D30:D38)</f>
        <v>1350</v>
      </c>
      <c r="G38" s="374">
        <f>E38-F38</f>
        <v>850</v>
      </c>
      <c r="H38">
        <f>_MAR09-H3+H29</f>
        <v>800</v>
      </c>
    </row>
    <row r="39" spans="1:8" x14ac:dyDescent="0.35">
      <c r="A39" s="366">
        <v>39910</v>
      </c>
      <c r="B39" s="367" t="s">
        <v>13</v>
      </c>
      <c r="C39" s="368">
        <v>2200</v>
      </c>
      <c r="D39" s="368"/>
      <c r="E39" s="376"/>
      <c r="F39" s="376"/>
      <c r="G39" s="376"/>
    </row>
    <row r="40" spans="1:8" x14ac:dyDescent="0.35">
      <c r="A40" s="366">
        <v>39910</v>
      </c>
      <c r="B40" s="367" t="s">
        <v>528</v>
      </c>
      <c r="C40" s="368"/>
      <c r="D40" s="368">
        <v>400</v>
      </c>
      <c r="E40" s="376"/>
      <c r="F40" s="376"/>
      <c r="G40" s="376"/>
    </row>
    <row r="41" spans="1:8" x14ac:dyDescent="0.35">
      <c r="A41" s="366">
        <v>39910</v>
      </c>
      <c r="B41" s="367" t="s">
        <v>259</v>
      </c>
      <c r="C41" s="368"/>
      <c r="D41" s="368">
        <v>50</v>
      </c>
      <c r="E41" s="376"/>
      <c r="F41" s="376"/>
      <c r="G41" s="376"/>
    </row>
    <row r="42" spans="1:8" x14ac:dyDescent="0.35">
      <c r="A42" s="366">
        <v>39910</v>
      </c>
      <c r="B42" s="367" t="s">
        <v>529</v>
      </c>
      <c r="C42" s="368"/>
      <c r="D42" s="368">
        <v>50</v>
      </c>
      <c r="E42" s="376"/>
      <c r="F42" s="376"/>
      <c r="G42" s="376"/>
    </row>
    <row r="43" spans="1:8" x14ac:dyDescent="0.35">
      <c r="A43" s="366">
        <v>39910</v>
      </c>
      <c r="B43" s="367" t="s">
        <v>290</v>
      </c>
      <c r="C43" s="368"/>
      <c r="D43" s="368">
        <v>250</v>
      </c>
      <c r="E43" s="376"/>
      <c r="F43" s="376"/>
      <c r="G43" s="376"/>
    </row>
    <row r="44" spans="1:8" x14ac:dyDescent="0.35">
      <c r="A44" s="366">
        <v>39910</v>
      </c>
      <c r="B44" s="367" t="s">
        <v>530</v>
      </c>
      <c r="C44" s="368"/>
      <c r="D44" s="368">
        <v>100</v>
      </c>
      <c r="E44" s="376"/>
      <c r="F44" s="376"/>
      <c r="G44" s="376"/>
    </row>
    <row r="45" spans="1:8" x14ac:dyDescent="0.35">
      <c r="A45" s="366">
        <v>39904</v>
      </c>
      <c r="B45" s="367" t="s">
        <v>356</v>
      </c>
      <c r="C45" s="368"/>
      <c r="D45" s="368">
        <v>350</v>
      </c>
      <c r="E45" s="376"/>
      <c r="F45" s="376"/>
      <c r="G45" s="376"/>
    </row>
    <row r="46" spans="1:8" x14ac:dyDescent="0.35">
      <c r="A46" s="366">
        <v>39915</v>
      </c>
      <c r="B46" s="367" t="s">
        <v>289</v>
      </c>
      <c r="C46" s="368"/>
      <c r="D46" s="368">
        <v>100</v>
      </c>
      <c r="E46" s="376"/>
      <c r="F46" s="376"/>
      <c r="G46" s="376"/>
    </row>
    <row r="47" spans="1:8" x14ac:dyDescent="0.35">
      <c r="A47" s="366">
        <v>39904</v>
      </c>
      <c r="B47" s="367" t="s">
        <v>531</v>
      </c>
      <c r="C47" s="368"/>
      <c r="D47" s="368">
        <v>300</v>
      </c>
      <c r="E47" s="376"/>
      <c r="F47" s="376"/>
      <c r="G47" s="376"/>
    </row>
    <row r="48" spans="1:8" x14ac:dyDescent="0.35">
      <c r="A48" s="366">
        <v>39915</v>
      </c>
      <c r="B48" s="367" t="s">
        <v>532</v>
      </c>
      <c r="C48" s="368"/>
      <c r="D48" s="368">
        <v>100</v>
      </c>
      <c r="E48" s="371" t="s">
        <v>18</v>
      </c>
      <c r="F48" s="305"/>
      <c r="G48" s="305"/>
    </row>
    <row r="49" spans="1:8" x14ac:dyDescent="0.35">
      <c r="A49" s="366">
        <v>39915</v>
      </c>
      <c r="B49" s="367" t="s">
        <v>533</v>
      </c>
      <c r="C49" s="368"/>
      <c r="D49" s="368">
        <v>200</v>
      </c>
      <c r="E49" s="371" t="s">
        <v>299</v>
      </c>
      <c r="F49" s="373">
        <f>COUNTA(A39:A50)</f>
        <v>12</v>
      </c>
      <c r="G49" s="305"/>
    </row>
    <row r="50" spans="1:8" x14ac:dyDescent="0.35">
      <c r="A50" s="363">
        <v>39915</v>
      </c>
      <c r="B50" s="364" t="s">
        <v>464</v>
      </c>
      <c r="C50" s="365"/>
      <c r="D50" s="365">
        <v>100</v>
      </c>
      <c r="E50" s="374">
        <f>SUM(C39:C50)</f>
        <v>2200</v>
      </c>
      <c r="F50" s="374">
        <f>SUM(D39:D50)</f>
        <v>2000</v>
      </c>
      <c r="G50" s="374">
        <f>E50-F50</f>
        <v>200</v>
      </c>
      <c r="H50">
        <f>_ABR09-H3+H38</f>
        <v>200</v>
      </c>
    </row>
    <row r="51" spans="1:8" x14ac:dyDescent="0.35">
      <c r="A51" s="366">
        <v>39941</v>
      </c>
      <c r="B51" s="367" t="s">
        <v>13</v>
      </c>
      <c r="C51" s="368">
        <v>2200</v>
      </c>
      <c r="D51" s="368"/>
      <c r="E51" s="305"/>
      <c r="F51" s="305"/>
      <c r="G51" s="305"/>
    </row>
    <row r="52" spans="1:8" x14ac:dyDescent="0.35">
      <c r="A52" s="366">
        <v>39941</v>
      </c>
      <c r="B52" s="367" t="s">
        <v>530</v>
      </c>
      <c r="C52" s="368"/>
      <c r="D52" s="368">
        <v>190</v>
      </c>
      <c r="E52" s="305"/>
      <c r="F52" s="305"/>
      <c r="G52" s="305"/>
    </row>
    <row r="53" spans="1:8" x14ac:dyDescent="0.35">
      <c r="A53" s="366">
        <v>39941</v>
      </c>
      <c r="B53" s="367" t="s">
        <v>288</v>
      </c>
      <c r="C53" s="368"/>
      <c r="D53" s="368">
        <f>170+200+50+100</f>
        <v>520</v>
      </c>
      <c r="E53" s="305"/>
      <c r="F53" s="305"/>
      <c r="G53" s="305"/>
    </row>
    <row r="54" spans="1:8" x14ac:dyDescent="0.35">
      <c r="A54" s="366">
        <v>39941</v>
      </c>
      <c r="B54" s="367" t="s">
        <v>290</v>
      </c>
      <c r="C54" s="368"/>
      <c r="D54" s="368">
        <v>240</v>
      </c>
      <c r="E54" s="305"/>
      <c r="F54" s="305"/>
      <c r="G54" s="305"/>
    </row>
    <row r="55" spans="1:8" x14ac:dyDescent="0.35">
      <c r="A55" s="366">
        <v>39943</v>
      </c>
      <c r="B55" s="367" t="s">
        <v>534</v>
      </c>
      <c r="C55" s="368">
        <v>300</v>
      </c>
      <c r="D55" s="368"/>
      <c r="E55" s="305"/>
      <c r="F55" s="305"/>
      <c r="G55" s="305"/>
    </row>
    <row r="56" spans="1:8" x14ac:dyDescent="0.35">
      <c r="A56" s="366">
        <v>39943</v>
      </c>
      <c r="B56" s="367" t="s">
        <v>395</v>
      </c>
      <c r="C56" s="368"/>
      <c r="D56" s="368">
        <v>45</v>
      </c>
      <c r="E56" s="305"/>
      <c r="F56" s="305"/>
      <c r="G56" s="305"/>
    </row>
    <row r="57" spans="1:8" x14ac:dyDescent="0.35">
      <c r="A57" s="366">
        <v>39943</v>
      </c>
      <c r="B57" s="367" t="s">
        <v>535</v>
      </c>
      <c r="C57" s="368"/>
      <c r="D57" s="368">
        <v>10</v>
      </c>
      <c r="E57" s="305"/>
      <c r="F57" s="305"/>
      <c r="G57" s="305"/>
    </row>
    <row r="58" spans="1:8" x14ac:dyDescent="0.35">
      <c r="A58" s="366">
        <v>39943</v>
      </c>
      <c r="B58" s="367" t="s">
        <v>536</v>
      </c>
      <c r="C58" s="368"/>
      <c r="D58" s="368">
        <f>6+6+15+8</f>
        <v>35</v>
      </c>
      <c r="E58" s="305"/>
      <c r="F58" s="305"/>
      <c r="G58" s="305"/>
    </row>
    <row r="59" spans="1:8" x14ac:dyDescent="0.35">
      <c r="A59" s="366">
        <v>39943</v>
      </c>
      <c r="B59" s="367" t="s">
        <v>537</v>
      </c>
      <c r="C59" s="368"/>
      <c r="D59" s="368">
        <v>70</v>
      </c>
      <c r="E59" s="305"/>
      <c r="F59" s="305"/>
      <c r="G59" s="305"/>
    </row>
    <row r="60" spans="1:8" x14ac:dyDescent="0.35">
      <c r="A60" s="366">
        <v>39935</v>
      </c>
      <c r="B60" s="367" t="s">
        <v>289</v>
      </c>
      <c r="C60" s="368"/>
      <c r="D60" s="368">
        <v>65</v>
      </c>
      <c r="E60" s="305"/>
      <c r="F60" s="305"/>
      <c r="G60" s="305"/>
    </row>
    <row r="61" spans="1:8" x14ac:dyDescent="0.35">
      <c r="A61" s="366">
        <v>39934</v>
      </c>
      <c r="B61" s="367" t="s">
        <v>538</v>
      </c>
      <c r="C61" s="368"/>
      <c r="D61" s="368">
        <f>5+5+8</f>
        <v>18</v>
      </c>
      <c r="E61" s="305"/>
      <c r="F61" s="305"/>
      <c r="G61" s="305"/>
    </row>
    <row r="62" spans="1:8" x14ac:dyDescent="0.35">
      <c r="A62" s="366">
        <v>39935</v>
      </c>
      <c r="B62" s="367" t="s">
        <v>411</v>
      </c>
      <c r="C62" s="368"/>
      <c r="D62" s="368">
        <v>15</v>
      </c>
      <c r="E62" s="305"/>
      <c r="F62" s="305"/>
      <c r="G62" s="305"/>
    </row>
    <row r="63" spans="1:8" x14ac:dyDescent="0.35">
      <c r="A63" s="366">
        <v>39935</v>
      </c>
      <c r="B63" s="367" t="s">
        <v>333</v>
      </c>
      <c r="C63" s="368"/>
      <c r="D63" s="368">
        <v>800</v>
      </c>
      <c r="E63" s="305"/>
      <c r="F63" s="305"/>
      <c r="G63" s="305"/>
    </row>
    <row r="64" spans="1:8" x14ac:dyDescent="0.35">
      <c r="A64" s="366">
        <v>39950</v>
      </c>
      <c r="B64" s="367" t="s">
        <v>289</v>
      </c>
      <c r="C64" s="368"/>
      <c r="D64" s="368">
        <v>100</v>
      </c>
      <c r="E64" s="305"/>
      <c r="F64" s="305"/>
      <c r="G64" s="305"/>
    </row>
    <row r="65" spans="1:8" x14ac:dyDescent="0.35">
      <c r="A65" s="366">
        <v>39934</v>
      </c>
      <c r="B65" s="367" t="s">
        <v>539</v>
      </c>
      <c r="C65" s="368"/>
      <c r="D65" s="368">
        <v>205</v>
      </c>
      <c r="E65" s="305"/>
      <c r="F65" s="305"/>
      <c r="G65" s="305"/>
    </row>
    <row r="66" spans="1:8" x14ac:dyDescent="0.35">
      <c r="A66" s="366">
        <v>39934</v>
      </c>
      <c r="B66" s="367" t="s">
        <v>289</v>
      </c>
      <c r="C66" s="368"/>
      <c r="D66" s="368">
        <v>45</v>
      </c>
      <c r="E66" s="305"/>
      <c r="F66" s="305"/>
      <c r="G66" s="305"/>
    </row>
    <row r="67" spans="1:8" x14ac:dyDescent="0.35">
      <c r="A67" s="366">
        <v>39934</v>
      </c>
      <c r="B67" s="367" t="s">
        <v>365</v>
      </c>
      <c r="C67" s="368"/>
      <c r="D67" s="368">
        <v>50</v>
      </c>
      <c r="E67" s="371" t="s">
        <v>20</v>
      </c>
      <c r="F67" s="305"/>
      <c r="G67" s="305"/>
    </row>
    <row r="68" spans="1:8" x14ac:dyDescent="0.35">
      <c r="A68" s="366">
        <v>39934</v>
      </c>
      <c r="B68" s="367" t="s">
        <v>441</v>
      </c>
      <c r="C68" s="368"/>
      <c r="D68" s="368">
        <v>392</v>
      </c>
      <c r="E68" s="371" t="s">
        <v>299</v>
      </c>
      <c r="F68" s="373">
        <f>COUNTA(A51:A69)</f>
        <v>19</v>
      </c>
      <c r="G68" s="305"/>
    </row>
    <row r="69" spans="1:8" x14ac:dyDescent="0.35">
      <c r="A69" s="363">
        <v>39934</v>
      </c>
      <c r="B69" s="364" t="s">
        <v>533</v>
      </c>
      <c r="C69" s="365"/>
      <c r="D69" s="365">
        <v>100</v>
      </c>
      <c r="E69" s="374">
        <f>SUM(C51:C69)</f>
        <v>2500</v>
      </c>
      <c r="F69" s="374">
        <f>SUM(D51:D69)</f>
        <v>2900</v>
      </c>
      <c r="G69" s="531">
        <f>E69-F69</f>
        <v>-400</v>
      </c>
      <c r="H69">
        <f>_MAY09-H3+H50</f>
        <v>-1000</v>
      </c>
    </row>
    <row r="70" spans="1:8" x14ac:dyDescent="0.35">
      <c r="A70" s="366">
        <v>39965</v>
      </c>
      <c r="B70" s="367" t="s">
        <v>346</v>
      </c>
      <c r="C70" s="368">
        <v>200</v>
      </c>
      <c r="D70" s="368"/>
      <c r="E70" s="305"/>
      <c r="F70" s="305"/>
      <c r="G70" s="305"/>
    </row>
    <row r="71" spans="1:8" x14ac:dyDescent="0.35">
      <c r="A71" s="366">
        <v>39965</v>
      </c>
      <c r="B71" s="367" t="s">
        <v>365</v>
      </c>
      <c r="C71" s="368"/>
      <c r="D71" s="368">
        <v>50</v>
      </c>
      <c r="E71" s="305"/>
      <c r="F71" s="305"/>
      <c r="G71" s="305"/>
    </row>
    <row r="72" spans="1:8" x14ac:dyDescent="0.35">
      <c r="A72" s="366">
        <v>39965</v>
      </c>
      <c r="B72" s="367" t="s">
        <v>289</v>
      </c>
      <c r="C72" s="368"/>
      <c r="D72" s="368">
        <v>120</v>
      </c>
      <c r="E72" s="305"/>
      <c r="F72" s="305"/>
      <c r="G72" s="305"/>
    </row>
    <row r="73" spans="1:8" x14ac:dyDescent="0.35">
      <c r="A73" s="366">
        <v>39965</v>
      </c>
      <c r="B73" s="367" t="s">
        <v>310</v>
      </c>
      <c r="C73" s="368"/>
      <c r="D73" s="368">
        <v>30</v>
      </c>
      <c r="E73" s="305"/>
      <c r="F73" s="305"/>
      <c r="G73" s="305"/>
    </row>
    <row r="74" spans="1:8" x14ac:dyDescent="0.35">
      <c r="A74" s="366">
        <v>39965</v>
      </c>
      <c r="B74" s="367" t="s">
        <v>540</v>
      </c>
      <c r="C74" s="368">
        <v>300</v>
      </c>
      <c r="D74" s="368"/>
      <c r="E74" s="305"/>
      <c r="F74" s="305"/>
      <c r="G74" s="305"/>
    </row>
    <row r="75" spans="1:8" x14ac:dyDescent="0.35">
      <c r="A75" s="366">
        <v>39965</v>
      </c>
      <c r="B75" s="367" t="s">
        <v>326</v>
      </c>
      <c r="C75" s="368"/>
      <c r="D75" s="368">
        <v>200</v>
      </c>
      <c r="E75" s="305"/>
      <c r="F75" s="305"/>
      <c r="G75" s="305"/>
    </row>
    <row r="76" spans="1:8" x14ac:dyDescent="0.35">
      <c r="A76" s="366">
        <v>39965</v>
      </c>
      <c r="B76" s="367" t="s">
        <v>441</v>
      </c>
      <c r="C76" s="368"/>
      <c r="D76" s="368">
        <v>50</v>
      </c>
      <c r="E76" s="305"/>
      <c r="F76" s="305"/>
      <c r="G76" s="305"/>
    </row>
    <row r="77" spans="1:8" x14ac:dyDescent="0.35">
      <c r="A77" s="366">
        <v>39965</v>
      </c>
      <c r="B77" s="367" t="s">
        <v>541</v>
      </c>
      <c r="C77" s="368"/>
      <c r="D77" s="368">
        <v>50</v>
      </c>
      <c r="E77" s="305"/>
      <c r="F77" s="305"/>
      <c r="G77" s="305"/>
    </row>
    <row r="78" spans="1:8" x14ac:dyDescent="0.35">
      <c r="A78" s="366">
        <v>39965</v>
      </c>
      <c r="B78" s="367" t="s">
        <v>346</v>
      </c>
      <c r="C78" s="368">
        <v>200</v>
      </c>
      <c r="D78" s="368"/>
      <c r="E78" s="305"/>
      <c r="F78" s="305"/>
      <c r="G78" s="305"/>
    </row>
    <row r="79" spans="1:8" x14ac:dyDescent="0.35">
      <c r="A79" s="366">
        <v>39965</v>
      </c>
      <c r="B79" s="367" t="s">
        <v>289</v>
      </c>
      <c r="C79" s="368"/>
      <c r="D79" s="368">
        <v>200</v>
      </c>
      <c r="E79" s="305"/>
      <c r="F79" s="305"/>
      <c r="G79" s="305"/>
    </row>
    <row r="80" spans="1:8" x14ac:dyDescent="0.35">
      <c r="A80" s="366">
        <v>39973</v>
      </c>
      <c r="B80" s="367" t="s">
        <v>326</v>
      </c>
      <c r="C80" s="368"/>
      <c r="D80" s="368">
        <v>200</v>
      </c>
      <c r="E80" s="305"/>
      <c r="F80" s="305"/>
      <c r="G80" s="305"/>
    </row>
    <row r="81" spans="1:8" x14ac:dyDescent="0.35">
      <c r="A81" s="366">
        <v>39973</v>
      </c>
      <c r="B81" s="367" t="s">
        <v>13</v>
      </c>
      <c r="C81" s="368">
        <v>2200</v>
      </c>
      <c r="D81" s="368"/>
      <c r="E81" s="305"/>
      <c r="F81" s="305"/>
      <c r="G81" s="305"/>
    </row>
    <row r="82" spans="1:8" x14ac:dyDescent="0.35">
      <c r="A82" s="366">
        <v>39973</v>
      </c>
      <c r="B82" s="367" t="s">
        <v>290</v>
      </c>
      <c r="C82" s="368"/>
      <c r="D82" s="368">
        <v>200</v>
      </c>
      <c r="E82" s="305"/>
      <c r="F82" s="305"/>
      <c r="G82" s="305"/>
    </row>
    <row r="83" spans="1:8" x14ac:dyDescent="0.35">
      <c r="A83" s="366">
        <v>39973</v>
      </c>
      <c r="B83" s="367" t="s">
        <v>534</v>
      </c>
      <c r="C83" s="368">
        <v>200</v>
      </c>
      <c r="D83" s="368"/>
      <c r="E83" s="305"/>
      <c r="F83" s="305"/>
      <c r="G83" s="305"/>
    </row>
    <row r="84" spans="1:8" x14ac:dyDescent="0.35">
      <c r="A84" s="366">
        <v>39978</v>
      </c>
      <c r="B84" s="367" t="s">
        <v>346</v>
      </c>
      <c r="C84" s="368">
        <v>1200</v>
      </c>
      <c r="D84" s="368"/>
      <c r="E84" s="305"/>
      <c r="F84" s="305"/>
      <c r="G84" s="305"/>
    </row>
    <row r="85" spans="1:8" x14ac:dyDescent="0.35">
      <c r="A85" s="366">
        <v>39978</v>
      </c>
      <c r="B85" s="367" t="s">
        <v>542</v>
      </c>
      <c r="C85" s="368"/>
      <c r="D85" s="368">
        <v>100</v>
      </c>
      <c r="E85" s="305"/>
      <c r="F85" s="305"/>
      <c r="G85" s="305"/>
    </row>
    <row r="86" spans="1:8" x14ac:dyDescent="0.35">
      <c r="A86" s="366">
        <v>39978</v>
      </c>
      <c r="B86" s="367" t="s">
        <v>543</v>
      </c>
      <c r="C86" s="368"/>
      <c r="D86" s="368">
        <v>1550</v>
      </c>
      <c r="E86" s="305"/>
      <c r="F86" s="305"/>
      <c r="G86" s="305"/>
    </row>
    <row r="87" spans="1:8" x14ac:dyDescent="0.35">
      <c r="A87" s="366">
        <v>39973</v>
      </c>
      <c r="B87" s="367" t="s">
        <v>530</v>
      </c>
      <c r="C87" s="368"/>
      <c r="D87" s="368">
        <v>150</v>
      </c>
      <c r="E87" s="371" t="s">
        <v>21</v>
      </c>
      <c r="F87" s="305"/>
      <c r="G87" s="305"/>
    </row>
    <row r="88" spans="1:8" x14ac:dyDescent="0.35">
      <c r="A88" s="366">
        <v>39973</v>
      </c>
      <c r="B88" s="367" t="s">
        <v>441</v>
      </c>
      <c r="C88" s="368"/>
      <c r="D88" s="368">
        <v>200</v>
      </c>
      <c r="E88" s="371" t="s">
        <v>299</v>
      </c>
      <c r="F88" s="373">
        <f>COUNTA(A70:A89)</f>
        <v>20</v>
      </c>
      <c r="G88" s="305"/>
    </row>
    <row r="89" spans="1:8" x14ac:dyDescent="0.35">
      <c r="A89" s="363">
        <v>39973</v>
      </c>
      <c r="B89" s="364" t="s">
        <v>544</v>
      </c>
      <c r="C89" s="365"/>
      <c r="D89" s="365">
        <v>100</v>
      </c>
      <c r="E89" s="374">
        <f>SUM(C70:C89)</f>
        <v>4300</v>
      </c>
      <c r="F89" s="374">
        <f>SUM(D70:D89)</f>
        <v>3200</v>
      </c>
      <c r="G89" s="374">
        <f>E89-F89</f>
        <v>1100</v>
      </c>
      <c r="H89">
        <f>_JUN09-H3+H69</f>
        <v>-700</v>
      </c>
    </row>
    <row r="90" spans="1:8" x14ac:dyDescent="0.35">
      <c r="A90" s="366">
        <v>39995</v>
      </c>
      <c r="B90" s="367" t="s">
        <v>217</v>
      </c>
      <c r="C90" s="368">
        <v>90</v>
      </c>
      <c r="D90" s="368"/>
      <c r="E90" s="305"/>
      <c r="F90" s="305"/>
      <c r="G90" s="305"/>
    </row>
    <row r="91" spans="1:8" x14ac:dyDescent="0.35">
      <c r="A91" s="366">
        <v>39995</v>
      </c>
      <c r="B91" s="367" t="s">
        <v>365</v>
      </c>
      <c r="C91" s="368"/>
      <c r="D91" s="368">
        <v>40</v>
      </c>
      <c r="E91" s="305"/>
      <c r="F91" s="305"/>
      <c r="G91" s="305"/>
    </row>
    <row r="92" spans="1:8" x14ac:dyDescent="0.35">
      <c r="A92" s="366">
        <v>39995</v>
      </c>
      <c r="B92" s="367" t="s">
        <v>310</v>
      </c>
      <c r="C92" s="368"/>
      <c r="D92" s="368">
        <v>50</v>
      </c>
      <c r="E92" s="305"/>
      <c r="F92" s="305"/>
      <c r="G92" s="305"/>
    </row>
    <row r="93" spans="1:8" x14ac:dyDescent="0.35">
      <c r="A93" s="366">
        <v>40004</v>
      </c>
      <c r="B93" s="367" t="s">
        <v>545</v>
      </c>
      <c r="C93" s="368">
        <v>2200</v>
      </c>
      <c r="D93" s="368"/>
      <c r="E93" s="305"/>
      <c r="F93" s="305"/>
      <c r="G93" s="305"/>
    </row>
    <row r="94" spans="1:8" x14ac:dyDescent="0.35">
      <c r="A94" s="366">
        <v>40004</v>
      </c>
      <c r="B94" s="367" t="s">
        <v>325</v>
      </c>
      <c r="C94" s="368"/>
      <c r="D94" s="368">
        <v>120</v>
      </c>
      <c r="E94" s="305"/>
      <c r="F94" s="305"/>
      <c r="G94" s="305"/>
    </row>
    <row r="95" spans="1:8" x14ac:dyDescent="0.35">
      <c r="A95" s="366">
        <v>40004</v>
      </c>
      <c r="B95" s="367" t="s">
        <v>19</v>
      </c>
      <c r="C95" s="368">
        <v>1100</v>
      </c>
      <c r="D95" s="368"/>
      <c r="E95" s="305"/>
      <c r="F95" s="305"/>
      <c r="G95" s="305"/>
    </row>
    <row r="96" spans="1:8" x14ac:dyDescent="0.35">
      <c r="A96" s="366">
        <v>40004</v>
      </c>
      <c r="B96" s="367" t="s">
        <v>546</v>
      </c>
      <c r="C96" s="368"/>
      <c r="D96" s="368">
        <v>1200</v>
      </c>
      <c r="E96" s="305"/>
      <c r="F96" s="305"/>
      <c r="G96" s="305"/>
    </row>
    <row r="97" spans="1:8" x14ac:dyDescent="0.35">
      <c r="A97" s="366">
        <v>40006</v>
      </c>
      <c r="B97" s="367" t="s">
        <v>540</v>
      </c>
      <c r="C97" s="368">
        <v>100</v>
      </c>
      <c r="D97" s="368"/>
      <c r="E97" s="305"/>
      <c r="F97" s="305"/>
      <c r="G97" s="305"/>
    </row>
    <row r="98" spans="1:8" x14ac:dyDescent="0.35">
      <c r="A98" s="366">
        <v>40012</v>
      </c>
      <c r="B98" s="367" t="s">
        <v>381</v>
      </c>
      <c r="C98" s="368"/>
      <c r="D98" s="368">
        <v>14</v>
      </c>
      <c r="E98" s="305"/>
      <c r="F98" s="305"/>
      <c r="G98" s="305"/>
    </row>
    <row r="99" spans="1:8" x14ac:dyDescent="0.35">
      <c r="A99" s="366">
        <v>40017</v>
      </c>
      <c r="B99" s="367" t="s">
        <v>303</v>
      </c>
      <c r="C99" s="368"/>
      <c r="D99" s="368">
        <v>50</v>
      </c>
      <c r="E99" s="305"/>
      <c r="F99" s="305"/>
      <c r="G99" s="305"/>
    </row>
    <row r="100" spans="1:8" x14ac:dyDescent="0.35">
      <c r="A100" s="366">
        <v>40020</v>
      </c>
      <c r="B100" s="367" t="s">
        <v>303</v>
      </c>
      <c r="C100" s="368"/>
      <c r="D100" s="368">
        <v>150</v>
      </c>
      <c r="E100" s="305"/>
      <c r="F100" s="305"/>
      <c r="G100" s="305"/>
    </row>
    <row r="101" spans="1:8" x14ac:dyDescent="0.35">
      <c r="A101" s="366">
        <v>40023</v>
      </c>
      <c r="B101" s="367" t="s">
        <v>303</v>
      </c>
      <c r="C101" s="368"/>
      <c r="D101" s="368">
        <v>100</v>
      </c>
      <c r="E101" s="305"/>
      <c r="F101" s="305"/>
      <c r="G101" s="305"/>
    </row>
    <row r="102" spans="1:8" x14ac:dyDescent="0.35">
      <c r="A102" s="366">
        <v>40011</v>
      </c>
      <c r="B102" s="367" t="s">
        <v>539</v>
      </c>
      <c r="C102" s="368"/>
      <c r="D102" s="368">
        <v>125</v>
      </c>
      <c r="E102" s="305"/>
      <c r="F102" s="305"/>
      <c r="G102" s="305"/>
    </row>
    <row r="103" spans="1:8" x14ac:dyDescent="0.35">
      <c r="A103" s="366">
        <v>40004</v>
      </c>
      <c r="B103" s="367" t="s">
        <v>441</v>
      </c>
      <c r="C103" s="368"/>
      <c r="D103" s="368">
        <v>251</v>
      </c>
      <c r="E103" s="371" t="s">
        <v>22</v>
      </c>
      <c r="F103" s="305"/>
      <c r="G103" s="305"/>
    </row>
    <row r="104" spans="1:8" x14ac:dyDescent="0.35">
      <c r="A104" s="366">
        <v>40004</v>
      </c>
      <c r="B104" s="367" t="s">
        <v>290</v>
      </c>
      <c r="C104" s="368"/>
      <c r="D104" s="368">
        <v>310</v>
      </c>
      <c r="E104" s="371" t="s">
        <v>299</v>
      </c>
      <c r="F104" s="373">
        <f>COUNTA(A90:A105)</f>
        <v>16</v>
      </c>
      <c r="G104" s="305"/>
    </row>
    <row r="105" spans="1:8" x14ac:dyDescent="0.35">
      <c r="A105" s="363">
        <v>40004</v>
      </c>
      <c r="B105" s="364" t="s">
        <v>547</v>
      </c>
      <c r="C105" s="365"/>
      <c r="D105" s="365">
        <v>180</v>
      </c>
      <c r="E105" s="374">
        <f>SUM(C90:C105)</f>
        <v>3490</v>
      </c>
      <c r="F105" s="374">
        <f>SUM(D90:D105)</f>
        <v>2590</v>
      </c>
      <c r="G105" s="374">
        <f>E105-F105</f>
        <v>900</v>
      </c>
      <c r="H105">
        <f>_JUL09-H3+H89</f>
        <v>-600</v>
      </c>
    </row>
    <row r="106" spans="1:8" x14ac:dyDescent="0.35">
      <c r="A106" s="366">
        <v>40037</v>
      </c>
      <c r="B106" s="367" t="s">
        <v>346</v>
      </c>
      <c r="C106" s="368">
        <v>300</v>
      </c>
      <c r="D106" s="368"/>
      <c r="E106" s="305"/>
      <c r="F106" s="305"/>
      <c r="G106" s="305"/>
    </row>
    <row r="107" spans="1:8" x14ac:dyDescent="0.35">
      <c r="A107" s="366">
        <v>40037</v>
      </c>
      <c r="B107" s="367" t="s">
        <v>325</v>
      </c>
      <c r="C107" s="368"/>
      <c r="D107" s="368">
        <v>120</v>
      </c>
      <c r="E107" s="305"/>
      <c r="F107" s="305"/>
      <c r="G107" s="305"/>
    </row>
    <row r="108" spans="1:8" x14ac:dyDescent="0.35">
      <c r="A108" s="366">
        <v>40037</v>
      </c>
      <c r="B108" s="367" t="s">
        <v>547</v>
      </c>
      <c r="C108" s="368"/>
      <c r="D108" s="368">
        <v>180</v>
      </c>
      <c r="E108" s="305"/>
      <c r="F108" s="305"/>
      <c r="G108" s="305"/>
    </row>
    <row r="109" spans="1:8" x14ac:dyDescent="0.35">
      <c r="A109" s="366">
        <v>40038</v>
      </c>
      <c r="B109" s="367" t="s">
        <v>13</v>
      </c>
      <c r="C109" s="368">
        <v>2200</v>
      </c>
      <c r="D109" s="368"/>
      <c r="E109" s="305"/>
      <c r="F109" s="305"/>
      <c r="G109" s="305"/>
    </row>
    <row r="110" spans="1:8" x14ac:dyDescent="0.35">
      <c r="A110" s="366">
        <v>40038</v>
      </c>
      <c r="B110" s="367" t="s">
        <v>546</v>
      </c>
      <c r="C110" s="368"/>
      <c r="D110" s="368">
        <v>300</v>
      </c>
      <c r="E110" s="305"/>
      <c r="F110" s="305"/>
      <c r="G110" s="305"/>
    </row>
    <row r="111" spans="1:8" x14ac:dyDescent="0.35">
      <c r="A111" s="366">
        <v>40038</v>
      </c>
      <c r="B111" s="367" t="s">
        <v>529</v>
      </c>
      <c r="C111" s="368"/>
      <c r="D111" s="368">
        <v>150</v>
      </c>
      <c r="E111" s="305"/>
      <c r="F111" s="305"/>
      <c r="G111" s="305"/>
    </row>
    <row r="112" spans="1:8" x14ac:dyDescent="0.35">
      <c r="A112" s="366">
        <v>40039</v>
      </c>
      <c r="B112" s="367" t="s">
        <v>441</v>
      </c>
      <c r="C112" s="368"/>
      <c r="D112" s="368">
        <v>100</v>
      </c>
      <c r="E112" s="305"/>
      <c r="F112" s="305"/>
      <c r="G112" s="305"/>
    </row>
    <row r="113" spans="1:8" x14ac:dyDescent="0.35">
      <c r="A113" s="366">
        <v>40039</v>
      </c>
      <c r="B113" s="367" t="s">
        <v>290</v>
      </c>
      <c r="C113" s="368"/>
      <c r="D113" s="368">
        <v>250</v>
      </c>
      <c r="E113" s="371" t="s">
        <v>23</v>
      </c>
      <c r="F113" s="305"/>
      <c r="G113" s="305"/>
    </row>
    <row r="114" spans="1:8" x14ac:dyDescent="0.35">
      <c r="A114" s="366">
        <v>40054</v>
      </c>
      <c r="B114" s="367" t="s">
        <v>548</v>
      </c>
      <c r="C114" s="368"/>
      <c r="D114" s="368">
        <v>100</v>
      </c>
      <c r="E114" s="371" t="s">
        <v>299</v>
      </c>
      <c r="F114" s="373">
        <f>COUNTA(A106:A115)</f>
        <v>10</v>
      </c>
      <c r="G114" s="305"/>
    </row>
    <row r="115" spans="1:8" x14ac:dyDescent="0.35">
      <c r="A115" s="363">
        <v>40054</v>
      </c>
      <c r="B115" s="364" t="s">
        <v>310</v>
      </c>
      <c r="C115" s="365"/>
      <c r="D115" s="365">
        <v>100</v>
      </c>
      <c r="E115" s="374">
        <f>SUM(C106:C115)</f>
        <v>2500</v>
      </c>
      <c r="F115" s="374">
        <f>SUM(D106:D115)</f>
        <v>1300</v>
      </c>
      <c r="G115" s="374">
        <f>E115-F115</f>
        <v>1200</v>
      </c>
      <c r="H115">
        <f>_AGO09-H3+H105</f>
        <v>-200</v>
      </c>
    </row>
    <row r="116" spans="1:8" x14ac:dyDescent="0.35">
      <c r="A116" s="366">
        <v>40062</v>
      </c>
      <c r="B116" s="367" t="s">
        <v>289</v>
      </c>
      <c r="C116" s="368"/>
      <c r="D116" s="368">
        <v>100</v>
      </c>
      <c r="E116" s="305"/>
      <c r="F116" s="305"/>
      <c r="G116" s="305"/>
    </row>
    <row r="117" spans="1:8" x14ac:dyDescent="0.35">
      <c r="A117" s="366">
        <v>40063</v>
      </c>
      <c r="B117" s="367" t="s">
        <v>13</v>
      </c>
      <c r="C117" s="368">
        <v>2200</v>
      </c>
      <c r="D117" s="368"/>
      <c r="E117" s="305"/>
      <c r="F117" s="305"/>
      <c r="G117" s="305"/>
    </row>
    <row r="118" spans="1:8" x14ac:dyDescent="0.35">
      <c r="A118" s="366">
        <v>40082</v>
      </c>
      <c r="B118" s="367" t="s">
        <v>289</v>
      </c>
      <c r="C118" s="368"/>
      <c r="D118" s="368">
        <v>100</v>
      </c>
      <c r="E118" s="305"/>
      <c r="F118" s="305"/>
      <c r="G118" s="305"/>
    </row>
    <row r="119" spans="1:8" x14ac:dyDescent="0.35">
      <c r="A119" s="366">
        <v>40068</v>
      </c>
      <c r="B119" s="367" t="s">
        <v>485</v>
      </c>
      <c r="C119" s="368"/>
      <c r="D119" s="368">
        <v>100</v>
      </c>
      <c r="E119" s="305"/>
      <c r="F119" s="305"/>
      <c r="G119" s="305"/>
    </row>
    <row r="120" spans="1:8" x14ac:dyDescent="0.35">
      <c r="A120" s="366">
        <v>40068</v>
      </c>
      <c r="B120" s="367" t="s">
        <v>549</v>
      </c>
      <c r="C120" s="368"/>
      <c r="D120" s="368">
        <v>100</v>
      </c>
      <c r="E120" s="305"/>
      <c r="F120" s="305"/>
      <c r="G120" s="305"/>
    </row>
    <row r="121" spans="1:8" x14ac:dyDescent="0.35">
      <c r="A121" s="366">
        <v>40063</v>
      </c>
      <c r="B121" s="367" t="s">
        <v>550</v>
      </c>
      <c r="C121" s="368"/>
      <c r="D121" s="368">
        <v>200</v>
      </c>
      <c r="E121" s="305"/>
      <c r="F121" s="305"/>
      <c r="G121" s="305"/>
    </row>
    <row r="122" spans="1:8" x14ac:dyDescent="0.35">
      <c r="A122" s="366">
        <v>40063</v>
      </c>
      <c r="B122" s="367" t="s">
        <v>441</v>
      </c>
      <c r="C122" s="368"/>
      <c r="D122" s="368">
        <v>100</v>
      </c>
      <c r="E122" s="305"/>
      <c r="F122" s="305"/>
      <c r="G122" s="305"/>
    </row>
    <row r="123" spans="1:8" x14ac:dyDescent="0.35">
      <c r="A123" s="366">
        <v>40063</v>
      </c>
      <c r="B123" s="367" t="s">
        <v>290</v>
      </c>
      <c r="C123" s="368"/>
      <c r="D123" s="368">
        <v>300</v>
      </c>
      <c r="E123" s="305"/>
      <c r="F123" s="305"/>
      <c r="G123" s="305"/>
    </row>
    <row r="124" spans="1:8" x14ac:dyDescent="0.35">
      <c r="A124" s="366">
        <v>40063</v>
      </c>
      <c r="B124" s="367" t="s">
        <v>492</v>
      </c>
      <c r="C124" s="368"/>
      <c r="D124" s="368">
        <v>50</v>
      </c>
      <c r="E124" s="305"/>
      <c r="F124" s="305"/>
      <c r="G124" s="305"/>
    </row>
    <row r="125" spans="1:8" x14ac:dyDescent="0.35">
      <c r="A125" s="366">
        <v>40063</v>
      </c>
      <c r="B125" s="367" t="s">
        <v>529</v>
      </c>
      <c r="C125" s="368"/>
      <c r="D125" s="368">
        <v>150</v>
      </c>
      <c r="E125" s="371" t="s">
        <v>24</v>
      </c>
      <c r="F125" s="305"/>
      <c r="G125" s="305"/>
    </row>
    <row r="126" spans="1:8" x14ac:dyDescent="0.35">
      <c r="A126" s="366">
        <v>40063</v>
      </c>
      <c r="B126" s="367" t="s">
        <v>547</v>
      </c>
      <c r="C126" s="368"/>
      <c r="D126" s="368">
        <v>180</v>
      </c>
      <c r="E126" s="371" t="s">
        <v>299</v>
      </c>
      <c r="F126" s="373">
        <f>COUNTA(A116:A127)</f>
        <v>12</v>
      </c>
      <c r="G126" s="305"/>
    </row>
    <row r="127" spans="1:8" x14ac:dyDescent="0.35">
      <c r="A127" s="363">
        <v>40063</v>
      </c>
      <c r="B127" s="364" t="s">
        <v>325</v>
      </c>
      <c r="C127" s="365"/>
      <c r="D127" s="365">
        <v>120</v>
      </c>
      <c r="E127" s="374">
        <f>SUM(C116:C127)</f>
        <v>2200</v>
      </c>
      <c r="F127" s="374">
        <f>SUM(D116:D127)</f>
        <v>1500</v>
      </c>
      <c r="G127" s="374">
        <f>+E127-F127</f>
        <v>700</v>
      </c>
      <c r="H127">
        <f>_SEP09-H3+H115</f>
        <v>-300</v>
      </c>
    </row>
    <row r="128" spans="1:8" x14ac:dyDescent="0.35">
      <c r="A128" s="366">
        <v>40095</v>
      </c>
      <c r="B128" s="367" t="s">
        <v>13</v>
      </c>
      <c r="C128" s="368">
        <v>2200</v>
      </c>
      <c r="D128" s="368"/>
      <c r="E128" s="305"/>
      <c r="F128" s="305"/>
      <c r="G128" s="305"/>
    </row>
    <row r="129" spans="1:7" x14ac:dyDescent="0.35">
      <c r="A129" s="366">
        <v>40103</v>
      </c>
      <c r="B129" s="367" t="s">
        <v>540</v>
      </c>
      <c r="C129" s="368">
        <v>100</v>
      </c>
      <c r="D129" s="368"/>
      <c r="E129" s="305"/>
      <c r="F129" s="305"/>
      <c r="G129" s="305"/>
    </row>
    <row r="130" spans="1:7" x14ac:dyDescent="0.35">
      <c r="A130" s="366">
        <v>40109</v>
      </c>
      <c r="B130" s="367" t="s">
        <v>346</v>
      </c>
      <c r="C130" s="368">
        <v>500</v>
      </c>
      <c r="D130" s="368"/>
      <c r="E130" s="305"/>
      <c r="F130" s="305"/>
      <c r="G130" s="305"/>
    </row>
    <row r="131" spans="1:7" x14ac:dyDescent="0.35">
      <c r="A131" s="366">
        <v>40109</v>
      </c>
      <c r="B131" s="367" t="s">
        <v>551</v>
      </c>
      <c r="C131" s="368"/>
      <c r="D131" s="368">
        <v>320</v>
      </c>
      <c r="E131" s="305"/>
      <c r="F131" s="305"/>
      <c r="G131" s="305"/>
    </row>
    <row r="132" spans="1:7" x14ac:dyDescent="0.35">
      <c r="A132" s="366">
        <v>40109</v>
      </c>
      <c r="B132" s="367" t="s">
        <v>310</v>
      </c>
      <c r="C132" s="368"/>
      <c r="D132" s="368">
        <v>30</v>
      </c>
      <c r="E132" s="305"/>
      <c r="F132" s="305"/>
      <c r="G132" s="305"/>
    </row>
    <row r="133" spans="1:7" x14ac:dyDescent="0.35">
      <c r="A133" s="366">
        <v>40111</v>
      </c>
      <c r="B133" s="367" t="s">
        <v>552</v>
      </c>
      <c r="C133" s="368"/>
      <c r="D133" s="368">
        <v>20</v>
      </c>
      <c r="E133" s="305"/>
      <c r="F133" s="305"/>
      <c r="G133" s="305"/>
    </row>
    <row r="134" spans="1:7" x14ac:dyDescent="0.35">
      <c r="A134" s="366">
        <v>40112</v>
      </c>
      <c r="B134" s="367" t="s">
        <v>290</v>
      </c>
      <c r="C134" s="368"/>
      <c r="D134" s="368">
        <v>20</v>
      </c>
      <c r="E134" s="305"/>
      <c r="F134" s="305"/>
      <c r="G134" s="305"/>
    </row>
    <row r="135" spans="1:7" x14ac:dyDescent="0.35">
      <c r="A135" s="366">
        <v>40113</v>
      </c>
      <c r="B135" s="367" t="s">
        <v>553</v>
      </c>
      <c r="C135" s="368">
        <v>260</v>
      </c>
      <c r="D135" s="368"/>
      <c r="E135" s="305"/>
      <c r="F135" s="305"/>
      <c r="G135" s="305"/>
    </row>
    <row r="136" spans="1:7" x14ac:dyDescent="0.35">
      <c r="A136" s="366">
        <v>40113</v>
      </c>
      <c r="B136" s="367" t="s">
        <v>554</v>
      </c>
      <c r="C136" s="368"/>
      <c r="D136" s="368">
        <v>500</v>
      </c>
      <c r="E136" s="305"/>
      <c r="F136" s="305"/>
      <c r="G136" s="305"/>
    </row>
    <row r="137" spans="1:7" x14ac:dyDescent="0.35">
      <c r="A137" s="366">
        <v>40114</v>
      </c>
      <c r="B137" s="367" t="s">
        <v>290</v>
      </c>
      <c r="C137" s="368"/>
      <c r="D137" s="368">
        <v>20</v>
      </c>
      <c r="E137" s="305"/>
      <c r="F137" s="305"/>
      <c r="G137" s="305"/>
    </row>
    <row r="138" spans="1:7" x14ac:dyDescent="0.35">
      <c r="A138" s="366">
        <v>40104</v>
      </c>
      <c r="B138" s="367" t="s">
        <v>310</v>
      </c>
      <c r="C138" s="368"/>
      <c r="D138" s="368">
        <v>50</v>
      </c>
      <c r="E138" s="305"/>
      <c r="F138" s="305"/>
      <c r="G138" s="305"/>
    </row>
    <row r="139" spans="1:7" x14ac:dyDescent="0.35">
      <c r="A139" s="366">
        <v>40095</v>
      </c>
      <c r="B139" s="367" t="s">
        <v>303</v>
      </c>
      <c r="C139" s="368"/>
      <c r="D139" s="368">
        <v>150</v>
      </c>
      <c r="E139" s="305"/>
      <c r="F139" s="305"/>
      <c r="G139" s="305"/>
    </row>
    <row r="140" spans="1:7" x14ac:dyDescent="0.35">
      <c r="A140" s="366">
        <v>40095</v>
      </c>
      <c r="B140" s="367" t="s">
        <v>555</v>
      </c>
      <c r="C140" s="368"/>
      <c r="D140" s="368">
        <v>30</v>
      </c>
      <c r="E140" s="305"/>
      <c r="F140" s="305"/>
      <c r="G140" s="305"/>
    </row>
    <row r="141" spans="1:7" x14ac:dyDescent="0.35">
      <c r="A141" s="366">
        <v>40095</v>
      </c>
      <c r="B141" s="367" t="s">
        <v>290</v>
      </c>
      <c r="C141" s="368"/>
      <c r="D141" s="368">
        <v>200</v>
      </c>
      <c r="E141" s="305"/>
      <c r="F141" s="305"/>
      <c r="G141" s="305"/>
    </row>
    <row r="142" spans="1:7" x14ac:dyDescent="0.35">
      <c r="A142" s="366">
        <v>40095</v>
      </c>
      <c r="B142" s="367" t="s">
        <v>441</v>
      </c>
      <c r="C142" s="368"/>
      <c r="D142" s="368">
        <v>100</v>
      </c>
      <c r="E142" s="305"/>
      <c r="F142" s="305"/>
      <c r="G142" s="305"/>
    </row>
    <row r="143" spans="1:7" x14ac:dyDescent="0.35">
      <c r="A143" s="366">
        <v>40095</v>
      </c>
      <c r="B143" s="367" t="s">
        <v>529</v>
      </c>
      <c r="C143" s="368"/>
      <c r="D143" s="368">
        <v>150</v>
      </c>
      <c r="E143" s="371" t="s">
        <v>25</v>
      </c>
      <c r="F143" s="305"/>
      <c r="G143" s="305"/>
    </row>
    <row r="144" spans="1:7" x14ac:dyDescent="0.35">
      <c r="A144" s="366">
        <v>40095</v>
      </c>
      <c r="B144" s="367" t="s">
        <v>547</v>
      </c>
      <c r="C144" s="368"/>
      <c r="D144" s="368">
        <v>240</v>
      </c>
      <c r="E144" s="371" t="s">
        <v>299</v>
      </c>
      <c r="F144" s="373">
        <f>COUNTA(A128:A145)</f>
        <v>18</v>
      </c>
      <c r="G144" s="305"/>
    </row>
    <row r="145" spans="1:9" x14ac:dyDescent="0.35">
      <c r="A145" s="363">
        <v>40095</v>
      </c>
      <c r="B145" s="364" t="s">
        <v>325</v>
      </c>
      <c r="C145" s="365"/>
      <c r="D145" s="365">
        <v>130</v>
      </c>
      <c r="E145" s="374">
        <f>SUM(C128:C145)</f>
        <v>3060</v>
      </c>
      <c r="F145" s="374">
        <f>SUM(D128:D145)</f>
        <v>1960</v>
      </c>
      <c r="G145" s="374">
        <f>E145-F145</f>
        <v>1100</v>
      </c>
      <c r="H145">
        <f>_OCT09-H3+H127</f>
        <v>0</v>
      </c>
    </row>
    <row r="146" spans="1:9" x14ac:dyDescent="0.35">
      <c r="A146" s="366">
        <v>40122</v>
      </c>
      <c r="B146" s="367" t="s">
        <v>13</v>
      </c>
      <c r="C146" s="368">
        <v>2200</v>
      </c>
      <c r="D146" s="368"/>
      <c r="E146" s="305"/>
      <c r="F146" s="305"/>
      <c r="G146" s="305"/>
    </row>
    <row r="147" spans="1:9" x14ac:dyDescent="0.35">
      <c r="A147" s="366">
        <v>40122</v>
      </c>
      <c r="B147" s="367" t="s">
        <v>325</v>
      </c>
      <c r="C147" s="368"/>
      <c r="D147" s="368">
        <v>120</v>
      </c>
      <c r="E147" s="305"/>
      <c r="F147" s="305"/>
      <c r="G147" s="305"/>
    </row>
    <row r="148" spans="1:9" x14ac:dyDescent="0.35">
      <c r="A148" s="366">
        <v>40122</v>
      </c>
      <c r="B148" s="367" t="s">
        <v>547</v>
      </c>
      <c r="C148" s="368"/>
      <c r="D148" s="368">
        <v>240</v>
      </c>
      <c r="E148" s="305"/>
      <c r="F148" s="305"/>
      <c r="G148" s="305"/>
    </row>
    <row r="149" spans="1:9" x14ac:dyDescent="0.35">
      <c r="A149" s="366">
        <v>40122</v>
      </c>
      <c r="B149" s="367" t="s">
        <v>310</v>
      </c>
      <c r="C149" s="368"/>
      <c r="D149" s="368">
        <v>250</v>
      </c>
      <c r="E149" s="305"/>
      <c r="F149" s="305"/>
      <c r="G149" s="305"/>
    </row>
    <row r="150" spans="1:9" x14ac:dyDescent="0.35">
      <c r="A150" s="366">
        <v>40138</v>
      </c>
      <c r="B150" s="367" t="s">
        <v>289</v>
      </c>
      <c r="C150" s="393"/>
      <c r="D150" s="368">
        <v>200</v>
      </c>
      <c r="E150" s="305"/>
      <c r="F150" s="305"/>
      <c r="G150" s="305"/>
    </row>
    <row r="151" spans="1:9" x14ac:dyDescent="0.35">
      <c r="A151" s="366">
        <v>40122</v>
      </c>
      <c r="B151" s="367" t="s">
        <v>290</v>
      </c>
      <c r="C151" s="393"/>
      <c r="D151" s="368">
        <v>450</v>
      </c>
      <c r="E151" s="371" t="s">
        <v>26</v>
      </c>
      <c r="F151" s="305"/>
      <c r="G151" s="305"/>
    </row>
    <row r="152" spans="1:9" x14ac:dyDescent="0.35">
      <c r="A152" s="366">
        <v>40122</v>
      </c>
      <c r="B152" s="367" t="s">
        <v>555</v>
      </c>
      <c r="C152" s="393"/>
      <c r="D152" s="368">
        <v>40</v>
      </c>
      <c r="E152" s="371" t="s">
        <v>299</v>
      </c>
      <c r="F152" s="373">
        <f>COUNTA(A146:A153)</f>
        <v>8</v>
      </c>
      <c r="G152" s="305"/>
    </row>
    <row r="153" spans="1:9" x14ac:dyDescent="0.35">
      <c r="A153" s="363">
        <v>40122</v>
      </c>
      <c r="B153" s="394" t="s">
        <v>529</v>
      </c>
      <c r="C153" s="395"/>
      <c r="D153" s="365">
        <v>150</v>
      </c>
      <c r="E153" s="374">
        <f>SUM(C146:C153)</f>
        <v>2200</v>
      </c>
      <c r="F153" s="374">
        <f>SUM(D146:D153)</f>
        <v>1450</v>
      </c>
      <c r="G153" s="374">
        <f>E153-F153</f>
        <v>750</v>
      </c>
      <c r="H153">
        <f>_NOV09-H3+H145</f>
        <v>-50</v>
      </c>
    </row>
    <row r="154" spans="1:9" x14ac:dyDescent="0.35">
      <c r="A154" s="366">
        <v>40148</v>
      </c>
      <c r="B154" s="367" t="s">
        <v>310</v>
      </c>
      <c r="C154" s="368"/>
      <c r="D154" s="368">
        <v>100</v>
      </c>
      <c r="E154" s="305"/>
      <c r="F154" s="305"/>
      <c r="G154" s="305"/>
    </row>
    <row r="155" spans="1:9" x14ac:dyDescent="0.35">
      <c r="A155" s="366">
        <v>40148</v>
      </c>
      <c r="B155" s="367" t="s">
        <v>310</v>
      </c>
      <c r="C155" s="368"/>
      <c r="D155" s="368">
        <v>100</v>
      </c>
      <c r="E155" s="305"/>
      <c r="F155" s="305"/>
      <c r="G155" s="305"/>
    </row>
    <row r="156" spans="1:9" x14ac:dyDescent="0.35">
      <c r="A156" s="366">
        <v>40150</v>
      </c>
      <c r="B156" s="367" t="s">
        <v>310</v>
      </c>
      <c r="C156" s="368"/>
      <c r="D156" s="368">
        <v>100</v>
      </c>
      <c r="E156" s="305"/>
      <c r="F156" s="305"/>
      <c r="G156" s="305"/>
    </row>
    <row r="157" spans="1:9" x14ac:dyDescent="0.35">
      <c r="A157" s="366">
        <v>40151</v>
      </c>
      <c r="B157" s="367" t="s">
        <v>13</v>
      </c>
      <c r="C157" s="368">
        <v>2200</v>
      </c>
      <c r="D157" s="368"/>
      <c r="E157" s="305"/>
      <c r="F157" s="305"/>
      <c r="G157" s="305"/>
    </row>
    <row r="158" spans="1:9" x14ac:dyDescent="0.35">
      <c r="A158" s="366">
        <v>40151</v>
      </c>
      <c r="B158" s="367" t="s">
        <v>325</v>
      </c>
      <c r="C158" s="368"/>
      <c r="D158" s="368">
        <v>120</v>
      </c>
      <c r="E158" s="305"/>
      <c r="F158" s="305"/>
      <c r="G158" s="305"/>
      <c r="I158" s="28"/>
    </row>
    <row r="159" spans="1:9" x14ac:dyDescent="0.35">
      <c r="A159" s="366">
        <v>40151</v>
      </c>
      <c r="B159" s="367" t="s">
        <v>547</v>
      </c>
      <c r="C159" s="368"/>
      <c r="D159" s="368">
        <v>300</v>
      </c>
      <c r="E159" s="305"/>
      <c r="F159" s="305"/>
      <c r="G159" s="305"/>
      <c r="I159" s="28"/>
    </row>
    <row r="160" spans="1:9" x14ac:dyDescent="0.35">
      <c r="A160" s="366">
        <v>40151</v>
      </c>
      <c r="B160" s="367" t="s">
        <v>529</v>
      </c>
      <c r="C160" s="368"/>
      <c r="D160" s="368">
        <v>150</v>
      </c>
      <c r="E160" s="305"/>
      <c r="F160" s="305"/>
      <c r="G160" s="305"/>
    </row>
    <row r="161" spans="1:10" x14ac:dyDescent="0.35">
      <c r="A161" s="366">
        <v>40151</v>
      </c>
      <c r="B161" s="367" t="s">
        <v>441</v>
      </c>
      <c r="C161" s="368"/>
      <c r="D161" s="368">
        <v>100</v>
      </c>
      <c r="E161" s="305"/>
      <c r="F161" s="305"/>
      <c r="G161" s="305"/>
    </row>
    <row r="162" spans="1:10" x14ac:dyDescent="0.35">
      <c r="A162" s="366">
        <v>40151</v>
      </c>
      <c r="B162" s="367" t="s">
        <v>290</v>
      </c>
      <c r="C162" s="368"/>
      <c r="D162" s="368">
        <v>300</v>
      </c>
      <c r="E162" s="305"/>
      <c r="F162" s="305"/>
      <c r="G162" s="305"/>
    </row>
    <row r="163" spans="1:10" x14ac:dyDescent="0.35">
      <c r="A163" s="366">
        <v>40153</v>
      </c>
      <c r="B163" s="367" t="s">
        <v>540</v>
      </c>
      <c r="C163" s="368">
        <v>100</v>
      </c>
      <c r="D163" s="368"/>
      <c r="E163" s="305"/>
      <c r="F163" s="305"/>
      <c r="G163" s="305"/>
    </row>
    <row r="164" spans="1:10" x14ac:dyDescent="0.35">
      <c r="A164" s="366">
        <v>40153</v>
      </c>
      <c r="B164" s="367" t="s">
        <v>310</v>
      </c>
      <c r="C164" s="393"/>
      <c r="D164" s="368">
        <v>100</v>
      </c>
      <c r="E164" s="305"/>
      <c r="F164" s="305"/>
      <c r="G164" s="305"/>
    </row>
    <row r="165" spans="1:10" x14ac:dyDescent="0.35">
      <c r="A165" s="366">
        <v>40151</v>
      </c>
      <c r="B165" s="367" t="s">
        <v>555</v>
      </c>
      <c r="C165" s="393"/>
      <c r="D165" s="368">
        <v>30</v>
      </c>
      <c r="E165" s="371" t="s">
        <v>27</v>
      </c>
      <c r="F165" s="305"/>
      <c r="G165" s="305"/>
    </row>
    <row r="166" spans="1:10" x14ac:dyDescent="0.35">
      <c r="A166" s="366">
        <v>40151</v>
      </c>
      <c r="B166" s="367" t="s">
        <v>310</v>
      </c>
      <c r="C166" s="393"/>
      <c r="D166" s="368">
        <v>200</v>
      </c>
      <c r="E166" s="371" t="s">
        <v>299</v>
      </c>
      <c r="F166" s="373">
        <f>COUNTA(A154:A167)</f>
        <v>14</v>
      </c>
      <c r="G166" s="305"/>
    </row>
    <row r="167" spans="1:10" x14ac:dyDescent="0.35">
      <c r="A167" s="377">
        <v>40148</v>
      </c>
      <c r="B167" s="364" t="s">
        <v>556</v>
      </c>
      <c r="C167" s="396"/>
      <c r="D167" s="378">
        <v>450</v>
      </c>
      <c r="E167" s="374">
        <f>SUM(C154:C167)</f>
        <v>2300</v>
      </c>
      <c r="F167" s="374">
        <f>SUM(D154:D167)</f>
        <v>2050</v>
      </c>
      <c r="G167" s="374">
        <f>E167-F167</f>
        <v>250</v>
      </c>
      <c r="H167">
        <f>_DIC09-H3+H153</f>
        <v>-600</v>
      </c>
    </row>
    <row r="168" spans="1:10" x14ac:dyDescent="0.35">
      <c r="C168" s="320"/>
      <c r="D168" s="320"/>
    </row>
    <row r="169" spans="1:10" x14ac:dyDescent="0.35">
      <c r="C169" s="320"/>
      <c r="D169" s="320"/>
    </row>
    <row r="170" spans="1:10" x14ac:dyDescent="0.35">
      <c r="C170" s="320"/>
      <c r="D170" s="320"/>
    </row>
    <row r="171" spans="1:10" x14ac:dyDescent="0.35">
      <c r="C171" s="320"/>
      <c r="D171" s="320"/>
      <c r="H171" s="553" t="s">
        <v>28</v>
      </c>
      <c r="I171" s="568">
        <f>D2</f>
        <v>16930.45</v>
      </c>
      <c r="J171" s="555"/>
    </row>
    <row r="172" spans="1:10" x14ac:dyDescent="0.35">
      <c r="C172" s="320"/>
      <c r="D172" s="320"/>
      <c r="H172" s="553" t="s">
        <v>29</v>
      </c>
      <c r="I172" s="554"/>
      <c r="J172" s="555"/>
    </row>
    <row r="173" spans="1:10" x14ac:dyDescent="0.35">
      <c r="C173" s="320"/>
      <c r="D173" s="320"/>
      <c r="H173" s="556">
        <f>_ENE09</f>
        <v>1400</v>
      </c>
      <c r="I173" s="557"/>
      <c r="J173" s="555"/>
    </row>
    <row r="174" spans="1:10" x14ac:dyDescent="0.35">
      <c r="C174" s="320"/>
      <c r="D174" s="320"/>
      <c r="H174" s="556">
        <f>_FEB09</f>
        <v>950</v>
      </c>
      <c r="I174" s="557"/>
      <c r="J174" s="555"/>
    </row>
    <row r="175" spans="1:10" x14ac:dyDescent="0.35">
      <c r="C175" s="320"/>
      <c r="D175" s="320"/>
      <c r="H175" s="556">
        <f>_MAR09</f>
        <v>850</v>
      </c>
      <c r="I175" s="557"/>
      <c r="J175" s="555"/>
    </row>
    <row r="176" spans="1:10" x14ac:dyDescent="0.35">
      <c r="C176" s="320"/>
      <c r="D176" s="320"/>
      <c r="H176" s="556">
        <f>_ABR09</f>
        <v>200</v>
      </c>
      <c r="I176" s="557"/>
      <c r="J176" s="555"/>
    </row>
    <row r="177" spans="1:14" x14ac:dyDescent="0.35">
      <c r="C177" s="320"/>
      <c r="D177" s="320"/>
      <c r="H177" s="556">
        <f>_MAY09</f>
        <v>-400</v>
      </c>
      <c r="I177" s="557"/>
      <c r="J177" s="555"/>
    </row>
    <row r="178" spans="1:14" x14ac:dyDescent="0.35">
      <c r="C178" s="320"/>
      <c r="D178" s="320"/>
      <c r="H178" s="556">
        <f>_JUN09</f>
        <v>1100</v>
      </c>
      <c r="I178" s="557"/>
      <c r="J178" s="555"/>
    </row>
    <row r="179" spans="1:14" x14ac:dyDescent="0.35">
      <c r="C179" s="320"/>
      <c r="D179" s="320"/>
      <c r="H179" s="556">
        <f>_JUL09</f>
        <v>900</v>
      </c>
      <c r="I179" s="557"/>
      <c r="J179" s="555"/>
    </row>
    <row r="180" spans="1:14" x14ac:dyDescent="0.35">
      <c r="C180" s="320"/>
      <c r="D180" s="320"/>
      <c r="H180" s="556">
        <f>_AGO09</f>
        <v>1200</v>
      </c>
      <c r="I180" s="557"/>
      <c r="J180" s="555"/>
    </row>
    <row r="181" spans="1:14" x14ac:dyDescent="0.35">
      <c r="C181" s="320"/>
      <c r="D181" s="320"/>
      <c r="H181" s="556">
        <f>_SEP09</f>
        <v>700</v>
      </c>
      <c r="I181" s="557"/>
      <c r="J181" s="555"/>
    </row>
    <row r="182" spans="1:14" x14ac:dyDescent="0.35">
      <c r="C182" s="320"/>
      <c r="D182" s="320"/>
      <c r="H182" s="556">
        <f>_OCT09</f>
        <v>1100</v>
      </c>
      <c r="I182" s="557"/>
      <c r="J182" s="555"/>
    </row>
    <row r="183" spans="1:14" x14ac:dyDescent="0.35">
      <c r="C183" s="320"/>
      <c r="D183" s="320"/>
      <c r="H183" s="556">
        <f>_NOV09</f>
        <v>750</v>
      </c>
      <c r="I183" s="557"/>
      <c r="J183" s="555"/>
    </row>
    <row r="184" spans="1:14" x14ac:dyDescent="0.35">
      <c r="C184" s="320"/>
      <c r="D184" s="320"/>
      <c r="H184" s="556">
        <f>_DIC09</f>
        <v>250</v>
      </c>
      <c r="I184" s="557"/>
      <c r="J184" s="555"/>
    </row>
    <row r="185" spans="1:14" x14ac:dyDescent="0.35">
      <c r="C185" s="320"/>
      <c r="D185" s="320"/>
      <c r="H185" s="558">
        <f>SUM(H173:H184)</f>
        <v>9000</v>
      </c>
      <c r="I185" s="559">
        <f>-SUM(I173:I184)</f>
        <v>0</v>
      </c>
      <c r="J185" s="560">
        <f>H185-I185</f>
        <v>9000</v>
      </c>
    </row>
    <row r="186" spans="1:14" x14ac:dyDescent="0.35">
      <c r="C186" s="320"/>
      <c r="D186" s="320"/>
      <c r="H186" s="23"/>
      <c r="I186" s="23"/>
      <c r="J186" s="15"/>
    </row>
    <row r="187" spans="1:14" x14ac:dyDescent="0.35">
      <c r="C187" s="320"/>
      <c r="D187" s="320"/>
      <c r="E187" s="37"/>
      <c r="F187" s="37"/>
      <c r="G187" s="37"/>
      <c r="H187" s="181"/>
      <c r="I187" s="323"/>
      <c r="J187" s="51"/>
      <c r="K187" s="37"/>
      <c r="L187" s="576"/>
      <c r="M187" s="37"/>
      <c r="N187" s="37"/>
    </row>
    <row r="188" spans="1:14" x14ac:dyDescent="0.35">
      <c r="C188" s="320"/>
      <c r="D188" s="320"/>
      <c r="E188" s="37"/>
      <c r="F188" s="37"/>
      <c r="G188" s="37"/>
      <c r="H188" s="181"/>
      <c r="I188" s="565"/>
      <c r="J188" s="51"/>
      <c r="K188" s="43"/>
      <c r="L188" s="37"/>
      <c r="M188" s="37"/>
      <c r="N188" s="37"/>
    </row>
    <row r="189" spans="1:14" x14ac:dyDescent="0.35">
      <c r="A189" s="380" t="s">
        <v>32</v>
      </c>
      <c r="B189" s="380" t="s">
        <v>33</v>
      </c>
      <c r="E189" s="37"/>
      <c r="F189" s="37"/>
      <c r="G189" s="37"/>
      <c r="H189" s="181"/>
      <c r="I189" s="323"/>
      <c r="J189" s="51"/>
      <c r="K189" s="37"/>
      <c r="L189" s="37"/>
      <c r="M189" s="37"/>
      <c r="N189" s="37"/>
    </row>
    <row r="190" spans="1:14" x14ac:dyDescent="0.35">
      <c r="A190" s="380">
        <f>SUM(C5:C189)</f>
        <v>32750</v>
      </c>
      <c r="B190" s="380">
        <f>SUM(D5:D189)</f>
        <v>23750</v>
      </c>
      <c r="E190" s="37"/>
      <c r="F190" s="37"/>
      <c r="G190" s="37"/>
      <c r="H190" s="323"/>
      <c r="I190" s="323"/>
      <c r="J190" s="51"/>
      <c r="K190" s="37"/>
      <c r="L190" s="37"/>
      <c r="M190" s="37"/>
      <c r="N190" s="37"/>
    </row>
    <row r="191" spans="1:14" x14ac:dyDescent="0.35">
      <c r="C191" s="320"/>
      <c r="D191" s="320"/>
      <c r="E191" s="37"/>
      <c r="F191" s="37"/>
      <c r="G191" s="37"/>
      <c r="H191" s="565"/>
      <c r="I191" s="323"/>
      <c r="J191" s="51"/>
      <c r="K191" s="37"/>
      <c r="L191" s="37"/>
      <c r="M191" s="37"/>
      <c r="N191" s="37"/>
    </row>
    <row r="192" spans="1:14" x14ac:dyDescent="0.35">
      <c r="E192" s="37"/>
      <c r="F192" s="37"/>
      <c r="G192" s="37"/>
      <c r="H192" s="181"/>
      <c r="I192" s="323"/>
      <c r="J192" s="51"/>
      <c r="K192" s="37"/>
      <c r="L192" s="37"/>
      <c r="M192" s="37"/>
      <c r="N192" s="37"/>
    </row>
    <row r="193" spans="3:15" x14ac:dyDescent="0.35">
      <c r="E193" s="37"/>
      <c r="F193" s="37"/>
      <c r="G193" s="37"/>
      <c r="H193" s="181"/>
      <c r="I193" s="323"/>
      <c r="J193" s="51"/>
      <c r="K193" s="37"/>
      <c r="L193" s="37"/>
      <c r="M193" s="37"/>
      <c r="N193" s="37"/>
    </row>
    <row r="194" spans="3:15" x14ac:dyDescent="0.35">
      <c r="E194" s="37"/>
      <c r="F194" s="37"/>
      <c r="G194" s="37"/>
      <c r="H194" s="181"/>
      <c r="I194" s="323"/>
      <c r="J194" s="51"/>
      <c r="K194" s="37"/>
      <c r="L194" s="37"/>
      <c r="M194" s="37"/>
      <c r="N194" s="37"/>
    </row>
    <row r="195" spans="3:15" x14ac:dyDescent="0.3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3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3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3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3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3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3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3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3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3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3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3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3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3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3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35">
      <c r="C211" s="572"/>
      <c r="D211" s="572"/>
      <c r="E211" s="572"/>
      <c r="F211" s="572"/>
      <c r="G211" s="572"/>
      <c r="H211" s="572"/>
      <c r="I211" s="572"/>
      <c r="J211" s="572"/>
      <c r="K211" s="572"/>
      <c r="L211" s="570"/>
      <c r="M211" s="572"/>
      <c r="N211" s="570"/>
      <c r="O211" s="37"/>
    </row>
    <row r="212" spans="2:15" x14ac:dyDescent="0.35">
      <c r="C212" s="570"/>
      <c r="D212" s="570"/>
      <c r="E212" s="570"/>
      <c r="F212" s="570"/>
      <c r="G212" s="570"/>
      <c r="H212" s="570"/>
      <c r="I212" s="570"/>
      <c r="J212" s="570"/>
      <c r="K212" s="570"/>
      <c r="L212" s="570"/>
      <c r="M212" s="570"/>
      <c r="N212" s="570"/>
      <c r="O212" s="37"/>
    </row>
    <row r="213" spans="2:15" x14ac:dyDescent="0.35">
      <c r="C213" s="54"/>
      <c r="D213" s="53"/>
      <c r="E213" s="54"/>
      <c r="F213" s="53"/>
      <c r="G213" s="54"/>
      <c r="H213" s="569"/>
      <c r="I213" s="54"/>
      <c r="J213" s="569"/>
      <c r="K213" s="54"/>
      <c r="L213" s="569"/>
      <c r="M213" s="54"/>
      <c r="N213" s="569"/>
      <c r="O213" s="37"/>
    </row>
    <row r="214" spans="2:15" x14ac:dyDescent="0.35"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37"/>
    </row>
    <row r="215" spans="2:15" x14ac:dyDescent="0.3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70"/>
      <c r="O215" s="37"/>
    </row>
    <row r="216" spans="2:15" x14ac:dyDescent="0.35">
      <c r="C216" s="53"/>
      <c r="D216" s="53"/>
      <c r="E216" s="53"/>
      <c r="F216" s="53"/>
      <c r="G216" s="53"/>
      <c r="H216" s="53"/>
      <c r="I216" s="53"/>
      <c r="J216" s="53"/>
      <c r="K216" s="53"/>
      <c r="L216" s="570"/>
      <c r="M216" s="53"/>
      <c r="N216" s="570"/>
      <c r="O216" s="37"/>
    </row>
    <row r="217" spans="2:15" x14ac:dyDescent="0.35">
      <c r="C217" s="53"/>
      <c r="D217" s="53"/>
      <c r="E217" s="53"/>
      <c r="F217" s="53"/>
      <c r="G217" s="53"/>
      <c r="H217" s="53"/>
      <c r="I217" s="53"/>
      <c r="J217" s="53"/>
      <c r="K217" s="53"/>
      <c r="L217" s="570"/>
      <c r="M217" s="53"/>
      <c r="N217" s="570"/>
      <c r="O217" s="37"/>
    </row>
    <row r="218" spans="2:15" x14ac:dyDescent="0.35">
      <c r="C218" s="53"/>
      <c r="D218" s="53"/>
      <c r="E218" s="53"/>
      <c r="F218" s="53"/>
      <c r="G218" s="53"/>
      <c r="H218" s="53"/>
      <c r="I218" s="53"/>
      <c r="J218" s="53"/>
      <c r="K218" s="53"/>
      <c r="L218" s="570"/>
      <c r="M218" s="53"/>
      <c r="N218" s="570"/>
      <c r="O218" s="37"/>
    </row>
    <row r="219" spans="2:15" x14ac:dyDescent="0.35">
      <c r="C219" s="53"/>
      <c r="D219" s="53"/>
      <c r="E219" s="53"/>
      <c r="F219" s="53"/>
      <c r="G219" s="53"/>
      <c r="H219" s="53"/>
      <c r="I219" s="53"/>
      <c r="J219" s="53"/>
      <c r="K219" s="53"/>
      <c r="L219" s="570"/>
      <c r="M219" s="53"/>
      <c r="N219" s="570"/>
      <c r="O219" s="37"/>
    </row>
    <row r="220" spans="2:15" x14ac:dyDescent="0.35">
      <c r="C220" s="53"/>
      <c r="D220" s="53"/>
      <c r="E220" s="53"/>
      <c r="F220" s="53"/>
      <c r="G220" s="53"/>
      <c r="H220" s="53"/>
      <c r="I220" s="53"/>
      <c r="J220" s="53"/>
      <c r="K220" s="53"/>
      <c r="L220" s="570"/>
      <c r="M220" s="53"/>
      <c r="N220" s="570"/>
      <c r="O220" s="37"/>
    </row>
    <row r="221" spans="2:15" x14ac:dyDescent="0.3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70"/>
      <c r="O221" s="37"/>
    </row>
    <row r="222" spans="2:15" x14ac:dyDescent="0.3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73"/>
      <c r="M222" s="55"/>
      <c r="N222" s="573"/>
      <c r="O222" s="37"/>
    </row>
    <row r="223" spans="2:15" x14ac:dyDescent="0.35">
      <c r="C223" s="354"/>
      <c r="D223" s="55"/>
      <c r="E223" s="354"/>
      <c r="F223" s="55"/>
      <c r="G223" s="354"/>
      <c r="H223" s="55"/>
      <c r="I223" s="354"/>
      <c r="J223" s="55"/>
      <c r="K223" s="354"/>
      <c r="L223" s="574"/>
      <c r="M223" s="354"/>
      <c r="N223" s="574"/>
      <c r="O223" s="37"/>
    </row>
    <row r="224" spans="2:15" x14ac:dyDescent="0.35">
      <c r="B224" s="55"/>
      <c r="C224" s="354"/>
      <c r="D224" s="354"/>
      <c r="E224" s="354"/>
      <c r="F224" s="354"/>
      <c r="G224" s="354"/>
      <c r="H224" s="354"/>
      <c r="I224" s="354"/>
      <c r="J224" s="354"/>
      <c r="K224" s="354"/>
      <c r="L224" s="573"/>
      <c r="M224" s="573"/>
      <c r="N224" s="573"/>
      <c r="O224" s="37"/>
    </row>
    <row r="225" spans="3:15" x14ac:dyDescent="0.3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3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3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35">
      <c r="C228" s="570"/>
      <c r="D228" s="570"/>
      <c r="E228" s="570"/>
      <c r="F228" s="570"/>
      <c r="G228" s="570"/>
      <c r="H228" s="570"/>
      <c r="I228" s="570"/>
      <c r="J228" s="570"/>
      <c r="K228" s="570"/>
      <c r="L228" s="570"/>
      <c r="M228" s="570"/>
      <c r="N228" s="570"/>
      <c r="O228" s="37"/>
    </row>
    <row r="229" spans="3:15" x14ac:dyDescent="0.35">
      <c r="C229" s="571"/>
      <c r="D229" s="570"/>
      <c r="E229" s="571"/>
      <c r="F229" s="570"/>
      <c r="G229" s="571"/>
      <c r="H229" s="570"/>
      <c r="I229" s="571"/>
      <c r="J229" s="570"/>
      <c r="K229" s="571"/>
      <c r="L229" s="570"/>
      <c r="M229" s="571"/>
      <c r="N229" s="570"/>
      <c r="O229" s="37"/>
    </row>
    <row r="230" spans="3:15" x14ac:dyDescent="0.35">
      <c r="C230" s="571"/>
      <c r="D230" s="570"/>
      <c r="E230" s="571"/>
      <c r="F230" s="570"/>
      <c r="G230" s="575"/>
      <c r="H230" s="570"/>
      <c r="I230" s="571"/>
      <c r="J230" s="570"/>
      <c r="K230" s="571"/>
      <c r="L230" s="570"/>
      <c r="M230" s="571"/>
      <c r="N230" s="570"/>
      <c r="O230" s="37"/>
    </row>
    <row r="231" spans="3:15" x14ac:dyDescent="0.35">
      <c r="C231" s="571"/>
      <c r="D231" s="570"/>
      <c r="E231" s="571"/>
      <c r="F231" s="570"/>
      <c r="G231" s="571"/>
      <c r="H231" s="570"/>
      <c r="I231" s="571"/>
      <c r="J231" s="570"/>
      <c r="K231" s="571"/>
      <c r="L231" s="570"/>
      <c r="M231" s="571"/>
      <c r="N231" s="570"/>
      <c r="O231" s="37"/>
    </row>
    <row r="232" spans="3:15" x14ac:dyDescent="0.35">
      <c r="C232" s="572"/>
      <c r="D232" s="570"/>
      <c r="E232" s="572"/>
      <c r="F232" s="570"/>
      <c r="G232" s="572"/>
      <c r="H232" s="570"/>
      <c r="I232" s="572"/>
      <c r="J232" s="570"/>
      <c r="K232" s="572"/>
      <c r="L232" s="570"/>
      <c r="M232" s="572"/>
      <c r="N232" s="570"/>
      <c r="O232" s="37"/>
    </row>
    <row r="233" spans="3:15" x14ac:dyDescent="0.35">
      <c r="C233" s="572"/>
      <c r="D233" s="570"/>
      <c r="E233" s="572"/>
      <c r="F233" s="570"/>
      <c r="G233" s="572"/>
      <c r="H233" s="570"/>
      <c r="I233" s="572"/>
      <c r="J233" s="570"/>
      <c r="K233" s="572"/>
      <c r="L233" s="570"/>
      <c r="M233" s="572"/>
      <c r="N233" s="570"/>
      <c r="O233" s="37"/>
    </row>
    <row r="234" spans="3:15" x14ac:dyDescent="0.35">
      <c r="C234" s="572"/>
      <c r="D234" s="570"/>
      <c r="E234" s="572"/>
      <c r="F234" s="570"/>
      <c r="G234" s="572"/>
      <c r="H234" s="570"/>
      <c r="I234" s="572"/>
      <c r="J234" s="570"/>
      <c r="K234" s="572"/>
      <c r="L234" s="570"/>
      <c r="M234" s="572"/>
      <c r="N234" s="570"/>
      <c r="O234" s="37"/>
    </row>
    <row r="235" spans="3:15" x14ac:dyDescent="0.35"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37"/>
    </row>
    <row r="236" spans="3:15" x14ac:dyDescent="0.35">
      <c r="C236" s="572"/>
      <c r="D236" s="570"/>
      <c r="E236" s="572"/>
      <c r="F236" s="570"/>
      <c r="G236" s="572"/>
      <c r="H236" s="570"/>
      <c r="I236" s="572"/>
      <c r="J236" s="570"/>
      <c r="K236" s="572"/>
      <c r="L236" s="570"/>
      <c r="M236" s="572"/>
      <c r="N236" s="570"/>
      <c r="O236" s="37"/>
    </row>
    <row r="237" spans="3:15" x14ac:dyDescent="0.35">
      <c r="C237" s="572"/>
      <c r="D237" s="570"/>
      <c r="E237" s="572"/>
      <c r="F237" s="570"/>
      <c r="G237" s="572"/>
      <c r="H237" s="570"/>
      <c r="I237" s="572"/>
      <c r="J237" s="570"/>
      <c r="K237" s="572"/>
      <c r="L237" s="570"/>
      <c r="M237" s="572"/>
      <c r="N237" s="570"/>
      <c r="O237" s="37"/>
    </row>
    <row r="238" spans="3:15" x14ac:dyDescent="0.35">
      <c r="C238" s="570"/>
      <c r="D238" s="570"/>
      <c r="E238" s="570"/>
      <c r="F238" s="570"/>
      <c r="G238" s="570"/>
      <c r="H238" s="570"/>
      <c r="I238" s="570"/>
      <c r="J238" s="570"/>
      <c r="K238" s="570"/>
      <c r="L238" s="570"/>
      <c r="M238" s="570"/>
      <c r="N238" s="570"/>
      <c r="O238" s="37"/>
    </row>
    <row r="239" spans="3:15" x14ac:dyDescent="0.35">
      <c r="C239" s="54"/>
      <c r="D239" s="569"/>
      <c r="E239" s="54"/>
      <c r="F239" s="569"/>
      <c r="G239" s="54"/>
      <c r="H239" s="569"/>
      <c r="I239" s="54"/>
      <c r="J239" s="569"/>
      <c r="K239" s="54"/>
      <c r="L239" s="569"/>
      <c r="M239" s="54"/>
      <c r="N239" s="570"/>
      <c r="O239" s="37"/>
    </row>
    <row r="240" spans="3:15" x14ac:dyDescent="0.35"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37"/>
    </row>
    <row r="241" spans="3:15" x14ac:dyDescent="0.3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70"/>
      <c r="O241" s="37"/>
    </row>
    <row r="242" spans="3:15" x14ac:dyDescent="0.35">
      <c r="C242" s="53"/>
      <c r="D242" s="570"/>
      <c r="E242" s="53"/>
      <c r="F242" s="570"/>
      <c r="G242" s="53"/>
      <c r="H242" s="570"/>
      <c r="I242" s="53"/>
      <c r="J242" s="570"/>
      <c r="K242" s="53"/>
      <c r="L242" s="570"/>
      <c r="M242" s="53"/>
      <c r="N242" s="570"/>
      <c r="O242" s="37"/>
    </row>
    <row r="243" spans="3:15" x14ac:dyDescent="0.35">
      <c r="C243" s="53"/>
      <c r="D243" s="570"/>
      <c r="E243" s="53"/>
      <c r="F243" s="570"/>
      <c r="G243" s="53"/>
      <c r="H243" s="570"/>
      <c r="I243" s="53"/>
      <c r="J243" s="570"/>
      <c r="K243" s="53"/>
      <c r="L243" s="570"/>
      <c r="M243" s="53"/>
      <c r="N243" s="570"/>
      <c r="O243" s="37"/>
    </row>
    <row r="244" spans="3:15" x14ac:dyDescent="0.35">
      <c r="C244" s="53"/>
      <c r="D244" s="570"/>
      <c r="E244" s="53"/>
      <c r="F244" s="570"/>
      <c r="G244" s="53"/>
      <c r="H244" s="570"/>
      <c r="I244" s="53"/>
      <c r="J244" s="570"/>
      <c r="K244" s="53"/>
      <c r="L244" s="570"/>
      <c r="M244" s="53"/>
      <c r="N244" s="570"/>
      <c r="O244" s="37"/>
    </row>
    <row r="245" spans="3:15" x14ac:dyDescent="0.35">
      <c r="C245" s="53"/>
      <c r="D245" s="570"/>
      <c r="E245" s="53"/>
      <c r="F245" s="570"/>
      <c r="G245" s="53"/>
      <c r="H245" s="570"/>
      <c r="I245" s="53"/>
      <c r="J245" s="570"/>
      <c r="K245" s="53"/>
      <c r="L245" s="570"/>
      <c r="M245" s="53"/>
      <c r="N245" s="570"/>
      <c r="O245" s="37"/>
    </row>
    <row r="246" spans="3:15" x14ac:dyDescent="0.35">
      <c r="C246" s="53"/>
      <c r="D246" s="570"/>
      <c r="E246" s="53"/>
      <c r="F246" s="570"/>
      <c r="G246" s="53"/>
      <c r="H246" s="570"/>
      <c r="I246" s="53"/>
      <c r="J246" s="570"/>
      <c r="K246" s="53"/>
      <c r="L246" s="570"/>
      <c r="M246" s="53"/>
      <c r="N246" s="570"/>
      <c r="O246" s="37"/>
    </row>
    <row r="247" spans="3:15" x14ac:dyDescent="0.3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70"/>
      <c r="O247" s="37"/>
    </row>
    <row r="248" spans="3:15" x14ac:dyDescent="0.35">
      <c r="C248" s="55"/>
      <c r="D248" s="573"/>
      <c r="E248" s="55"/>
      <c r="F248" s="573"/>
      <c r="G248" s="55"/>
      <c r="H248" s="573"/>
      <c r="I248" s="55"/>
      <c r="J248" s="573"/>
      <c r="K248" s="55"/>
      <c r="L248" s="573"/>
      <c r="M248" s="55"/>
      <c r="N248" s="573"/>
      <c r="O248" s="37"/>
    </row>
    <row r="249" spans="3:15" x14ac:dyDescent="0.35">
      <c r="C249" s="354"/>
      <c r="D249" s="55"/>
      <c r="E249" s="354"/>
      <c r="F249" s="574"/>
      <c r="G249" s="354"/>
      <c r="H249" s="574"/>
      <c r="I249" s="354"/>
      <c r="J249" s="574"/>
      <c r="K249" s="354"/>
      <c r="L249" s="574"/>
      <c r="M249" s="354"/>
      <c r="N249" s="573"/>
      <c r="O249" s="37"/>
    </row>
    <row r="250" spans="3:15" x14ac:dyDescent="0.35">
      <c r="C250" s="573"/>
      <c r="D250" s="573"/>
      <c r="E250" s="573"/>
      <c r="F250" s="573"/>
      <c r="G250" s="37"/>
      <c r="H250" s="37"/>
      <c r="I250" s="37"/>
      <c r="J250" s="37"/>
      <c r="K250" s="573"/>
      <c r="L250" s="573"/>
      <c r="M250" s="573"/>
      <c r="N250" s="573"/>
      <c r="O250" s="37"/>
    </row>
    <row r="251" spans="3:15" x14ac:dyDescent="0.3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3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3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3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3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3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3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3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3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3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3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3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3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3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3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3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3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3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3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3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3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3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3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3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3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3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3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3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3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3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3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3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3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3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3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3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3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3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3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3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3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3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3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3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3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3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3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3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3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3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3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3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3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3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3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3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3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3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3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3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3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3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3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3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3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3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3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3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3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3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3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3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3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3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3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3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3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3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3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3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3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3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3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3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3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3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3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3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3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3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3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3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3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3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3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3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3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3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3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3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3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3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3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81" customWidth="1"/>
    <col min="4" max="4" width="12.7265625" style="381" customWidth="1"/>
    <col min="5" max="5" width="16.36328125" customWidth="1"/>
    <col min="6" max="6" width="11.36328125" customWidth="1"/>
    <col min="7" max="7" width="14.7265625" customWidth="1"/>
    <col min="8" max="8" width="12.26953125" customWidth="1"/>
    <col min="9" max="9" width="14.7265625" customWidth="1"/>
    <col min="10" max="10" width="13.26953125" customWidth="1"/>
    <col min="12" max="12" width="11.7265625" customWidth="1"/>
  </cols>
  <sheetData>
    <row r="1" spans="1:9" ht="12" customHeight="1" x14ac:dyDescent="0.35">
      <c r="A1" s="1190"/>
      <c r="B1" s="1191"/>
      <c r="C1" s="355" t="s">
        <v>0</v>
      </c>
      <c r="D1" s="356">
        <f>COUNTA(A5:A295)</f>
        <v>291</v>
      </c>
      <c r="E1" s="357" t="s">
        <v>1</v>
      </c>
      <c r="F1" s="358">
        <f>F2+F3</f>
        <v>0</v>
      </c>
    </row>
    <row r="2" spans="1:9" x14ac:dyDescent="0.35">
      <c r="A2" s="292" t="s">
        <v>2</v>
      </c>
      <c r="B2" s="293">
        <f>G28+G73+G111+G136+G168+G191+G219+G235+G254+G268+G279+G295</f>
        <v>5435.45</v>
      </c>
      <c r="C2" s="359" t="s">
        <v>251</v>
      </c>
      <c r="D2" s="944">
        <f>SUM(C4:C345)-SUM(D4:D345)</f>
        <v>7930.45</v>
      </c>
      <c r="E2" s="360" t="s">
        <v>407</v>
      </c>
      <c r="F2" s="361">
        <v>0</v>
      </c>
      <c r="H2">
        <v>800</v>
      </c>
      <c r="I2">
        <f>+I3*12</f>
        <v>-4164</v>
      </c>
    </row>
    <row r="3" spans="1:9" x14ac:dyDescent="0.35">
      <c r="A3" s="329" t="s">
        <v>7</v>
      </c>
      <c r="B3" s="330" t="s">
        <v>8</v>
      </c>
      <c r="C3" s="331" t="s">
        <v>9</v>
      </c>
      <c r="D3" s="332" t="s">
        <v>63</v>
      </c>
      <c r="E3" s="362" t="s">
        <v>10</v>
      </c>
      <c r="F3" s="361">
        <v>0</v>
      </c>
      <c r="H3">
        <v>453</v>
      </c>
      <c r="I3">
        <f>-(+H2-H3)</f>
        <v>-347</v>
      </c>
    </row>
    <row r="4" spans="1:9" x14ac:dyDescent="0.35">
      <c r="A4" s="363"/>
      <c r="B4" s="364" t="s">
        <v>408</v>
      </c>
      <c r="C4" s="365">
        <v>2495</v>
      </c>
      <c r="D4" s="365"/>
    </row>
    <row r="5" spans="1:9" x14ac:dyDescent="0.35">
      <c r="A5" s="366">
        <v>39449</v>
      </c>
      <c r="B5" s="367" t="s">
        <v>13</v>
      </c>
      <c r="C5" s="368">
        <v>1400</v>
      </c>
      <c r="D5" s="368"/>
    </row>
    <row r="6" spans="1:9" x14ac:dyDescent="0.35">
      <c r="A6" s="366">
        <v>39449</v>
      </c>
      <c r="B6" s="367" t="s">
        <v>409</v>
      </c>
      <c r="C6" s="368"/>
      <c r="D6" s="368">
        <v>30</v>
      </c>
    </row>
    <row r="7" spans="1:9" x14ac:dyDescent="0.35">
      <c r="A7" s="366">
        <v>39449</v>
      </c>
      <c r="B7" s="367" t="s">
        <v>255</v>
      </c>
      <c r="C7" s="368">
        <v>50</v>
      </c>
      <c r="D7" s="368"/>
    </row>
    <row r="8" spans="1:9" x14ac:dyDescent="0.35">
      <c r="A8" s="366">
        <v>39450</v>
      </c>
      <c r="B8" s="367" t="s">
        <v>19</v>
      </c>
      <c r="C8" s="368">
        <v>700</v>
      </c>
      <c r="D8" s="368"/>
      <c r="F8" s="340"/>
      <c r="G8" s="305"/>
    </row>
    <row r="9" spans="1:9" x14ac:dyDescent="0.35">
      <c r="A9" s="366">
        <v>39451</v>
      </c>
      <c r="B9" s="367" t="s">
        <v>386</v>
      </c>
      <c r="C9" s="368"/>
      <c r="D9" s="368">
        <v>300</v>
      </c>
      <c r="F9" s="340"/>
      <c r="G9" s="315"/>
    </row>
    <row r="10" spans="1:9" x14ac:dyDescent="0.35">
      <c r="A10" s="366">
        <v>39452</v>
      </c>
      <c r="B10" s="367" t="s">
        <v>290</v>
      </c>
      <c r="C10" s="368"/>
      <c r="D10" s="368">
        <f>128+54-0.35-7</f>
        <v>174.65</v>
      </c>
      <c r="F10" s="340"/>
      <c r="G10" s="315"/>
      <c r="H10" s="304"/>
    </row>
    <row r="11" spans="1:9" x14ac:dyDescent="0.35">
      <c r="A11" s="366">
        <v>39453</v>
      </c>
      <c r="B11" s="367" t="s">
        <v>410</v>
      </c>
      <c r="C11" s="368">
        <v>46</v>
      </c>
      <c r="D11" s="368"/>
      <c r="F11" s="369"/>
      <c r="G11" s="315"/>
      <c r="H11" s="304"/>
    </row>
    <row r="12" spans="1:9" x14ac:dyDescent="0.35">
      <c r="A12" s="366">
        <v>39455</v>
      </c>
      <c r="B12" s="367" t="s">
        <v>411</v>
      </c>
      <c r="C12" s="368"/>
      <c r="D12" s="368">
        <v>20</v>
      </c>
    </row>
    <row r="13" spans="1:9" x14ac:dyDescent="0.35">
      <c r="A13" s="366">
        <v>39456</v>
      </c>
      <c r="B13" s="367" t="s">
        <v>412</v>
      </c>
      <c r="C13" s="368"/>
      <c r="D13" s="368">
        <v>30</v>
      </c>
      <c r="F13" s="182"/>
      <c r="G13" s="42"/>
    </row>
    <row r="14" spans="1:9" x14ac:dyDescent="0.35">
      <c r="A14" s="366">
        <v>39456</v>
      </c>
      <c r="B14" s="367" t="s">
        <v>413</v>
      </c>
      <c r="C14" s="368"/>
      <c r="D14" s="368">
        <v>5</v>
      </c>
    </row>
    <row r="15" spans="1:9" x14ac:dyDescent="0.35">
      <c r="A15" s="366">
        <v>39456</v>
      </c>
      <c r="B15" s="367" t="s">
        <v>414</v>
      </c>
      <c r="C15" s="368"/>
      <c r="D15" s="368">
        <v>5</v>
      </c>
      <c r="E15" s="305"/>
      <c r="F15" s="15"/>
      <c r="G15" s="305"/>
    </row>
    <row r="16" spans="1:9" x14ac:dyDescent="0.35">
      <c r="A16" s="366">
        <v>39458</v>
      </c>
      <c r="B16" s="367" t="s">
        <v>415</v>
      </c>
      <c r="C16" s="368"/>
      <c r="D16" s="368">
        <f>105</f>
        <v>105</v>
      </c>
      <c r="E16" s="305"/>
      <c r="F16" s="370"/>
      <c r="G16" s="305"/>
    </row>
    <row r="17" spans="1:10" x14ac:dyDescent="0.35">
      <c r="A17" s="366">
        <v>39458</v>
      </c>
      <c r="B17" s="367" t="s">
        <v>416</v>
      </c>
      <c r="C17" s="368"/>
      <c r="D17" s="368">
        <v>35</v>
      </c>
      <c r="E17" s="305"/>
      <c r="F17" s="305"/>
      <c r="G17" s="305"/>
    </row>
    <row r="18" spans="1:10" x14ac:dyDescent="0.35">
      <c r="A18" s="366">
        <v>39458</v>
      </c>
      <c r="B18" s="367" t="s">
        <v>417</v>
      </c>
      <c r="C18" s="368"/>
      <c r="D18" s="368">
        <v>20</v>
      </c>
      <c r="E18" s="305"/>
      <c r="F18" s="305"/>
      <c r="G18" s="305"/>
    </row>
    <row r="19" spans="1:10" x14ac:dyDescent="0.35">
      <c r="A19" s="366">
        <v>39458</v>
      </c>
      <c r="B19" s="367" t="s">
        <v>290</v>
      </c>
      <c r="C19" s="368"/>
      <c r="D19" s="368">
        <v>14.6</v>
      </c>
      <c r="E19" s="305"/>
      <c r="F19" s="305"/>
      <c r="G19" s="305"/>
    </row>
    <row r="20" spans="1:10" x14ac:dyDescent="0.35">
      <c r="A20" s="366">
        <v>39459</v>
      </c>
      <c r="B20" s="367" t="s">
        <v>418</v>
      </c>
      <c r="C20" s="368"/>
      <c r="D20" s="368">
        <v>8</v>
      </c>
      <c r="E20" s="305"/>
      <c r="F20" s="305"/>
      <c r="G20" s="305"/>
    </row>
    <row r="21" spans="1:10" x14ac:dyDescent="0.35">
      <c r="A21" s="366">
        <v>39459</v>
      </c>
      <c r="B21" s="367" t="s">
        <v>419</v>
      </c>
      <c r="C21" s="368"/>
      <c r="D21" s="368">
        <v>100</v>
      </c>
      <c r="E21" s="305"/>
      <c r="F21" s="305"/>
      <c r="G21" s="305"/>
    </row>
    <row r="22" spans="1:10" x14ac:dyDescent="0.35">
      <c r="A22" s="366">
        <v>39460</v>
      </c>
      <c r="B22" s="367" t="s">
        <v>397</v>
      </c>
      <c r="C22" s="368"/>
      <c r="D22" s="368">
        <v>8.5</v>
      </c>
      <c r="E22" s="305"/>
      <c r="F22" s="305"/>
      <c r="G22" s="305"/>
    </row>
    <row r="23" spans="1:10" x14ac:dyDescent="0.35">
      <c r="A23" s="366">
        <v>39468</v>
      </c>
      <c r="B23" s="367" t="s">
        <v>365</v>
      </c>
      <c r="C23" s="368"/>
      <c r="D23" s="368">
        <f>27.5/2</f>
        <v>13.75</v>
      </c>
      <c r="E23" s="305"/>
      <c r="F23" s="305"/>
      <c r="G23" s="305"/>
    </row>
    <row r="24" spans="1:10" x14ac:dyDescent="0.35">
      <c r="A24" s="366">
        <v>39471</v>
      </c>
      <c r="B24" s="367" t="s">
        <v>290</v>
      </c>
      <c r="C24" s="368"/>
      <c r="D24" s="368">
        <v>4.5</v>
      </c>
      <c r="E24" s="305"/>
      <c r="F24" s="305"/>
      <c r="G24" s="305"/>
    </row>
    <row r="25" spans="1:10" x14ac:dyDescent="0.35">
      <c r="A25" s="366">
        <v>39473</v>
      </c>
      <c r="B25" s="367" t="s">
        <v>336</v>
      </c>
      <c r="C25" s="368"/>
      <c r="D25" s="368">
        <v>2</v>
      </c>
      <c r="E25" s="305"/>
      <c r="F25" s="305"/>
      <c r="G25" s="305"/>
    </row>
    <row r="26" spans="1:10" x14ac:dyDescent="0.35">
      <c r="A26" s="366">
        <v>39478</v>
      </c>
      <c r="B26" s="367" t="s">
        <v>420</v>
      </c>
      <c r="C26" s="368"/>
      <c r="D26" s="368">
        <v>16.25</v>
      </c>
      <c r="E26" s="371" t="s">
        <v>11</v>
      </c>
      <c r="F26" s="305"/>
      <c r="G26" s="305"/>
    </row>
    <row r="27" spans="1:10" x14ac:dyDescent="0.35">
      <c r="A27" s="366">
        <v>39478</v>
      </c>
      <c r="B27" s="367" t="s">
        <v>421</v>
      </c>
      <c r="C27" s="368"/>
      <c r="D27" s="368">
        <v>10</v>
      </c>
      <c r="E27" s="372" t="s">
        <v>299</v>
      </c>
      <c r="F27" s="373">
        <f>COUNTA(A5:A28)</f>
        <v>24</v>
      </c>
      <c r="G27" s="305"/>
    </row>
    <row r="28" spans="1:10" x14ac:dyDescent="0.35">
      <c r="A28" s="363">
        <v>39478</v>
      </c>
      <c r="B28" s="364" t="s">
        <v>422</v>
      </c>
      <c r="C28" s="365"/>
      <c r="D28" s="365">
        <v>71</v>
      </c>
      <c r="E28" s="374">
        <f>SUM(C5:C28)</f>
        <v>2196</v>
      </c>
      <c r="F28" s="374">
        <f>SUM(D5:D28)</f>
        <v>973.25</v>
      </c>
      <c r="G28" s="374">
        <f>E28-F28</f>
        <v>1222.75</v>
      </c>
      <c r="H28">
        <f>_ENE08-H3</f>
        <v>769.75</v>
      </c>
    </row>
    <row r="29" spans="1:10" x14ac:dyDescent="0.35">
      <c r="A29" s="366">
        <v>39479</v>
      </c>
      <c r="B29" s="367" t="s">
        <v>290</v>
      </c>
      <c r="C29" s="368"/>
      <c r="D29" s="368">
        <v>4</v>
      </c>
      <c r="E29" s="305"/>
      <c r="F29" s="305"/>
      <c r="G29" s="305"/>
    </row>
    <row r="30" spans="1:10" x14ac:dyDescent="0.35">
      <c r="A30" s="366">
        <v>39479</v>
      </c>
      <c r="B30" s="367" t="s">
        <v>423</v>
      </c>
      <c r="C30" s="368"/>
      <c r="D30" s="368">
        <v>4.95</v>
      </c>
      <c r="E30" s="305"/>
      <c r="F30" s="305"/>
      <c r="G30" s="305"/>
    </row>
    <row r="31" spans="1:10" x14ac:dyDescent="0.35">
      <c r="A31" s="366">
        <v>39483</v>
      </c>
      <c r="B31" s="367" t="s">
        <v>424</v>
      </c>
      <c r="C31" s="368"/>
      <c r="D31" s="368">
        <v>0.7</v>
      </c>
      <c r="E31" s="305"/>
      <c r="F31" s="305"/>
      <c r="G31" s="305"/>
    </row>
    <row r="32" spans="1:10" x14ac:dyDescent="0.35">
      <c r="A32" s="366">
        <v>39484</v>
      </c>
      <c r="B32" s="367" t="s">
        <v>290</v>
      </c>
      <c r="C32" s="368"/>
      <c r="D32" s="368">
        <v>4.5</v>
      </c>
      <c r="E32" s="15"/>
      <c r="F32" s="15"/>
      <c r="G32" s="15"/>
      <c r="H32" s="15"/>
      <c r="I32" s="15"/>
      <c r="J32" s="15"/>
    </row>
    <row r="33" spans="1:10" x14ac:dyDescent="0.35">
      <c r="A33" s="366">
        <v>39484</v>
      </c>
      <c r="B33" s="367" t="s">
        <v>397</v>
      </c>
      <c r="C33" s="368"/>
      <c r="D33" s="368">
        <v>6</v>
      </c>
      <c r="E33" s="15"/>
      <c r="F33" s="15"/>
      <c r="G33" s="15"/>
      <c r="H33" s="15"/>
      <c r="I33" s="15"/>
      <c r="J33" s="15"/>
    </row>
    <row r="34" spans="1:10" x14ac:dyDescent="0.35">
      <c r="A34" s="366">
        <v>39484</v>
      </c>
      <c r="B34" s="367" t="s">
        <v>297</v>
      </c>
      <c r="C34" s="368"/>
      <c r="D34" s="368">
        <v>10</v>
      </c>
      <c r="E34" s="15"/>
      <c r="F34" s="15"/>
      <c r="G34" s="15"/>
      <c r="H34" s="15"/>
      <c r="I34" s="15"/>
      <c r="J34" s="15"/>
    </row>
    <row r="35" spans="1:10" x14ac:dyDescent="0.35">
      <c r="A35" s="366">
        <v>39485</v>
      </c>
      <c r="B35" s="367" t="s">
        <v>425</v>
      </c>
      <c r="C35" s="368"/>
      <c r="D35" s="368">
        <v>390</v>
      </c>
      <c r="E35" s="15"/>
      <c r="F35" s="15"/>
      <c r="G35" s="15"/>
      <c r="H35" s="15"/>
      <c r="I35" s="15"/>
      <c r="J35" s="15"/>
    </row>
    <row r="36" spans="1:10" x14ac:dyDescent="0.35">
      <c r="A36" s="366">
        <v>39486</v>
      </c>
      <c r="B36" s="367" t="s">
        <v>424</v>
      </c>
      <c r="C36" s="368"/>
      <c r="D36" s="368">
        <v>0.5</v>
      </c>
      <c r="E36" s="15"/>
      <c r="F36" s="15"/>
      <c r="G36" s="15"/>
      <c r="H36" s="15"/>
      <c r="I36" s="15"/>
      <c r="J36" s="15"/>
    </row>
    <row r="37" spans="1:10" x14ac:dyDescent="0.35">
      <c r="A37" s="366">
        <v>39486</v>
      </c>
      <c r="B37" s="367" t="s">
        <v>426</v>
      </c>
      <c r="C37" s="368">
        <v>300</v>
      </c>
      <c r="D37" s="368"/>
      <c r="E37" s="15"/>
      <c r="F37" s="15"/>
      <c r="G37" s="15"/>
      <c r="H37" s="15"/>
      <c r="I37" s="15"/>
      <c r="J37" s="15"/>
    </row>
    <row r="38" spans="1:10" x14ac:dyDescent="0.35">
      <c r="A38" s="366">
        <v>39486</v>
      </c>
      <c r="B38" s="367" t="s">
        <v>410</v>
      </c>
      <c r="C38" s="368"/>
      <c r="D38" s="368">
        <v>1.25</v>
      </c>
      <c r="E38" s="15"/>
      <c r="F38" s="15"/>
      <c r="G38" s="15"/>
      <c r="H38" s="15"/>
      <c r="I38" s="15"/>
      <c r="J38" s="15"/>
    </row>
    <row r="39" spans="1:10" x14ac:dyDescent="0.35">
      <c r="A39" s="366">
        <v>39486</v>
      </c>
      <c r="B39" s="367" t="s">
        <v>13</v>
      </c>
      <c r="C39" s="368">
        <v>1700</v>
      </c>
      <c r="D39" s="368"/>
      <c r="E39" s="15"/>
      <c r="F39" s="15"/>
      <c r="G39" s="15"/>
      <c r="H39" s="15"/>
      <c r="I39" s="15"/>
      <c r="J39" s="15"/>
    </row>
    <row r="40" spans="1:10" x14ac:dyDescent="0.35">
      <c r="A40" s="366">
        <v>39486</v>
      </c>
      <c r="B40" s="367" t="s">
        <v>386</v>
      </c>
      <c r="C40" s="368"/>
      <c r="D40" s="368">
        <v>300</v>
      </c>
      <c r="E40" s="15"/>
      <c r="F40" s="15"/>
      <c r="G40" s="15"/>
      <c r="H40" s="15"/>
      <c r="I40" s="15"/>
      <c r="J40" s="15"/>
    </row>
    <row r="41" spans="1:10" x14ac:dyDescent="0.35">
      <c r="A41" s="366">
        <v>39486</v>
      </c>
      <c r="B41" s="367" t="s">
        <v>337</v>
      </c>
      <c r="C41" s="368"/>
      <c r="D41" s="368">
        <v>22</v>
      </c>
      <c r="E41" s="15"/>
      <c r="F41" s="15"/>
      <c r="G41" s="15"/>
      <c r="H41" s="15"/>
      <c r="I41" s="15"/>
      <c r="J41" s="15"/>
    </row>
    <row r="42" spans="1:10" x14ac:dyDescent="0.35">
      <c r="A42" s="366">
        <v>39486</v>
      </c>
      <c r="B42" s="367" t="s">
        <v>427</v>
      </c>
      <c r="C42" s="368"/>
      <c r="D42" s="368">
        <v>20</v>
      </c>
      <c r="E42" s="15"/>
      <c r="F42" s="15"/>
      <c r="G42" s="15"/>
      <c r="H42" s="15"/>
      <c r="I42" s="15"/>
      <c r="J42" s="15"/>
    </row>
    <row r="43" spans="1:10" x14ac:dyDescent="0.35">
      <c r="A43" s="366">
        <v>39486</v>
      </c>
      <c r="B43" s="367" t="s">
        <v>336</v>
      </c>
      <c r="C43" s="368"/>
      <c r="D43" s="368">
        <v>15</v>
      </c>
      <c r="E43" s="15"/>
      <c r="F43" s="15"/>
      <c r="G43" s="15"/>
      <c r="H43" s="15"/>
      <c r="I43" s="15"/>
      <c r="J43" s="15"/>
    </row>
    <row r="44" spans="1:10" x14ac:dyDescent="0.35">
      <c r="A44" s="366">
        <v>39486</v>
      </c>
      <c r="B44" s="367" t="s">
        <v>290</v>
      </c>
      <c r="C44" s="368"/>
      <c r="D44" s="368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35">
      <c r="A45" s="366">
        <v>39486</v>
      </c>
      <c r="B45" s="367" t="s">
        <v>428</v>
      </c>
      <c r="C45" s="368"/>
      <c r="D45" s="368">
        <v>105</v>
      </c>
      <c r="E45" s="15"/>
      <c r="F45" s="15"/>
      <c r="G45" s="15"/>
      <c r="H45" s="15"/>
      <c r="I45" s="15"/>
      <c r="J45" s="15"/>
    </row>
    <row r="46" spans="1:10" x14ac:dyDescent="0.35">
      <c r="A46" s="366">
        <v>39486</v>
      </c>
      <c r="B46" s="367" t="s">
        <v>424</v>
      </c>
      <c r="C46" s="368"/>
      <c r="D46" s="368">
        <v>0.45</v>
      </c>
      <c r="E46" s="15"/>
      <c r="F46" s="15"/>
      <c r="G46" s="15"/>
      <c r="H46" s="15"/>
      <c r="I46" s="15"/>
      <c r="J46" s="15"/>
    </row>
    <row r="47" spans="1:10" x14ac:dyDescent="0.35">
      <c r="A47" s="366">
        <v>39487</v>
      </c>
      <c r="B47" s="367" t="s">
        <v>429</v>
      </c>
      <c r="C47" s="368"/>
      <c r="D47" s="368">
        <v>2</v>
      </c>
      <c r="E47" s="15"/>
      <c r="F47" s="15"/>
      <c r="G47" s="15"/>
      <c r="H47" s="15"/>
      <c r="I47" s="15"/>
      <c r="J47" s="15"/>
    </row>
    <row r="48" spans="1:10" x14ac:dyDescent="0.35">
      <c r="A48" s="366">
        <v>39488</v>
      </c>
      <c r="B48" s="367" t="s">
        <v>289</v>
      </c>
      <c r="C48" s="368"/>
      <c r="D48" s="368">
        <v>11.2</v>
      </c>
      <c r="E48" s="15"/>
      <c r="F48" s="15"/>
      <c r="G48" s="15"/>
      <c r="H48" s="15"/>
      <c r="I48" s="15"/>
      <c r="J48" s="15"/>
    </row>
    <row r="49" spans="1:10" x14ac:dyDescent="0.35">
      <c r="A49" s="366">
        <v>39488</v>
      </c>
      <c r="B49" s="367" t="s">
        <v>397</v>
      </c>
      <c r="C49" s="368"/>
      <c r="D49" s="368">
        <v>1.7</v>
      </c>
      <c r="E49" s="15"/>
      <c r="F49" s="15"/>
      <c r="G49" s="15"/>
      <c r="H49" s="15"/>
      <c r="I49" s="15"/>
      <c r="J49" s="15"/>
    </row>
    <row r="50" spans="1:10" x14ac:dyDescent="0.35">
      <c r="A50" s="366">
        <v>39488</v>
      </c>
      <c r="B50" s="367" t="s">
        <v>430</v>
      </c>
      <c r="C50" s="368"/>
      <c r="D50" s="368">
        <v>20</v>
      </c>
      <c r="E50" s="15"/>
      <c r="F50" s="15"/>
      <c r="G50" s="15"/>
      <c r="H50" s="15"/>
      <c r="I50" s="15"/>
      <c r="J50" s="15"/>
    </row>
    <row r="51" spans="1:10" x14ac:dyDescent="0.35">
      <c r="A51" s="366">
        <v>39489</v>
      </c>
      <c r="B51" s="367" t="s">
        <v>365</v>
      </c>
      <c r="C51" s="368"/>
      <c r="D51" s="368">
        <v>15</v>
      </c>
      <c r="E51" s="15"/>
      <c r="F51" s="15"/>
      <c r="G51" s="15"/>
      <c r="H51" s="15"/>
      <c r="I51" s="15"/>
      <c r="J51" s="15"/>
    </row>
    <row r="52" spans="1:10" x14ac:dyDescent="0.35">
      <c r="A52" s="366">
        <v>39489</v>
      </c>
      <c r="B52" s="367" t="s">
        <v>290</v>
      </c>
      <c r="C52" s="368"/>
      <c r="D52" s="368">
        <f>15.9/2</f>
        <v>7.95</v>
      </c>
      <c r="E52" s="15"/>
      <c r="F52" s="15"/>
      <c r="G52" s="15"/>
      <c r="H52" s="15"/>
      <c r="I52" s="15"/>
      <c r="J52" s="15"/>
    </row>
    <row r="53" spans="1:10" x14ac:dyDescent="0.35">
      <c r="A53" s="366">
        <v>39492</v>
      </c>
      <c r="B53" s="367" t="s">
        <v>297</v>
      </c>
      <c r="C53" s="368"/>
      <c r="D53" s="368">
        <v>9</v>
      </c>
      <c r="E53" s="15"/>
      <c r="F53" s="15"/>
      <c r="G53" s="15"/>
      <c r="H53" s="15"/>
      <c r="I53" s="15"/>
      <c r="J53" s="15"/>
    </row>
    <row r="54" spans="1:10" x14ac:dyDescent="0.35">
      <c r="A54" s="366">
        <v>39492</v>
      </c>
      <c r="B54" s="367" t="s">
        <v>431</v>
      </c>
      <c r="C54" s="368"/>
      <c r="D54" s="368">
        <v>10</v>
      </c>
      <c r="E54" s="15"/>
      <c r="F54" s="15"/>
      <c r="G54" s="15"/>
      <c r="H54" s="15"/>
      <c r="I54" s="15"/>
      <c r="J54" s="15"/>
    </row>
    <row r="55" spans="1:10" x14ac:dyDescent="0.35">
      <c r="A55" s="366">
        <v>39492</v>
      </c>
      <c r="B55" s="367" t="s">
        <v>432</v>
      </c>
      <c r="C55" s="368"/>
      <c r="D55" s="368">
        <f>14.5*2</f>
        <v>29</v>
      </c>
      <c r="E55" s="15"/>
      <c r="F55" s="15"/>
      <c r="G55" s="15"/>
      <c r="H55" s="15"/>
      <c r="I55" s="15"/>
      <c r="J55" s="15"/>
    </row>
    <row r="56" spans="1:10" x14ac:dyDescent="0.35">
      <c r="A56" s="366">
        <v>39492</v>
      </c>
      <c r="B56" s="367" t="s">
        <v>397</v>
      </c>
      <c r="C56" s="368"/>
      <c r="D56" s="368">
        <v>4.5</v>
      </c>
      <c r="E56" s="15"/>
      <c r="F56" s="15"/>
      <c r="G56" s="15"/>
      <c r="H56" s="15"/>
      <c r="I56" s="15"/>
      <c r="J56" s="15"/>
    </row>
    <row r="57" spans="1:10" x14ac:dyDescent="0.35">
      <c r="A57" s="366">
        <v>39492</v>
      </c>
      <c r="B57" s="367" t="s">
        <v>433</v>
      </c>
      <c r="C57" s="368"/>
      <c r="D57" s="368">
        <f>20*2</f>
        <v>40</v>
      </c>
      <c r="E57" s="15"/>
      <c r="F57" s="15"/>
      <c r="G57" s="15"/>
      <c r="H57" s="15"/>
      <c r="I57" s="15"/>
      <c r="J57" s="15"/>
    </row>
    <row r="58" spans="1:10" x14ac:dyDescent="0.35">
      <c r="A58" s="366">
        <v>39494</v>
      </c>
      <c r="B58" s="367" t="s">
        <v>434</v>
      </c>
      <c r="C58" s="368"/>
      <c r="D58" s="368">
        <v>6.5</v>
      </c>
      <c r="E58" s="15"/>
      <c r="F58" s="15"/>
      <c r="G58" s="15"/>
      <c r="H58" s="15"/>
      <c r="I58" s="15"/>
      <c r="J58" s="15"/>
    </row>
    <row r="59" spans="1:10" x14ac:dyDescent="0.35">
      <c r="A59" s="366">
        <v>39494</v>
      </c>
      <c r="B59" s="367" t="s">
        <v>435</v>
      </c>
      <c r="C59" s="368"/>
      <c r="D59" s="368">
        <v>7</v>
      </c>
      <c r="E59" s="15"/>
      <c r="F59" s="15"/>
      <c r="G59" s="15"/>
      <c r="H59" s="15"/>
      <c r="I59" s="15"/>
      <c r="J59" s="15"/>
    </row>
    <row r="60" spans="1:10" x14ac:dyDescent="0.35">
      <c r="A60" s="366">
        <v>39494</v>
      </c>
      <c r="B60" s="367" t="s">
        <v>436</v>
      </c>
      <c r="C60" s="368"/>
      <c r="D60" s="368">
        <v>4.5</v>
      </c>
      <c r="E60" s="15"/>
      <c r="F60" s="15"/>
      <c r="G60" s="15"/>
      <c r="H60" s="15"/>
      <c r="I60" s="15"/>
      <c r="J60" s="15"/>
    </row>
    <row r="61" spans="1:10" x14ac:dyDescent="0.35">
      <c r="A61" s="366">
        <v>39494</v>
      </c>
      <c r="B61" s="367" t="s">
        <v>255</v>
      </c>
      <c r="C61" s="368">
        <v>14</v>
      </c>
      <c r="D61" s="368"/>
      <c r="E61" s="15"/>
      <c r="F61" s="15"/>
      <c r="G61" s="15"/>
      <c r="H61" s="15"/>
      <c r="I61" s="15"/>
      <c r="J61" s="15"/>
    </row>
    <row r="62" spans="1:10" x14ac:dyDescent="0.35">
      <c r="A62" s="366">
        <v>39495</v>
      </c>
      <c r="B62" s="367" t="s">
        <v>398</v>
      </c>
      <c r="C62" s="368"/>
      <c r="D62" s="368">
        <v>10</v>
      </c>
      <c r="E62" s="15"/>
      <c r="F62" s="15"/>
      <c r="G62" s="15"/>
      <c r="H62" s="15"/>
      <c r="I62" s="15"/>
      <c r="J62" s="15"/>
    </row>
    <row r="63" spans="1:10" x14ac:dyDescent="0.35">
      <c r="A63" s="366">
        <v>39497</v>
      </c>
      <c r="B63" s="367" t="s">
        <v>290</v>
      </c>
      <c r="C63" s="368"/>
      <c r="D63" s="368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35">
      <c r="A64" s="366">
        <v>39497</v>
      </c>
      <c r="B64" s="367" t="s">
        <v>289</v>
      </c>
      <c r="C64" s="368"/>
      <c r="D64" s="368">
        <f>(30*2)+2+3+17</f>
        <v>82</v>
      </c>
      <c r="E64" s="15"/>
      <c r="F64" s="15"/>
      <c r="G64" s="15"/>
      <c r="H64" s="15"/>
      <c r="I64" s="15"/>
      <c r="J64" s="15"/>
    </row>
    <row r="65" spans="1:10" x14ac:dyDescent="0.35">
      <c r="A65" s="366">
        <v>39498</v>
      </c>
      <c r="B65" s="367" t="s">
        <v>437</v>
      </c>
      <c r="C65" s="368"/>
      <c r="D65" s="368">
        <v>2</v>
      </c>
      <c r="E65" s="15"/>
      <c r="F65" s="15"/>
      <c r="G65" s="15"/>
      <c r="H65" s="15"/>
      <c r="I65" s="15"/>
      <c r="J65" s="15"/>
    </row>
    <row r="66" spans="1:10" x14ac:dyDescent="0.35">
      <c r="A66" s="366">
        <v>39501</v>
      </c>
      <c r="B66" s="367" t="s">
        <v>427</v>
      </c>
      <c r="C66" s="368"/>
      <c r="D66" s="368">
        <v>37.25</v>
      </c>
      <c r="E66" s="15"/>
      <c r="F66" s="15"/>
      <c r="G66" s="15"/>
      <c r="H66" s="15"/>
      <c r="I66" s="15"/>
      <c r="J66" s="15"/>
    </row>
    <row r="67" spans="1:10" x14ac:dyDescent="0.35">
      <c r="A67" s="366">
        <v>39501</v>
      </c>
      <c r="B67" s="367" t="s">
        <v>333</v>
      </c>
      <c r="C67" s="368"/>
      <c r="D67" s="368">
        <v>35</v>
      </c>
      <c r="E67" s="15"/>
      <c r="F67" s="15"/>
      <c r="G67" s="15"/>
      <c r="H67" s="15"/>
      <c r="I67" s="15"/>
      <c r="J67" s="15"/>
    </row>
    <row r="68" spans="1:10" x14ac:dyDescent="0.35">
      <c r="A68" s="366">
        <v>39501</v>
      </c>
      <c r="B68" s="367" t="s">
        <v>438</v>
      </c>
      <c r="C68" s="368"/>
      <c r="D68" s="368">
        <v>3.5</v>
      </c>
      <c r="E68" s="15"/>
      <c r="F68" s="15"/>
      <c r="G68" s="15"/>
      <c r="H68" s="15"/>
      <c r="I68" s="15"/>
      <c r="J68" s="15"/>
    </row>
    <row r="69" spans="1:10" x14ac:dyDescent="0.35">
      <c r="A69" s="366">
        <v>39502</v>
      </c>
      <c r="B69" s="367" t="s">
        <v>439</v>
      </c>
      <c r="C69" s="368"/>
      <c r="D69" s="368">
        <v>2.35</v>
      </c>
      <c r="E69" s="15"/>
      <c r="F69" s="15"/>
      <c r="G69" s="15"/>
      <c r="H69" s="15"/>
      <c r="I69" s="15"/>
      <c r="J69" s="15"/>
    </row>
    <row r="70" spans="1:10" x14ac:dyDescent="0.35">
      <c r="A70" s="366">
        <v>39503</v>
      </c>
      <c r="B70" s="367" t="s">
        <v>290</v>
      </c>
      <c r="C70" s="368"/>
      <c r="D70" s="368">
        <v>6</v>
      </c>
      <c r="E70" s="15"/>
      <c r="F70" s="15"/>
      <c r="G70" s="15"/>
      <c r="H70" s="15"/>
      <c r="I70" s="15"/>
      <c r="J70" s="15"/>
    </row>
    <row r="71" spans="1:10" x14ac:dyDescent="0.35">
      <c r="A71" s="366">
        <v>39504</v>
      </c>
      <c r="B71" s="367" t="s">
        <v>440</v>
      </c>
      <c r="C71" s="368"/>
      <c r="D71" s="368">
        <v>4.7</v>
      </c>
      <c r="E71" s="371" t="s">
        <v>16</v>
      </c>
      <c r="F71" s="305"/>
      <c r="G71" s="305"/>
    </row>
    <row r="72" spans="1:10" x14ac:dyDescent="0.35">
      <c r="A72" s="366">
        <v>39507</v>
      </c>
      <c r="B72" s="367" t="s">
        <v>441</v>
      </c>
      <c r="C72" s="368"/>
      <c r="D72" s="368">
        <v>0</v>
      </c>
      <c r="E72" s="372" t="s">
        <v>299</v>
      </c>
      <c r="F72" s="373">
        <f>COUNTA(A29:A73)</f>
        <v>45</v>
      </c>
      <c r="G72" s="305"/>
    </row>
    <row r="73" spans="1:10" x14ac:dyDescent="0.35">
      <c r="A73" s="363">
        <v>39507</v>
      </c>
      <c r="B73" s="364" t="s">
        <v>422</v>
      </c>
      <c r="C73" s="365"/>
      <c r="D73" s="365">
        <v>50.3</v>
      </c>
      <c r="E73" s="375">
        <f>SUM(C29:C73)</f>
        <v>2014</v>
      </c>
      <c r="F73" s="375">
        <f>SUM(D29:D73)</f>
        <v>1443.55</v>
      </c>
      <c r="G73" s="375">
        <f>E73-F73</f>
        <v>570.45000000000005</v>
      </c>
      <c r="H73">
        <f>_FEB08-H3+H28</f>
        <v>887.2</v>
      </c>
    </row>
    <row r="74" spans="1:10" x14ac:dyDescent="0.35">
      <c r="A74" s="366">
        <v>39509</v>
      </c>
      <c r="B74" s="367" t="s">
        <v>442</v>
      </c>
      <c r="C74" s="368"/>
      <c r="D74" s="368">
        <v>7</v>
      </c>
      <c r="E74" s="305"/>
      <c r="F74" s="305"/>
      <c r="G74" s="305"/>
    </row>
    <row r="75" spans="1:10" x14ac:dyDescent="0.35">
      <c r="A75" s="366">
        <v>39509</v>
      </c>
      <c r="B75" s="367" t="s">
        <v>443</v>
      </c>
      <c r="C75" s="368"/>
      <c r="D75" s="368">
        <v>4</v>
      </c>
      <c r="E75" s="305"/>
      <c r="F75" s="305"/>
      <c r="G75" s="305"/>
    </row>
    <row r="76" spans="1:10" x14ac:dyDescent="0.35">
      <c r="A76" s="366">
        <v>39509</v>
      </c>
      <c r="B76" s="367" t="s">
        <v>444</v>
      </c>
      <c r="C76" s="368"/>
      <c r="D76" s="368">
        <v>25</v>
      </c>
      <c r="E76" s="305"/>
      <c r="F76" s="305"/>
      <c r="G76" s="305"/>
    </row>
    <row r="77" spans="1:10" x14ac:dyDescent="0.35">
      <c r="A77" s="366">
        <v>39509</v>
      </c>
      <c r="B77" s="367" t="s">
        <v>440</v>
      </c>
      <c r="C77" s="368"/>
      <c r="D77" s="368">
        <v>2</v>
      </c>
      <c r="E77" s="305"/>
      <c r="F77" s="305"/>
      <c r="G77" s="305"/>
    </row>
    <row r="78" spans="1:10" x14ac:dyDescent="0.35">
      <c r="A78" s="366">
        <v>39509</v>
      </c>
      <c r="B78" s="367" t="s">
        <v>445</v>
      </c>
      <c r="C78" s="368"/>
      <c r="D78" s="368">
        <v>1.2</v>
      </c>
      <c r="E78" s="305"/>
      <c r="F78" s="305"/>
      <c r="G78" s="305"/>
    </row>
    <row r="79" spans="1:10" x14ac:dyDescent="0.35">
      <c r="A79" s="366">
        <v>39511</v>
      </c>
      <c r="B79" s="367" t="s">
        <v>446</v>
      </c>
      <c r="C79" s="368"/>
      <c r="D79" s="368">
        <v>10</v>
      </c>
      <c r="E79" s="305"/>
      <c r="F79" s="305"/>
      <c r="G79" s="305"/>
    </row>
    <row r="80" spans="1:10" x14ac:dyDescent="0.35">
      <c r="A80" s="366">
        <v>39511</v>
      </c>
      <c r="B80" s="367" t="s">
        <v>447</v>
      </c>
      <c r="C80" s="368"/>
      <c r="D80" s="368">
        <v>15</v>
      </c>
      <c r="E80" s="305"/>
      <c r="F80" s="305"/>
      <c r="G80" s="305"/>
    </row>
    <row r="81" spans="1:7" x14ac:dyDescent="0.35">
      <c r="A81" s="366">
        <v>39511</v>
      </c>
      <c r="B81" s="367" t="s">
        <v>290</v>
      </c>
      <c r="C81" s="368"/>
      <c r="D81" s="368">
        <v>3</v>
      </c>
      <c r="E81" s="305"/>
      <c r="F81" s="305"/>
      <c r="G81" s="305"/>
    </row>
    <row r="82" spans="1:7" x14ac:dyDescent="0.35">
      <c r="A82" s="366">
        <v>39514</v>
      </c>
      <c r="B82" s="367" t="s">
        <v>293</v>
      </c>
      <c r="C82" s="368"/>
      <c r="D82" s="368">
        <v>28</v>
      </c>
      <c r="E82" s="305"/>
      <c r="F82" s="305"/>
      <c r="G82" s="305"/>
    </row>
    <row r="83" spans="1:7" x14ac:dyDescent="0.35">
      <c r="A83" s="366">
        <v>39515</v>
      </c>
      <c r="B83" s="367" t="s">
        <v>448</v>
      </c>
      <c r="C83" s="368"/>
      <c r="D83" s="368">
        <v>3</v>
      </c>
      <c r="E83" s="305"/>
      <c r="F83" s="305"/>
      <c r="G83" s="305"/>
    </row>
    <row r="84" spans="1:7" x14ac:dyDescent="0.35">
      <c r="A84" s="366">
        <v>39515</v>
      </c>
      <c r="B84" s="367" t="s">
        <v>449</v>
      </c>
      <c r="C84" s="368"/>
      <c r="D84" s="368">
        <v>5</v>
      </c>
      <c r="E84" s="305"/>
      <c r="F84" s="305"/>
      <c r="G84" s="305"/>
    </row>
    <row r="85" spans="1:7" x14ac:dyDescent="0.35">
      <c r="A85" s="366">
        <v>39515</v>
      </c>
      <c r="B85" s="367" t="s">
        <v>450</v>
      </c>
      <c r="C85" s="368"/>
      <c r="D85" s="368">
        <v>23</v>
      </c>
      <c r="E85" s="305"/>
      <c r="F85" s="305"/>
      <c r="G85" s="305"/>
    </row>
    <row r="86" spans="1:7" x14ac:dyDescent="0.35">
      <c r="A86" s="366">
        <v>39516</v>
      </c>
      <c r="B86" s="367" t="s">
        <v>451</v>
      </c>
      <c r="C86" s="368"/>
      <c r="D86" s="368">
        <v>50</v>
      </c>
      <c r="E86" s="305"/>
      <c r="F86" s="305"/>
      <c r="G86" s="305"/>
    </row>
    <row r="87" spans="1:7" x14ac:dyDescent="0.35">
      <c r="A87" s="366">
        <v>39516</v>
      </c>
      <c r="B87" s="367" t="s">
        <v>452</v>
      </c>
      <c r="C87" s="368"/>
      <c r="D87" s="368">
        <f>136.5+2.2+7.2+7.3</f>
        <v>153.19999999999999</v>
      </c>
      <c r="E87" s="305"/>
      <c r="F87" s="305"/>
      <c r="G87" s="305"/>
    </row>
    <row r="88" spans="1:7" x14ac:dyDescent="0.35">
      <c r="A88" s="366">
        <v>39516</v>
      </c>
      <c r="B88" s="367" t="s">
        <v>337</v>
      </c>
      <c r="C88" s="368"/>
      <c r="D88" s="368">
        <v>6</v>
      </c>
      <c r="E88" s="305"/>
      <c r="F88" s="305"/>
      <c r="G88" s="305"/>
    </row>
    <row r="89" spans="1:7" x14ac:dyDescent="0.35">
      <c r="A89" s="366">
        <v>39516</v>
      </c>
      <c r="B89" s="367" t="s">
        <v>336</v>
      </c>
      <c r="C89" s="368"/>
      <c r="D89" s="368">
        <v>15</v>
      </c>
      <c r="E89" s="305"/>
      <c r="F89" s="305"/>
      <c r="G89" s="305"/>
    </row>
    <row r="90" spans="1:7" x14ac:dyDescent="0.35">
      <c r="A90" s="366">
        <v>39517</v>
      </c>
      <c r="B90" s="367" t="s">
        <v>13</v>
      </c>
      <c r="C90" s="368">
        <v>1700</v>
      </c>
      <c r="D90" s="368"/>
      <c r="E90" s="305"/>
      <c r="F90" s="305"/>
      <c r="G90" s="305"/>
    </row>
    <row r="91" spans="1:7" x14ac:dyDescent="0.35">
      <c r="A91" s="366">
        <v>39517</v>
      </c>
      <c r="B91" s="367" t="s">
        <v>386</v>
      </c>
      <c r="C91" s="368"/>
      <c r="D91" s="368">
        <v>300</v>
      </c>
      <c r="E91" s="305"/>
      <c r="F91" s="305"/>
      <c r="G91" s="305"/>
    </row>
    <row r="92" spans="1:7" x14ac:dyDescent="0.35">
      <c r="A92" s="366">
        <v>39517</v>
      </c>
      <c r="B92" s="367" t="s">
        <v>453</v>
      </c>
      <c r="C92" s="368"/>
      <c r="D92" s="368">
        <v>120</v>
      </c>
      <c r="E92" s="305"/>
      <c r="F92" s="305"/>
      <c r="G92" s="305"/>
    </row>
    <row r="93" spans="1:7" x14ac:dyDescent="0.35">
      <c r="A93" s="366">
        <v>39517</v>
      </c>
      <c r="B93" s="367" t="s">
        <v>454</v>
      </c>
      <c r="C93" s="368"/>
      <c r="D93" s="368">
        <f>140+5</f>
        <v>145</v>
      </c>
      <c r="E93" s="305"/>
      <c r="F93" s="305"/>
      <c r="G93" s="305"/>
    </row>
    <row r="94" spans="1:7" x14ac:dyDescent="0.35">
      <c r="A94" s="366">
        <v>39517</v>
      </c>
      <c r="B94" s="367" t="s">
        <v>365</v>
      </c>
      <c r="C94" s="368"/>
      <c r="D94" s="368">
        <v>15</v>
      </c>
      <c r="E94" s="305"/>
      <c r="F94" s="305"/>
      <c r="G94" s="305"/>
    </row>
    <row r="95" spans="1:7" x14ac:dyDescent="0.35">
      <c r="A95" s="366">
        <v>39519</v>
      </c>
      <c r="B95" s="367" t="s">
        <v>314</v>
      </c>
      <c r="C95" s="368"/>
      <c r="D95" s="368">
        <v>5.9</v>
      </c>
      <c r="E95" s="305"/>
      <c r="F95" s="305"/>
      <c r="G95" s="305"/>
    </row>
    <row r="96" spans="1:7" x14ac:dyDescent="0.35">
      <c r="A96" s="366">
        <v>39524</v>
      </c>
      <c r="B96" s="367" t="s">
        <v>339</v>
      </c>
      <c r="C96" s="368"/>
      <c r="D96" s="368">
        <v>1.6</v>
      </c>
      <c r="E96" s="305"/>
      <c r="F96" s="305"/>
      <c r="G96" s="305"/>
    </row>
    <row r="97" spans="1:8" x14ac:dyDescent="0.35">
      <c r="A97" s="366">
        <v>39524</v>
      </c>
      <c r="B97" s="367" t="s">
        <v>324</v>
      </c>
      <c r="C97" s="368"/>
      <c r="D97" s="368">
        <v>2.35</v>
      </c>
      <c r="E97" s="305"/>
      <c r="F97" s="305"/>
      <c r="G97" s="305"/>
    </row>
    <row r="98" spans="1:8" x14ac:dyDescent="0.35">
      <c r="A98" s="366">
        <v>39526</v>
      </c>
      <c r="B98" s="367" t="s">
        <v>356</v>
      </c>
      <c r="C98" s="368"/>
      <c r="D98" s="368">
        <v>490</v>
      </c>
      <c r="E98" s="305"/>
      <c r="F98" s="305"/>
      <c r="G98" s="305"/>
    </row>
    <row r="99" spans="1:8" x14ac:dyDescent="0.35">
      <c r="A99" s="366">
        <v>39527</v>
      </c>
      <c r="B99" s="367" t="s">
        <v>455</v>
      </c>
      <c r="C99" s="368"/>
      <c r="D99" s="368">
        <v>4</v>
      </c>
      <c r="E99" s="305"/>
      <c r="F99" s="305"/>
      <c r="G99" s="305"/>
    </row>
    <row r="100" spans="1:8" x14ac:dyDescent="0.35">
      <c r="A100" s="366">
        <v>39527</v>
      </c>
      <c r="B100" s="367" t="s">
        <v>456</v>
      </c>
      <c r="C100" s="368"/>
      <c r="D100" s="368">
        <v>5</v>
      </c>
      <c r="E100" s="305"/>
      <c r="F100" s="305"/>
      <c r="G100" s="305"/>
    </row>
    <row r="101" spans="1:8" x14ac:dyDescent="0.35">
      <c r="A101" s="366">
        <v>39527</v>
      </c>
      <c r="B101" s="367" t="s">
        <v>457</v>
      </c>
      <c r="C101" s="368"/>
      <c r="D101" s="368">
        <v>3.75</v>
      </c>
      <c r="E101" s="305"/>
      <c r="F101" s="305"/>
      <c r="G101" s="305"/>
    </row>
    <row r="102" spans="1:8" x14ac:dyDescent="0.35">
      <c r="A102" s="366">
        <v>39527</v>
      </c>
      <c r="B102" s="367" t="s">
        <v>297</v>
      </c>
      <c r="C102" s="368"/>
      <c r="D102" s="368">
        <v>18</v>
      </c>
      <c r="E102" s="305"/>
      <c r="F102" s="305"/>
      <c r="G102" s="305"/>
    </row>
    <row r="103" spans="1:8" x14ac:dyDescent="0.35">
      <c r="A103" s="366">
        <v>39527</v>
      </c>
      <c r="B103" s="367" t="s">
        <v>433</v>
      </c>
      <c r="C103" s="368"/>
      <c r="D103" s="368">
        <v>12</v>
      </c>
      <c r="E103" s="305"/>
      <c r="F103" s="305"/>
      <c r="G103" s="305"/>
    </row>
    <row r="104" spans="1:8" x14ac:dyDescent="0.35">
      <c r="A104" s="366">
        <v>39527</v>
      </c>
      <c r="B104" s="367" t="s">
        <v>440</v>
      </c>
      <c r="C104" s="368"/>
      <c r="D104" s="368">
        <v>2.4</v>
      </c>
      <c r="E104" s="305"/>
      <c r="F104" s="305"/>
      <c r="G104" s="305"/>
    </row>
    <row r="105" spans="1:8" x14ac:dyDescent="0.35">
      <c r="A105" s="366">
        <v>39529</v>
      </c>
      <c r="B105" s="367" t="s">
        <v>455</v>
      </c>
      <c r="C105" s="368"/>
      <c r="D105" s="368">
        <v>8</v>
      </c>
      <c r="E105" s="305"/>
      <c r="F105" s="305"/>
      <c r="G105" s="305"/>
    </row>
    <row r="106" spans="1:8" x14ac:dyDescent="0.35">
      <c r="A106" s="366">
        <v>39539</v>
      </c>
      <c r="B106" s="367" t="s">
        <v>365</v>
      </c>
      <c r="C106" s="368"/>
      <c r="D106" s="368">
        <v>15</v>
      </c>
      <c r="E106" s="305"/>
      <c r="F106" s="305"/>
      <c r="G106" s="305"/>
    </row>
    <row r="107" spans="1:8" x14ac:dyDescent="0.35">
      <c r="A107" s="366">
        <v>39542</v>
      </c>
      <c r="B107" s="367" t="s">
        <v>290</v>
      </c>
      <c r="C107" s="368"/>
      <c r="D107" s="368">
        <v>14</v>
      </c>
      <c r="E107" s="305"/>
      <c r="F107" s="305"/>
      <c r="G107" s="305"/>
    </row>
    <row r="108" spans="1:8" x14ac:dyDescent="0.35">
      <c r="A108" s="366">
        <v>39537</v>
      </c>
      <c r="B108" s="367" t="s">
        <v>458</v>
      </c>
      <c r="C108" s="368"/>
      <c r="D108" s="368">
        <v>13.1</v>
      </c>
      <c r="E108" s="305"/>
      <c r="F108" s="305"/>
      <c r="G108" s="305"/>
    </row>
    <row r="109" spans="1:8" x14ac:dyDescent="0.35">
      <c r="A109" s="366">
        <v>39538</v>
      </c>
      <c r="B109" s="367" t="s">
        <v>459</v>
      </c>
      <c r="C109" s="368"/>
      <c r="D109" s="368">
        <v>10</v>
      </c>
      <c r="E109" s="371" t="s">
        <v>17</v>
      </c>
      <c r="F109" s="305"/>
      <c r="G109" s="305"/>
    </row>
    <row r="110" spans="1:8" x14ac:dyDescent="0.35">
      <c r="A110" s="366">
        <v>39538</v>
      </c>
      <c r="B110" s="367" t="s">
        <v>441</v>
      </c>
      <c r="C110" s="368"/>
      <c r="D110" s="368">
        <v>10</v>
      </c>
      <c r="E110" s="372" t="s">
        <v>299</v>
      </c>
      <c r="F110" s="373">
        <f>COUNTA(A74:A111)</f>
        <v>38</v>
      </c>
      <c r="G110" s="305"/>
    </row>
    <row r="111" spans="1:8" x14ac:dyDescent="0.35">
      <c r="A111" s="363">
        <v>39538</v>
      </c>
      <c r="B111" s="364" t="s">
        <v>460</v>
      </c>
      <c r="C111" s="365"/>
      <c r="D111" s="365">
        <f>53.05+2-1.2</f>
        <v>53.85</v>
      </c>
      <c r="E111" s="374">
        <f>SUM(C74:C111)</f>
        <v>1700</v>
      </c>
      <c r="F111" s="374">
        <f>SUM(D74:D111)</f>
        <v>1599.35</v>
      </c>
      <c r="G111" s="374">
        <f>E111-F111</f>
        <v>100.65</v>
      </c>
      <c r="H111">
        <f>_MAR08-H3+H73</f>
        <v>534.85</v>
      </c>
    </row>
    <row r="112" spans="1:8" x14ac:dyDescent="0.35">
      <c r="A112" s="366">
        <v>39544</v>
      </c>
      <c r="B112" s="367" t="s">
        <v>461</v>
      </c>
      <c r="C112" s="368">
        <v>100</v>
      </c>
      <c r="D112" s="368"/>
      <c r="E112" s="376"/>
      <c r="F112" s="376"/>
      <c r="G112" s="376"/>
    </row>
    <row r="113" spans="1:8" x14ac:dyDescent="0.35">
      <c r="A113" s="366">
        <v>39546</v>
      </c>
      <c r="B113" s="367" t="s">
        <v>462</v>
      </c>
      <c r="C113" s="368"/>
      <c r="D113" s="368">
        <v>150</v>
      </c>
      <c r="E113" s="376"/>
      <c r="F113" s="376"/>
      <c r="G113" s="376"/>
    </row>
    <row r="114" spans="1:8" x14ac:dyDescent="0.35">
      <c r="A114" s="366">
        <v>39547</v>
      </c>
      <c r="B114" s="367" t="s">
        <v>433</v>
      </c>
      <c r="C114" s="368"/>
      <c r="D114" s="368">
        <v>12</v>
      </c>
      <c r="E114" s="376"/>
      <c r="F114" s="376"/>
      <c r="G114" s="376"/>
    </row>
    <row r="115" spans="1:8" x14ac:dyDescent="0.35">
      <c r="A115" s="366">
        <v>39548</v>
      </c>
      <c r="B115" s="367" t="s">
        <v>453</v>
      </c>
      <c r="C115" s="368"/>
      <c r="D115" s="368">
        <v>120</v>
      </c>
      <c r="E115" s="376"/>
      <c r="F115" s="376"/>
      <c r="G115" s="376"/>
    </row>
    <row r="116" spans="1:8" x14ac:dyDescent="0.35">
      <c r="A116" s="366">
        <v>39548</v>
      </c>
      <c r="B116" s="367" t="s">
        <v>453</v>
      </c>
      <c r="C116" s="368"/>
      <c r="D116" s="368">
        <v>100</v>
      </c>
      <c r="E116" s="376"/>
      <c r="F116" s="376"/>
      <c r="G116" s="376"/>
    </row>
    <row r="117" spans="1:8" x14ac:dyDescent="0.35">
      <c r="A117" s="366">
        <v>39549</v>
      </c>
      <c r="B117" s="367" t="s">
        <v>13</v>
      </c>
      <c r="C117" s="368">
        <v>1900</v>
      </c>
      <c r="D117" s="368"/>
      <c r="E117" s="376"/>
      <c r="F117" s="376"/>
      <c r="G117" s="376"/>
    </row>
    <row r="118" spans="1:8" x14ac:dyDescent="0.35">
      <c r="A118" s="366">
        <v>39549</v>
      </c>
      <c r="B118" s="367" t="s">
        <v>386</v>
      </c>
      <c r="C118" s="368"/>
      <c r="D118" s="368">
        <v>300</v>
      </c>
      <c r="E118" s="376"/>
      <c r="F118" s="376"/>
      <c r="G118" s="376"/>
    </row>
    <row r="119" spans="1:8" x14ac:dyDescent="0.35">
      <c r="A119" s="366">
        <v>39549</v>
      </c>
      <c r="B119" s="367" t="s">
        <v>290</v>
      </c>
      <c r="C119" s="368"/>
      <c r="D119" s="368">
        <f>144.8+3.5</f>
        <v>148.30000000000001</v>
      </c>
      <c r="E119" s="376"/>
      <c r="F119" s="376"/>
      <c r="G119" s="376"/>
    </row>
    <row r="120" spans="1:8" x14ac:dyDescent="0.35">
      <c r="A120" s="366">
        <v>39549</v>
      </c>
      <c r="B120" s="367" t="s">
        <v>427</v>
      </c>
      <c r="C120" s="368"/>
      <c r="D120" s="368">
        <v>20</v>
      </c>
      <c r="E120" s="376"/>
      <c r="F120" s="376"/>
      <c r="G120" s="376"/>
    </row>
    <row r="121" spans="1:8" x14ac:dyDescent="0.35">
      <c r="A121" s="366">
        <v>39549</v>
      </c>
      <c r="B121" s="367" t="s">
        <v>337</v>
      </c>
      <c r="C121" s="368"/>
      <c r="D121" s="368">
        <v>15</v>
      </c>
      <c r="E121" s="376"/>
      <c r="F121" s="376"/>
      <c r="G121" s="376"/>
    </row>
    <row r="122" spans="1:8" x14ac:dyDescent="0.35">
      <c r="A122" s="366">
        <v>39549</v>
      </c>
      <c r="B122" s="367" t="s">
        <v>336</v>
      </c>
      <c r="C122" s="368"/>
      <c r="D122" s="368">
        <v>15</v>
      </c>
      <c r="E122" s="376"/>
      <c r="F122" s="376"/>
      <c r="G122" s="376"/>
    </row>
    <row r="123" spans="1:8" x14ac:dyDescent="0.35">
      <c r="A123" s="366">
        <v>39549</v>
      </c>
      <c r="B123" s="367" t="s">
        <v>463</v>
      </c>
      <c r="C123" s="368"/>
      <c r="D123" s="368">
        <v>300</v>
      </c>
      <c r="E123" s="376"/>
      <c r="F123" s="376"/>
      <c r="G123" s="376"/>
    </row>
    <row r="124" spans="1:8" x14ac:dyDescent="0.35">
      <c r="A124" s="366">
        <v>39550</v>
      </c>
      <c r="B124" s="367" t="s">
        <v>464</v>
      </c>
      <c r="C124" s="368"/>
      <c r="D124" s="368">
        <v>24.3</v>
      </c>
      <c r="E124" s="376"/>
      <c r="F124" s="376"/>
      <c r="G124" s="376"/>
    </row>
    <row r="125" spans="1:8" x14ac:dyDescent="0.35">
      <c r="A125" s="366">
        <v>39553</v>
      </c>
      <c r="B125" s="367" t="s">
        <v>290</v>
      </c>
      <c r="C125" s="368"/>
      <c r="D125" s="368">
        <v>6.45</v>
      </c>
      <c r="E125" s="376"/>
      <c r="F125" s="376"/>
      <c r="G125" s="376"/>
      <c r="H125" s="182"/>
    </row>
    <row r="126" spans="1:8" x14ac:dyDescent="0.35">
      <c r="A126" s="366">
        <v>39553</v>
      </c>
      <c r="B126" s="367" t="s">
        <v>255</v>
      </c>
      <c r="C126" s="368">
        <v>50</v>
      </c>
      <c r="D126" s="368"/>
      <c r="E126" s="376"/>
      <c r="F126" s="376"/>
      <c r="G126" s="376"/>
    </row>
    <row r="127" spans="1:8" x14ac:dyDescent="0.35">
      <c r="A127" s="366">
        <v>39554</v>
      </c>
      <c r="B127" s="367" t="s">
        <v>465</v>
      </c>
      <c r="C127" s="368"/>
      <c r="D127" s="368">
        <v>50</v>
      </c>
      <c r="E127" s="376"/>
      <c r="F127" s="376"/>
      <c r="G127" s="376"/>
    </row>
    <row r="128" spans="1:8" x14ac:dyDescent="0.35">
      <c r="A128" s="366">
        <v>39555</v>
      </c>
      <c r="B128" s="367" t="s">
        <v>388</v>
      </c>
      <c r="C128" s="368"/>
      <c r="D128" s="368">
        <v>2</v>
      </c>
      <c r="E128" s="376"/>
      <c r="F128" s="376"/>
      <c r="G128" s="376"/>
      <c r="H128" s="182"/>
    </row>
    <row r="129" spans="1:8" x14ac:dyDescent="0.35">
      <c r="A129" s="366">
        <v>39559</v>
      </c>
      <c r="B129" s="367" t="s">
        <v>290</v>
      </c>
      <c r="C129" s="368"/>
      <c r="D129" s="368">
        <v>5</v>
      </c>
      <c r="E129" s="376"/>
      <c r="F129" s="376"/>
      <c r="G129" s="376"/>
    </row>
    <row r="130" spans="1:8" x14ac:dyDescent="0.35">
      <c r="A130" s="366">
        <v>39561</v>
      </c>
      <c r="B130" s="367" t="s">
        <v>466</v>
      </c>
      <c r="C130" s="368"/>
      <c r="D130" s="368">
        <v>100</v>
      </c>
      <c r="E130" s="376"/>
      <c r="F130" s="376"/>
      <c r="G130" s="376"/>
    </row>
    <row r="131" spans="1:8" x14ac:dyDescent="0.35">
      <c r="A131" s="366">
        <v>39562</v>
      </c>
      <c r="B131" s="367" t="s">
        <v>339</v>
      </c>
      <c r="C131" s="368"/>
      <c r="D131" s="368">
        <v>5</v>
      </c>
      <c r="E131" s="376"/>
      <c r="F131" s="376"/>
      <c r="G131" s="376"/>
    </row>
    <row r="132" spans="1:8" x14ac:dyDescent="0.35">
      <c r="A132" s="366">
        <v>39562</v>
      </c>
      <c r="B132" s="367" t="s">
        <v>467</v>
      </c>
      <c r="C132" s="368"/>
      <c r="D132" s="368">
        <v>36</v>
      </c>
      <c r="E132" s="376"/>
      <c r="F132" s="376"/>
      <c r="G132" s="376"/>
    </row>
    <row r="133" spans="1:8" x14ac:dyDescent="0.35">
      <c r="A133" s="366">
        <v>39568</v>
      </c>
      <c r="B133" s="367" t="s">
        <v>356</v>
      </c>
      <c r="C133" s="368"/>
      <c r="D133" s="368">
        <v>500</v>
      </c>
      <c r="E133" s="305"/>
      <c r="F133" s="305"/>
      <c r="G133" s="305"/>
    </row>
    <row r="134" spans="1:8" x14ac:dyDescent="0.35">
      <c r="A134" s="366">
        <v>39568</v>
      </c>
      <c r="B134" s="367" t="s">
        <v>459</v>
      </c>
      <c r="C134" s="368"/>
      <c r="D134" s="368">
        <v>8</v>
      </c>
      <c r="E134" s="371" t="s">
        <v>18</v>
      </c>
      <c r="F134" s="305"/>
      <c r="G134" s="305"/>
    </row>
    <row r="135" spans="1:8" x14ac:dyDescent="0.35">
      <c r="A135" s="366">
        <v>39568</v>
      </c>
      <c r="B135" s="367" t="s">
        <v>441</v>
      </c>
      <c r="C135" s="368"/>
      <c r="D135" s="368">
        <v>17</v>
      </c>
      <c r="E135" s="371" t="s">
        <v>299</v>
      </c>
      <c r="F135" s="373">
        <f>COUNTA(A112:A136)</f>
        <v>25</v>
      </c>
      <c r="G135" s="305"/>
    </row>
    <row r="136" spans="1:8" x14ac:dyDescent="0.35">
      <c r="A136" s="363">
        <v>39568</v>
      </c>
      <c r="B136" s="364" t="s">
        <v>460</v>
      </c>
      <c r="C136" s="365"/>
      <c r="D136" s="365">
        <v>84</v>
      </c>
      <c r="E136" s="374">
        <f>SUM(C112:C136)</f>
        <v>2050</v>
      </c>
      <c r="F136" s="374">
        <f>SUM(D112:D136)</f>
        <v>2018.05</v>
      </c>
      <c r="G136" s="374">
        <f>E136-F136</f>
        <v>31.95</v>
      </c>
      <c r="H136">
        <f>_ABR08-H3+H111</f>
        <v>113.8</v>
      </c>
    </row>
    <row r="137" spans="1:8" x14ac:dyDescent="0.35">
      <c r="A137" s="366">
        <v>39577</v>
      </c>
      <c r="B137" s="367" t="s">
        <v>13</v>
      </c>
      <c r="C137" s="368">
        <f>500+1400</f>
        <v>1900</v>
      </c>
      <c r="D137" s="368"/>
      <c r="E137" s="305"/>
      <c r="F137" s="305"/>
      <c r="G137" s="305"/>
    </row>
    <row r="138" spans="1:8" x14ac:dyDescent="0.35">
      <c r="A138" s="366">
        <v>39557</v>
      </c>
      <c r="B138" s="367" t="s">
        <v>290</v>
      </c>
      <c r="C138" s="368"/>
      <c r="D138" s="368">
        <f>30+2.6-9</f>
        <v>23.6</v>
      </c>
      <c r="E138" s="376"/>
      <c r="F138" s="376"/>
      <c r="G138" s="376"/>
    </row>
    <row r="139" spans="1:8" x14ac:dyDescent="0.35">
      <c r="A139" s="366">
        <v>39561</v>
      </c>
      <c r="B139" s="367" t="s">
        <v>297</v>
      </c>
      <c r="C139" s="368"/>
      <c r="D139" s="368">
        <v>10</v>
      </c>
      <c r="E139" s="305"/>
      <c r="F139" s="305"/>
      <c r="G139" s="305"/>
    </row>
    <row r="140" spans="1:8" x14ac:dyDescent="0.35">
      <c r="A140" s="366">
        <v>39561</v>
      </c>
      <c r="B140" s="367" t="s">
        <v>433</v>
      </c>
      <c r="C140" s="368"/>
      <c r="D140" s="368">
        <v>15</v>
      </c>
      <c r="E140" s="305"/>
      <c r="F140" s="305"/>
      <c r="G140" s="305"/>
    </row>
    <row r="141" spans="1:8" x14ac:dyDescent="0.35">
      <c r="A141" s="366">
        <v>39561</v>
      </c>
      <c r="B141" s="367" t="s">
        <v>339</v>
      </c>
      <c r="C141" s="368"/>
      <c r="D141" s="368">
        <v>3.5</v>
      </c>
      <c r="E141" s="305"/>
      <c r="F141" s="305"/>
      <c r="G141" s="305"/>
    </row>
    <row r="142" spans="1:8" x14ac:dyDescent="0.35">
      <c r="A142" s="366">
        <v>39562</v>
      </c>
      <c r="B142" s="367" t="s">
        <v>290</v>
      </c>
      <c r="C142" s="368"/>
      <c r="D142" s="368">
        <v>3</v>
      </c>
      <c r="E142" s="305"/>
      <c r="F142" s="305"/>
      <c r="G142" s="305"/>
    </row>
    <row r="143" spans="1:8" x14ac:dyDescent="0.35">
      <c r="A143" s="366">
        <v>39562</v>
      </c>
      <c r="B143" s="367" t="s">
        <v>414</v>
      </c>
      <c r="C143" s="368"/>
      <c r="D143" s="368">
        <v>11</v>
      </c>
      <c r="E143" s="305"/>
      <c r="F143" s="305"/>
      <c r="G143" s="305"/>
    </row>
    <row r="144" spans="1:8" x14ac:dyDescent="0.35">
      <c r="A144" s="366">
        <v>39577</v>
      </c>
      <c r="B144" s="367" t="s">
        <v>386</v>
      </c>
      <c r="C144" s="368"/>
      <c r="D144" s="368">
        <v>300</v>
      </c>
      <c r="E144" s="305"/>
      <c r="F144" s="305"/>
      <c r="G144" s="305"/>
    </row>
    <row r="145" spans="1:7" x14ac:dyDescent="0.35">
      <c r="A145" s="366">
        <v>39577</v>
      </c>
      <c r="B145" s="367" t="s">
        <v>290</v>
      </c>
      <c r="C145" s="368"/>
      <c r="D145" s="368">
        <v>150</v>
      </c>
      <c r="E145" s="305"/>
      <c r="F145" s="305"/>
      <c r="G145" s="305"/>
    </row>
    <row r="146" spans="1:7" x14ac:dyDescent="0.35">
      <c r="A146" s="366">
        <v>39577</v>
      </c>
      <c r="B146" s="367" t="s">
        <v>468</v>
      </c>
      <c r="C146" s="368"/>
      <c r="D146" s="368">
        <v>10</v>
      </c>
      <c r="E146" s="305"/>
      <c r="F146" s="305"/>
      <c r="G146" s="305"/>
    </row>
    <row r="147" spans="1:7" x14ac:dyDescent="0.35">
      <c r="A147" s="366">
        <v>39577</v>
      </c>
      <c r="B147" s="367" t="s">
        <v>288</v>
      </c>
      <c r="C147" s="368"/>
      <c r="D147" s="368">
        <v>235.35</v>
      </c>
      <c r="E147" s="305"/>
      <c r="F147" s="305"/>
      <c r="G147" s="305"/>
    </row>
    <row r="148" spans="1:7" x14ac:dyDescent="0.35">
      <c r="A148" s="366">
        <v>39579</v>
      </c>
      <c r="B148" s="367" t="s">
        <v>469</v>
      </c>
      <c r="C148" s="368"/>
      <c r="D148" s="368">
        <v>12.5</v>
      </c>
      <c r="E148" s="305"/>
      <c r="F148" s="305"/>
      <c r="G148" s="305"/>
    </row>
    <row r="149" spans="1:7" x14ac:dyDescent="0.35">
      <c r="A149" s="366">
        <v>39580</v>
      </c>
      <c r="B149" s="367" t="s">
        <v>356</v>
      </c>
      <c r="C149" s="368"/>
      <c r="D149" s="368">
        <v>500</v>
      </c>
      <c r="E149" s="305"/>
      <c r="F149" s="305"/>
      <c r="G149" s="305"/>
    </row>
    <row r="150" spans="1:7" x14ac:dyDescent="0.35">
      <c r="A150" s="366">
        <v>39580</v>
      </c>
      <c r="B150" s="367" t="s">
        <v>290</v>
      </c>
      <c r="C150" s="368"/>
      <c r="D150" s="368">
        <v>12</v>
      </c>
      <c r="E150" s="305"/>
      <c r="F150" s="305"/>
      <c r="G150" s="305"/>
    </row>
    <row r="151" spans="1:7" x14ac:dyDescent="0.35">
      <c r="A151" s="366">
        <v>39580</v>
      </c>
      <c r="B151" s="367" t="s">
        <v>470</v>
      </c>
      <c r="C151" s="368"/>
      <c r="D151" s="368">
        <v>30</v>
      </c>
      <c r="E151" s="305"/>
      <c r="F151" s="305"/>
      <c r="G151" s="305"/>
    </row>
    <row r="152" spans="1:7" x14ac:dyDescent="0.35">
      <c r="A152" s="366">
        <v>39582</v>
      </c>
      <c r="B152" s="367" t="s">
        <v>471</v>
      </c>
      <c r="C152" s="368"/>
      <c r="D152" s="368">
        <v>1.25</v>
      </c>
      <c r="E152" s="305"/>
      <c r="F152" s="305"/>
      <c r="G152" s="305"/>
    </row>
    <row r="153" spans="1:7" x14ac:dyDescent="0.35">
      <c r="A153" s="366">
        <v>39584</v>
      </c>
      <c r="B153" s="367" t="s">
        <v>472</v>
      </c>
      <c r="C153" s="368"/>
      <c r="D153" s="368">
        <v>65</v>
      </c>
      <c r="E153" s="305"/>
      <c r="F153" s="305"/>
      <c r="G153" s="305"/>
    </row>
    <row r="154" spans="1:7" x14ac:dyDescent="0.35">
      <c r="A154" s="366">
        <v>39584</v>
      </c>
      <c r="B154" s="367" t="s">
        <v>290</v>
      </c>
      <c r="C154" s="368"/>
      <c r="D154" s="368">
        <v>5</v>
      </c>
      <c r="E154" s="305"/>
      <c r="F154" s="305"/>
      <c r="G154" s="305"/>
    </row>
    <row r="155" spans="1:7" x14ac:dyDescent="0.35">
      <c r="A155" s="366">
        <v>39586</v>
      </c>
      <c r="B155" s="367" t="s">
        <v>473</v>
      </c>
      <c r="C155" s="368">
        <v>50</v>
      </c>
      <c r="D155" s="368"/>
      <c r="E155" s="305"/>
      <c r="F155" s="305"/>
      <c r="G155" s="305"/>
    </row>
    <row r="156" spans="1:7" x14ac:dyDescent="0.35">
      <c r="A156" s="366">
        <v>39586</v>
      </c>
      <c r="B156" s="367" t="s">
        <v>474</v>
      </c>
      <c r="C156" s="368">
        <v>158</v>
      </c>
      <c r="D156" s="368"/>
      <c r="E156" s="305"/>
      <c r="F156" s="305"/>
      <c r="G156" s="305"/>
    </row>
    <row r="157" spans="1:7" x14ac:dyDescent="0.35">
      <c r="A157" s="366">
        <v>39586</v>
      </c>
      <c r="B157" s="367" t="s">
        <v>427</v>
      </c>
      <c r="C157" s="368"/>
      <c r="D157" s="368">
        <v>100</v>
      </c>
      <c r="E157" s="305"/>
      <c r="F157" s="305"/>
      <c r="G157" s="305"/>
    </row>
    <row r="158" spans="1:7" x14ac:dyDescent="0.35">
      <c r="A158" s="366">
        <v>39587</v>
      </c>
      <c r="B158" s="367" t="s">
        <v>314</v>
      </c>
      <c r="C158" s="368"/>
      <c r="D158" s="368">
        <v>7.6</v>
      </c>
      <c r="E158" s="305"/>
      <c r="F158" s="305"/>
      <c r="G158" s="305"/>
    </row>
    <row r="159" spans="1:7" x14ac:dyDescent="0.35">
      <c r="A159" s="366">
        <v>39589</v>
      </c>
      <c r="B159" s="367" t="s">
        <v>475</v>
      </c>
      <c r="C159" s="368"/>
      <c r="D159" s="368">
        <v>54</v>
      </c>
      <c r="E159" s="305"/>
      <c r="F159" s="305"/>
      <c r="G159" s="305"/>
    </row>
    <row r="160" spans="1:7" x14ac:dyDescent="0.35">
      <c r="A160" s="366">
        <v>39590</v>
      </c>
      <c r="B160" s="367" t="s">
        <v>337</v>
      </c>
      <c r="C160" s="368"/>
      <c r="D160" s="368">
        <v>2</v>
      </c>
      <c r="E160" s="305"/>
      <c r="F160" s="305"/>
      <c r="G160" s="305"/>
    </row>
    <row r="161" spans="1:8" x14ac:dyDescent="0.35">
      <c r="A161" s="366">
        <v>39592</v>
      </c>
      <c r="B161" s="367" t="s">
        <v>297</v>
      </c>
      <c r="C161" s="368"/>
      <c r="D161" s="368">
        <f>18*2</f>
        <v>36</v>
      </c>
      <c r="E161" s="305"/>
      <c r="F161" s="305"/>
      <c r="G161" s="305"/>
    </row>
    <row r="162" spans="1:8" x14ac:dyDescent="0.35">
      <c r="A162" s="366">
        <v>39593</v>
      </c>
      <c r="B162" s="367" t="s">
        <v>288</v>
      </c>
      <c r="C162" s="368"/>
      <c r="D162" s="368">
        <v>15</v>
      </c>
      <c r="E162" s="305"/>
      <c r="F162" s="305"/>
      <c r="G162" s="305"/>
    </row>
    <row r="163" spans="1:8" x14ac:dyDescent="0.35">
      <c r="A163" s="366">
        <v>39593</v>
      </c>
      <c r="B163" s="367" t="s">
        <v>314</v>
      </c>
      <c r="C163" s="368"/>
      <c r="D163" s="368">
        <v>4</v>
      </c>
      <c r="E163" s="305"/>
      <c r="F163" s="305"/>
      <c r="G163" s="305"/>
    </row>
    <row r="164" spans="1:8" x14ac:dyDescent="0.35">
      <c r="A164" s="366">
        <v>39595</v>
      </c>
      <c r="B164" s="367" t="s">
        <v>476</v>
      </c>
      <c r="C164" s="368"/>
      <c r="D164" s="368">
        <v>14</v>
      </c>
      <c r="E164" s="305"/>
      <c r="F164" s="305"/>
      <c r="G164" s="305"/>
    </row>
    <row r="165" spans="1:8" x14ac:dyDescent="0.35">
      <c r="A165" s="366">
        <v>39598</v>
      </c>
      <c r="B165" s="367" t="s">
        <v>406</v>
      </c>
      <c r="C165" s="368"/>
      <c r="D165" s="368">
        <v>80</v>
      </c>
      <c r="E165" s="305"/>
      <c r="F165" s="305"/>
      <c r="G165" s="305"/>
    </row>
    <row r="166" spans="1:8" x14ac:dyDescent="0.35">
      <c r="A166" s="366">
        <v>39599</v>
      </c>
      <c r="B166" s="367" t="s">
        <v>477</v>
      </c>
      <c r="C166" s="368"/>
      <c r="D166" s="368">
        <v>10</v>
      </c>
      <c r="E166" s="371" t="s">
        <v>20</v>
      </c>
      <c r="F166" s="305"/>
      <c r="G166" s="305"/>
    </row>
    <row r="167" spans="1:8" x14ac:dyDescent="0.35">
      <c r="A167" s="366">
        <v>39599</v>
      </c>
      <c r="B167" s="367" t="s">
        <v>441</v>
      </c>
      <c r="C167" s="368"/>
      <c r="D167" s="368">
        <v>15</v>
      </c>
      <c r="E167" s="371" t="s">
        <v>299</v>
      </c>
      <c r="F167" s="373">
        <f>COUNTA(A137:A168)</f>
        <v>32</v>
      </c>
      <c r="G167" s="305"/>
    </row>
    <row r="168" spans="1:8" x14ac:dyDescent="0.35">
      <c r="A168" s="363">
        <v>39599</v>
      </c>
      <c r="B168" s="364" t="s">
        <v>460</v>
      </c>
      <c r="C168" s="365"/>
      <c r="D168" s="365">
        <f>24.25+50+0.65+0.5+0.75+1.6+0.3+0.5+25</f>
        <v>103.55</v>
      </c>
      <c r="E168" s="374">
        <f>SUM(C137:C168)</f>
        <v>2108</v>
      </c>
      <c r="F168" s="374">
        <f>SUM(D137:D168)</f>
        <v>1828.35</v>
      </c>
      <c r="G168" s="374">
        <f>E168-F168</f>
        <v>279.64999999999998</v>
      </c>
      <c r="H168">
        <f>_MAY08-H3+H136</f>
        <v>-59.55</v>
      </c>
    </row>
    <row r="169" spans="1:8" x14ac:dyDescent="0.35">
      <c r="A169" s="366">
        <v>39604</v>
      </c>
      <c r="B169" s="367" t="s">
        <v>478</v>
      </c>
      <c r="C169" s="368"/>
      <c r="D169" s="368">
        <v>5</v>
      </c>
      <c r="E169" s="305"/>
      <c r="F169" s="305"/>
      <c r="G169" s="305"/>
    </row>
    <row r="170" spans="1:8" x14ac:dyDescent="0.35">
      <c r="A170" s="366">
        <v>39604</v>
      </c>
      <c r="B170" s="367" t="s">
        <v>13</v>
      </c>
      <c r="C170" s="368">
        <v>1900</v>
      </c>
      <c r="D170" s="368"/>
      <c r="E170" s="305"/>
      <c r="F170" s="305"/>
      <c r="G170" s="305"/>
    </row>
    <row r="171" spans="1:8" x14ac:dyDescent="0.35">
      <c r="A171" s="366">
        <v>39604</v>
      </c>
      <c r="B171" s="367" t="s">
        <v>479</v>
      </c>
      <c r="C171" s="368"/>
      <c r="D171" s="368">
        <v>205.4</v>
      </c>
      <c r="E171" s="305"/>
      <c r="F171" s="305"/>
      <c r="G171" s="305"/>
    </row>
    <row r="172" spans="1:8" x14ac:dyDescent="0.35">
      <c r="A172" s="366">
        <v>39604</v>
      </c>
      <c r="B172" s="367" t="s">
        <v>365</v>
      </c>
      <c r="C172" s="368"/>
      <c r="D172" s="368">
        <v>15</v>
      </c>
      <c r="E172" s="305"/>
      <c r="F172" s="305"/>
      <c r="G172" s="305"/>
    </row>
    <row r="173" spans="1:8" x14ac:dyDescent="0.35">
      <c r="A173" s="366">
        <v>39604</v>
      </c>
      <c r="B173" s="367" t="s">
        <v>480</v>
      </c>
      <c r="C173" s="368"/>
      <c r="D173" s="368">
        <v>19.95</v>
      </c>
      <c r="E173" s="305"/>
      <c r="F173" s="305"/>
      <c r="G173" s="305"/>
    </row>
    <row r="174" spans="1:8" x14ac:dyDescent="0.35">
      <c r="A174" s="366">
        <v>39607</v>
      </c>
      <c r="B174" s="367" t="s">
        <v>290</v>
      </c>
      <c r="C174" s="368"/>
      <c r="D174" s="368">
        <f>-13.85+127.8+6+11.8</f>
        <v>131.75</v>
      </c>
      <c r="E174" s="305"/>
      <c r="F174" s="305"/>
      <c r="G174" s="305"/>
    </row>
    <row r="175" spans="1:8" x14ac:dyDescent="0.35">
      <c r="A175" s="366">
        <v>39607</v>
      </c>
      <c r="B175" s="367" t="s">
        <v>297</v>
      </c>
      <c r="C175" s="368"/>
      <c r="D175" s="368">
        <v>40</v>
      </c>
      <c r="E175" s="305"/>
      <c r="F175" s="305"/>
      <c r="G175" s="305"/>
    </row>
    <row r="176" spans="1:8" x14ac:dyDescent="0.35">
      <c r="A176" s="366">
        <v>39608</v>
      </c>
      <c r="B176" s="367" t="s">
        <v>314</v>
      </c>
      <c r="C176" s="368"/>
      <c r="D176" s="368">
        <v>5.5</v>
      </c>
      <c r="E176" s="305"/>
      <c r="F176" s="305"/>
      <c r="G176" s="305"/>
    </row>
    <row r="177" spans="1:8" x14ac:dyDescent="0.35">
      <c r="A177" s="366">
        <v>39609</v>
      </c>
      <c r="B177" s="367" t="s">
        <v>387</v>
      </c>
      <c r="C177" s="368"/>
      <c r="D177" s="368">
        <v>3.8</v>
      </c>
      <c r="E177" s="305"/>
      <c r="F177" s="305"/>
      <c r="G177" s="305"/>
    </row>
    <row r="178" spans="1:8" x14ac:dyDescent="0.35">
      <c r="A178" s="366">
        <v>39610</v>
      </c>
      <c r="B178" s="367" t="s">
        <v>481</v>
      </c>
      <c r="C178" s="368"/>
      <c r="D178" s="368">
        <v>4</v>
      </c>
      <c r="E178" s="305"/>
      <c r="F178" s="305"/>
      <c r="G178" s="305"/>
    </row>
    <row r="179" spans="1:8" x14ac:dyDescent="0.35">
      <c r="A179" s="366">
        <v>39611</v>
      </c>
      <c r="B179" s="367" t="s">
        <v>482</v>
      </c>
      <c r="C179" s="368"/>
      <c r="D179" s="368">
        <v>9.5</v>
      </c>
      <c r="E179" s="305"/>
      <c r="F179" s="305"/>
      <c r="G179" s="305"/>
    </row>
    <row r="180" spans="1:8" x14ac:dyDescent="0.35">
      <c r="A180" s="366">
        <v>39613</v>
      </c>
      <c r="B180" s="367" t="s">
        <v>339</v>
      </c>
      <c r="C180" s="368"/>
      <c r="D180" s="368">
        <f>4.8+2.7</f>
        <v>7.5</v>
      </c>
      <c r="E180" s="305"/>
      <c r="F180" s="305"/>
      <c r="G180" s="305"/>
    </row>
    <row r="181" spans="1:8" x14ac:dyDescent="0.35">
      <c r="A181" s="366">
        <v>39615</v>
      </c>
      <c r="B181" s="367" t="s">
        <v>411</v>
      </c>
      <c r="C181" s="368"/>
      <c r="D181" s="368">
        <v>2</v>
      </c>
      <c r="E181" s="305"/>
      <c r="F181" s="305"/>
      <c r="G181" s="305"/>
    </row>
    <row r="182" spans="1:8" x14ac:dyDescent="0.35">
      <c r="A182" s="366">
        <v>39616</v>
      </c>
      <c r="B182" s="367" t="s">
        <v>483</v>
      </c>
      <c r="C182" s="368"/>
      <c r="D182" s="368">
        <v>17</v>
      </c>
      <c r="E182" s="305"/>
      <c r="F182" s="305"/>
      <c r="G182" s="305"/>
    </row>
    <row r="183" spans="1:8" x14ac:dyDescent="0.35">
      <c r="A183" s="366">
        <v>39618</v>
      </c>
      <c r="B183" s="367" t="s">
        <v>297</v>
      </c>
      <c r="C183" s="368"/>
      <c r="D183" s="368">
        <v>20</v>
      </c>
      <c r="E183" s="305"/>
      <c r="F183" s="305"/>
      <c r="G183" s="305"/>
    </row>
    <row r="184" spans="1:8" x14ac:dyDescent="0.35">
      <c r="A184" s="366">
        <v>39620</v>
      </c>
      <c r="B184" s="367" t="s">
        <v>484</v>
      </c>
      <c r="C184" s="368"/>
      <c r="D184" s="368">
        <v>20</v>
      </c>
      <c r="E184" s="305"/>
      <c r="F184" s="305"/>
      <c r="G184" s="305"/>
    </row>
    <row r="185" spans="1:8" x14ac:dyDescent="0.35">
      <c r="A185" s="366">
        <v>39620</v>
      </c>
      <c r="B185" s="367" t="s">
        <v>406</v>
      </c>
      <c r="C185" s="368"/>
      <c r="D185" s="368">
        <v>125</v>
      </c>
      <c r="E185" s="305"/>
      <c r="F185" s="305"/>
      <c r="G185" s="305"/>
    </row>
    <row r="186" spans="1:8" x14ac:dyDescent="0.35">
      <c r="A186" s="366">
        <v>39622</v>
      </c>
      <c r="B186" s="367" t="s">
        <v>485</v>
      </c>
      <c r="C186" s="368"/>
      <c r="D186" s="368">
        <v>6</v>
      </c>
      <c r="E186" s="305"/>
      <c r="F186" s="305"/>
      <c r="G186" s="305"/>
    </row>
    <row r="187" spans="1:8" x14ac:dyDescent="0.35">
      <c r="A187" s="366">
        <v>39622</v>
      </c>
      <c r="B187" s="367" t="s">
        <v>290</v>
      </c>
      <c r="C187" s="368"/>
      <c r="D187" s="368">
        <v>7.5</v>
      </c>
      <c r="E187" s="305"/>
      <c r="F187" s="305"/>
      <c r="G187" s="305"/>
    </row>
    <row r="188" spans="1:8" x14ac:dyDescent="0.35">
      <c r="A188" s="366">
        <v>39623</v>
      </c>
      <c r="B188" s="367" t="s">
        <v>290</v>
      </c>
      <c r="C188" s="368"/>
      <c r="D188" s="368">
        <v>5</v>
      </c>
      <c r="E188" s="305"/>
      <c r="F188" s="305"/>
      <c r="G188" s="305"/>
    </row>
    <row r="189" spans="1:8" x14ac:dyDescent="0.35">
      <c r="A189" s="366">
        <v>39609</v>
      </c>
      <c r="B189" s="367" t="s">
        <v>486</v>
      </c>
      <c r="C189" s="368"/>
      <c r="D189" s="368">
        <v>320</v>
      </c>
      <c r="E189" s="371" t="s">
        <v>21</v>
      </c>
      <c r="F189" s="305"/>
      <c r="G189" s="305"/>
    </row>
    <row r="190" spans="1:8" x14ac:dyDescent="0.35">
      <c r="A190" s="366">
        <v>39629</v>
      </c>
      <c r="B190" s="367" t="s">
        <v>441</v>
      </c>
      <c r="C190" s="368"/>
      <c r="D190" s="368">
        <v>30</v>
      </c>
      <c r="E190" s="371" t="s">
        <v>299</v>
      </c>
      <c r="F190" s="373">
        <f>COUNTA(A169:A191)</f>
        <v>23</v>
      </c>
      <c r="G190" s="305"/>
    </row>
    <row r="191" spans="1:8" x14ac:dyDescent="0.35">
      <c r="A191" s="363">
        <v>39629</v>
      </c>
      <c r="B191" s="364" t="s">
        <v>460</v>
      </c>
      <c r="C191" s="365"/>
      <c r="D191" s="365">
        <f>100+0.05+0.6+0.05+0.7+0.2+6+0.5-5+0.2+0.3+10-10+2.5+15-1</f>
        <v>120.1</v>
      </c>
      <c r="E191" s="374">
        <f>SUM(C169:C191)</f>
        <v>1900</v>
      </c>
      <c r="F191" s="374">
        <f>SUM(D169:D191)</f>
        <v>1120</v>
      </c>
      <c r="G191" s="374">
        <f>E191-F191</f>
        <v>780</v>
      </c>
      <c r="H191">
        <f>_JUN08-H3+H168</f>
        <v>267.45</v>
      </c>
    </row>
    <row r="192" spans="1:8" x14ac:dyDescent="0.35">
      <c r="A192" s="366">
        <v>39630</v>
      </c>
      <c r="B192" s="367" t="s">
        <v>13</v>
      </c>
      <c r="C192" s="368">
        <v>1900</v>
      </c>
      <c r="D192" s="368"/>
      <c r="E192" s="305"/>
      <c r="F192" s="305"/>
      <c r="G192" s="305"/>
    </row>
    <row r="193" spans="1:7" x14ac:dyDescent="0.35">
      <c r="A193" s="366">
        <v>39630</v>
      </c>
      <c r="B193" s="367" t="s">
        <v>386</v>
      </c>
      <c r="C193" s="368"/>
      <c r="D193" s="368">
        <v>322</v>
      </c>
      <c r="E193" s="305"/>
      <c r="F193" s="305"/>
      <c r="G193" s="305"/>
    </row>
    <row r="194" spans="1:7" x14ac:dyDescent="0.35">
      <c r="A194" s="366">
        <v>39630</v>
      </c>
      <c r="B194" s="367" t="s">
        <v>290</v>
      </c>
      <c r="C194" s="368"/>
      <c r="D194" s="368">
        <v>150</v>
      </c>
      <c r="E194" s="305"/>
      <c r="F194" s="305"/>
      <c r="G194" s="305"/>
    </row>
    <row r="195" spans="1:7" x14ac:dyDescent="0.35">
      <c r="A195" s="366">
        <v>39630</v>
      </c>
      <c r="B195" s="367" t="s">
        <v>479</v>
      </c>
      <c r="C195" s="368"/>
      <c r="D195" s="368">
        <v>205</v>
      </c>
      <c r="E195" s="305"/>
      <c r="F195" s="305"/>
      <c r="G195" s="305"/>
    </row>
    <row r="196" spans="1:7" x14ac:dyDescent="0.35">
      <c r="A196" s="366">
        <v>39630</v>
      </c>
      <c r="B196" s="367" t="s">
        <v>365</v>
      </c>
      <c r="C196" s="368"/>
      <c r="D196" s="368">
        <v>5</v>
      </c>
      <c r="E196" s="305"/>
      <c r="F196" s="305"/>
      <c r="G196" s="305"/>
    </row>
    <row r="197" spans="1:7" x14ac:dyDescent="0.35">
      <c r="A197" s="366">
        <v>39630</v>
      </c>
      <c r="B197" s="367" t="s">
        <v>388</v>
      </c>
      <c r="C197" s="368"/>
      <c r="D197" s="368">
        <v>3</v>
      </c>
      <c r="E197" s="305"/>
      <c r="F197" s="305"/>
      <c r="G197" s="305"/>
    </row>
    <row r="198" spans="1:7" x14ac:dyDescent="0.35">
      <c r="A198" s="366">
        <v>39630</v>
      </c>
      <c r="B198" s="367" t="s">
        <v>487</v>
      </c>
      <c r="C198" s="368"/>
      <c r="D198" s="368">
        <v>3</v>
      </c>
      <c r="E198" s="305"/>
      <c r="F198" s="305"/>
      <c r="G198" s="305"/>
    </row>
    <row r="199" spans="1:7" x14ac:dyDescent="0.35">
      <c r="A199" s="366">
        <v>39630</v>
      </c>
      <c r="B199" s="367" t="s">
        <v>488</v>
      </c>
      <c r="C199" s="368"/>
      <c r="D199" s="368">
        <v>202</v>
      </c>
      <c r="E199" s="305"/>
      <c r="F199" s="305"/>
      <c r="G199" s="305"/>
    </row>
    <row r="200" spans="1:7" x14ac:dyDescent="0.35">
      <c r="A200" s="366">
        <v>39630</v>
      </c>
      <c r="B200" s="367" t="s">
        <v>484</v>
      </c>
      <c r="C200" s="368"/>
      <c r="D200" s="368">
        <v>20</v>
      </c>
      <c r="E200" s="305"/>
      <c r="F200" s="305"/>
      <c r="G200" s="305"/>
    </row>
    <row r="201" spans="1:7" x14ac:dyDescent="0.35">
      <c r="A201" s="366">
        <v>39630</v>
      </c>
      <c r="B201" s="367" t="s">
        <v>489</v>
      </c>
      <c r="C201" s="368"/>
      <c r="D201" s="368">
        <v>10</v>
      </c>
      <c r="E201" s="305"/>
      <c r="F201" s="305"/>
      <c r="G201" s="305"/>
    </row>
    <row r="202" spans="1:7" x14ac:dyDescent="0.35">
      <c r="A202" s="366">
        <v>39630</v>
      </c>
      <c r="B202" s="367" t="s">
        <v>314</v>
      </c>
      <c r="C202" s="368"/>
      <c r="D202" s="368">
        <v>5</v>
      </c>
      <c r="E202" s="305"/>
      <c r="F202" s="305"/>
      <c r="G202" s="305"/>
    </row>
    <row r="203" spans="1:7" x14ac:dyDescent="0.35">
      <c r="A203" s="366">
        <v>39630</v>
      </c>
      <c r="B203" s="367" t="s">
        <v>490</v>
      </c>
      <c r="C203" s="368">
        <v>100</v>
      </c>
      <c r="D203" s="368"/>
      <c r="E203" s="305"/>
      <c r="F203" s="305"/>
      <c r="G203" s="305"/>
    </row>
    <row r="204" spans="1:7" x14ac:dyDescent="0.35">
      <c r="A204" s="366">
        <v>39631</v>
      </c>
      <c r="B204" s="367" t="s">
        <v>491</v>
      </c>
      <c r="C204" s="368">
        <v>50</v>
      </c>
      <c r="D204" s="368"/>
      <c r="E204" s="305"/>
      <c r="F204" s="305"/>
      <c r="G204" s="305"/>
    </row>
    <row r="205" spans="1:7" x14ac:dyDescent="0.35">
      <c r="A205" s="366">
        <v>39631</v>
      </c>
      <c r="B205" s="367" t="s">
        <v>483</v>
      </c>
      <c r="C205" s="368"/>
      <c r="D205" s="368">
        <v>15</v>
      </c>
      <c r="E205" s="305"/>
      <c r="F205" s="305"/>
      <c r="G205" s="305"/>
    </row>
    <row r="206" spans="1:7" x14ac:dyDescent="0.35">
      <c r="A206" s="366">
        <v>39631</v>
      </c>
      <c r="B206" s="367" t="s">
        <v>297</v>
      </c>
      <c r="C206" s="368"/>
      <c r="D206" s="368">
        <v>10</v>
      </c>
      <c r="E206" s="305"/>
      <c r="F206" s="305"/>
      <c r="G206" s="305"/>
    </row>
    <row r="207" spans="1:7" x14ac:dyDescent="0.35">
      <c r="A207" s="366">
        <v>39631</v>
      </c>
      <c r="B207" s="367" t="s">
        <v>314</v>
      </c>
      <c r="C207" s="368"/>
      <c r="D207" s="368">
        <v>5</v>
      </c>
      <c r="E207" s="305"/>
      <c r="F207" s="305"/>
      <c r="G207" s="305"/>
    </row>
    <row r="208" spans="1:7" x14ac:dyDescent="0.35">
      <c r="A208" s="366">
        <v>39631</v>
      </c>
      <c r="B208" s="367" t="s">
        <v>492</v>
      </c>
      <c r="C208" s="368"/>
      <c r="D208" s="368">
        <v>40</v>
      </c>
      <c r="E208" s="305"/>
      <c r="F208" s="305"/>
      <c r="G208" s="305"/>
    </row>
    <row r="209" spans="1:8" x14ac:dyDescent="0.35">
      <c r="A209" s="366">
        <v>39633</v>
      </c>
      <c r="B209" s="367" t="s">
        <v>289</v>
      </c>
      <c r="C209" s="368"/>
      <c r="D209" s="368">
        <v>100</v>
      </c>
      <c r="E209" s="305"/>
      <c r="F209" s="305"/>
      <c r="G209" s="305"/>
    </row>
    <row r="210" spans="1:8" x14ac:dyDescent="0.35">
      <c r="A210" s="366">
        <v>39633</v>
      </c>
      <c r="B210" s="367" t="s">
        <v>19</v>
      </c>
      <c r="C210" s="368">
        <v>950</v>
      </c>
      <c r="D210" s="368"/>
      <c r="E210" s="305"/>
      <c r="F210" s="305"/>
      <c r="G210" s="305"/>
    </row>
    <row r="211" spans="1:8" x14ac:dyDescent="0.35">
      <c r="A211" s="366">
        <v>39633</v>
      </c>
      <c r="B211" s="367" t="s">
        <v>493</v>
      </c>
      <c r="C211" s="368"/>
      <c r="D211" s="368">
        <v>850</v>
      </c>
      <c r="E211" s="305"/>
      <c r="F211" s="305"/>
      <c r="G211" s="305"/>
    </row>
    <row r="212" spans="1:8" x14ac:dyDescent="0.35">
      <c r="A212" s="366">
        <v>39633</v>
      </c>
      <c r="B212" s="367" t="s">
        <v>494</v>
      </c>
      <c r="C212" s="368">
        <v>50</v>
      </c>
      <c r="D212" s="368"/>
      <c r="E212" s="305"/>
      <c r="F212" s="305"/>
      <c r="G212" s="305"/>
    </row>
    <row r="213" spans="1:8" x14ac:dyDescent="0.35">
      <c r="A213" s="366">
        <v>39635</v>
      </c>
      <c r="B213" s="367" t="s">
        <v>495</v>
      </c>
      <c r="C213" s="368"/>
      <c r="D213" s="368">
        <v>50</v>
      </c>
      <c r="E213" s="305"/>
      <c r="F213" s="305"/>
      <c r="G213" s="305"/>
    </row>
    <row r="214" spans="1:8" x14ac:dyDescent="0.35">
      <c r="A214" s="366">
        <v>39640</v>
      </c>
      <c r="B214" s="367" t="s">
        <v>289</v>
      </c>
      <c r="C214" s="368"/>
      <c r="D214" s="368">
        <v>30</v>
      </c>
      <c r="E214" s="305"/>
      <c r="F214" s="305"/>
      <c r="G214" s="305"/>
    </row>
    <row r="215" spans="1:8" x14ac:dyDescent="0.35">
      <c r="A215" s="366">
        <v>39649</v>
      </c>
      <c r="B215" s="367" t="s">
        <v>496</v>
      </c>
      <c r="C215" s="368"/>
      <c r="D215" s="368">
        <v>50</v>
      </c>
      <c r="E215" s="305"/>
      <c r="F215" s="305"/>
      <c r="G215" s="305"/>
    </row>
    <row r="216" spans="1:8" x14ac:dyDescent="0.35">
      <c r="A216" s="366">
        <v>39653</v>
      </c>
      <c r="B216" s="367" t="s">
        <v>497</v>
      </c>
      <c r="C216" s="368">
        <v>17</v>
      </c>
      <c r="D216" s="368"/>
      <c r="E216" s="305"/>
      <c r="F216" s="305"/>
      <c r="G216" s="305"/>
    </row>
    <row r="217" spans="1:8" x14ac:dyDescent="0.35">
      <c r="A217" s="366">
        <v>39653</v>
      </c>
      <c r="B217" s="367" t="s">
        <v>290</v>
      </c>
      <c r="C217" s="368"/>
      <c r="D217" s="368">
        <v>10</v>
      </c>
      <c r="E217" s="371" t="s">
        <v>22</v>
      </c>
      <c r="F217" s="305"/>
      <c r="G217" s="305"/>
    </row>
    <row r="218" spans="1:8" x14ac:dyDescent="0.35">
      <c r="A218" s="366">
        <v>39660</v>
      </c>
      <c r="B218" s="367" t="s">
        <v>441</v>
      </c>
      <c r="C218" s="368"/>
      <c r="D218" s="368">
        <v>25</v>
      </c>
      <c r="E218" s="371" t="s">
        <v>299</v>
      </c>
      <c r="F218" s="373">
        <f>COUNTA(A192:A219)</f>
        <v>28</v>
      </c>
      <c r="G218" s="305"/>
    </row>
    <row r="219" spans="1:8" x14ac:dyDescent="0.35">
      <c r="A219" s="363">
        <v>39660</v>
      </c>
      <c r="B219" s="364" t="s">
        <v>460</v>
      </c>
      <c r="C219" s="365"/>
      <c r="D219" s="365">
        <f>50+52+5</f>
        <v>107</v>
      </c>
      <c r="E219" s="374">
        <f>SUM(C192:C219)</f>
        <v>3067</v>
      </c>
      <c r="F219" s="374">
        <f>SUM(D192:D219)</f>
        <v>2217</v>
      </c>
      <c r="G219" s="374">
        <f>E219-F219</f>
        <v>850</v>
      </c>
      <c r="H219">
        <f>_JUL08-H3+H191</f>
        <v>664.45</v>
      </c>
    </row>
    <row r="220" spans="1:8" x14ac:dyDescent="0.35">
      <c r="A220" s="366">
        <v>39661</v>
      </c>
      <c r="B220" s="367" t="s">
        <v>498</v>
      </c>
      <c r="C220" s="368"/>
      <c r="D220" s="368">
        <v>100</v>
      </c>
      <c r="E220" s="305"/>
      <c r="F220" s="305"/>
      <c r="G220" s="305"/>
    </row>
    <row r="221" spans="1:8" x14ac:dyDescent="0.35">
      <c r="A221" s="366">
        <v>39668</v>
      </c>
      <c r="B221" s="367" t="s">
        <v>13</v>
      </c>
      <c r="C221" s="368">
        <v>1900</v>
      </c>
      <c r="D221" s="368"/>
      <c r="E221" s="305"/>
      <c r="F221" s="305"/>
      <c r="G221" s="305"/>
    </row>
    <row r="222" spans="1:8" x14ac:dyDescent="0.35">
      <c r="A222" s="366">
        <v>39668</v>
      </c>
      <c r="B222" s="367" t="s">
        <v>386</v>
      </c>
      <c r="C222" s="368"/>
      <c r="D222" s="368">
        <v>300</v>
      </c>
      <c r="E222" s="305"/>
      <c r="F222" s="305"/>
      <c r="G222" s="305"/>
    </row>
    <row r="223" spans="1:8" x14ac:dyDescent="0.35">
      <c r="A223" s="366">
        <v>39668</v>
      </c>
      <c r="B223" s="367" t="s">
        <v>290</v>
      </c>
      <c r="C223" s="368"/>
      <c r="D223" s="368">
        <v>200</v>
      </c>
      <c r="E223" s="305"/>
      <c r="F223" s="305"/>
      <c r="G223" s="305"/>
    </row>
    <row r="224" spans="1:8" x14ac:dyDescent="0.35">
      <c r="A224" s="366">
        <v>39668</v>
      </c>
      <c r="B224" s="367" t="s">
        <v>427</v>
      </c>
      <c r="C224" s="368"/>
      <c r="D224" s="368">
        <v>50</v>
      </c>
      <c r="E224" s="305"/>
      <c r="F224" s="305"/>
      <c r="G224" s="305"/>
    </row>
    <row r="225" spans="1:8" x14ac:dyDescent="0.35">
      <c r="A225" s="366">
        <v>39668</v>
      </c>
      <c r="B225" s="367" t="s">
        <v>499</v>
      </c>
      <c r="C225" s="368"/>
      <c r="D225" s="368">
        <v>100</v>
      </c>
      <c r="E225" s="305"/>
      <c r="F225" s="305"/>
      <c r="G225" s="305"/>
    </row>
    <row r="226" spans="1:8" x14ac:dyDescent="0.35">
      <c r="A226" s="366">
        <v>39668</v>
      </c>
      <c r="B226" s="367" t="s">
        <v>479</v>
      </c>
      <c r="C226" s="368"/>
      <c r="D226" s="368">
        <v>205</v>
      </c>
      <c r="E226" s="305"/>
      <c r="F226" s="305"/>
      <c r="G226" s="305"/>
    </row>
    <row r="227" spans="1:8" x14ac:dyDescent="0.35">
      <c r="A227" s="366">
        <v>39668</v>
      </c>
      <c r="B227" s="367" t="s">
        <v>498</v>
      </c>
      <c r="C227" s="368"/>
      <c r="D227" s="368">
        <f>200-8</f>
        <v>192</v>
      </c>
      <c r="E227" s="305"/>
      <c r="F227" s="305"/>
      <c r="G227" s="305"/>
    </row>
    <row r="228" spans="1:8" x14ac:dyDescent="0.35">
      <c r="A228" s="366">
        <v>39668</v>
      </c>
      <c r="B228" s="367" t="s">
        <v>500</v>
      </c>
      <c r="C228" s="368"/>
      <c r="D228" s="368">
        <v>160</v>
      </c>
      <c r="E228" s="305"/>
      <c r="F228" s="305"/>
      <c r="G228" s="305"/>
    </row>
    <row r="229" spans="1:8" x14ac:dyDescent="0.35">
      <c r="A229" s="366">
        <v>39669</v>
      </c>
      <c r="B229" s="367" t="s">
        <v>297</v>
      </c>
      <c r="C229" s="368"/>
      <c r="D229" s="368">
        <v>10</v>
      </c>
      <c r="E229" s="305"/>
      <c r="F229" s="305"/>
      <c r="G229" s="305"/>
    </row>
    <row r="230" spans="1:8" x14ac:dyDescent="0.35">
      <c r="A230" s="366">
        <v>39670</v>
      </c>
      <c r="B230" s="367" t="s">
        <v>481</v>
      </c>
      <c r="C230" s="368"/>
      <c r="D230" s="368">
        <v>38</v>
      </c>
      <c r="E230" s="305"/>
      <c r="F230" s="305"/>
      <c r="G230" s="305"/>
    </row>
    <row r="231" spans="1:8" x14ac:dyDescent="0.35">
      <c r="A231" s="366">
        <v>39671</v>
      </c>
      <c r="B231" s="367" t="s">
        <v>501</v>
      </c>
      <c r="C231" s="368"/>
      <c r="D231" s="368">
        <v>400</v>
      </c>
      <c r="E231" s="305"/>
      <c r="F231" s="305"/>
      <c r="G231" s="305"/>
    </row>
    <row r="232" spans="1:8" x14ac:dyDescent="0.35">
      <c r="A232" s="366">
        <v>39684</v>
      </c>
      <c r="B232" s="367" t="s">
        <v>245</v>
      </c>
      <c r="C232" s="368">
        <v>50</v>
      </c>
      <c r="D232" s="368"/>
      <c r="E232" s="305"/>
      <c r="F232" s="305"/>
      <c r="G232" s="305"/>
    </row>
    <row r="233" spans="1:8" x14ac:dyDescent="0.35">
      <c r="A233" s="366">
        <v>39688</v>
      </c>
      <c r="B233" s="367" t="s">
        <v>502</v>
      </c>
      <c r="C233" s="368"/>
      <c r="D233" s="368">
        <v>10</v>
      </c>
      <c r="E233" s="371" t="s">
        <v>23</v>
      </c>
      <c r="F233" s="305"/>
      <c r="G233" s="305"/>
    </row>
    <row r="234" spans="1:8" x14ac:dyDescent="0.35">
      <c r="A234" s="366">
        <v>39668</v>
      </c>
      <c r="B234" s="367" t="s">
        <v>441</v>
      </c>
      <c r="C234" s="368"/>
      <c r="D234" s="368">
        <f>8+7+25</f>
        <v>40</v>
      </c>
      <c r="E234" s="371" t="s">
        <v>299</v>
      </c>
      <c r="F234" s="373">
        <f>COUNTA(A220:A235)</f>
        <v>16</v>
      </c>
      <c r="G234" s="305"/>
    </row>
    <row r="235" spans="1:8" x14ac:dyDescent="0.35">
      <c r="A235" s="363">
        <v>39691</v>
      </c>
      <c r="B235" s="364" t="s">
        <v>460</v>
      </c>
      <c r="C235" s="365"/>
      <c r="D235" s="365">
        <f>55+10+10+20</f>
        <v>95</v>
      </c>
      <c r="E235" s="374">
        <f>SUM(C220:C235)</f>
        <v>1950</v>
      </c>
      <c r="F235" s="374">
        <f>SUM(D220:D235)</f>
        <v>1900</v>
      </c>
      <c r="G235" s="374">
        <f>E235-F235</f>
        <v>50</v>
      </c>
      <c r="H235">
        <f>_AGO08-H3+H219</f>
        <v>261.45</v>
      </c>
    </row>
    <row r="236" spans="1:8" x14ac:dyDescent="0.35">
      <c r="A236" s="366">
        <v>39694</v>
      </c>
      <c r="B236" s="367" t="s">
        <v>13</v>
      </c>
      <c r="C236" s="368">
        <v>1900</v>
      </c>
      <c r="D236" s="368"/>
      <c r="E236" s="305"/>
      <c r="F236" s="305"/>
      <c r="G236" s="305"/>
    </row>
    <row r="237" spans="1:8" x14ac:dyDescent="0.35">
      <c r="A237" s="366">
        <v>39694</v>
      </c>
      <c r="B237" s="367" t="s">
        <v>386</v>
      </c>
      <c r="C237" s="368"/>
      <c r="D237" s="368">
        <v>300</v>
      </c>
      <c r="E237" s="305"/>
      <c r="F237" s="305"/>
      <c r="G237" s="305"/>
    </row>
    <row r="238" spans="1:8" x14ac:dyDescent="0.35">
      <c r="A238" s="366">
        <v>39694</v>
      </c>
      <c r="B238" s="367" t="s">
        <v>500</v>
      </c>
      <c r="C238" s="368"/>
      <c r="D238" s="368">
        <v>260</v>
      </c>
      <c r="E238" s="305"/>
      <c r="F238" s="305"/>
      <c r="G238" s="305"/>
    </row>
    <row r="239" spans="1:8" x14ac:dyDescent="0.35">
      <c r="A239" s="366">
        <v>39694</v>
      </c>
      <c r="B239" s="367" t="s">
        <v>290</v>
      </c>
      <c r="C239" s="368"/>
      <c r="D239" s="368">
        <f>163+10</f>
        <v>173</v>
      </c>
      <c r="E239" s="305"/>
      <c r="F239" s="305"/>
      <c r="G239" s="305"/>
    </row>
    <row r="240" spans="1:8" x14ac:dyDescent="0.35">
      <c r="A240" s="366">
        <v>39694</v>
      </c>
      <c r="B240" s="367" t="s">
        <v>479</v>
      </c>
      <c r="C240" s="368"/>
      <c r="D240" s="368">
        <v>205</v>
      </c>
      <c r="E240" s="305"/>
      <c r="F240" s="305"/>
      <c r="G240" s="305"/>
    </row>
    <row r="241" spans="1:8" x14ac:dyDescent="0.35">
      <c r="A241" s="366">
        <v>39694</v>
      </c>
      <c r="B241" s="367" t="s">
        <v>453</v>
      </c>
      <c r="C241" s="368"/>
      <c r="D241" s="368">
        <v>300</v>
      </c>
      <c r="E241" s="305"/>
      <c r="F241" s="305"/>
      <c r="G241" s="305"/>
    </row>
    <row r="242" spans="1:8" x14ac:dyDescent="0.35">
      <c r="A242" s="366">
        <v>39694</v>
      </c>
      <c r="B242" s="367" t="s">
        <v>501</v>
      </c>
      <c r="C242" s="368"/>
      <c r="D242" s="368">
        <v>130</v>
      </c>
      <c r="E242" s="305"/>
      <c r="F242" s="305"/>
      <c r="G242" s="305"/>
    </row>
    <row r="243" spans="1:8" x14ac:dyDescent="0.35">
      <c r="A243" s="366">
        <v>39694</v>
      </c>
      <c r="B243" s="367" t="s">
        <v>498</v>
      </c>
      <c r="C243" s="368"/>
      <c r="D243" s="368">
        <v>50</v>
      </c>
      <c r="E243" s="305"/>
      <c r="F243" s="305"/>
      <c r="G243" s="305"/>
    </row>
    <row r="244" spans="1:8" x14ac:dyDescent="0.35">
      <c r="A244" s="366">
        <v>39711</v>
      </c>
      <c r="B244" s="367" t="s">
        <v>390</v>
      </c>
      <c r="C244" s="368"/>
      <c r="D244" s="368">
        <v>31</v>
      </c>
      <c r="E244" s="305"/>
      <c r="F244" s="305"/>
      <c r="G244" s="305"/>
    </row>
    <row r="245" spans="1:8" x14ac:dyDescent="0.35">
      <c r="A245" s="366">
        <v>39711</v>
      </c>
      <c r="B245" s="367" t="s">
        <v>503</v>
      </c>
      <c r="C245" s="368"/>
      <c r="D245" s="368">
        <v>70</v>
      </c>
      <c r="E245" s="305"/>
      <c r="F245" s="305"/>
      <c r="G245" s="305"/>
    </row>
    <row r="246" spans="1:8" x14ac:dyDescent="0.35">
      <c r="A246" s="366">
        <v>39711</v>
      </c>
      <c r="B246" s="367" t="s">
        <v>397</v>
      </c>
      <c r="C246" s="368"/>
      <c r="D246" s="368">
        <v>5</v>
      </c>
      <c r="E246" s="305"/>
      <c r="F246" s="305"/>
      <c r="G246" s="305"/>
    </row>
    <row r="247" spans="1:8" x14ac:dyDescent="0.35">
      <c r="A247" s="366">
        <v>39711</v>
      </c>
      <c r="B247" s="367" t="s">
        <v>504</v>
      </c>
      <c r="C247" s="368"/>
      <c r="D247" s="368">
        <v>24</v>
      </c>
      <c r="E247" s="305"/>
      <c r="F247" s="305"/>
      <c r="G247" s="305"/>
    </row>
    <row r="248" spans="1:8" x14ac:dyDescent="0.35">
      <c r="A248" s="366">
        <v>39712</v>
      </c>
      <c r="B248" s="367" t="s">
        <v>303</v>
      </c>
      <c r="C248" s="368"/>
      <c r="D248" s="368">
        <v>20</v>
      </c>
      <c r="E248" s="305"/>
      <c r="F248" s="305"/>
      <c r="G248" s="305"/>
    </row>
    <row r="249" spans="1:8" x14ac:dyDescent="0.35">
      <c r="A249" s="366">
        <v>39716</v>
      </c>
      <c r="B249" s="367" t="s">
        <v>297</v>
      </c>
      <c r="C249" s="368"/>
      <c r="D249" s="368">
        <v>10</v>
      </c>
      <c r="E249" s="305"/>
      <c r="F249" s="305"/>
      <c r="G249" s="305"/>
    </row>
    <row r="250" spans="1:8" x14ac:dyDescent="0.35">
      <c r="A250" s="366">
        <v>39717</v>
      </c>
      <c r="B250" s="367" t="s">
        <v>290</v>
      </c>
      <c r="C250" s="368"/>
      <c r="D250" s="368">
        <v>10</v>
      </c>
      <c r="E250" s="305"/>
      <c r="F250" s="305"/>
      <c r="G250" s="305"/>
    </row>
    <row r="251" spans="1:8" x14ac:dyDescent="0.35">
      <c r="A251" s="366">
        <v>39717</v>
      </c>
      <c r="B251" s="367" t="s">
        <v>505</v>
      </c>
      <c r="C251" s="368"/>
      <c r="D251" s="368">
        <v>12</v>
      </c>
      <c r="E251" s="305"/>
      <c r="F251" s="305"/>
      <c r="G251" s="305"/>
    </row>
    <row r="252" spans="1:8" x14ac:dyDescent="0.35">
      <c r="A252" s="366">
        <v>39720</v>
      </c>
      <c r="B252" s="367" t="s">
        <v>506</v>
      </c>
      <c r="C252" s="368"/>
      <c r="D252" s="368">
        <v>50</v>
      </c>
      <c r="E252" s="371" t="s">
        <v>24</v>
      </c>
      <c r="F252" s="305"/>
      <c r="G252" s="305"/>
    </row>
    <row r="253" spans="1:8" x14ac:dyDescent="0.35">
      <c r="A253" s="366">
        <v>39721</v>
      </c>
      <c r="B253" s="367" t="s">
        <v>441</v>
      </c>
      <c r="C253" s="368"/>
      <c r="D253" s="368">
        <v>25</v>
      </c>
      <c r="E253" s="371" t="s">
        <v>299</v>
      </c>
      <c r="F253" s="373">
        <f>COUNTA(A236:A254)</f>
        <v>19</v>
      </c>
      <c r="G253" s="305"/>
    </row>
    <row r="254" spans="1:8" x14ac:dyDescent="0.35">
      <c r="A254" s="363">
        <v>39721</v>
      </c>
      <c r="B254" s="364" t="s">
        <v>460</v>
      </c>
      <c r="C254" s="365"/>
      <c r="D254" s="365">
        <f>32+25+10+8</f>
        <v>75</v>
      </c>
      <c r="E254" s="374">
        <f>SUM(C236:C254)</f>
        <v>1900</v>
      </c>
      <c r="F254" s="374">
        <f>SUM(D236:D254)</f>
        <v>1750</v>
      </c>
      <c r="G254" s="374">
        <f>E254-F254</f>
        <v>150</v>
      </c>
      <c r="H254">
        <f>_SEP08-H3+H235</f>
        <v>-41.55</v>
      </c>
    </row>
    <row r="255" spans="1:8" x14ac:dyDescent="0.35">
      <c r="A255" s="366">
        <v>39722</v>
      </c>
      <c r="B255" s="367" t="s">
        <v>507</v>
      </c>
      <c r="C255" s="368">
        <v>50</v>
      </c>
      <c r="D255" s="368"/>
      <c r="E255" s="305"/>
      <c r="F255" s="305"/>
      <c r="G255" s="305"/>
    </row>
    <row r="256" spans="1:8" x14ac:dyDescent="0.35">
      <c r="A256" s="366">
        <v>39722</v>
      </c>
      <c r="B256" s="367" t="s">
        <v>503</v>
      </c>
      <c r="C256" s="368"/>
      <c r="D256" s="368">
        <v>50</v>
      </c>
      <c r="E256" s="305"/>
      <c r="F256" s="305"/>
      <c r="G256" s="305"/>
    </row>
    <row r="257" spans="1:8" x14ac:dyDescent="0.35">
      <c r="A257" s="366">
        <v>39732</v>
      </c>
      <c r="B257" s="367" t="s">
        <v>386</v>
      </c>
      <c r="C257" s="368"/>
      <c r="D257" s="368">
        <v>300</v>
      </c>
      <c r="E257" s="305"/>
      <c r="F257" s="305"/>
      <c r="G257" s="305"/>
    </row>
    <row r="258" spans="1:8" x14ac:dyDescent="0.35">
      <c r="A258" s="366">
        <v>39735</v>
      </c>
      <c r="B258" s="367" t="s">
        <v>13</v>
      </c>
      <c r="C258" s="368">
        <v>1500</v>
      </c>
      <c r="D258" s="368"/>
      <c r="E258" s="305"/>
      <c r="F258" s="305"/>
      <c r="G258" s="305"/>
    </row>
    <row r="259" spans="1:8" x14ac:dyDescent="0.35">
      <c r="A259" s="366">
        <v>39735</v>
      </c>
      <c r="B259" s="367" t="s">
        <v>500</v>
      </c>
      <c r="C259" s="368"/>
      <c r="D259" s="368">
        <v>254</v>
      </c>
      <c r="E259" s="305"/>
      <c r="F259" s="305"/>
      <c r="G259" s="305"/>
    </row>
    <row r="260" spans="1:8" x14ac:dyDescent="0.35">
      <c r="A260" s="366">
        <v>39735</v>
      </c>
      <c r="B260" s="367" t="s">
        <v>290</v>
      </c>
      <c r="C260" s="368"/>
      <c r="D260" s="368">
        <v>391</v>
      </c>
      <c r="E260" s="305"/>
      <c r="F260" s="305"/>
      <c r="G260" s="305"/>
    </row>
    <row r="261" spans="1:8" x14ac:dyDescent="0.35">
      <c r="A261" s="366">
        <v>39735</v>
      </c>
      <c r="B261" s="367" t="s">
        <v>479</v>
      </c>
      <c r="C261" s="368"/>
      <c r="D261" s="368">
        <v>210</v>
      </c>
      <c r="E261" s="305"/>
      <c r="F261" s="305"/>
      <c r="G261" s="305"/>
    </row>
    <row r="262" spans="1:8" x14ac:dyDescent="0.35">
      <c r="A262" s="366">
        <v>39735</v>
      </c>
      <c r="B262" s="367" t="s">
        <v>453</v>
      </c>
      <c r="C262" s="368"/>
      <c r="D262" s="368">
        <v>300</v>
      </c>
      <c r="E262" s="305"/>
      <c r="F262" s="305"/>
      <c r="G262" s="305"/>
    </row>
    <row r="263" spans="1:8" x14ac:dyDescent="0.35">
      <c r="A263" s="366">
        <v>39740</v>
      </c>
      <c r="B263" s="367" t="s">
        <v>427</v>
      </c>
      <c r="C263" s="368"/>
      <c r="D263" s="368">
        <v>130</v>
      </c>
      <c r="E263" s="305"/>
      <c r="F263" s="305"/>
      <c r="G263" s="305"/>
    </row>
    <row r="264" spans="1:8" x14ac:dyDescent="0.35">
      <c r="A264" s="366">
        <v>39745</v>
      </c>
      <c r="B264" s="367" t="s">
        <v>508</v>
      </c>
      <c r="C264" s="368">
        <v>700</v>
      </c>
      <c r="D264" s="368"/>
      <c r="E264" s="305"/>
      <c r="F264" s="305"/>
      <c r="G264" s="305"/>
    </row>
    <row r="265" spans="1:8" x14ac:dyDescent="0.35">
      <c r="A265" s="366">
        <v>39748</v>
      </c>
      <c r="B265" s="367" t="s">
        <v>509</v>
      </c>
      <c r="C265" s="368">
        <v>1000</v>
      </c>
      <c r="D265" s="368"/>
      <c r="E265" s="305"/>
      <c r="F265" s="305"/>
      <c r="G265" s="305"/>
    </row>
    <row r="266" spans="1:8" x14ac:dyDescent="0.35">
      <c r="A266" s="366">
        <v>39748</v>
      </c>
      <c r="B266" s="367" t="s">
        <v>479</v>
      </c>
      <c r="C266" s="368"/>
      <c r="D266" s="368">
        <v>1030</v>
      </c>
      <c r="E266" s="371" t="s">
        <v>25</v>
      </c>
      <c r="F266" s="305"/>
      <c r="G266" s="305"/>
    </row>
    <row r="267" spans="1:8" x14ac:dyDescent="0.35">
      <c r="A267" s="366">
        <v>39752</v>
      </c>
      <c r="B267" s="367" t="s">
        <v>441</v>
      </c>
      <c r="C267" s="368"/>
      <c r="D267" s="368">
        <v>26</v>
      </c>
      <c r="E267" s="371" t="s">
        <v>299</v>
      </c>
      <c r="F267" s="373">
        <f>COUNTA(A255:A268)</f>
        <v>14</v>
      </c>
      <c r="G267" s="305"/>
    </row>
    <row r="268" spans="1:8" x14ac:dyDescent="0.35">
      <c r="A268" s="363">
        <v>39752</v>
      </c>
      <c r="B268" s="364" t="s">
        <v>460</v>
      </c>
      <c r="C268" s="365"/>
      <c r="D268" s="365">
        <v>79</v>
      </c>
      <c r="E268" s="374">
        <f>SUM(C255:C268)</f>
        <v>3250</v>
      </c>
      <c r="F268" s="374">
        <f>SUM(D255:D268)</f>
        <v>2770</v>
      </c>
      <c r="G268" s="374">
        <f>E268-F268</f>
        <v>480</v>
      </c>
      <c r="H268">
        <f>_OCT08-H3+H254</f>
        <v>-14.55</v>
      </c>
    </row>
    <row r="269" spans="1:8" x14ac:dyDescent="0.35">
      <c r="A269" s="366">
        <v>39762</v>
      </c>
      <c r="B269" s="367" t="s">
        <v>386</v>
      </c>
      <c r="C269" s="368"/>
      <c r="D269" s="368">
        <v>300</v>
      </c>
      <c r="E269" s="305"/>
      <c r="F269" s="305"/>
      <c r="G269" s="305"/>
    </row>
    <row r="270" spans="1:8" x14ac:dyDescent="0.35">
      <c r="A270" s="366">
        <v>39764</v>
      </c>
      <c r="B270" s="367" t="s">
        <v>13</v>
      </c>
      <c r="C270" s="368">
        <v>2200</v>
      </c>
      <c r="D270" s="368"/>
      <c r="E270" s="305"/>
      <c r="F270" s="305"/>
      <c r="G270" s="305"/>
    </row>
    <row r="271" spans="1:8" x14ac:dyDescent="0.35">
      <c r="A271" s="366">
        <v>39764</v>
      </c>
      <c r="B271" s="367" t="s">
        <v>453</v>
      </c>
      <c r="C271" s="368"/>
      <c r="D271" s="368">
        <v>300</v>
      </c>
      <c r="E271" s="305"/>
      <c r="F271" s="305"/>
      <c r="G271" s="305"/>
    </row>
    <row r="272" spans="1:8" x14ac:dyDescent="0.35">
      <c r="A272" s="366">
        <v>39764</v>
      </c>
      <c r="B272" s="367" t="s">
        <v>290</v>
      </c>
      <c r="C272" s="368"/>
      <c r="D272" s="368">
        <v>255</v>
      </c>
      <c r="E272" s="305"/>
      <c r="F272" s="305"/>
      <c r="G272" s="305"/>
    </row>
    <row r="273" spans="1:8" x14ac:dyDescent="0.35">
      <c r="A273" s="366">
        <v>39764</v>
      </c>
      <c r="B273" s="367" t="s">
        <v>500</v>
      </c>
      <c r="C273" s="368"/>
      <c r="D273" s="368">
        <v>255</v>
      </c>
      <c r="E273" s="305"/>
      <c r="F273" s="305"/>
      <c r="G273" s="305"/>
    </row>
    <row r="274" spans="1:8" x14ac:dyDescent="0.35">
      <c r="A274" s="366">
        <v>39764</v>
      </c>
      <c r="B274" s="367" t="s">
        <v>297</v>
      </c>
      <c r="C274" s="368"/>
      <c r="D274" s="368">
        <v>13</v>
      </c>
      <c r="E274" s="305"/>
      <c r="F274" s="305"/>
      <c r="G274" s="305"/>
    </row>
    <row r="275" spans="1:8" x14ac:dyDescent="0.35">
      <c r="A275" s="366">
        <v>39767</v>
      </c>
      <c r="B275" s="367" t="s">
        <v>289</v>
      </c>
      <c r="C275" s="368"/>
      <c r="D275" s="368">
        <v>71</v>
      </c>
      <c r="E275" s="305"/>
      <c r="F275" s="305"/>
      <c r="G275" s="305"/>
    </row>
    <row r="276" spans="1:8" x14ac:dyDescent="0.35">
      <c r="A276" s="366">
        <v>39774</v>
      </c>
      <c r="B276" s="367" t="s">
        <v>289</v>
      </c>
      <c r="C276" s="368"/>
      <c r="D276" s="368">
        <v>100</v>
      </c>
      <c r="E276" s="305"/>
      <c r="F276" s="305"/>
      <c r="G276" s="305"/>
    </row>
    <row r="277" spans="1:8" x14ac:dyDescent="0.35">
      <c r="A277" s="366">
        <v>39781</v>
      </c>
      <c r="B277" s="367" t="s">
        <v>510</v>
      </c>
      <c r="C277" s="368"/>
      <c r="D277" s="368">
        <v>20</v>
      </c>
      <c r="E277" s="371" t="s">
        <v>26</v>
      </c>
      <c r="F277" s="305"/>
      <c r="G277" s="305"/>
    </row>
    <row r="278" spans="1:8" x14ac:dyDescent="0.35">
      <c r="A278" s="366">
        <v>39762</v>
      </c>
      <c r="B278" s="367" t="s">
        <v>441</v>
      </c>
      <c r="C278" s="368"/>
      <c r="D278" s="368">
        <v>24</v>
      </c>
      <c r="E278" s="371" t="s">
        <v>299</v>
      </c>
      <c r="F278" s="373">
        <f>COUNTA(A268:A279)</f>
        <v>12</v>
      </c>
      <c r="G278" s="305"/>
    </row>
    <row r="279" spans="1:8" x14ac:dyDescent="0.35">
      <c r="A279" s="363">
        <v>39782</v>
      </c>
      <c r="B279" s="364" t="s">
        <v>460</v>
      </c>
      <c r="C279" s="365"/>
      <c r="D279" s="365">
        <f>12+50</f>
        <v>62</v>
      </c>
      <c r="E279" s="374">
        <f>SUM(C269:C279)</f>
        <v>2200</v>
      </c>
      <c r="F279" s="374">
        <f>SUM(D269:D279)</f>
        <v>1400</v>
      </c>
      <c r="G279" s="374">
        <f>E279-F279</f>
        <v>800</v>
      </c>
      <c r="H279">
        <f>_NOV08-H3+H268</f>
        <v>332.45</v>
      </c>
    </row>
    <row r="280" spans="1:8" x14ac:dyDescent="0.35">
      <c r="A280" s="366">
        <v>39783</v>
      </c>
      <c r="B280" s="367" t="s">
        <v>386</v>
      </c>
      <c r="C280" s="368"/>
      <c r="D280" s="368">
        <v>350</v>
      </c>
      <c r="E280" s="305"/>
      <c r="F280" s="305"/>
      <c r="G280" s="305"/>
    </row>
    <row r="281" spans="1:8" x14ac:dyDescent="0.35">
      <c r="A281" s="366">
        <v>39783</v>
      </c>
      <c r="B281" s="367" t="s">
        <v>453</v>
      </c>
      <c r="C281" s="368"/>
      <c r="D281" s="368">
        <v>300</v>
      </c>
      <c r="E281" s="305"/>
      <c r="F281" s="305"/>
      <c r="G281" s="305"/>
    </row>
    <row r="282" spans="1:8" x14ac:dyDescent="0.35">
      <c r="A282" s="366">
        <v>39785</v>
      </c>
      <c r="B282" s="367" t="s">
        <v>511</v>
      </c>
      <c r="C282" s="368"/>
      <c r="D282" s="368">
        <v>100</v>
      </c>
      <c r="E282" s="305"/>
      <c r="F282" s="305"/>
      <c r="G282" s="305"/>
    </row>
    <row r="283" spans="1:8" x14ac:dyDescent="0.35">
      <c r="A283" s="366">
        <v>39785</v>
      </c>
      <c r="B283" s="367" t="s">
        <v>512</v>
      </c>
      <c r="C283" s="368"/>
      <c r="D283" s="368">
        <v>200</v>
      </c>
      <c r="E283" s="305"/>
      <c r="F283" s="305"/>
      <c r="G283" s="305"/>
    </row>
    <row r="284" spans="1:8" x14ac:dyDescent="0.35">
      <c r="A284" s="366">
        <v>39785</v>
      </c>
      <c r="B284" s="367" t="s">
        <v>461</v>
      </c>
      <c r="C284" s="368">
        <v>150</v>
      </c>
      <c r="D284" s="368"/>
      <c r="E284" s="305"/>
      <c r="F284" s="305"/>
      <c r="G284" s="305"/>
    </row>
    <row r="285" spans="1:8" x14ac:dyDescent="0.35">
      <c r="A285" s="366">
        <v>39785</v>
      </c>
      <c r="B285" s="367" t="s">
        <v>356</v>
      </c>
      <c r="C285" s="368"/>
      <c r="D285" s="368">
        <v>160</v>
      </c>
      <c r="E285" s="305"/>
      <c r="F285" s="305"/>
      <c r="G285" s="305"/>
    </row>
    <row r="286" spans="1:8" x14ac:dyDescent="0.35">
      <c r="A286" s="366">
        <v>39785</v>
      </c>
      <c r="B286" s="367" t="s">
        <v>513</v>
      </c>
      <c r="C286" s="368"/>
      <c r="D286" s="368">
        <v>110</v>
      </c>
      <c r="E286" s="305"/>
      <c r="F286" s="305"/>
      <c r="G286" s="305"/>
    </row>
    <row r="287" spans="1:8" x14ac:dyDescent="0.35">
      <c r="A287" s="366">
        <v>39785</v>
      </c>
      <c r="B287" s="367" t="s">
        <v>514</v>
      </c>
      <c r="C287" s="368"/>
      <c r="D287" s="368">
        <v>150</v>
      </c>
      <c r="E287" s="305"/>
      <c r="F287" s="305"/>
      <c r="G287" s="305"/>
    </row>
    <row r="288" spans="1:8" x14ac:dyDescent="0.35">
      <c r="A288" s="366">
        <v>39785</v>
      </c>
      <c r="B288" s="367" t="s">
        <v>423</v>
      </c>
      <c r="C288" s="368"/>
      <c r="D288" s="368">
        <v>103</v>
      </c>
      <c r="E288" s="305"/>
      <c r="F288" s="305"/>
      <c r="G288" s="305"/>
    </row>
    <row r="289" spans="1:10" x14ac:dyDescent="0.35">
      <c r="A289" s="366">
        <v>39785</v>
      </c>
      <c r="B289" s="367" t="s">
        <v>515</v>
      </c>
      <c r="C289" s="368"/>
      <c r="D289" s="368">
        <v>42</v>
      </c>
      <c r="E289" s="305"/>
      <c r="F289" s="305"/>
      <c r="G289" s="305"/>
    </row>
    <row r="290" spans="1:10" x14ac:dyDescent="0.35">
      <c r="A290" s="366">
        <v>39787</v>
      </c>
      <c r="B290" s="367" t="s">
        <v>13</v>
      </c>
      <c r="C290" s="368">
        <v>2200</v>
      </c>
      <c r="D290" s="368"/>
      <c r="E290" s="305"/>
      <c r="F290" s="305"/>
      <c r="G290" s="305"/>
    </row>
    <row r="291" spans="1:10" x14ac:dyDescent="0.35">
      <c r="A291" s="366">
        <v>39787</v>
      </c>
      <c r="B291" s="367" t="s">
        <v>290</v>
      </c>
      <c r="C291" s="368"/>
      <c r="D291" s="368">
        <v>200</v>
      </c>
      <c r="E291" s="305"/>
      <c r="F291" s="305"/>
      <c r="G291" s="305"/>
    </row>
    <row r="292" spans="1:10" x14ac:dyDescent="0.35">
      <c r="A292" s="366">
        <v>39787</v>
      </c>
      <c r="B292" s="367" t="s">
        <v>500</v>
      </c>
      <c r="C292" s="368"/>
      <c r="D292" s="368">
        <v>160</v>
      </c>
      <c r="E292" s="305"/>
      <c r="F292" s="305"/>
      <c r="G292" s="305"/>
    </row>
    <row r="293" spans="1:10" x14ac:dyDescent="0.35">
      <c r="A293" s="366">
        <v>39790</v>
      </c>
      <c r="B293" s="367" t="s">
        <v>516</v>
      </c>
      <c r="C293" s="368"/>
      <c r="D293" s="368">
        <v>200</v>
      </c>
      <c r="E293" s="371" t="s">
        <v>27</v>
      </c>
      <c r="F293" s="305"/>
      <c r="G293" s="305"/>
    </row>
    <row r="294" spans="1:10" x14ac:dyDescent="0.35">
      <c r="A294" s="366">
        <v>39785</v>
      </c>
      <c r="B294" s="367" t="s">
        <v>441</v>
      </c>
      <c r="C294" s="368"/>
      <c r="D294" s="368">
        <f>24+7+34</f>
        <v>65</v>
      </c>
      <c r="E294" s="371" t="s">
        <v>299</v>
      </c>
      <c r="F294" s="373">
        <f>COUNTA(A280:A295)</f>
        <v>16</v>
      </c>
      <c r="G294" s="305"/>
    </row>
    <row r="295" spans="1:10" x14ac:dyDescent="0.35">
      <c r="A295" s="377">
        <v>39813</v>
      </c>
      <c r="B295" s="364" t="s">
        <v>460</v>
      </c>
      <c r="C295" s="378"/>
      <c r="D295" s="378">
        <v>90</v>
      </c>
      <c r="E295" s="374">
        <f>SUM(C280:C295)</f>
        <v>2350</v>
      </c>
      <c r="F295" s="374">
        <f>SUM(D280:D295)</f>
        <v>2230</v>
      </c>
      <c r="G295" s="374">
        <f>E295-F295</f>
        <v>120</v>
      </c>
      <c r="H295">
        <f>_DIC08-H3+H279</f>
        <v>-0.55000000000000004</v>
      </c>
    </row>
    <row r="296" spans="1:10" x14ac:dyDescent="0.35">
      <c r="C296" s="379"/>
      <c r="D296" s="379"/>
    </row>
    <row r="297" spans="1:10" x14ac:dyDescent="0.35">
      <c r="C297" s="379"/>
      <c r="D297" s="379"/>
    </row>
    <row r="298" spans="1:10" x14ac:dyDescent="0.35">
      <c r="C298" s="379"/>
      <c r="D298" s="379"/>
    </row>
    <row r="299" spans="1:10" x14ac:dyDescent="0.35">
      <c r="C299" s="379"/>
      <c r="D299" s="379"/>
      <c r="H299" s="553" t="s">
        <v>28</v>
      </c>
      <c r="I299" s="568">
        <f>D2</f>
        <v>7930.45</v>
      </c>
      <c r="J299" s="555"/>
    </row>
    <row r="300" spans="1:10" x14ac:dyDescent="0.35">
      <c r="C300" s="379"/>
      <c r="D300" s="379"/>
      <c r="H300" s="553" t="s">
        <v>29</v>
      </c>
      <c r="I300" s="554"/>
      <c r="J300" s="555"/>
    </row>
    <row r="301" spans="1:10" x14ac:dyDescent="0.35">
      <c r="C301" s="379"/>
      <c r="D301" s="379"/>
      <c r="H301" s="556">
        <f>_ENE08</f>
        <v>1222.75</v>
      </c>
      <c r="I301" s="557"/>
      <c r="J301" s="555"/>
    </row>
    <row r="302" spans="1:10" x14ac:dyDescent="0.35">
      <c r="C302" s="379"/>
      <c r="D302" s="379"/>
      <c r="H302" s="556">
        <f>_FEB08</f>
        <v>570.45000000000005</v>
      </c>
      <c r="I302" s="557"/>
      <c r="J302" s="555"/>
    </row>
    <row r="303" spans="1:10" x14ac:dyDescent="0.35">
      <c r="C303" s="379"/>
      <c r="D303" s="379"/>
      <c r="H303" s="556">
        <f>_MAR08</f>
        <v>100.65</v>
      </c>
      <c r="I303" s="557"/>
      <c r="J303" s="555"/>
    </row>
    <row r="304" spans="1:10" x14ac:dyDescent="0.35">
      <c r="C304" s="379"/>
      <c r="D304" s="379"/>
      <c r="H304" s="556">
        <f>_ABR08</f>
        <v>31.95</v>
      </c>
      <c r="I304" s="557"/>
      <c r="J304" s="555"/>
    </row>
    <row r="305" spans="1:12" x14ac:dyDescent="0.35">
      <c r="C305" s="379"/>
      <c r="D305" s="379"/>
      <c r="H305" s="556">
        <f>_MAY08</f>
        <v>279.64999999999998</v>
      </c>
      <c r="I305" s="557"/>
      <c r="J305" s="555"/>
    </row>
    <row r="306" spans="1:12" x14ac:dyDescent="0.35">
      <c r="C306" s="379"/>
      <c r="D306" s="379"/>
      <c r="H306" s="556">
        <f>_JUN08</f>
        <v>780</v>
      </c>
      <c r="I306" s="557"/>
      <c r="J306" s="555"/>
    </row>
    <row r="307" spans="1:12" x14ac:dyDescent="0.35">
      <c r="C307" s="379"/>
      <c r="D307" s="379"/>
      <c r="H307" s="556">
        <f>_JUL08</f>
        <v>850</v>
      </c>
      <c r="I307" s="557"/>
      <c r="J307" s="555"/>
    </row>
    <row r="308" spans="1:12" x14ac:dyDescent="0.35">
      <c r="C308" s="379"/>
      <c r="D308" s="379"/>
      <c r="H308" s="556">
        <f>_AGO08</f>
        <v>50</v>
      </c>
      <c r="I308" s="557"/>
      <c r="J308" s="555"/>
    </row>
    <row r="309" spans="1:12" x14ac:dyDescent="0.35">
      <c r="C309" s="379"/>
      <c r="D309" s="379"/>
      <c r="H309" s="556">
        <f>_SEP08</f>
        <v>150</v>
      </c>
      <c r="I309" s="557"/>
      <c r="J309" s="555"/>
    </row>
    <row r="310" spans="1:12" x14ac:dyDescent="0.35">
      <c r="C310" s="379"/>
      <c r="D310" s="379"/>
      <c r="H310" s="556">
        <f>_OCT08</f>
        <v>480</v>
      </c>
      <c r="I310" s="557"/>
      <c r="J310" s="555"/>
    </row>
    <row r="311" spans="1:12" x14ac:dyDescent="0.35">
      <c r="C311" s="379"/>
      <c r="D311" s="379"/>
      <c r="H311" s="556">
        <f>_NOV08</f>
        <v>800</v>
      </c>
      <c r="I311" s="557"/>
      <c r="J311" s="555"/>
    </row>
    <row r="312" spans="1:12" x14ac:dyDescent="0.35">
      <c r="C312" s="379"/>
      <c r="D312" s="379"/>
      <c r="H312" s="556">
        <f>_DIC08</f>
        <v>120</v>
      </c>
      <c r="I312" s="557"/>
      <c r="J312" s="555"/>
    </row>
    <row r="313" spans="1:12" x14ac:dyDescent="0.35">
      <c r="C313" s="379"/>
      <c r="D313" s="379"/>
      <c r="H313" s="558">
        <f>SUM(H301:H312)</f>
        <v>5435.45</v>
      </c>
      <c r="I313" s="559">
        <f>-SUM(I301:I312)</f>
        <v>0</v>
      </c>
      <c r="J313" s="560">
        <f>H313-I313</f>
        <v>5435.45</v>
      </c>
    </row>
    <row r="314" spans="1:12" x14ac:dyDescent="0.35">
      <c r="C314" s="379"/>
      <c r="D314" s="379"/>
      <c r="H314" s="23"/>
      <c r="I314" s="23"/>
      <c r="J314" s="15"/>
    </row>
    <row r="315" spans="1:12" x14ac:dyDescent="0.35">
      <c r="C315" s="379"/>
      <c r="D315" s="379"/>
      <c r="H315" s="24"/>
      <c r="I315" s="23"/>
      <c r="J315" s="15"/>
      <c r="L315" s="180"/>
    </row>
    <row r="316" spans="1:12" x14ac:dyDescent="0.35">
      <c r="C316" s="379"/>
      <c r="D316" s="379"/>
      <c r="F316" s="28"/>
      <c r="G316" s="28"/>
      <c r="H316" s="181"/>
      <c r="I316" s="565"/>
      <c r="J316" s="51"/>
      <c r="K316" s="43"/>
    </row>
    <row r="317" spans="1:12" x14ac:dyDescent="0.35">
      <c r="C317" s="379"/>
      <c r="D317" s="379"/>
      <c r="H317" s="181"/>
      <c r="I317" s="323"/>
      <c r="J317" s="51"/>
      <c r="K317" s="37"/>
    </row>
    <row r="318" spans="1:12" x14ac:dyDescent="0.35">
      <c r="A318" s="380" t="s">
        <v>32</v>
      </c>
      <c r="B318" s="380" t="s">
        <v>33</v>
      </c>
      <c r="H318" s="323"/>
      <c r="I318" s="323"/>
      <c r="J318" s="51"/>
      <c r="K318" s="37"/>
    </row>
    <row r="319" spans="1:12" x14ac:dyDescent="0.35">
      <c r="A319" s="382">
        <f>SUM(C5:C318)</f>
        <v>26685</v>
      </c>
      <c r="B319" s="382">
        <f>SUM(D5:D318)</f>
        <v>21249.55</v>
      </c>
      <c r="E319" s="182"/>
      <c r="H319" s="565"/>
      <c r="I319" s="323"/>
      <c r="J319" s="51"/>
      <c r="K319" s="37"/>
    </row>
    <row r="320" spans="1:12" x14ac:dyDescent="0.35">
      <c r="H320" s="24"/>
      <c r="I320" s="23"/>
      <c r="J320" s="15"/>
    </row>
    <row r="321" spans="8:10" x14ac:dyDescent="0.35">
      <c r="H321" s="24"/>
      <c r="I321" s="23"/>
      <c r="J321" s="15"/>
    </row>
    <row r="326" spans="8:10" x14ac:dyDescent="0.3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50" customWidth="1"/>
    <col min="4" max="4" width="12.7265625" style="893" customWidth="1"/>
    <col min="5" max="5" width="17.36328125" customWidth="1"/>
    <col min="6" max="6" width="11.36328125" style="739" customWidth="1"/>
    <col min="7" max="7" width="14.7265625" customWidth="1"/>
    <col min="8" max="8" width="12.26953125" customWidth="1"/>
    <col min="9" max="9" width="10.81640625" customWidth="1"/>
    <col min="10" max="10" width="11.36328125" customWidth="1"/>
  </cols>
  <sheetData>
    <row r="1" spans="1:8" ht="12" customHeight="1" x14ac:dyDescent="0.35">
      <c r="A1" s="1192"/>
      <c r="B1" s="1193"/>
      <c r="C1" s="325" t="s">
        <v>0</v>
      </c>
      <c r="D1" s="943">
        <f>COUNTA(A5:A293)</f>
        <v>289</v>
      </c>
      <c r="E1" s="326"/>
    </row>
    <row r="2" spans="1:8" x14ac:dyDescent="0.35">
      <c r="A2" s="292" t="s">
        <v>2</v>
      </c>
      <c r="B2" s="293">
        <f>G30+G50+G74+G89+G124+G156+G192+G215+G241+G263+G275+G293</f>
        <v>1465</v>
      </c>
      <c r="C2" s="327" t="s">
        <v>251</v>
      </c>
      <c r="D2" s="853">
        <f>SUM(C4:C341)-SUM(D4:D341)</f>
        <v>2495</v>
      </c>
      <c r="E2" s="328"/>
      <c r="F2" s="860"/>
    </row>
    <row r="3" spans="1:8" x14ac:dyDescent="0.35">
      <c r="A3" s="329" t="s">
        <v>7</v>
      </c>
      <c r="B3" s="330" t="s">
        <v>8</v>
      </c>
      <c r="C3" s="331" t="s">
        <v>9</v>
      </c>
      <c r="D3" s="885" t="s">
        <v>63</v>
      </c>
      <c r="E3" s="333"/>
      <c r="F3" s="861"/>
    </row>
    <row r="4" spans="1:8" x14ac:dyDescent="0.35">
      <c r="A4" s="334"/>
      <c r="B4" s="335" t="s">
        <v>286</v>
      </c>
      <c r="C4" s="336">
        <v>1030</v>
      </c>
      <c r="D4" s="886"/>
    </row>
    <row r="5" spans="1:8" x14ac:dyDescent="0.35">
      <c r="A5" s="337">
        <v>39084</v>
      </c>
      <c r="B5" s="338" t="s">
        <v>13</v>
      </c>
      <c r="C5" s="339">
        <v>300</v>
      </c>
      <c r="D5" s="887"/>
    </row>
    <row r="6" spans="1:8" x14ac:dyDescent="0.35">
      <c r="A6" s="337">
        <v>39084</v>
      </c>
      <c r="B6" s="338" t="s">
        <v>277</v>
      </c>
      <c r="C6" s="339">
        <v>10</v>
      </c>
      <c r="D6" s="887"/>
      <c r="F6" s="862"/>
      <c r="G6" s="305"/>
    </row>
    <row r="7" spans="1:8" x14ac:dyDescent="0.35">
      <c r="A7" s="337">
        <v>39085</v>
      </c>
      <c r="B7" s="338" t="s">
        <v>277</v>
      </c>
      <c r="C7" s="339">
        <v>20</v>
      </c>
      <c r="D7" s="887"/>
      <c r="F7" s="862"/>
      <c r="G7" s="315"/>
    </row>
    <row r="8" spans="1:8" x14ac:dyDescent="0.35">
      <c r="A8" s="337">
        <v>39086</v>
      </c>
      <c r="B8" s="338" t="s">
        <v>287</v>
      </c>
      <c r="C8" s="339"/>
      <c r="D8" s="887">
        <v>20</v>
      </c>
      <c r="F8" s="862"/>
      <c r="G8" s="315"/>
      <c r="H8" s="304"/>
    </row>
    <row r="9" spans="1:8" x14ac:dyDescent="0.35">
      <c r="A9" s="337">
        <v>39089</v>
      </c>
      <c r="B9" s="338" t="s">
        <v>13</v>
      </c>
      <c r="C9" s="339">
        <v>70</v>
      </c>
      <c r="D9" s="887"/>
      <c r="F9" s="863"/>
      <c r="G9" s="315"/>
      <c r="H9" s="304"/>
    </row>
    <row r="10" spans="1:8" x14ac:dyDescent="0.35">
      <c r="A10" s="337">
        <v>39089</v>
      </c>
      <c r="B10" s="338" t="s">
        <v>255</v>
      </c>
      <c r="C10" s="339">
        <v>40</v>
      </c>
      <c r="D10" s="887"/>
      <c r="F10" s="863"/>
      <c r="G10" s="315"/>
      <c r="H10" s="305"/>
    </row>
    <row r="11" spans="1:8" x14ac:dyDescent="0.35">
      <c r="A11" s="337">
        <v>39092</v>
      </c>
      <c r="B11" s="338" t="s">
        <v>288</v>
      </c>
      <c r="C11" s="339"/>
      <c r="D11" s="887">
        <v>10</v>
      </c>
      <c r="F11" s="863"/>
      <c r="G11" s="315"/>
    </row>
    <row r="12" spans="1:8" x14ac:dyDescent="0.35">
      <c r="A12" s="337">
        <v>39092</v>
      </c>
      <c r="B12" s="338" t="s">
        <v>287</v>
      </c>
      <c r="C12" s="339"/>
      <c r="D12" s="887">
        <v>10</v>
      </c>
      <c r="F12" s="863"/>
      <c r="G12" s="315"/>
    </row>
    <row r="13" spans="1:8" x14ac:dyDescent="0.35">
      <c r="A13" s="337">
        <v>39096</v>
      </c>
      <c r="B13" s="338" t="s">
        <v>13</v>
      </c>
      <c r="C13" s="339">
        <v>70</v>
      </c>
      <c r="D13" s="887"/>
      <c r="F13" s="864"/>
    </row>
    <row r="14" spans="1:8" x14ac:dyDescent="0.35">
      <c r="A14" s="337">
        <v>39096</v>
      </c>
      <c r="B14" s="338" t="s">
        <v>289</v>
      </c>
      <c r="C14" s="339"/>
      <c r="D14" s="887">
        <v>10</v>
      </c>
      <c r="F14" s="864"/>
    </row>
    <row r="15" spans="1:8" x14ac:dyDescent="0.35">
      <c r="A15" s="337">
        <v>39097</v>
      </c>
      <c r="B15" s="338" t="s">
        <v>287</v>
      </c>
      <c r="C15" s="339"/>
      <c r="D15" s="887">
        <v>20</v>
      </c>
      <c r="F15" s="864"/>
    </row>
    <row r="16" spans="1:8" x14ac:dyDescent="0.35">
      <c r="A16" s="337">
        <v>39098</v>
      </c>
      <c r="B16" s="338" t="s">
        <v>290</v>
      </c>
      <c r="C16" s="339"/>
      <c r="D16" s="887">
        <v>10</v>
      </c>
      <c r="F16" s="864"/>
    </row>
    <row r="17" spans="1:7" x14ac:dyDescent="0.35">
      <c r="A17" s="337">
        <v>39099</v>
      </c>
      <c r="B17" s="338" t="s">
        <v>291</v>
      </c>
      <c r="C17" s="339"/>
      <c r="D17" s="887">
        <v>10</v>
      </c>
      <c r="F17" s="864"/>
    </row>
    <row r="18" spans="1:7" x14ac:dyDescent="0.35">
      <c r="A18" s="337">
        <v>39099</v>
      </c>
      <c r="B18" s="338" t="s">
        <v>292</v>
      </c>
      <c r="C18" s="339"/>
      <c r="D18" s="887">
        <v>20</v>
      </c>
      <c r="F18" s="864"/>
    </row>
    <row r="19" spans="1:7" x14ac:dyDescent="0.35">
      <c r="A19" s="337">
        <v>39099</v>
      </c>
      <c r="B19" s="338" t="s">
        <v>293</v>
      </c>
      <c r="C19" s="339"/>
      <c r="D19" s="887">
        <v>30</v>
      </c>
    </row>
    <row r="20" spans="1:7" x14ac:dyDescent="0.35">
      <c r="A20" s="337">
        <v>39100</v>
      </c>
      <c r="B20" s="338" t="s">
        <v>292</v>
      </c>
      <c r="C20" s="339"/>
      <c r="D20" s="887">
        <v>6</v>
      </c>
    </row>
    <row r="21" spans="1:7" x14ac:dyDescent="0.35">
      <c r="A21" s="337">
        <v>39100</v>
      </c>
      <c r="B21" s="338" t="s">
        <v>294</v>
      </c>
      <c r="C21" s="339"/>
      <c r="D21" s="887">
        <v>5</v>
      </c>
    </row>
    <row r="22" spans="1:7" x14ac:dyDescent="0.35">
      <c r="A22" s="337">
        <v>39101</v>
      </c>
      <c r="B22" s="338" t="s">
        <v>277</v>
      </c>
      <c r="C22" s="339">
        <v>10</v>
      </c>
      <c r="D22" s="887"/>
    </row>
    <row r="23" spans="1:7" x14ac:dyDescent="0.35">
      <c r="A23" s="337">
        <v>39101</v>
      </c>
      <c r="B23" s="338" t="s">
        <v>295</v>
      </c>
      <c r="C23" s="339"/>
      <c r="D23" s="887">
        <v>16</v>
      </c>
    </row>
    <row r="24" spans="1:7" x14ac:dyDescent="0.35">
      <c r="A24" s="337">
        <v>39103</v>
      </c>
      <c r="B24" s="338" t="s">
        <v>13</v>
      </c>
      <c r="C24" s="339">
        <v>70</v>
      </c>
      <c r="D24" s="887"/>
    </row>
    <row r="25" spans="1:7" x14ac:dyDescent="0.35">
      <c r="A25" s="337">
        <v>39103</v>
      </c>
      <c r="B25" s="338" t="s">
        <v>296</v>
      </c>
      <c r="C25" s="339">
        <v>150</v>
      </c>
      <c r="D25" s="887"/>
    </row>
    <row r="26" spans="1:7" x14ac:dyDescent="0.35">
      <c r="A26" s="337">
        <v>39104</v>
      </c>
      <c r="B26" s="338" t="s">
        <v>294</v>
      </c>
      <c r="C26" s="339"/>
      <c r="D26" s="887">
        <v>13</v>
      </c>
    </row>
    <row r="27" spans="1:7" x14ac:dyDescent="0.35">
      <c r="A27" s="337">
        <v>39108</v>
      </c>
      <c r="B27" s="338" t="s">
        <v>297</v>
      </c>
      <c r="C27" s="339"/>
      <c r="D27" s="887">
        <v>5</v>
      </c>
    </row>
    <row r="28" spans="1:7" x14ac:dyDescent="0.35">
      <c r="A28" s="337">
        <v>39110</v>
      </c>
      <c r="B28" s="338" t="s">
        <v>13</v>
      </c>
      <c r="C28" s="339">
        <v>70</v>
      </c>
      <c r="D28" s="887"/>
      <c r="E28" s="306" t="s">
        <v>11</v>
      </c>
    </row>
    <row r="29" spans="1:7" x14ac:dyDescent="0.35">
      <c r="A29" s="337">
        <v>39112</v>
      </c>
      <c r="B29" s="338" t="s">
        <v>298</v>
      </c>
      <c r="C29" s="339"/>
      <c r="D29" s="887">
        <v>5</v>
      </c>
      <c r="E29" s="341" t="s">
        <v>299</v>
      </c>
      <c r="F29" s="865">
        <f>COUNTA(A5:A30)</f>
        <v>26</v>
      </c>
    </row>
    <row r="30" spans="1:7" x14ac:dyDescent="0.35">
      <c r="A30" s="342">
        <v>39113</v>
      </c>
      <c r="B30" s="343" t="s">
        <v>300</v>
      </c>
      <c r="C30" s="344">
        <v>50</v>
      </c>
      <c r="D30" s="888"/>
      <c r="E30" s="310">
        <f>SUM(C5:C30)</f>
        <v>860</v>
      </c>
      <c r="F30" s="865">
        <f>SUM(D5:D30)</f>
        <v>190</v>
      </c>
      <c r="G30" s="310">
        <f>E30-F30</f>
        <v>670</v>
      </c>
    </row>
    <row r="31" spans="1:7" x14ac:dyDescent="0.35">
      <c r="A31" s="337">
        <v>39115</v>
      </c>
      <c r="B31" s="338" t="s">
        <v>255</v>
      </c>
      <c r="C31" s="339">
        <v>30</v>
      </c>
      <c r="D31" s="887"/>
    </row>
    <row r="32" spans="1:7" x14ac:dyDescent="0.35">
      <c r="A32" s="337">
        <v>39116</v>
      </c>
      <c r="B32" s="338" t="s">
        <v>13</v>
      </c>
      <c r="C32" s="339">
        <v>70</v>
      </c>
      <c r="D32" s="887"/>
    </row>
    <row r="33" spans="1:7" x14ac:dyDescent="0.35">
      <c r="A33" s="337">
        <v>39117</v>
      </c>
      <c r="B33" s="338" t="s">
        <v>13</v>
      </c>
      <c r="C33" s="339">
        <v>300</v>
      </c>
      <c r="D33" s="887"/>
    </row>
    <row r="34" spans="1:7" x14ac:dyDescent="0.35">
      <c r="A34" s="337">
        <v>39117</v>
      </c>
      <c r="B34" s="338" t="s">
        <v>287</v>
      </c>
      <c r="C34" s="339"/>
      <c r="D34" s="887">
        <v>10</v>
      </c>
    </row>
    <row r="35" spans="1:7" x14ac:dyDescent="0.35">
      <c r="A35" s="337">
        <v>39118</v>
      </c>
      <c r="B35" s="338" t="s">
        <v>301</v>
      </c>
      <c r="C35" s="339"/>
      <c r="D35" s="887">
        <v>6</v>
      </c>
    </row>
    <row r="36" spans="1:7" x14ac:dyDescent="0.35">
      <c r="A36" s="337">
        <v>39118</v>
      </c>
      <c r="B36" s="338" t="s">
        <v>302</v>
      </c>
      <c r="C36" s="339"/>
      <c r="D36" s="887">
        <v>4</v>
      </c>
    </row>
    <row r="37" spans="1:7" x14ac:dyDescent="0.35">
      <c r="A37" s="337">
        <v>39118</v>
      </c>
      <c r="B37" s="338" t="s">
        <v>303</v>
      </c>
      <c r="C37" s="339"/>
      <c r="D37" s="887">
        <v>15</v>
      </c>
    </row>
    <row r="38" spans="1:7" x14ac:dyDescent="0.35">
      <c r="A38" s="337">
        <v>39118</v>
      </c>
      <c r="B38" s="338" t="s">
        <v>304</v>
      </c>
      <c r="C38" s="339"/>
      <c r="D38" s="887">
        <v>10</v>
      </c>
    </row>
    <row r="39" spans="1:7" x14ac:dyDescent="0.35">
      <c r="A39" s="337">
        <v>39120</v>
      </c>
      <c r="B39" s="338" t="s">
        <v>305</v>
      </c>
      <c r="C39" s="339"/>
      <c r="D39" s="887">
        <v>12</v>
      </c>
    </row>
    <row r="40" spans="1:7" x14ac:dyDescent="0.35">
      <c r="A40" s="337">
        <v>39121</v>
      </c>
      <c r="B40" s="338" t="s">
        <v>306</v>
      </c>
      <c r="C40" s="339"/>
      <c r="D40" s="887">
        <v>18</v>
      </c>
    </row>
    <row r="41" spans="1:7" x14ac:dyDescent="0.35">
      <c r="A41" s="337">
        <v>39122</v>
      </c>
      <c r="B41" s="338" t="s">
        <v>289</v>
      </c>
      <c r="C41" s="339"/>
      <c r="D41" s="887">
        <v>20</v>
      </c>
    </row>
    <row r="42" spans="1:7" x14ac:dyDescent="0.35">
      <c r="A42" s="337">
        <v>39124</v>
      </c>
      <c r="B42" s="338" t="s">
        <v>13</v>
      </c>
      <c r="C42" s="339">
        <v>70</v>
      </c>
      <c r="D42" s="887"/>
    </row>
    <row r="43" spans="1:7" x14ac:dyDescent="0.35">
      <c r="A43" s="337">
        <v>39125</v>
      </c>
      <c r="B43" s="338" t="s">
        <v>307</v>
      </c>
      <c r="C43" s="339"/>
      <c r="D43" s="887">
        <v>15</v>
      </c>
    </row>
    <row r="44" spans="1:7" x14ac:dyDescent="0.35">
      <c r="A44" s="337">
        <v>39126</v>
      </c>
      <c r="B44" s="338" t="s">
        <v>308</v>
      </c>
      <c r="C44" s="339"/>
      <c r="D44" s="887">
        <f>40+35</f>
        <v>75</v>
      </c>
      <c r="F44" s="866"/>
      <c r="G44" s="304"/>
    </row>
    <row r="45" spans="1:7" x14ac:dyDescent="0.35">
      <c r="A45" s="337">
        <v>39131</v>
      </c>
      <c r="B45" s="338" t="s">
        <v>13</v>
      </c>
      <c r="C45" s="339">
        <v>70</v>
      </c>
      <c r="D45" s="887"/>
      <c r="F45" s="866"/>
      <c r="G45" s="304"/>
    </row>
    <row r="46" spans="1:7" x14ac:dyDescent="0.35">
      <c r="A46" s="337">
        <v>39132</v>
      </c>
      <c r="B46" s="338" t="s">
        <v>309</v>
      </c>
      <c r="C46" s="339"/>
      <c r="D46" s="887">
        <v>55</v>
      </c>
      <c r="F46" s="866"/>
      <c r="G46" s="304"/>
    </row>
    <row r="47" spans="1:7" x14ac:dyDescent="0.35">
      <c r="A47" s="337">
        <v>39135</v>
      </c>
      <c r="B47" s="338" t="s">
        <v>310</v>
      </c>
      <c r="C47" s="339"/>
      <c r="D47" s="887">
        <v>15</v>
      </c>
      <c r="F47" s="866"/>
      <c r="G47" s="304"/>
    </row>
    <row r="48" spans="1:7" x14ac:dyDescent="0.35">
      <c r="A48" s="337">
        <v>39136</v>
      </c>
      <c r="B48" s="338" t="s">
        <v>277</v>
      </c>
      <c r="C48" s="339">
        <v>10</v>
      </c>
      <c r="D48" s="887"/>
      <c r="E48" s="306" t="s">
        <v>16</v>
      </c>
      <c r="F48" s="867"/>
      <c r="G48" s="305"/>
    </row>
    <row r="49" spans="1:7" x14ac:dyDescent="0.35">
      <c r="A49" s="337">
        <v>39138</v>
      </c>
      <c r="B49" s="338" t="s">
        <v>13</v>
      </c>
      <c r="C49" s="339">
        <v>70</v>
      </c>
      <c r="D49" s="887"/>
      <c r="E49" s="341" t="s">
        <v>299</v>
      </c>
      <c r="F49" s="865">
        <f>COUNTA(A31:A50)</f>
        <v>20</v>
      </c>
    </row>
    <row r="50" spans="1:7" x14ac:dyDescent="0.35">
      <c r="A50" s="342">
        <v>39139</v>
      </c>
      <c r="B50" s="343" t="s">
        <v>290</v>
      </c>
      <c r="C50" s="344"/>
      <c r="D50" s="888">
        <v>15</v>
      </c>
      <c r="E50" s="311">
        <f>SUM(C31:C50)</f>
        <v>620</v>
      </c>
      <c r="F50" s="868">
        <f>SUM(D31:D50)</f>
        <v>270</v>
      </c>
      <c r="G50" s="311">
        <f>E50-F50</f>
        <v>350</v>
      </c>
    </row>
    <row r="51" spans="1:7" x14ac:dyDescent="0.35">
      <c r="A51" s="337">
        <v>39143</v>
      </c>
      <c r="B51" s="338" t="s">
        <v>311</v>
      </c>
      <c r="C51" s="339">
        <v>100</v>
      </c>
      <c r="D51" s="887"/>
    </row>
    <row r="52" spans="1:7" x14ac:dyDescent="0.35">
      <c r="A52" s="337">
        <v>39143</v>
      </c>
      <c r="B52" s="338" t="s">
        <v>312</v>
      </c>
      <c r="C52" s="339"/>
      <c r="D52" s="887">
        <v>100</v>
      </c>
    </row>
    <row r="53" spans="1:7" x14ac:dyDescent="0.35">
      <c r="A53" s="337">
        <v>39117</v>
      </c>
      <c r="B53" s="338" t="s">
        <v>13</v>
      </c>
      <c r="C53" s="339">
        <v>300</v>
      </c>
      <c r="D53" s="887"/>
    </row>
    <row r="54" spans="1:7" x14ac:dyDescent="0.35">
      <c r="A54" s="337">
        <v>39117</v>
      </c>
      <c r="B54" s="338" t="s">
        <v>13</v>
      </c>
      <c r="C54" s="339">
        <v>70</v>
      </c>
      <c r="D54" s="887"/>
      <c r="F54" s="869"/>
    </row>
    <row r="55" spans="1:7" x14ac:dyDescent="0.35">
      <c r="A55" s="337">
        <v>39117</v>
      </c>
      <c r="B55" s="338" t="s">
        <v>277</v>
      </c>
      <c r="C55" s="339">
        <v>50</v>
      </c>
      <c r="D55" s="887"/>
      <c r="F55" s="869"/>
      <c r="G55" s="313"/>
    </row>
    <row r="56" spans="1:7" x14ac:dyDescent="0.35">
      <c r="A56" s="337">
        <v>39118</v>
      </c>
      <c r="B56" s="338" t="s">
        <v>294</v>
      </c>
      <c r="C56" s="339"/>
      <c r="D56" s="887">
        <v>27</v>
      </c>
      <c r="F56" s="869"/>
      <c r="G56" s="313"/>
    </row>
    <row r="57" spans="1:7" x14ac:dyDescent="0.35">
      <c r="A57" s="337">
        <v>39119</v>
      </c>
      <c r="B57" s="338" t="s">
        <v>313</v>
      </c>
      <c r="C57" s="339"/>
      <c r="D57" s="887">
        <v>12</v>
      </c>
      <c r="F57" s="869"/>
      <c r="G57" s="313"/>
    </row>
    <row r="58" spans="1:7" x14ac:dyDescent="0.35">
      <c r="A58" s="337">
        <v>39120</v>
      </c>
      <c r="B58" s="338" t="s">
        <v>277</v>
      </c>
      <c r="C58" s="339">
        <v>23</v>
      </c>
      <c r="D58" s="887"/>
      <c r="F58" s="869"/>
      <c r="G58" s="313"/>
    </row>
    <row r="59" spans="1:7" x14ac:dyDescent="0.35">
      <c r="A59" s="337">
        <v>39121</v>
      </c>
      <c r="B59" s="338" t="s">
        <v>294</v>
      </c>
      <c r="C59" s="339"/>
      <c r="D59" s="887">
        <v>10</v>
      </c>
      <c r="F59" s="869"/>
      <c r="G59" s="313"/>
    </row>
    <row r="60" spans="1:7" x14ac:dyDescent="0.35">
      <c r="A60" s="337">
        <v>39121</v>
      </c>
      <c r="B60" s="338" t="s">
        <v>314</v>
      </c>
      <c r="C60" s="339"/>
      <c r="D60" s="887">
        <v>4</v>
      </c>
      <c r="E60" s="182"/>
      <c r="F60" s="869"/>
      <c r="G60" s="313"/>
    </row>
    <row r="61" spans="1:7" x14ac:dyDescent="0.35">
      <c r="A61" s="337">
        <v>39152</v>
      </c>
      <c r="B61" s="338" t="s">
        <v>13</v>
      </c>
      <c r="C61" s="339">
        <v>70</v>
      </c>
      <c r="D61" s="887"/>
      <c r="E61" s="182"/>
      <c r="F61" s="869"/>
      <c r="G61" s="313"/>
    </row>
    <row r="62" spans="1:7" x14ac:dyDescent="0.35">
      <c r="A62" s="337">
        <v>39153</v>
      </c>
      <c r="B62" s="338" t="s">
        <v>287</v>
      </c>
      <c r="C62" s="339"/>
      <c r="D62" s="887">
        <v>5</v>
      </c>
      <c r="E62" s="182"/>
      <c r="F62" s="869"/>
      <c r="G62" s="313"/>
    </row>
    <row r="63" spans="1:7" x14ac:dyDescent="0.35">
      <c r="A63" s="337">
        <v>39154</v>
      </c>
      <c r="B63" s="338" t="s">
        <v>315</v>
      </c>
      <c r="C63" s="339"/>
      <c r="D63" s="887">
        <v>25</v>
      </c>
      <c r="E63" s="182"/>
      <c r="F63" s="869"/>
      <c r="G63" s="313"/>
    </row>
    <row r="64" spans="1:7" x14ac:dyDescent="0.35">
      <c r="A64" s="337">
        <v>39159</v>
      </c>
      <c r="B64" s="338" t="s">
        <v>13</v>
      </c>
      <c r="C64" s="339">
        <v>70</v>
      </c>
      <c r="D64" s="887"/>
      <c r="E64" s="182"/>
      <c r="F64" s="869"/>
      <c r="G64" s="313"/>
    </row>
    <row r="65" spans="1:8" x14ac:dyDescent="0.35">
      <c r="A65" s="337">
        <v>39159</v>
      </c>
      <c r="B65" s="338" t="s">
        <v>255</v>
      </c>
      <c r="C65" s="339">
        <v>40</v>
      </c>
      <c r="D65" s="887"/>
      <c r="E65" s="182"/>
      <c r="F65" s="869"/>
    </row>
    <row r="66" spans="1:8" x14ac:dyDescent="0.35">
      <c r="A66" s="337">
        <v>39162</v>
      </c>
      <c r="B66" s="338" t="s">
        <v>287</v>
      </c>
      <c r="C66" s="339"/>
      <c r="D66" s="887">
        <v>20</v>
      </c>
      <c r="E66" s="182"/>
    </row>
    <row r="67" spans="1:8" x14ac:dyDescent="0.35">
      <c r="A67" s="337">
        <v>39162</v>
      </c>
      <c r="B67" s="338" t="s">
        <v>316</v>
      </c>
      <c r="C67" s="339"/>
      <c r="D67" s="887">
        <v>90</v>
      </c>
      <c r="E67" s="182"/>
    </row>
    <row r="68" spans="1:8" x14ac:dyDescent="0.35">
      <c r="A68" s="337">
        <v>39163</v>
      </c>
      <c r="B68" s="338" t="s">
        <v>317</v>
      </c>
      <c r="C68" s="339"/>
      <c r="D68" s="887">
        <v>20</v>
      </c>
      <c r="E68" s="182"/>
    </row>
    <row r="69" spans="1:8" x14ac:dyDescent="0.35">
      <c r="A69" s="337">
        <v>39163</v>
      </c>
      <c r="B69" s="338" t="s">
        <v>318</v>
      </c>
      <c r="C69" s="339"/>
      <c r="D69" s="887">
        <v>50</v>
      </c>
    </row>
    <row r="70" spans="1:8" x14ac:dyDescent="0.35">
      <c r="A70" s="337">
        <v>39166</v>
      </c>
      <c r="B70" s="338" t="s">
        <v>319</v>
      </c>
      <c r="C70" s="339">
        <v>200</v>
      </c>
      <c r="D70" s="887"/>
    </row>
    <row r="71" spans="1:8" x14ac:dyDescent="0.35">
      <c r="A71" s="337">
        <v>39166</v>
      </c>
      <c r="B71" s="338" t="s">
        <v>13</v>
      </c>
      <c r="C71" s="339">
        <v>70</v>
      </c>
      <c r="D71" s="887"/>
    </row>
    <row r="72" spans="1:8" x14ac:dyDescent="0.35">
      <c r="A72" s="337">
        <v>39169</v>
      </c>
      <c r="B72" s="338" t="s">
        <v>317</v>
      </c>
      <c r="C72" s="339"/>
      <c r="D72" s="887">
        <v>28</v>
      </c>
      <c r="E72" s="306" t="s">
        <v>17</v>
      </c>
    </row>
    <row r="73" spans="1:8" x14ac:dyDescent="0.35">
      <c r="A73" s="337">
        <v>39169</v>
      </c>
      <c r="B73" s="338" t="s">
        <v>297</v>
      </c>
      <c r="C73" s="339"/>
      <c r="D73" s="887">
        <v>9</v>
      </c>
      <c r="E73" s="341" t="s">
        <v>299</v>
      </c>
      <c r="F73" s="865">
        <f>COUNTA(A51:A74)</f>
        <v>24</v>
      </c>
    </row>
    <row r="74" spans="1:8" x14ac:dyDescent="0.35">
      <c r="A74" s="342">
        <v>39172</v>
      </c>
      <c r="B74" s="343" t="s">
        <v>13</v>
      </c>
      <c r="C74" s="344">
        <v>40</v>
      </c>
      <c r="D74" s="888"/>
      <c r="E74" s="310">
        <f>SUM(C51:C74)</f>
        <v>1033</v>
      </c>
      <c r="F74" s="865">
        <f>SUM(D51:D74)</f>
        <v>400</v>
      </c>
      <c r="G74" s="310">
        <f>E74-F74</f>
        <v>633</v>
      </c>
    </row>
    <row r="75" spans="1:8" x14ac:dyDescent="0.35">
      <c r="A75" s="337">
        <v>39173</v>
      </c>
      <c r="B75" s="338" t="s">
        <v>13</v>
      </c>
      <c r="C75" s="339">
        <v>30</v>
      </c>
      <c r="D75" s="887"/>
      <c r="E75" s="312"/>
      <c r="F75" s="870"/>
      <c r="G75" s="312"/>
    </row>
    <row r="76" spans="1:8" x14ac:dyDescent="0.35">
      <c r="A76" s="337">
        <v>39173</v>
      </c>
      <c r="B76" s="338" t="s">
        <v>13</v>
      </c>
      <c r="C76" s="339">
        <v>300</v>
      </c>
      <c r="D76" s="887"/>
      <c r="E76" s="312"/>
      <c r="F76" s="870"/>
      <c r="G76" s="312"/>
    </row>
    <row r="77" spans="1:8" x14ac:dyDescent="0.35">
      <c r="A77" s="337">
        <v>39173</v>
      </c>
      <c r="B77" s="338" t="s">
        <v>255</v>
      </c>
      <c r="C77" s="339">
        <f>124-83</f>
        <v>41</v>
      </c>
      <c r="D77" s="887"/>
    </row>
    <row r="78" spans="1:8" x14ac:dyDescent="0.35">
      <c r="A78" s="337">
        <v>39176</v>
      </c>
      <c r="B78" s="338" t="s">
        <v>303</v>
      </c>
      <c r="C78" s="339"/>
      <c r="D78" s="887">
        <v>17</v>
      </c>
      <c r="E78" s="1194">
        <v>39174</v>
      </c>
      <c r="F78" s="1195"/>
      <c r="G78" s="1195"/>
      <c r="H78" t="s">
        <v>928</v>
      </c>
    </row>
    <row r="79" spans="1:8" x14ac:dyDescent="0.35">
      <c r="A79" s="337">
        <v>39176</v>
      </c>
      <c r="B79" s="338" t="s">
        <v>320</v>
      </c>
      <c r="C79" s="339"/>
      <c r="D79" s="887">
        <v>17</v>
      </c>
    </row>
    <row r="80" spans="1:8" x14ac:dyDescent="0.35">
      <c r="A80" s="337">
        <v>39177</v>
      </c>
      <c r="B80" s="338" t="s">
        <v>321</v>
      </c>
      <c r="C80" s="339"/>
      <c r="D80" s="887">
        <v>1000</v>
      </c>
    </row>
    <row r="81" spans="1:7" x14ac:dyDescent="0.35">
      <c r="A81" s="337">
        <v>39181</v>
      </c>
      <c r="B81" s="338" t="s">
        <v>13</v>
      </c>
      <c r="C81" s="339">
        <v>70</v>
      </c>
      <c r="D81" s="887"/>
    </row>
    <row r="82" spans="1:7" x14ac:dyDescent="0.35">
      <c r="A82" s="337">
        <v>39181</v>
      </c>
      <c r="B82" s="338" t="s">
        <v>255</v>
      </c>
      <c r="C82" s="339">
        <v>30</v>
      </c>
      <c r="D82" s="887"/>
    </row>
    <row r="83" spans="1:7" x14ac:dyDescent="0.35">
      <c r="A83" s="337">
        <v>39182</v>
      </c>
      <c r="B83" s="338" t="s">
        <v>316</v>
      </c>
      <c r="C83" s="339"/>
      <c r="D83" s="887">
        <v>90</v>
      </c>
    </row>
    <row r="84" spans="1:7" x14ac:dyDescent="0.35">
      <c r="A84" s="337">
        <v>39182</v>
      </c>
      <c r="B84" s="338" t="s">
        <v>322</v>
      </c>
      <c r="C84" s="339"/>
      <c r="D84" s="887">
        <v>50</v>
      </c>
    </row>
    <row r="85" spans="1:7" x14ac:dyDescent="0.35">
      <c r="A85" s="337">
        <v>39199</v>
      </c>
      <c r="B85" s="338" t="s">
        <v>323</v>
      </c>
      <c r="C85" s="339">
        <v>50</v>
      </c>
      <c r="D85" s="887"/>
    </row>
    <row r="86" spans="1:7" x14ac:dyDescent="0.35">
      <c r="A86" s="337">
        <v>39200</v>
      </c>
      <c r="B86" s="338" t="s">
        <v>324</v>
      </c>
      <c r="C86" s="339"/>
      <c r="D86" s="887">
        <v>37</v>
      </c>
    </row>
    <row r="87" spans="1:7" x14ac:dyDescent="0.35">
      <c r="A87" s="337">
        <v>39200</v>
      </c>
      <c r="B87" s="338" t="s">
        <v>325</v>
      </c>
      <c r="C87" s="339"/>
      <c r="D87" s="887">
        <v>41</v>
      </c>
      <c r="E87" s="306" t="s">
        <v>18</v>
      </c>
    </row>
    <row r="88" spans="1:7" x14ac:dyDescent="0.35">
      <c r="A88" s="337">
        <v>39200</v>
      </c>
      <c r="B88" s="338" t="s">
        <v>326</v>
      </c>
      <c r="C88" s="339"/>
      <c r="D88" s="887">
        <v>12</v>
      </c>
      <c r="E88" s="306" t="s">
        <v>299</v>
      </c>
      <c r="F88" s="865">
        <f>COUNTA(A75:A89)</f>
        <v>15</v>
      </c>
      <c r="G88" s="313"/>
    </row>
    <row r="89" spans="1:7" x14ac:dyDescent="0.35">
      <c r="A89" s="342">
        <v>39202</v>
      </c>
      <c r="B89" s="343" t="s">
        <v>310</v>
      </c>
      <c r="C89" s="344"/>
      <c r="D89" s="888">
        <v>10</v>
      </c>
      <c r="E89" s="310">
        <f>SUM(C75:C89)</f>
        <v>521</v>
      </c>
      <c r="F89" s="865">
        <f>SUM(D75:D89)</f>
        <v>1274</v>
      </c>
      <c r="G89" s="310">
        <f>E89-F89</f>
        <v>-753</v>
      </c>
    </row>
    <row r="90" spans="1:7" x14ac:dyDescent="0.35">
      <c r="A90" s="337">
        <v>39206</v>
      </c>
      <c r="B90" s="338" t="s">
        <v>13</v>
      </c>
      <c r="C90" s="339">
        <v>1100</v>
      </c>
      <c r="D90" s="887"/>
    </row>
    <row r="91" spans="1:7" x14ac:dyDescent="0.35">
      <c r="A91" s="337">
        <v>39206</v>
      </c>
      <c r="B91" s="338" t="s">
        <v>255</v>
      </c>
      <c r="C91" s="339">
        <v>100</v>
      </c>
      <c r="D91" s="887"/>
    </row>
    <row r="92" spans="1:7" x14ac:dyDescent="0.35">
      <c r="A92" s="337">
        <v>39206</v>
      </c>
      <c r="B92" s="338" t="s">
        <v>316</v>
      </c>
      <c r="C92" s="339"/>
      <c r="D92" s="887">
        <v>90</v>
      </c>
    </row>
    <row r="93" spans="1:7" x14ac:dyDescent="0.35">
      <c r="A93" s="337">
        <v>39206</v>
      </c>
      <c r="B93" s="338" t="s">
        <v>327</v>
      </c>
      <c r="C93" s="339"/>
      <c r="D93" s="887">
        <v>240</v>
      </c>
    </row>
    <row r="94" spans="1:7" x14ac:dyDescent="0.35">
      <c r="A94" s="337">
        <v>39207</v>
      </c>
      <c r="B94" s="338" t="s">
        <v>328</v>
      </c>
      <c r="C94" s="339"/>
      <c r="D94" s="887">
        <v>42</v>
      </c>
    </row>
    <row r="95" spans="1:7" x14ac:dyDescent="0.35">
      <c r="A95" s="337">
        <v>39207</v>
      </c>
      <c r="B95" s="338" t="s">
        <v>329</v>
      </c>
      <c r="C95" s="339"/>
      <c r="D95" s="887">
        <v>50</v>
      </c>
    </row>
    <row r="96" spans="1:7" x14ac:dyDescent="0.35">
      <c r="A96" s="337">
        <v>39207</v>
      </c>
      <c r="B96" s="338" t="s">
        <v>288</v>
      </c>
      <c r="C96" s="339"/>
      <c r="D96" s="887">
        <v>10</v>
      </c>
    </row>
    <row r="97" spans="1:4" x14ac:dyDescent="0.35">
      <c r="A97" s="337">
        <v>39207</v>
      </c>
      <c r="B97" s="338" t="s">
        <v>330</v>
      </c>
      <c r="C97" s="339"/>
      <c r="D97" s="887">
        <v>11</v>
      </c>
    </row>
    <row r="98" spans="1:4" x14ac:dyDescent="0.35">
      <c r="A98" s="337">
        <v>39207</v>
      </c>
      <c r="B98" s="338" t="s">
        <v>331</v>
      </c>
      <c r="C98" s="339"/>
      <c r="D98" s="887">
        <v>4.5</v>
      </c>
    </row>
    <row r="99" spans="1:4" x14ac:dyDescent="0.35">
      <c r="A99" s="337">
        <v>39207</v>
      </c>
      <c r="B99" s="338" t="s">
        <v>332</v>
      </c>
      <c r="C99" s="339"/>
      <c r="D99" s="887">
        <v>2.5</v>
      </c>
    </row>
    <row r="100" spans="1:4" x14ac:dyDescent="0.35">
      <c r="A100" s="337">
        <v>39207</v>
      </c>
      <c r="B100" s="338" t="s">
        <v>325</v>
      </c>
      <c r="C100" s="339"/>
      <c r="D100" s="887">
        <v>30</v>
      </c>
    </row>
    <row r="101" spans="1:4" x14ac:dyDescent="0.35">
      <c r="A101" s="337">
        <v>39207</v>
      </c>
      <c r="B101" s="338" t="s">
        <v>333</v>
      </c>
      <c r="C101" s="339"/>
      <c r="D101" s="887">
        <v>20</v>
      </c>
    </row>
    <row r="102" spans="1:4" x14ac:dyDescent="0.35">
      <c r="A102" s="337">
        <v>39207</v>
      </c>
      <c r="B102" s="338" t="s">
        <v>334</v>
      </c>
      <c r="C102" s="339">
        <v>270</v>
      </c>
      <c r="D102" s="887"/>
    </row>
    <row r="103" spans="1:4" x14ac:dyDescent="0.35">
      <c r="A103" s="337">
        <v>39207</v>
      </c>
      <c r="B103" s="338" t="s">
        <v>335</v>
      </c>
      <c r="C103" s="339">
        <v>40</v>
      </c>
      <c r="D103" s="887"/>
    </row>
    <row r="104" spans="1:4" x14ac:dyDescent="0.35">
      <c r="A104" s="337">
        <v>39208</v>
      </c>
      <c r="B104" s="338" t="s">
        <v>336</v>
      </c>
      <c r="C104" s="339"/>
      <c r="D104" s="887">
        <v>11</v>
      </c>
    </row>
    <row r="105" spans="1:4" x14ac:dyDescent="0.35">
      <c r="A105" s="337">
        <v>39208</v>
      </c>
      <c r="B105" s="338" t="s">
        <v>337</v>
      </c>
      <c r="C105" s="339"/>
      <c r="D105" s="887">
        <v>12</v>
      </c>
    </row>
    <row r="106" spans="1:4" x14ac:dyDescent="0.35">
      <c r="A106" s="337">
        <v>39208</v>
      </c>
      <c r="B106" s="338" t="s">
        <v>289</v>
      </c>
      <c r="C106" s="339"/>
      <c r="D106" s="887">
        <v>17</v>
      </c>
    </row>
    <row r="107" spans="1:4" x14ac:dyDescent="0.35">
      <c r="A107" s="337">
        <v>39210</v>
      </c>
      <c r="B107" s="338" t="s">
        <v>338</v>
      </c>
      <c r="C107" s="339"/>
      <c r="D107" s="887">
        <v>5</v>
      </c>
    </row>
    <row r="108" spans="1:4" x14ac:dyDescent="0.35">
      <c r="A108" s="337">
        <v>39211</v>
      </c>
      <c r="B108" s="338" t="s">
        <v>288</v>
      </c>
      <c r="C108" s="339"/>
      <c r="D108" s="887">
        <v>15</v>
      </c>
    </row>
    <row r="109" spans="1:4" x14ac:dyDescent="0.35">
      <c r="A109" s="337">
        <v>39212</v>
      </c>
      <c r="B109" s="338" t="s">
        <v>339</v>
      </c>
      <c r="C109" s="339"/>
      <c r="D109" s="887">
        <v>1</v>
      </c>
    </row>
    <row r="110" spans="1:4" x14ac:dyDescent="0.35">
      <c r="A110" s="337">
        <v>39214</v>
      </c>
      <c r="B110" s="338" t="s">
        <v>339</v>
      </c>
      <c r="C110" s="339"/>
      <c r="D110" s="887">
        <v>2</v>
      </c>
    </row>
    <row r="111" spans="1:4" x14ac:dyDescent="0.35">
      <c r="A111" s="337">
        <v>39216</v>
      </c>
      <c r="B111" s="338" t="s">
        <v>290</v>
      </c>
      <c r="C111" s="339"/>
      <c r="D111" s="887">
        <v>5</v>
      </c>
    </row>
    <row r="112" spans="1:4" x14ac:dyDescent="0.35">
      <c r="A112" s="337">
        <v>39217</v>
      </c>
      <c r="B112" s="338" t="s">
        <v>304</v>
      </c>
      <c r="C112" s="339"/>
      <c r="D112" s="887">
        <v>12</v>
      </c>
    </row>
    <row r="113" spans="1:7" x14ac:dyDescent="0.35">
      <c r="A113" s="337">
        <v>39219</v>
      </c>
      <c r="B113" s="338" t="s">
        <v>304</v>
      </c>
      <c r="C113" s="339"/>
      <c r="D113" s="887">
        <v>15</v>
      </c>
    </row>
    <row r="114" spans="1:7" x14ac:dyDescent="0.35">
      <c r="A114" s="337">
        <v>39220</v>
      </c>
      <c r="B114" s="338" t="s">
        <v>340</v>
      </c>
      <c r="C114" s="339"/>
      <c r="D114" s="887">
        <v>1</v>
      </c>
    </row>
    <row r="115" spans="1:7" x14ac:dyDescent="0.35">
      <c r="A115" s="337">
        <v>39221</v>
      </c>
      <c r="B115" s="338" t="s">
        <v>341</v>
      </c>
      <c r="C115" s="339"/>
      <c r="D115" s="887">
        <v>2</v>
      </c>
    </row>
    <row r="116" spans="1:7" x14ac:dyDescent="0.35">
      <c r="A116" s="337">
        <v>39222</v>
      </c>
      <c r="B116" s="338" t="s">
        <v>327</v>
      </c>
      <c r="C116" s="339"/>
      <c r="D116" s="887">
        <v>480</v>
      </c>
    </row>
    <row r="117" spans="1:7" x14ac:dyDescent="0.35">
      <c r="A117" s="337">
        <v>39222</v>
      </c>
      <c r="B117" s="338" t="s">
        <v>342</v>
      </c>
      <c r="C117" s="339"/>
      <c r="D117" s="887">
        <v>12</v>
      </c>
    </row>
    <row r="118" spans="1:7" x14ac:dyDescent="0.35">
      <c r="A118" s="337">
        <v>39222</v>
      </c>
      <c r="B118" s="338" t="s">
        <v>343</v>
      </c>
      <c r="C118" s="339"/>
      <c r="D118" s="887">
        <v>165</v>
      </c>
    </row>
    <row r="119" spans="1:7" x14ac:dyDescent="0.35">
      <c r="A119" s="337">
        <v>39222</v>
      </c>
      <c r="B119" s="338" t="s">
        <v>344</v>
      </c>
      <c r="C119" s="339"/>
      <c r="D119" s="887">
        <v>30</v>
      </c>
    </row>
    <row r="120" spans="1:7" x14ac:dyDescent="0.35">
      <c r="A120" s="337">
        <v>39222</v>
      </c>
      <c r="B120" s="338" t="s">
        <v>290</v>
      </c>
      <c r="C120" s="339"/>
      <c r="D120" s="887">
        <v>5</v>
      </c>
    </row>
    <row r="121" spans="1:7" x14ac:dyDescent="0.35">
      <c r="A121" s="337">
        <v>39227</v>
      </c>
      <c r="B121" s="338" t="s">
        <v>345</v>
      </c>
      <c r="C121" s="339"/>
      <c r="D121" s="887">
        <v>10</v>
      </c>
    </row>
    <row r="122" spans="1:7" x14ac:dyDescent="0.35">
      <c r="A122" s="337">
        <v>39227</v>
      </c>
      <c r="B122" s="338" t="s">
        <v>346</v>
      </c>
      <c r="C122" s="339">
        <v>5</v>
      </c>
      <c r="D122" s="887"/>
      <c r="E122" s="306" t="s">
        <v>20</v>
      </c>
    </row>
    <row r="123" spans="1:7" x14ac:dyDescent="0.35">
      <c r="A123" s="337">
        <v>39227</v>
      </c>
      <c r="B123" s="338" t="s">
        <v>347</v>
      </c>
      <c r="C123" s="339"/>
      <c r="D123" s="887">
        <v>12</v>
      </c>
      <c r="E123" s="306" t="s">
        <v>299</v>
      </c>
      <c r="F123" s="865">
        <f>COUNTA(A90:A124)</f>
        <v>35</v>
      </c>
      <c r="G123" s="313"/>
    </row>
    <row r="124" spans="1:7" x14ac:dyDescent="0.35">
      <c r="A124" s="342">
        <v>39229</v>
      </c>
      <c r="B124" s="343" t="s">
        <v>348</v>
      </c>
      <c r="C124" s="344"/>
      <c r="D124" s="888">
        <v>3</v>
      </c>
      <c r="E124" s="310">
        <f>SUM(C90:C124)</f>
        <v>1515</v>
      </c>
      <c r="F124" s="865">
        <f>SUM(D90:D124)</f>
        <v>1315</v>
      </c>
      <c r="G124" s="310">
        <f>E124-F124</f>
        <v>200</v>
      </c>
    </row>
    <row r="125" spans="1:7" x14ac:dyDescent="0.35">
      <c r="A125" s="337">
        <v>39234</v>
      </c>
      <c r="B125" s="338" t="s">
        <v>327</v>
      </c>
      <c r="C125" s="339"/>
      <c r="D125" s="887">
        <v>480</v>
      </c>
    </row>
    <row r="126" spans="1:7" x14ac:dyDescent="0.35">
      <c r="A126" s="337">
        <v>39235</v>
      </c>
      <c r="B126" s="338" t="s">
        <v>329</v>
      </c>
      <c r="C126" s="339"/>
      <c r="D126" s="887">
        <v>5</v>
      </c>
    </row>
    <row r="127" spans="1:7" x14ac:dyDescent="0.35">
      <c r="A127" s="337">
        <v>39235</v>
      </c>
      <c r="B127" s="338" t="s">
        <v>325</v>
      </c>
      <c r="C127" s="339"/>
      <c r="D127" s="887">
        <v>60</v>
      </c>
    </row>
    <row r="128" spans="1:7" x14ac:dyDescent="0.35">
      <c r="A128" s="337">
        <v>39236</v>
      </c>
      <c r="B128" s="338" t="s">
        <v>349</v>
      </c>
      <c r="C128" s="339"/>
      <c r="D128" s="887">
        <v>35</v>
      </c>
    </row>
    <row r="129" spans="1:4" x14ac:dyDescent="0.35">
      <c r="A129" s="337">
        <v>39236</v>
      </c>
      <c r="B129" s="338" t="s">
        <v>350</v>
      </c>
      <c r="C129" s="339">
        <v>50</v>
      </c>
      <c r="D129" s="887"/>
    </row>
    <row r="130" spans="1:4" x14ac:dyDescent="0.35">
      <c r="A130" s="337">
        <v>39236</v>
      </c>
      <c r="B130" s="338" t="s">
        <v>288</v>
      </c>
      <c r="C130" s="339"/>
      <c r="D130" s="887">
        <v>10</v>
      </c>
    </row>
    <row r="131" spans="1:4" x14ac:dyDescent="0.35">
      <c r="A131" s="337">
        <v>39237</v>
      </c>
      <c r="B131" s="338" t="s">
        <v>351</v>
      </c>
      <c r="C131" s="339"/>
      <c r="D131" s="887">
        <v>4</v>
      </c>
    </row>
    <row r="132" spans="1:4" x14ac:dyDescent="0.35">
      <c r="A132" s="337">
        <v>39240</v>
      </c>
      <c r="B132" s="338" t="s">
        <v>310</v>
      </c>
      <c r="C132" s="339"/>
      <c r="D132" s="887">
        <v>6</v>
      </c>
    </row>
    <row r="133" spans="1:4" x14ac:dyDescent="0.35">
      <c r="A133" s="337">
        <v>39241</v>
      </c>
      <c r="B133" s="338" t="s">
        <v>327</v>
      </c>
      <c r="C133" s="339"/>
      <c r="D133" s="887">
        <v>240</v>
      </c>
    </row>
    <row r="134" spans="1:4" x14ac:dyDescent="0.35">
      <c r="A134" s="337">
        <v>39241</v>
      </c>
      <c r="B134" s="338" t="s">
        <v>13</v>
      </c>
      <c r="C134" s="339">
        <v>1100</v>
      </c>
      <c r="D134" s="887"/>
    </row>
    <row r="135" spans="1:4" x14ac:dyDescent="0.35">
      <c r="A135" s="337">
        <v>39242</v>
      </c>
      <c r="B135" s="338" t="s">
        <v>316</v>
      </c>
      <c r="C135" s="339"/>
      <c r="D135" s="887">
        <v>90</v>
      </c>
    </row>
    <row r="136" spans="1:4" x14ac:dyDescent="0.35">
      <c r="A136" s="337">
        <v>39242</v>
      </c>
      <c r="B136" s="338" t="s">
        <v>288</v>
      </c>
      <c r="C136" s="339"/>
      <c r="D136" s="887">
        <v>10</v>
      </c>
    </row>
    <row r="137" spans="1:4" x14ac:dyDescent="0.35">
      <c r="A137" s="337">
        <v>39242</v>
      </c>
      <c r="B137" s="338" t="s">
        <v>290</v>
      </c>
      <c r="C137" s="339"/>
      <c r="D137" s="887">
        <v>8</v>
      </c>
    </row>
    <row r="138" spans="1:4" x14ac:dyDescent="0.35">
      <c r="A138" s="337">
        <v>39242</v>
      </c>
      <c r="B138" s="338" t="s">
        <v>352</v>
      </c>
      <c r="C138" s="339"/>
      <c r="D138" s="887">
        <v>8</v>
      </c>
    </row>
    <row r="139" spans="1:4" x14ac:dyDescent="0.35">
      <c r="A139" s="337">
        <v>39242</v>
      </c>
      <c r="B139" s="338" t="s">
        <v>353</v>
      </c>
      <c r="C139" s="339"/>
      <c r="D139" s="887">
        <v>3</v>
      </c>
    </row>
    <row r="140" spans="1:4" x14ac:dyDescent="0.35">
      <c r="A140" s="337">
        <v>39245</v>
      </c>
      <c r="B140" s="338" t="s">
        <v>354</v>
      </c>
      <c r="C140" s="339"/>
      <c r="D140" s="887">
        <v>15</v>
      </c>
    </row>
    <row r="141" spans="1:4" x14ac:dyDescent="0.35">
      <c r="A141" s="337">
        <v>39246</v>
      </c>
      <c r="B141" s="338" t="s">
        <v>355</v>
      </c>
      <c r="C141" s="339"/>
      <c r="D141" s="887">
        <v>15</v>
      </c>
    </row>
    <row r="142" spans="1:4" x14ac:dyDescent="0.35">
      <c r="A142" s="337">
        <v>39248</v>
      </c>
      <c r="B142" s="338" t="s">
        <v>310</v>
      </c>
      <c r="C142" s="339"/>
      <c r="D142" s="887">
        <v>3</v>
      </c>
    </row>
    <row r="143" spans="1:4" x14ac:dyDescent="0.35">
      <c r="A143" s="337">
        <v>39249</v>
      </c>
      <c r="B143" s="338" t="s">
        <v>356</v>
      </c>
      <c r="C143" s="339"/>
      <c r="D143" s="887">
        <v>220</v>
      </c>
    </row>
    <row r="144" spans="1:4" x14ac:dyDescent="0.35">
      <c r="A144" s="337">
        <v>39249</v>
      </c>
      <c r="B144" s="338" t="s">
        <v>310</v>
      </c>
      <c r="C144" s="339"/>
      <c r="D144" s="887">
        <v>4</v>
      </c>
    </row>
    <row r="145" spans="1:7" x14ac:dyDescent="0.35">
      <c r="A145" s="337">
        <v>39249</v>
      </c>
      <c r="B145" s="338" t="s">
        <v>352</v>
      </c>
      <c r="C145" s="339"/>
      <c r="D145" s="887">
        <v>3</v>
      </c>
    </row>
    <row r="146" spans="1:7" x14ac:dyDescent="0.35">
      <c r="A146" s="337">
        <v>39250</v>
      </c>
      <c r="B146" s="338" t="s">
        <v>357</v>
      </c>
      <c r="C146" s="339"/>
      <c r="D146" s="887">
        <v>4</v>
      </c>
    </row>
    <row r="147" spans="1:7" x14ac:dyDescent="0.35">
      <c r="A147" s="337">
        <v>39250</v>
      </c>
      <c r="B147" s="338" t="s">
        <v>358</v>
      </c>
      <c r="C147" s="339"/>
      <c r="D147" s="887">
        <v>175</v>
      </c>
    </row>
    <row r="148" spans="1:7" x14ac:dyDescent="0.35">
      <c r="A148" s="337">
        <v>39250</v>
      </c>
      <c r="B148" s="338" t="s">
        <v>290</v>
      </c>
      <c r="C148" s="339"/>
      <c r="D148" s="887">
        <v>17</v>
      </c>
    </row>
    <row r="149" spans="1:7" x14ac:dyDescent="0.35">
      <c r="A149" s="337">
        <v>39251</v>
      </c>
      <c r="B149" s="338" t="s">
        <v>338</v>
      </c>
      <c r="C149" s="339"/>
      <c r="D149" s="887">
        <v>10</v>
      </c>
    </row>
    <row r="150" spans="1:7" x14ac:dyDescent="0.35">
      <c r="A150" s="337">
        <v>39255</v>
      </c>
      <c r="B150" s="338" t="s">
        <v>325</v>
      </c>
      <c r="C150" s="339"/>
      <c r="D150" s="887">
        <v>10</v>
      </c>
    </row>
    <row r="151" spans="1:7" x14ac:dyDescent="0.35">
      <c r="A151" s="337">
        <v>39256</v>
      </c>
      <c r="B151" s="338" t="s">
        <v>359</v>
      </c>
      <c r="C151" s="339"/>
      <c r="D151" s="887">
        <v>70</v>
      </c>
    </row>
    <row r="152" spans="1:7" x14ac:dyDescent="0.35">
      <c r="A152" s="337">
        <v>39256</v>
      </c>
      <c r="B152" s="338" t="s">
        <v>360</v>
      </c>
      <c r="C152" s="339"/>
      <c r="D152" s="887">
        <v>110</v>
      </c>
    </row>
    <row r="153" spans="1:7" x14ac:dyDescent="0.35">
      <c r="A153" s="337">
        <v>39258</v>
      </c>
      <c r="B153" s="338" t="s">
        <v>292</v>
      </c>
      <c r="C153" s="339"/>
      <c r="D153" s="887">
        <v>25</v>
      </c>
    </row>
    <row r="154" spans="1:7" x14ac:dyDescent="0.35">
      <c r="A154" s="337">
        <v>39258</v>
      </c>
      <c r="B154" s="338" t="s">
        <v>361</v>
      </c>
      <c r="C154" s="339"/>
      <c r="D154" s="887">
        <v>50</v>
      </c>
      <c r="E154" s="306" t="s">
        <v>21</v>
      </c>
    </row>
    <row r="155" spans="1:7" x14ac:dyDescent="0.35">
      <c r="A155" s="337">
        <v>39259</v>
      </c>
      <c r="B155" s="338" t="s">
        <v>325</v>
      </c>
      <c r="C155" s="339"/>
      <c r="D155" s="887">
        <v>20</v>
      </c>
      <c r="E155" s="306" t="s">
        <v>299</v>
      </c>
      <c r="F155" s="865">
        <f>COUNTA(A123:A156)</f>
        <v>34</v>
      </c>
      <c r="G155" s="313"/>
    </row>
    <row r="156" spans="1:7" x14ac:dyDescent="0.35">
      <c r="A156" s="342">
        <v>39261</v>
      </c>
      <c r="B156" s="343" t="s">
        <v>361</v>
      </c>
      <c r="C156" s="344"/>
      <c r="D156" s="888">
        <v>20</v>
      </c>
      <c r="E156" s="310">
        <f>SUM(C125:C156)</f>
        <v>1150</v>
      </c>
      <c r="F156" s="865">
        <f>SUM(D125:D156)</f>
        <v>1730</v>
      </c>
      <c r="G156" s="310">
        <f>E156-F156</f>
        <v>-580</v>
      </c>
    </row>
    <row r="157" spans="1:7" x14ac:dyDescent="0.35">
      <c r="A157" s="337">
        <v>39264</v>
      </c>
      <c r="B157" s="338" t="s">
        <v>310</v>
      </c>
      <c r="C157" s="339"/>
      <c r="D157" s="887">
        <v>20</v>
      </c>
    </row>
    <row r="158" spans="1:7" x14ac:dyDescent="0.35">
      <c r="A158" s="337">
        <v>39268</v>
      </c>
      <c r="B158" s="338" t="s">
        <v>316</v>
      </c>
      <c r="C158" s="339"/>
      <c r="D158" s="887">
        <v>90</v>
      </c>
    </row>
    <row r="159" spans="1:7" x14ac:dyDescent="0.35">
      <c r="A159" s="337">
        <v>39269</v>
      </c>
      <c r="B159" s="338" t="s">
        <v>13</v>
      </c>
      <c r="C159" s="339">
        <v>1200</v>
      </c>
      <c r="D159" s="887"/>
    </row>
    <row r="160" spans="1:7" x14ac:dyDescent="0.35">
      <c r="A160" s="337">
        <v>39269</v>
      </c>
      <c r="B160" s="338" t="s">
        <v>362</v>
      </c>
      <c r="C160" s="339"/>
      <c r="D160" s="887">
        <v>55</v>
      </c>
    </row>
    <row r="161" spans="1:4" x14ac:dyDescent="0.35">
      <c r="A161" s="337">
        <v>39269</v>
      </c>
      <c r="B161" s="338" t="s">
        <v>325</v>
      </c>
      <c r="C161" s="339"/>
      <c r="D161" s="887">
        <v>85</v>
      </c>
    </row>
    <row r="162" spans="1:4" x14ac:dyDescent="0.35">
      <c r="A162" s="337">
        <v>39270</v>
      </c>
      <c r="B162" s="338" t="s">
        <v>363</v>
      </c>
      <c r="C162" s="339"/>
      <c r="D162" s="887">
        <v>15</v>
      </c>
    </row>
    <row r="163" spans="1:4" x14ac:dyDescent="0.35">
      <c r="A163" s="337">
        <v>39270</v>
      </c>
      <c r="B163" s="338" t="s">
        <v>297</v>
      </c>
      <c r="C163" s="339"/>
      <c r="D163" s="887">
        <v>10</v>
      </c>
    </row>
    <row r="164" spans="1:4" x14ac:dyDescent="0.35">
      <c r="A164" s="337">
        <v>39270</v>
      </c>
      <c r="B164" s="338" t="s">
        <v>364</v>
      </c>
      <c r="C164" s="339"/>
      <c r="D164" s="887">
        <v>15</v>
      </c>
    </row>
    <row r="165" spans="1:4" x14ac:dyDescent="0.35">
      <c r="A165" s="337">
        <v>39270</v>
      </c>
      <c r="B165" s="338" t="s">
        <v>365</v>
      </c>
      <c r="C165" s="339"/>
      <c r="D165" s="887">
        <v>20</v>
      </c>
    </row>
    <row r="166" spans="1:4" x14ac:dyDescent="0.35">
      <c r="A166" s="337">
        <v>39270</v>
      </c>
      <c r="B166" s="338" t="s">
        <v>366</v>
      </c>
      <c r="C166" s="339"/>
      <c r="D166" s="887">
        <v>44</v>
      </c>
    </row>
    <row r="167" spans="1:4" x14ac:dyDescent="0.35">
      <c r="A167" s="337">
        <v>39270</v>
      </c>
      <c r="B167" s="338" t="s">
        <v>367</v>
      </c>
      <c r="C167" s="339"/>
      <c r="D167" s="887">
        <v>43</v>
      </c>
    </row>
    <row r="168" spans="1:4" x14ac:dyDescent="0.35">
      <c r="A168" s="337">
        <v>39270</v>
      </c>
      <c r="B168" s="338" t="s">
        <v>288</v>
      </c>
      <c r="C168" s="339"/>
      <c r="D168" s="887">
        <v>10</v>
      </c>
    </row>
    <row r="169" spans="1:4" x14ac:dyDescent="0.35">
      <c r="A169" s="337">
        <v>39270</v>
      </c>
      <c r="B169" s="338" t="s">
        <v>290</v>
      </c>
      <c r="C169" s="339"/>
      <c r="D169" s="887">
        <v>10</v>
      </c>
    </row>
    <row r="170" spans="1:4" x14ac:dyDescent="0.35">
      <c r="A170" s="337">
        <v>39270</v>
      </c>
      <c r="B170" s="338" t="s">
        <v>368</v>
      </c>
      <c r="C170" s="339"/>
      <c r="D170" s="887">
        <v>10</v>
      </c>
    </row>
    <row r="171" spans="1:4" x14ac:dyDescent="0.35">
      <c r="A171" s="337">
        <v>39270</v>
      </c>
      <c r="B171" s="338" t="s">
        <v>277</v>
      </c>
      <c r="C171" s="339">
        <v>25</v>
      </c>
      <c r="D171" s="887"/>
    </row>
    <row r="172" spans="1:4" x14ac:dyDescent="0.35">
      <c r="A172" s="337">
        <v>39271</v>
      </c>
      <c r="B172" s="338" t="s">
        <v>369</v>
      </c>
      <c r="C172" s="339"/>
      <c r="D172" s="887">
        <v>4</v>
      </c>
    </row>
    <row r="173" spans="1:4" x14ac:dyDescent="0.35">
      <c r="A173" s="337">
        <v>39273</v>
      </c>
      <c r="B173" s="338" t="s">
        <v>290</v>
      </c>
      <c r="C173" s="339"/>
      <c r="D173" s="887">
        <v>4</v>
      </c>
    </row>
    <row r="174" spans="1:4" x14ac:dyDescent="0.35">
      <c r="A174" s="337">
        <v>39275</v>
      </c>
      <c r="B174" s="338" t="s">
        <v>290</v>
      </c>
      <c r="C174" s="339"/>
      <c r="D174" s="887">
        <v>10</v>
      </c>
    </row>
    <row r="175" spans="1:4" x14ac:dyDescent="0.35">
      <c r="A175" s="337">
        <v>39276</v>
      </c>
      <c r="B175" s="338" t="s">
        <v>370</v>
      </c>
      <c r="C175" s="339"/>
      <c r="D175" s="887">
        <v>12</v>
      </c>
    </row>
    <row r="176" spans="1:4" x14ac:dyDescent="0.35">
      <c r="A176" s="337">
        <v>39276</v>
      </c>
      <c r="B176" s="338" t="s">
        <v>290</v>
      </c>
      <c r="C176" s="339"/>
      <c r="D176" s="887">
        <v>6</v>
      </c>
    </row>
    <row r="177" spans="1:7" x14ac:dyDescent="0.35">
      <c r="A177" s="337">
        <v>39276</v>
      </c>
      <c r="B177" s="338" t="s">
        <v>294</v>
      </c>
      <c r="C177" s="339"/>
      <c r="D177" s="887">
        <v>12</v>
      </c>
    </row>
    <row r="178" spans="1:7" x14ac:dyDescent="0.35">
      <c r="A178" s="337">
        <v>39277</v>
      </c>
      <c r="B178" s="338" t="s">
        <v>371</v>
      </c>
      <c r="C178" s="339">
        <v>800</v>
      </c>
      <c r="D178" s="887"/>
    </row>
    <row r="179" spans="1:7" x14ac:dyDescent="0.35">
      <c r="A179" s="337">
        <v>39277</v>
      </c>
      <c r="B179" s="338" t="s">
        <v>327</v>
      </c>
      <c r="C179" s="339"/>
      <c r="D179" s="887">
        <v>800</v>
      </c>
    </row>
    <row r="180" spans="1:7" x14ac:dyDescent="0.35">
      <c r="A180" s="337">
        <v>39280</v>
      </c>
      <c r="B180" s="338" t="s">
        <v>310</v>
      </c>
      <c r="C180" s="339"/>
      <c r="D180" s="887">
        <v>20</v>
      </c>
    </row>
    <row r="181" spans="1:7" x14ac:dyDescent="0.35">
      <c r="A181" s="337">
        <v>39282</v>
      </c>
      <c r="B181" s="338" t="s">
        <v>338</v>
      </c>
      <c r="C181" s="339"/>
      <c r="D181" s="887">
        <v>8</v>
      </c>
    </row>
    <row r="182" spans="1:7" x14ac:dyDescent="0.35">
      <c r="A182" s="337">
        <v>39283</v>
      </c>
      <c r="B182" s="338" t="s">
        <v>337</v>
      </c>
      <c r="C182" s="339"/>
      <c r="D182" s="887">
        <v>2</v>
      </c>
    </row>
    <row r="183" spans="1:7" x14ac:dyDescent="0.35">
      <c r="A183" s="337">
        <v>39284</v>
      </c>
      <c r="B183" s="338" t="s">
        <v>289</v>
      </c>
      <c r="C183" s="339"/>
      <c r="D183" s="887">
        <v>20</v>
      </c>
    </row>
    <row r="184" spans="1:7" x14ac:dyDescent="0.35">
      <c r="A184" s="337">
        <v>39286</v>
      </c>
      <c r="B184" s="338" t="s">
        <v>372</v>
      </c>
      <c r="C184" s="339"/>
      <c r="D184" s="887">
        <v>300</v>
      </c>
    </row>
    <row r="185" spans="1:7" x14ac:dyDescent="0.35">
      <c r="A185" s="337">
        <v>39286</v>
      </c>
      <c r="B185" s="338" t="s">
        <v>373</v>
      </c>
      <c r="C185" s="339"/>
      <c r="D185" s="887">
        <v>100</v>
      </c>
    </row>
    <row r="186" spans="1:7" x14ac:dyDescent="0.35">
      <c r="A186" s="337">
        <v>39286</v>
      </c>
      <c r="B186" s="338" t="s">
        <v>374</v>
      </c>
      <c r="C186" s="339"/>
      <c r="D186" s="887">
        <v>200</v>
      </c>
    </row>
    <row r="187" spans="1:7" x14ac:dyDescent="0.35">
      <c r="A187" s="337">
        <v>39289</v>
      </c>
      <c r="B187" s="338" t="s">
        <v>290</v>
      </c>
      <c r="C187" s="339"/>
      <c r="D187" s="887">
        <v>10</v>
      </c>
    </row>
    <row r="188" spans="1:7" x14ac:dyDescent="0.35">
      <c r="A188" s="337">
        <v>39292</v>
      </c>
      <c r="B188" s="338" t="s">
        <v>375</v>
      </c>
      <c r="C188" s="339"/>
      <c r="D188" s="887">
        <v>10</v>
      </c>
    </row>
    <row r="189" spans="1:7" x14ac:dyDescent="0.35">
      <c r="A189" s="337">
        <v>39292</v>
      </c>
      <c r="B189" s="338" t="s">
        <v>365</v>
      </c>
      <c r="C189" s="339"/>
      <c r="D189" s="887">
        <v>20</v>
      </c>
    </row>
    <row r="190" spans="1:7" x14ac:dyDescent="0.35">
      <c r="A190" s="337">
        <v>39292</v>
      </c>
      <c r="B190" s="338" t="s">
        <v>376</v>
      </c>
      <c r="C190" s="339"/>
      <c r="D190" s="887">
        <v>100</v>
      </c>
      <c r="E190" s="306" t="s">
        <v>22</v>
      </c>
    </row>
    <row r="191" spans="1:7" x14ac:dyDescent="0.35">
      <c r="A191" s="337">
        <v>39294</v>
      </c>
      <c r="B191" s="338" t="s">
        <v>364</v>
      </c>
      <c r="C191" s="339"/>
      <c r="D191" s="887">
        <v>30</v>
      </c>
      <c r="E191" s="306" t="s">
        <v>299</v>
      </c>
      <c r="F191" s="865">
        <f>COUNTA(A157:A192)</f>
        <v>36</v>
      </c>
      <c r="G191" s="313"/>
    </row>
    <row r="192" spans="1:7" x14ac:dyDescent="0.35">
      <c r="A192" s="342">
        <v>39294</v>
      </c>
      <c r="B192" s="343" t="s">
        <v>277</v>
      </c>
      <c r="C192" s="344">
        <v>50</v>
      </c>
      <c r="D192" s="888"/>
      <c r="E192" s="310">
        <f>SUM(C157:C192)</f>
        <v>2075</v>
      </c>
      <c r="F192" s="865">
        <f>SUM(D157:D192)</f>
        <v>2095</v>
      </c>
      <c r="G192" s="310">
        <f>E192-F192</f>
        <v>-20</v>
      </c>
    </row>
    <row r="193" spans="1:4" x14ac:dyDescent="0.35">
      <c r="A193" s="337">
        <v>39295</v>
      </c>
      <c r="B193" s="338" t="s">
        <v>377</v>
      </c>
      <c r="C193" s="339"/>
      <c r="D193" s="887">
        <v>27</v>
      </c>
    </row>
    <row r="194" spans="1:4" x14ac:dyDescent="0.35">
      <c r="A194" s="337">
        <v>39295</v>
      </c>
      <c r="B194" s="338" t="s">
        <v>374</v>
      </c>
      <c r="C194" s="339"/>
      <c r="D194" s="887">
        <v>280</v>
      </c>
    </row>
    <row r="195" spans="1:4" x14ac:dyDescent="0.35">
      <c r="A195" s="337">
        <v>39295</v>
      </c>
      <c r="B195" s="338" t="s">
        <v>373</v>
      </c>
      <c r="C195" s="339"/>
      <c r="D195" s="887">
        <v>400</v>
      </c>
    </row>
    <row r="196" spans="1:4" x14ac:dyDescent="0.35">
      <c r="A196" s="337">
        <v>39295</v>
      </c>
      <c r="B196" s="338" t="s">
        <v>372</v>
      </c>
      <c r="C196" s="339"/>
      <c r="D196" s="887">
        <v>200</v>
      </c>
    </row>
    <row r="197" spans="1:4" x14ac:dyDescent="0.35">
      <c r="A197" s="337">
        <v>39296</v>
      </c>
      <c r="B197" s="338" t="s">
        <v>290</v>
      </c>
      <c r="C197" s="339"/>
      <c r="D197" s="887">
        <v>5</v>
      </c>
    </row>
    <row r="198" spans="1:4" x14ac:dyDescent="0.35">
      <c r="A198" s="337">
        <v>39299</v>
      </c>
      <c r="B198" s="338" t="s">
        <v>378</v>
      </c>
      <c r="C198" s="339">
        <v>5</v>
      </c>
      <c r="D198" s="887"/>
    </row>
    <row r="199" spans="1:4" x14ac:dyDescent="0.35">
      <c r="A199" s="337">
        <v>39299</v>
      </c>
      <c r="B199" s="338" t="s">
        <v>329</v>
      </c>
      <c r="C199" s="339"/>
      <c r="D199" s="887">
        <v>3</v>
      </c>
    </row>
    <row r="200" spans="1:4" x14ac:dyDescent="0.35">
      <c r="A200" s="337">
        <v>39299</v>
      </c>
      <c r="B200" s="338" t="s">
        <v>379</v>
      </c>
      <c r="C200" s="339"/>
      <c r="D200" s="887">
        <v>10</v>
      </c>
    </row>
    <row r="201" spans="1:4" x14ac:dyDescent="0.35">
      <c r="A201" s="337">
        <v>39299</v>
      </c>
      <c r="B201" s="338" t="s">
        <v>287</v>
      </c>
      <c r="C201" s="339"/>
      <c r="D201" s="887">
        <v>70</v>
      </c>
    </row>
    <row r="202" spans="1:4" x14ac:dyDescent="0.35">
      <c r="A202" s="337">
        <v>39304</v>
      </c>
      <c r="B202" s="338" t="s">
        <v>13</v>
      </c>
      <c r="C202" s="339">
        <v>1200</v>
      </c>
      <c r="D202" s="887"/>
    </row>
    <row r="203" spans="1:4" x14ac:dyDescent="0.35">
      <c r="A203" s="337">
        <v>39304</v>
      </c>
      <c r="B203" s="338" t="s">
        <v>327</v>
      </c>
      <c r="C203" s="339"/>
      <c r="D203" s="887">
        <v>160</v>
      </c>
    </row>
    <row r="204" spans="1:4" x14ac:dyDescent="0.35">
      <c r="A204" s="337">
        <v>39304</v>
      </c>
      <c r="B204" s="338" t="s">
        <v>380</v>
      </c>
      <c r="C204" s="339"/>
      <c r="D204" s="887">
        <v>250</v>
      </c>
    </row>
    <row r="205" spans="1:4" x14ac:dyDescent="0.35">
      <c r="A205" s="337">
        <v>39304</v>
      </c>
      <c r="B205" s="338" t="s">
        <v>316</v>
      </c>
      <c r="C205" s="339"/>
      <c r="D205" s="887">
        <v>80</v>
      </c>
    </row>
    <row r="206" spans="1:4" x14ac:dyDescent="0.35">
      <c r="A206" s="337">
        <v>39305</v>
      </c>
      <c r="B206" s="338" t="s">
        <v>288</v>
      </c>
      <c r="C206" s="339"/>
      <c r="D206" s="887">
        <v>10</v>
      </c>
    </row>
    <row r="207" spans="1:4" x14ac:dyDescent="0.35">
      <c r="A207" s="337">
        <v>39306</v>
      </c>
      <c r="B207" s="338" t="s">
        <v>290</v>
      </c>
      <c r="C207" s="339"/>
      <c r="D207" s="887">
        <v>200</v>
      </c>
    </row>
    <row r="208" spans="1:4" x14ac:dyDescent="0.35">
      <c r="A208" s="337">
        <v>39308</v>
      </c>
      <c r="B208" s="338" t="s">
        <v>381</v>
      </c>
      <c r="C208" s="339"/>
      <c r="D208" s="887">
        <v>15</v>
      </c>
    </row>
    <row r="209" spans="1:7" x14ac:dyDescent="0.35">
      <c r="A209" s="337">
        <v>39308</v>
      </c>
      <c r="B209" s="338" t="s">
        <v>382</v>
      </c>
      <c r="C209" s="339"/>
      <c r="D209" s="887">
        <v>5</v>
      </c>
    </row>
    <row r="210" spans="1:7" x14ac:dyDescent="0.35">
      <c r="A210" s="337">
        <v>39309</v>
      </c>
      <c r="B210" s="338" t="s">
        <v>290</v>
      </c>
      <c r="C210" s="339"/>
      <c r="D210" s="887">
        <v>10</v>
      </c>
    </row>
    <row r="211" spans="1:7" x14ac:dyDescent="0.35">
      <c r="A211" s="337">
        <v>39317</v>
      </c>
      <c r="B211" s="338" t="s">
        <v>277</v>
      </c>
      <c r="C211" s="339">
        <v>75</v>
      </c>
      <c r="D211" s="887"/>
    </row>
    <row r="212" spans="1:7" x14ac:dyDescent="0.35">
      <c r="A212" s="337">
        <v>39317</v>
      </c>
      <c r="B212" s="338" t="s">
        <v>364</v>
      </c>
      <c r="C212" s="339"/>
      <c r="D212" s="887">
        <v>45</v>
      </c>
    </row>
    <row r="213" spans="1:7" x14ac:dyDescent="0.35">
      <c r="A213" s="337">
        <v>39317</v>
      </c>
      <c r="B213" s="338" t="s">
        <v>383</v>
      </c>
      <c r="C213" s="339"/>
      <c r="D213" s="887">
        <v>30</v>
      </c>
      <c r="E213" s="306" t="s">
        <v>23</v>
      </c>
    </row>
    <row r="214" spans="1:7" x14ac:dyDescent="0.35">
      <c r="A214" s="337">
        <v>39319</v>
      </c>
      <c r="B214" s="338" t="s">
        <v>365</v>
      </c>
      <c r="C214" s="339"/>
      <c r="D214" s="887">
        <v>20</v>
      </c>
      <c r="E214" s="306" t="s">
        <v>299</v>
      </c>
      <c r="F214" s="865">
        <f>COUNTA(A193:A215)</f>
        <v>23</v>
      </c>
      <c r="G214" s="313"/>
    </row>
    <row r="215" spans="1:7" x14ac:dyDescent="0.35">
      <c r="A215" s="342">
        <v>39321</v>
      </c>
      <c r="B215" s="343" t="s">
        <v>384</v>
      </c>
      <c r="C215" s="344"/>
      <c r="D215" s="888">
        <v>10</v>
      </c>
      <c r="E215" s="310">
        <f>SUM(C193:C215)</f>
        <v>1280</v>
      </c>
      <c r="F215" s="865">
        <f>SUM(D193:D215)</f>
        <v>1830</v>
      </c>
      <c r="G215" s="310">
        <f>E215-F215</f>
        <v>-550</v>
      </c>
    </row>
    <row r="216" spans="1:7" x14ac:dyDescent="0.35">
      <c r="A216" s="337">
        <v>39328</v>
      </c>
      <c r="B216" s="338" t="s">
        <v>287</v>
      </c>
      <c r="C216" s="339"/>
      <c r="D216" s="887">
        <v>50</v>
      </c>
    </row>
    <row r="217" spans="1:7" x14ac:dyDescent="0.35">
      <c r="A217" s="337">
        <v>39328</v>
      </c>
      <c r="B217" s="338" t="s">
        <v>316</v>
      </c>
      <c r="C217" s="339"/>
      <c r="D217" s="887">
        <v>280</v>
      </c>
    </row>
    <row r="218" spans="1:7" x14ac:dyDescent="0.35">
      <c r="A218" s="337">
        <v>39328</v>
      </c>
      <c r="B218" s="338" t="s">
        <v>361</v>
      </c>
      <c r="C218" s="339"/>
      <c r="D218" s="887">
        <v>20</v>
      </c>
    </row>
    <row r="219" spans="1:7" x14ac:dyDescent="0.35">
      <c r="A219" s="337">
        <v>39333</v>
      </c>
      <c r="B219" s="338" t="s">
        <v>383</v>
      </c>
      <c r="C219" s="339"/>
      <c r="D219" s="887">
        <v>30</v>
      </c>
    </row>
    <row r="220" spans="1:7" x14ac:dyDescent="0.35">
      <c r="A220" s="337">
        <v>39333</v>
      </c>
      <c r="B220" s="338" t="s">
        <v>365</v>
      </c>
      <c r="C220" s="339"/>
      <c r="D220" s="887">
        <v>7</v>
      </c>
    </row>
    <row r="221" spans="1:7" x14ac:dyDescent="0.35">
      <c r="A221" s="337">
        <v>39333</v>
      </c>
      <c r="B221" s="338" t="s">
        <v>290</v>
      </c>
      <c r="C221" s="339"/>
      <c r="D221" s="887">
        <v>113</v>
      </c>
    </row>
    <row r="222" spans="1:7" x14ac:dyDescent="0.35">
      <c r="A222" s="337">
        <v>39333</v>
      </c>
      <c r="B222" s="338" t="s">
        <v>385</v>
      </c>
      <c r="C222" s="339"/>
      <c r="D222" s="887">
        <v>70</v>
      </c>
    </row>
    <row r="223" spans="1:7" x14ac:dyDescent="0.35">
      <c r="A223" s="337">
        <v>39335</v>
      </c>
      <c r="B223" s="338" t="s">
        <v>13</v>
      </c>
      <c r="C223" s="339">
        <v>1200</v>
      </c>
      <c r="D223" s="887"/>
    </row>
    <row r="224" spans="1:7" x14ac:dyDescent="0.35">
      <c r="A224" s="337">
        <v>39335</v>
      </c>
      <c r="B224" s="338" t="s">
        <v>386</v>
      </c>
      <c r="C224" s="339"/>
      <c r="D224" s="887">
        <v>250</v>
      </c>
    </row>
    <row r="225" spans="1:7" x14ac:dyDescent="0.35">
      <c r="A225" s="337">
        <v>39335</v>
      </c>
      <c r="B225" s="338" t="s">
        <v>372</v>
      </c>
      <c r="C225" s="339"/>
      <c r="D225" s="887">
        <v>200</v>
      </c>
    </row>
    <row r="226" spans="1:7" x14ac:dyDescent="0.35">
      <c r="A226" s="337">
        <v>39338</v>
      </c>
      <c r="B226" s="338" t="s">
        <v>387</v>
      </c>
      <c r="C226" s="339"/>
      <c r="D226" s="887">
        <v>6</v>
      </c>
    </row>
    <row r="227" spans="1:7" x14ac:dyDescent="0.35">
      <c r="A227" s="337">
        <v>39338</v>
      </c>
      <c r="B227" s="338" t="s">
        <v>388</v>
      </c>
      <c r="C227" s="339"/>
      <c r="D227" s="887">
        <v>2</v>
      </c>
    </row>
    <row r="228" spans="1:7" x14ac:dyDescent="0.35">
      <c r="A228" s="337">
        <v>39338</v>
      </c>
      <c r="B228" s="338" t="s">
        <v>19</v>
      </c>
      <c r="C228" s="339">
        <v>550</v>
      </c>
      <c r="D228" s="887"/>
    </row>
    <row r="229" spans="1:7" x14ac:dyDescent="0.35">
      <c r="A229" s="337">
        <v>39338</v>
      </c>
      <c r="B229" s="338" t="s">
        <v>255</v>
      </c>
      <c r="C229" s="339">
        <v>252</v>
      </c>
      <c r="D229" s="887"/>
    </row>
    <row r="230" spans="1:7" x14ac:dyDescent="0.35">
      <c r="A230" s="337">
        <v>39339</v>
      </c>
      <c r="B230" s="338" t="s">
        <v>325</v>
      </c>
      <c r="C230" s="339"/>
      <c r="D230" s="887">
        <v>6</v>
      </c>
    </row>
    <row r="231" spans="1:7" x14ac:dyDescent="0.35">
      <c r="A231" s="337">
        <v>39340</v>
      </c>
      <c r="B231" s="338" t="s">
        <v>365</v>
      </c>
      <c r="C231" s="339"/>
      <c r="D231" s="887">
        <v>6</v>
      </c>
    </row>
    <row r="232" spans="1:7" x14ac:dyDescent="0.35">
      <c r="A232" s="337">
        <v>39340</v>
      </c>
      <c r="B232" s="338" t="s">
        <v>389</v>
      </c>
      <c r="C232" s="339"/>
      <c r="D232" s="887">
        <v>20</v>
      </c>
    </row>
    <row r="233" spans="1:7" x14ac:dyDescent="0.35">
      <c r="A233" s="337">
        <v>39341</v>
      </c>
      <c r="B233" s="338" t="s">
        <v>348</v>
      </c>
      <c r="C233" s="339"/>
      <c r="D233" s="887">
        <v>2</v>
      </c>
    </row>
    <row r="234" spans="1:7" x14ac:dyDescent="0.35">
      <c r="A234" s="337">
        <v>39344</v>
      </c>
      <c r="B234" s="338" t="s">
        <v>366</v>
      </c>
      <c r="C234" s="339"/>
      <c r="D234" s="887">
        <v>20</v>
      </c>
    </row>
    <row r="235" spans="1:7" x14ac:dyDescent="0.35">
      <c r="A235" s="337">
        <v>39346</v>
      </c>
      <c r="B235" s="338" t="s">
        <v>390</v>
      </c>
      <c r="C235" s="339"/>
      <c r="D235" s="887">
        <v>20</v>
      </c>
    </row>
    <row r="236" spans="1:7" x14ac:dyDescent="0.35">
      <c r="A236" s="337">
        <v>39347</v>
      </c>
      <c r="B236" s="338" t="s">
        <v>372</v>
      </c>
      <c r="C236" s="339"/>
      <c r="D236" s="887">
        <v>150</v>
      </c>
    </row>
    <row r="237" spans="1:7" x14ac:dyDescent="0.35">
      <c r="A237" s="337">
        <v>39352</v>
      </c>
      <c r="B237" s="338" t="s">
        <v>381</v>
      </c>
      <c r="C237" s="339"/>
      <c r="D237" s="887">
        <v>8</v>
      </c>
    </row>
    <row r="238" spans="1:7" x14ac:dyDescent="0.35">
      <c r="A238" s="337">
        <v>39352</v>
      </c>
      <c r="B238" s="338" t="s">
        <v>365</v>
      </c>
      <c r="C238" s="339"/>
      <c r="D238" s="887">
        <v>20</v>
      </c>
    </row>
    <row r="239" spans="1:7" x14ac:dyDescent="0.35">
      <c r="A239" s="337">
        <v>39352</v>
      </c>
      <c r="B239" s="338" t="s">
        <v>377</v>
      </c>
      <c r="C239" s="339"/>
      <c r="D239" s="887">
        <v>5</v>
      </c>
      <c r="E239" s="306" t="s">
        <v>24</v>
      </c>
    </row>
    <row r="240" spans="1:7" x14ac:dyDescent="0.35">
      <c r="A240" s="337">
        <v>39352</v>
      </c>
      <c r="B240" s="338" t="s">
        <v>325</v>
      </c>
      <c r="C240" s="339"/>
      <c r="D240" s="887">
        <v>10</v>
      </c>
      <c r="E240" s="306" t="s">
        <v>299</v>
      </c>
      <c r="F240" s="865">
        <f>COUNTA(A214:A241)</f>
        <v>28</v>
      </c>
      <c r="G240" s="313"/>
    </row>
    <row r="241" spans="1:7" x14ac:dyDescent="0.35">
      <c r="A241" s="342">
        <v>39355</v>
      </c>
      <c r="B241" s="343" t="s">
        <v>365</v>
      </c>
      <c r="C241" s="344"/>
      <c r="D241" s="888">
        <v>7</v>
      </c>
      <c r="E241" s="310">
        <f>SUM(C216:C241)</f>
        <v>2002</v>
      </c>
      <c r="F241" s="865">
        <f>SUM(D216:D241)</f>
        <v>1302</v>
      </c>
      <c r="G241" s="310">
        <f>E241-F241</f>
        <v>700</v>
      </c>
    </row>
    <row r="242" spans="1:7" x14ac:dyDescent="0.35">
      <c r="A242" s="337">
        <v>39356</v>
      </c>
      <c r="B242" s="338" t="s">
        <v>391</v>
      </c>
      <c r="C242" s="339">
        <v>20</v>
      </c>
      <c r="D242" s="887"/>
    </row>
    <row r="243" spans="1:7" x14ac:dyDescent="0.35">
      <c r="A243" s="337">
        <v>39356</v>
      </c>
      <c r="B243" s="338" t="s">
        <v>392</v>
      </c>
      <c r="C243" s="339">
        <v>30</v>
      </c>
      <c r="D243" s="887"/>
    </row>
    <row r="244" spans="1:7" x14ac:dyDescent="0.35">
      <c r="A244" s="337">
        <v>39357</v>
      </c>
      <c r="B244" s="338" t="s">
        <v>288</v>
      </c>
      <c r="C244" s="339"/>
      <c r="D244" s="887">
        <v>10</v>
      </c>
    </row>
    <row r="245" spans="1:7" x14ac:dyDescent="0.35">
      <c r="A245" s="337">
        <v>39358</v>
      </c>
      <c r="B245" s="338" t="s">
        <v>287</v>
      </c>
      <c r="C245" s="339"/>
      <c r="D245" s="887">
        <v>20</v>
      </c>
    </row>
    <row r="246" spans="1:7" x14ac:dyDescent="0.35">
      <c r="A246" s="337">
        <v>39358</v>
      </c>
      <c r="B246" s="338" t="s">
        <v>310</v>
      </c>
      <c r="C246" s="339"/>
      <c r="D246" s="887">
        <v>20</v>
      </c>
    </row>
    <row r="247" spans="1:7" x14ac:dyDescent="0.35">
      <c r="A247" s="337">
        <v>39365</v>
      </c>
      <c r="B247" s="338" t="s">
        <v>316</v>
      </c>
      <c r="C247" s="339"/>
      <c r="D247" s="887">
        <v>190</v>
      </c>
    </row>
    <row r="248" spans="1:7" x14ac:dyDescent="0.35">
      <c r="A248" s="337">
        <v>39365</v>
      </c>
      <c r="B248" s="338" t="s">
        <v>13</v>
      </c>
      <c r="C248" s="339">
        <v>1380</v>
      </c>
      <c r="D248" s="887"/>
    </row>
    <row r="249" spans="1:7" x14ac:dyDescent="0.35">
      <c r="A249" s="337">
        <v>39365</v>
      </c>
      <c r="B249" s="338" t="s">
        <v>386</v>
      </c>
      <c r="C249" s="339"/>
      <c r="D249" s="887">
        <v>250</v>
      </c>
    </row>
    <row r="250" spans="1:7" x14ac:dyDescent="0.35">
      <c r="A250" s="337">
        <v>39365</v>
      </c>
      <c r="B250" s="338" t="s">
        <v>290</v>
      </c>
      <c r="C250" s="339"/>
      <c r="D250" s="887">
        <v>250</v>
      </c>
    </row>
    <row r="251" spans="1:7" x14ac:dyDescent="0.35">
      <c r="A251" s="337">
        <v>39366</v>
      </c>
      <c r="B251" s="338" t="s">
        <v>297</v>
      </c>
      <c r="C251" s="339"/>
      <c r="D251" s="887">
        <v>10</v>
      </c>
    </row>
    <row r="252" spans="1:7" x14ac:dyDescent="0.35">
      <c r="A252" s="337">
        <v>39369</v>
      </c>
      <c r="B252" s="338" t="s">
        <v>393</v>
      </c>
      <c r="C252" s="339"/>
      <c r="D252" s="887">
        <v>100</v>
      </c>
    </row>
    <row r="253" spans="1:7" x14ac:dyDescent="0.35">
      <c r="A253" s="337">
        <v>39370</v>
      </c>
      <c r="B253" s="338" t="s">
        <v>394</v>
      </c>
      <c r="C253" s="339"/>
      <c r="D253" s="887">
        <v>5</v>
      </c>
    </row>
    <row r="254" spans="1:7" x14ac:dyDescent="0.35">
      <c r="A254" s="337">
        <v>39370</v>
      </c>
      <c r="B254" s="338" t="s">
        <v>332</v>
      </c>
      <c r="C254" s="339"/>
      <c r="D254" s="887">
        <v>5</v>
      </c>
    </row>
    <row r="255" spans="1:7" x14ac:dyDescent="0.35">
      <c r="A255" s="337">
        <v>39372</v>
      </c>
      <c r="B255" s="338" t="s">
        <v>395</v>
      </c>
      <c r="C255" s="339"/>
      <c r="D255" s="887">
        <v>25</v>
      </c>
    </row>
    <row r="256" spans="1:7" x14ac:dyDescent="0.35">
      <c r="A256" s="337">
        <v>39372</v>
      </c>
      <c r="B256" s="338" t="s">
        <v>290</v>
      </c>
      <c r="C256" s="339"/>
      <c r="D256" s="887">
        <v>10</v>
      </c>
    </row>
    <row r="257" spans="1:7" x14ac:dyDescent="0.35">
      <c r="A257" s="337">
        <v>39374</v>
      </c>
      <c r="B257" s="338" t="s">
        <v>396</v>
      </c>
      <c r="C257" s="339"/>
      <c r="D257" s="887">
        <v>35</v>
      </c>
    </row>
    <row r="258" spans="1:7" x14ac:dyDescent="0.35">
      <c r="A258" s="337">
        <v>39376</v>
      </c>
      <c r="B258" s="338" t="s">
        <v>288</v>
      </c>
      <c r="C258" s="339"/>
      <c r="D258" s="887">
        <v>10</v>
      </c>
    </row>
    <row r="259" spans="1:7" x14ac:dyDescent="0.35">
      <c r="A259" s="337">
        <v>39377</v>
      </c>
      <c r="B259" s="338" t="s">
        <v>397</v>
      </c>
      <c r="C259" s="339"/>
      <c r="D259" s="887">
        <v>5</v>
      </c>
    </row>
    <row r="260" spans="1:7" x14ac:dyDescent="0.35">
      <c r="A260" s="337">
        <v>39378</v>
      </c>
      <c r="B260" s="338" t="s">
        <v>287</v>
      </c>
      <c r="C260" s="339"/>
      <c r="D260" s="887">
        <v>10</v>
      </c>
    </row>
    <row r="261" spans="1:7" x14ac:dyDescent="0.35">
      <c r="A261" s="337">
        <v>39382</v>
      </c>
      <c r="B261" s="338" t="s">
        <v>398</v>
      </c>
      <c r="C261" s="339"/>
      <c r="D261" s="887">
        <v>10</v>
      </c>
      <c r="E261" s="306" t="s">
        <v>25</v>
      </c>
    </row>
    <row r="262" spans="1:7" x14ac:dyDescent="0.35">
      <c r="A262" s="337">
        <v>39382</v>
      </c>
      <c r="B262" s="338" t="s">
        <v>297</v>
      </c>
      <c r="C262" s="339"/>
      <c r="D262" s="887">
        <v>7</v>
      </c>
      <c r="E262" s="306" t="s">
        <v>299</v>
      </c>
      <c r="F262" s="865">
        <f>COUNTA(A242:A263)</f>
        <v>22</v>
      </c>
      <c r="G262" s="313"/>
    </row>
    <row r="263" spans="1:7" x14ac:dyDescent="0.35">
      <c r="A263" s="342">
        <v>39383</v>
      </c>
      <c r="B263" s="343" t="s">
        <v>399</v>
      </c>
      <c r="C263" s="344">
        <v>60</v>
      </c>
      <c r="D263" s="888"/>
      <c r="E263" s="310">
        <f>SUM(C242:C263)</f>
        <v>1490</v>
      </c>
      <c r="F263" s="865">
        <f>SUM(D242:D263)</f>
        <v>972</v>
      </c>
      <c r="G263" s="310">
        <f>E263-F263</f>
        <v>518</v>
      </c>
    </row>
    <row r="264" spans="1:7" x14ac:dyDescent="0.35">
      <c r="A264" s="337">
        <v>39387</v>
      </c>
      <c r="B264" s="338" t="s">
        <v>294</v>
      </c>
      <c r="C264" s="345"/>
      <c r="D264" s="889">
        <v>48</v>
      </c>
    </row>
    <row r="265" spans="1:7" x14ac:dyDescent="0.35">
      <c r="A265" s="337">
        <v>39393</v>
      </c>
      <c r="B265" s="338" t="s">
        <v>287</v>
      </c>
      <c r="C265" s="345"/>
      <c r="D265" s="889">
        <v>80</v>
      </c>
    </row>
    <row r="266" spans="1:7" x14ac:dyDescent="0.35">
      <c r="A266" s="337">
        <v>39395</v>
      </c>
      <c r="B266" s="338" t="s">
        <v>13</v>
      </c>
      <c r="C266" s="345">
        <v>1400</v>
      </c>
      <c r="D266" s="889"/>
    </row>
    <row r="267" spans="1:7" x14ac:dyDescent="0.35">
      <c r="A267" s="337">
        <v>39395</v>
      </c>
      <c r="B267" s="338" t="s">
        <v>316</v>
      </c>
      <c r="C267" s="345"/>
      <c r="D267" s="889">
        <v>190</v>
      </c>
    </row>
    <row r="268" spans="1:7" x14ac:dyDescent="0.35">
      <c r="A268" s="337">
        <v>39395</v>
      </c>
      <c r="B268" s="338" t="s">
        <v>290</v>
      </c>
      <c r="C268" s="345"/>
      <c r="D268" s="889">
        <v>182</v>
      </c>
    </row>
    <row r="269" spans="1:7" x14ac:dyDescent="0.35">
      <c r="A269" s="337">
        <v>39396</v>
      </c>
      <c r="B269" s="338" t="s">
        <v>386</v>
      </c>
      <c r="C269" s="345"/>
      <c r="D269" s="889">
        <v>300</v>
      </c>
    </row>
    <row r="270" spans="1:7" x14ac:dyDescent="0.35">
      <c r="A270" s="337">
        <v>39396</v>
      </c>
      <c r="B270" s="338" t="s">
        <v>400</v>
      </c>
      <c r="C270" s="345"/>
      <c r="D270" s="889">
        <v>70</v>
      </c>
    </row>
    <row r="271" spans="1:7" x14ac:dyDescent="0.35">
      <c r="A271" s="337">
        <v>39396</v>
      </c>
      <c r="B271" s="338" t="s">
        <v>384</v>
      </c>
      <c r="C271" s="345"/>
      <c r="D271" s="889">
        <v>18</v>
      </c>
    </row>
    <row r="272" spans="1:7" x14ac:dyDescent="0.35">
      <c r="A272" s="337">
        <v>39398</v>
      </c>
      <c r="B272" s="338" t="s">
        <v>401</v>
      </c>
      <c r="C272" s="345"/>
      <c r="D272" s="889">
        <v>80</v>
      </c>
    </row>
    <row r="273" spans="1:7" x14ac:dyDescent="0.35">
      <c r="A273" s="337">
        <v>39407</v>
      </c>
      <c r="B273" s="338" t="s">
        <v>402</v>
      </c>
      <c r="C273" s="345"/>
      <c r="D273" s="889">
        <v>200</v>
      </c>
      <c r="E273" s="306" t="s">
        <v>26</v>
      </c>
    </row>
    <row r="274" spans="1:7" x14ac:dyDescent="0.35">
      <c r="A274" s="337">
        <v>39410</v>
      </c>
      <c r="B274" s="338" t="s">
        <v>333</v>
      </c>
      <c r="C274" s="345"/>
      <c r="D274" s="889">
        <v>325</v>
      </c>
      <c r="E274" s="306" t="s">
        <v>299</v>
      </c>
      <c r="F274" s="865">
        <f>COUNTA(A260:A275)</f>
        <v>16</v>
      </c>
      <c r="G274" s="313"/>
    </row>
    <row r="275" spans="1:7" x14ac:dyDescent="0.35">
      <c r="A275" s="342">
        <v>39411</v>
      </c>
      <c r="B275" s="343" t="s">
        <v>290</v>
      </c>
      <c r="C275" s="346"/>
      <c r="D275" s="890">
        <v>15</v>
      </c>
      <c r="E275" s="310">
        <f>SUM(C264:C275)</f>
        <v>1400</v>
      </c>
      <c r="F275" s="865">
        <f>SUM(D264:D275)</f>
        <v>1508</v>
      </c>
      <c r="G275" s="310">
        <f>E275-F275</f>
        <v>-108</v>
      </c>
    </row>
    <row r="276" spans="1:7" x14ac:dyDescent="0.35">
      <c r="A276" s="337">
        <v>39417</v>
      </c>
      <c r="B276" s="338" t="s">
        <v>403</v>
      </c>
      <c r="C276" s="345"/>
      <c r="D276" s="889">
        <v>15</v>
      </c>
    </row>
    <row r="277" spans="1:7" x14ac:dyDescent="0.35">
      <c r="A277" s="337">
        <v>39419</v>
      </c>
      <c r="B277" s="338" t="s">
        <v>377</v>
      </c>
      <c r="C277" s="345"/>
      <c r="D277" s="889">
        <v>22</v>
      </c>
    </row>
    <row r="278" spans="1:7" x14ac:dyDescent="0.35">
      <c r="A278" s="337">
        <v>39419</v>
      </c>
      <c r="B278" s="338" t="s">
        <v>397</v>
      </c>
      <c r="C278" s="345"/>
      <c r="D278" s="889">
        <v>8</v>
      </c>
    </row>
    <row r="279" spans="1:7" x14ac:dyDescent="0.35">
      <c r="A279" s="337">
        <v>39422</v>
      </c>
      <c r="B279" s="338" t="s">
        <v>316</v>
      </c>
      <c r="C279" s="345"/>
      <c r="D279" s="889">
        <v>190</v>
      </c>
    </row>
    <row r="280" spans="1:7" x14ac:dyDescent="0.35">
      <c r="A280" s="337">
        <v>39423</v>
      </c>
      <c r="B280" s="338" t="s">
        <v>301</v>
      </c>
      <c r="C280" s="345"/>
      <c r="D280" s="889">
        <v>5</v>
      </c>
    </row>
    <row r="281" spans="1:7" x14ac:dyDescent="0.35">
      <c r="A281" s="337">
        <v>39423</v>
      </c>
      <c r="B281" s="338" t="s">
        <v>13</v>
      </c>
      <c r="C281" s="345">
        <v>1400</v>
      </c>
      <c r="D281" s="889"/>
    </row>
    <row r="282" spans="1:7" x14ac:dyDescent="0.35">
      <c r="A282" s="337">
        <v>39423</v>
      </c>
      <c r="B282" s="338" t="s">
        <v>386</v>
      </c>
      <c r="C282" s="345"/>
      <c r="D282" s="889">
        <v>300</v>
      </c>
    </row>
    <row r="283" spans="1:7" x14ac:dyDescent="0.35">
      <c r="A283" s="337">
        <v>39424</v>
      </c>
      <c r="B283" s="338" t="s">
        <v>290</v>
      </c>
      <c r="C283" s="345"/>
      <c r="D283" s="889">
        <v>195</v>
      </c>
    </row>
    <row r="284" spans="1:7" x14ac:dyDescent="0.35">
      <c r="A284" s="337">
        <v>39426</v>
      </c>
      <c r="B284" s="338" t="s">
        <v>325</v>
      </c>
      <c r="C284" s="345"/>
      <c r="D284" s="889">
        <v>50</v>
      </c>
    </row>
    <row r="285" spans="1:7" x14ac:dyDescent="0.35">
      <c r="A285" s="337">
        <v>39429</v>
      </c>
      <c r="B285" s="338" t="s">
        <v>290</v>
      </c>
      <c r="C285" s="345"/>
      <c r="D285" s="889">
        <v>5</v>
      </c>
    </row>
    <row r="286" spans="1:7" x14ac:dyDescent="0.35">
      <c r="A286" s="337">
        <v>39431</v>
      </c>
      <c r="B286" s="338" t="s">
        <v>404</v>
      </c>
      <c r="C286" s="345"/>
      <c r="D286" s="889">
        <v>15</v>
      </c>
    </row>
    <row r="287" spans="1:7" x14ac:dyDescent="0.35">
      <c r="A287" s="337">
        <v>39431</v>
      </c>
      <c r="B287" s="338" t="s">
        <v>405</v>
      </c>
      <c r="C287" s="345"/>
      <c r="D287" s="889">
        <v>30</v>
      </c>
    </row>
    <row r="288" spans="1:7" x14ac:dyDescent="0.35">
      <c r="A288" s="337">
        <v>39431</v>
      </c>
      <c r="B288" s="338" t="s">
        <v>397</v>
      </c>
      <c r="C288" s="345"/>
      <c r="D288" s="889">
        <v>10</v>
      </c>
    </row>
    <row r="289" spans="1:10" x14ac:dyDescent="0.35">
      <c r="A289" s="337">
        <v>39432</v>
      </c>
      <c r="B289" s="338" t="s">
        <v>351</v>
      </c>
      <c r="C289" s="345"/>
      <c r="D289" s="889">
        <v>5</v>
      </c>
    </row>
    <row r="290" spans="1:10" x14ac:dyDescent="0.35">
      <c r="A290" s="337">
        <v>39433</v>
      </c>
      <c r="B290" s="338" t="s">
        <v>290</v>
      </c>
      <c r="C290" s="345"/>
      <c r="D290" s="889">
        <v>5</v>
      </c>
    </row>
    <row r="291" spans="1:10" x14ac:dyDescent="0.35">
      <c r="A291" s="337">
        <v>39438</v>
      </c>
      <c r="B291" s="338" t="s">
        <v>406</v>
      </c>
      <c r="C291" s="345"/>
      <c r="D291" s="889">
        <v>100</v>
      </c>
      <c r="E291" s="306" t="s">
        <v>27</v>
      </c>
    </row>
    <row r="292" spans="1:10" x14ac:dyDescent="0.35">
      <c r="A292" s="337">
        <v>39443</v>
      </c>
      <c r="B292" s="338" t="s">
        <v>365</v>
      </c>
      <c r="C292" s="345"/>
      <c r="D292" s="889">
        <v>20</v>
      </c>
      <c r="E292" s="306" t="s">
        <v>299</v>
      </c>
      <c r="F292" s="865">
        <f>COUNTA(A274:A293)</f>
        <v>20</v>
      </c>
      <c r="G292" s="313"/>
    </row>
    <row r="293" spans="1:10" x14ac:dyDescent="0.35">
      <c r="A293" s="347">
        <v>39443</v>
      </c>
      <c r="B293" s="348" t="s">
        <v>288</v>
      </c>
      <c r="C293" s="349"/>
      <c r="D293" s="891">
        <v>20</v>
      </c>
      <c r="E293" s="310">
        <f>SUM(C276:C293)</f>
        <v>1400</v>
      </c>
      <c r="F293" s="865">
        <f>SUM(D276:D293)</f>
        <v>995</v>
      </c>
      <c r="G293" s="319">
        <f>E293-F293</f>
        <v>405</v>
      </c>
    </row>
    <row r="294" spans="1:10" x14ac:dyDescent="0.35">
      <c r="C294" s="320"/>
      <c r="D294" s="892"/>
    </row>
    <row r="295" spans="1:10" x14ac:dyDescent="0.35">
      <c r="C295" s="320"/>
      <c r="D295" s="892"/>
    </row>
    <row r="296" spans="1:10" x14ac:dyDescent="0.35">
      <c r="C296" s="320"/>
      <c r="D296" s="892"/>
    </row>
    <row r="297" spans="1:10" x14ac:dyDescent="0.35">
      <c r="C297" s="320"/>
      <c r="D297" s="892"/>
    </row>
    <row r="298" spans="1:10" x14ac:dyDescent="0.35">
      <c r="C298" s="320"/>
      <c r="D298" s="892"/>
      <c r="H298" s="553" t="s">
        <v>29</v>
      </c>
      <c r="I298" s="554"/>
      <c r="J298" s="555"/>
    </row>
    <row r="299" spans="1:10" x14ac:dyDescent="0.35">
      <c r="C299" s="320"/>
      <c r="D299" s="892"/>
      <c r="H299" s="556">
        <f>_ENE07</f>
        <v>670</v>
      </c>
      <c r="I299" s="557"/>
      <c r="J299" s="555"/>
    </row>
    <row r="300" spans="1:10" x14ac:dyDescent="0.35">
      <c r="C300" s="320"/>
      <c r="D300" s="892"/>
      <c r="H300" s="556">
        <f>_FEB07</f>
        <v>350</v>
      </c>
      <c r="I300" s="557"/>
      <c r="J300" s="555"/>
    </row>
    <row r="301" spans="1:10" x14ac:dyDescent="0.35">
      <c r="C301" s="320"/>
      <c r="D301" s="892"/>
      <c r="H301" s="556">
        <f>_MAR07</f>
        <v>633</v>
      </c>
      <c r="I301" s="557"/>
      <c r="J301" s="555"/>
    </row>
    <row r="302" spans="1:10" x14ac:dyDescent="0.35">
      <c r="C302" s="320"/>
      <c r="D302" s="892"/>
      <c r="H302" s="556">
        <f>_ABR07</f>
        <v>-753</v>
      </c>
      <c r="I302" s="557"/>
      <c r="J302" s="555"/>
    </row>
    <row r="303" spans="1:10" x14ac:dyDescent="0.35">
      <c r="C303" s="320"/>
      <c r="D303" s="892"/>
      <c r="H303" s="556">
        <f>_MAY07</f>
        <v>200</v>
      </c>
      <c r="I303" s="557"/>
      <c r="J303" s="555"/>
    </row>
    <row r="304" spans="1:10" x14ac:dyDescent="0.35">
      <c r="C304" s="320"/>
      <c r="D304" s="892"/>
      <c r="H304" s="556">
        <f>_JUN07</f>
        <v>-580</v>
      </c>
      <c r="I304" s="557"/>
      <c r="J304" s="555"/>
    </row>
    <row r="305" spans="1:13" x14ac:dyDescent="0.35">
      <c r="C305" s="320"/>
      <c r="D305" s="892"/>
      <c r="H305" s="556">
        <f>_JUL07</f>
        <v>-20</v>
      </c>
      <c r="I305" s="557"/>
      <c r="J305" s="555"/>
    </row>
    <row r="306" spans="1:13" x14ac:dyDescent="0.35">
      <c r="C306" s="320"/>
      <c r="D306" s="892"/>
      <c r="H306" s="556">
        <f>_AGO07</f>
        <v>-550</v>
      </c>
      <c r="I306" s="557"/>
      <c r="J306" s="555"/>
    </row>
    <row r="307" spans="1:13" x14ac:dyDescent="0.35">
      <c r="C307" s="320"/>
      <c r="D307" s="892"/>
      <c r="H307" s="556">
        <f>_SEP07</f>
        <v>700</v>
      </c>
      <c r="I307" s="557"/>
      <c r="J307" s="555"/>
    </row>
    <row r="308" spans="1:13" x14ac:dyDescent="0.35">
      <c r="C308" s="320"/>
      <c r="D308" s="892"/>
      <c r="H308" s="556">
        <f>_OCT07</f>
        <v>518</v>
      </c>
      <c r="I308" s="557"/>
      <c r="J308" s="555"/>
    </row>
    <row r="309" spans="1:13" x14ac:dyDescent="0.35">
      <c r="C309" s="320"/>
      <c r="D309" s="892"/>
      <c r="H309" s="556">
        <f>_NOV07</f>
        <v>-108</v>
      </c>
      <c r="I309" s="557"/>
      <c r="J309" s="555"/>
    </row>
    <row r="310" spans="1:13" x14ac:dyDescent="0.35">
      <c r="C310" s="320"/>
      <c r="D310" s="892"/>
      <c r="H310" s="556">
        <f>_DIC07</f>
        <v>405</v>
      </c>
      <c r="I310" s="557"/>
      <c r="J310" s="555"/>
    </row>
    <row r="311" spans="1:13" x14ac:dyDescent="0.35">
      <c r="C311" s="320"/>
      <c r="D311" s="892"/>
      <c r="H311" s="558">
        <f>SUM(H299:H310)</f>
        <v>1465</v>
      </c>
      <c r="I311" s="559">
        <f>-SUM(I299:I310)</f>
        <v>0</v>
      </c>
      <c r="J311" s="567">
        <f>H311-I311</f>
        <v>1465</v>
      </c>
    </row>
    <row r="312" spans="1:13" x14ac:dyDescent="0.35">
      <c r="C312" s="320"/>
      <c r="D312" s="892"/>
      <c r="F312" s="871"/>
      <c r="G312" s="37"/>
      <c r="H312" s="323"/>
      <c r="I312" s="323"/>
      <c r="J312" s="51"/>
      <c r="K312" s="37"/>
      <c r="L312" s="37"/>
      <c r="M312" s="37"/>
    </row>
    <row r="313" spans="1:13" x14ac:dyDescent="0.35">
      <c r="C313" s="320"/>
      <c r="D313" s="892"/>
      <c r="F313" s="871"/>
      <c r="G313" s="37"/>
      <c r="H313" s="181"/>
      <c r="I313" s="323"/>
      <c r="J313" s="51"/>
      <c r="K313" s="37"/>
      <c r="L313" s="37"/>
      <c r="M313" s="37"/>
    </row>
    <row r="314" spans="1:13" x14ac:dyDescent="0.35">
      <c r="C314" s="320"/>
      <c r="D314" s="892"/>
      <c r="F314" s="871"/>
      <c r="G314" s="43"/>
      <c r="H314" s="181"/>
      <c r="I314" s="565"/>
      <c r="J314" s="51"/>
      <c r="K314" s="43"/>
      <c r="L314" s="37"/>
      <c r="M314" s="37"/>
    </row>
    <row r="315" spans="1:13" x14ac:dyDescent="0.35">
      <c r="C315" s="320"/>
      <c r="D315" s="892"/>
      <c r="F315" s="871"/>
      <c r="G315" s="37"/>
      <c r="H315" s="181"/>
      <c r="I315" s="323"/>
      <c r="J315" s="51"/>
      <c r="K315" s="37"/>
      <c r="L315" s="37"/>
      <c r="M315" s="37"/>
    </row>
    <row r="316" spans="1:13" x14ac:dyDescent="0.35">
      <c r="A316" s="46" t="s">
        <v>32</v>
      </c>
      <c r="B316" s="46" t="s">
        <v>33</v>
      </c>
      <c r="F316" s="871"/>
      <c r="G316" s="37"/>
      <c r="H316" s="323"/>
      <c r="I316" s="323"/>
      <c r="J316" s="51"/>
      <c r="K316" s="37"/>
      <c r="L316" s="37"/>
      <c r="M316" s="37"/>
    </row>
    <row r="317" spans="1:13" x14ac:dyDescent="0.35">
      <c r="A317" s="351">
        <f>SUM(C5:C316)</f>
        <v>15346</v>
      </c>
      <c r="B317" s="351">
        <f>SUM(D5:D316)</f>
        <v>13881</v>
      </c>
      <c r="F317" s="871"/>
      <c r="G317" s="37"/>
      <c r="H317" s="565"/>
      <c r="I317" s="323"/>
      <c r="J317" s="51"/>
      <c r="K317" s="37"/>
      <c r="L317" s="37"/>
      <c r="M317" s="37"/>
    </row>
    <row r="318" spans="1:13" x14ac:dyDescent="0.35">
      <c r="F318" s="871"/>
      <c r="G318" s="37"/>
      <c r="H318" s="181"/>
      <c r="I318" s="323"/>
      <c r="J318" s="51"/>
      <c r="K318" s="37"/>
      <c r="L318" s="37"/>
      <c r="M318" s="37"/>
    </row>
    <row r="319" spans="1:13" x14ac:dyDescent="0.35">
      <c r="F319" s="871"/>
      <c r="G319" s="37"/>
      <c r="H319" s="181"/>
      <c r="I319" s="323"/>
      <c r="J319" s="51"/>
      <c r="K319" s="37"/>
      <c r="L319" s="37"/>
      <c r="M319" s="37"/>
    </row>
    <row r="320" spans="1:13" x14ac:dyDescent="0.35">
      <c r="F320" s="871"/>
      <c r="G320" s="37"/>
      <c r="H320" s="37"/>
      <c r="I320" s="37"/>
      <c r="J320" s="37"/>
      <c r="K320" s="37"/>
      <c r="L320" s="37"/>
      <c r="M320" s="37"/>
    </row>
    <row r="323" spans="5:10" x14ac:dyDescent="0.35">
      <c r="E323" s="229"/>
      <c r="F323" s="794"/>
      <c r="G323" s="229"/>
      <c r="H323" s="229"/>
    </row>
    <row r="324" spans="5:10" x14ac:dyDescent="0.35">
      <c r="E324" s="229"/>
      <c r="F324" s="794"/>
      <c r="G324" s="229"/>
      <c r="H324" s="229"/>
    </row>
    <row r="325" spans="5:10" x14ac:dyDescent="0.35">
      <c r="E325" s="229"/>
      <c r="F325" s="872"/>
      <c r="G325" s="562"/>
      <c r="H325" s="229"/>
      <c r="I325" s="32"/>
      <c r="J325" s="33"/>
    </row>
    <row r="326" spans="5:10" x14ac:dyDescent="0.35">
      <c r="E326" s="229"/>
      <c r="F326" s="872"/>
      <c r="G326" s="562"/>
      <c r="H326" s="229"/>
      <c r="I326" s="35"/>
      <c r="J326" s="52"/>
    </row>
    <row r="327" spans="5:10" x14ac:dyDescent="0.35">
      <c r="E327" s="229"/>
      <c r="F327" s="872"/>
      <c r="G327" s="562"/>
      <c r="H327" s="229"/>
      <c r="I327" s="47"/>
      <c r="J327" s="52"/>
    </row>
    <row r="328" spans="5:10" x14ac:dyDescent="0.35">
      <c r="E328" s="229"/>
      <c r="F328" s="872"/>
      <c r="G328" s="562"/>
      <c r="H328" s="229"/>
      <c r="I328" s="35"/>
      <c r="J328" s="52"/>
    </row>
    <row r="329" spans="5:10" x14ac:dyDescent="0.35">
      <c r="E329" s="229"/>
      <c r="F329" s="872"/>
      <c r="G329" s="562"/>
      <c r="H329" s="229"/>
      <c r="I329" s="35"/>
      <c r="J329" s="52"/>
    </row>
    <row r="330" spans="5:10" x14ac:dyDescent="0.35">
      <c r="E330" s="229"/>
      <c r="F330" s="872"/>
      <c r="G330" s="563"/>
      <c r="H330" s="541"/>
      <c r="I330" s="31"/>
      <c r="J330" s="52"/>
    </row>
    <row r="331" spans="5:10" x14ac:dyDescent="0.35">
      <c r="E331" s="229"/>
      <c r="F331" s="872"/>
      <c r="G331" s="564"/>
      <c r="H331" s="543"/>
      <c r="I331" s="45"/>
      <c r="J331" s="52"/>
    </row>
    <row r="332" spans="5:10" x14ac:dyDescent="0.35">
      <c r="E332" s="229"/>
      <c r="F332" s="872"/>
      <c r="G332" s="564"/>
      <c r="H332" s="543"/>
      <c r="I332" s="31"/>
      <c r="J332" s="52"/>
    </row>
    <row r="333" spans="5:10" x14ac:dyDescent="0.35">
      <c r="E333" s="229"/>
      <c r="F333" s="740"/>
      <c r="G333" s="563"/>
      <c r="H333" s="229"/>
      <c r="I333" s="35"/>
      <c r="J333" s="52"/>
    </row>
    <row r="334" spans="5:10" x14ac:dyDescent="0.35">
      <c r="E334" s="229"/>
      <c r="F334" s="872"/>
      <c r="G334" s="563"/>
      <c r="H334" s="46"/>
      <c r="I334" s="31"/>
      <c r="J334" s="54"/>
    </row>
    <row r="335" spans="5:10" x14ac:dyDescent="0.35">
      <c r="E335" s="229"/>
      <c r="F335" s="768"/>
      <c r="G335" s="563"/>
      <c r="H335" s="229"/>
      <c r="I335" s="31"/>
      <c r="J335" s="54"/>
    </row>
    <row r="336" spans="5:10" x14ac:dyDescent="0.35">
      <c r="E336" s="229"/>
      <c r="F336" s="872"/>
      <c r="G336" s="563"/>
      <c r="H336" s="46"/>
      <c r="I336" s="32"/>
      <c r="J336" s="52"/>
    </row>
    <row r="337" spans="5:10" x14ac:dyDescent="0.35">
      <c r="E337" s="229"/>
      <c r="F337" s="768"/>
      <c r="G337" s="563"/>
      <c r="H337" s="31"/>
      <c r="I337" s="31"/>
      <c r="J337" s="53"/>
    </row>
    <row r="338" spans="5:10" x14ac:dyDescent="0.35">
      <c r="E338" s="229"/>
      <c r="F338" s="872"/>
      <c r="G338" s="548"/>
      <c r="H338" s="46"/>
      <c r="I338" s="352"/>
      <c r="J338" s="53"/>
    </row>
    <row r="339" spans="5:10" x14ac:dyDescent="0.35">
      <c r="E339" s="229"/>
      <c r="F339" s="872"/>
      <c r="G339" s="548"/>
      <c r="H339" s="46"/>
      <c r="I339" s="352"/>
      <c r="J339" s="53"/>
    </row>
    <row r="340" spans="5:10" x14ac:dyDescent="0.35">
      <c r="E340" s="229"/>
      <c r="F340" s="872"/>
      <c r="G340" s="548"/>
      <c r="H340" s="46"/>
      <c r="I340" s="352"/>
      <c r="J340" s="53"/>
    </row>
    <row r="341" spans="5:10" x14ac:dyDescent="0.35">
      <c r="E341" s="229"/>
      <c r="F341" s="872"/>
      <c r="G341" s="548"/>
      <c r="H341" s="46"/>
      <c r="I341" s="352"/>
      <c r="J341" s="53"/>
    </row>
    <row r="342" spans="5:10" x14ac:dyDescent="0.35">
      <c r="E342" s="229"/>
      <c r="F342" s="872"/>
      <c r="G342" s="548"/>
      <c r="H342" s="46"/>
      <c r="I342" s="352"/>
      <c r="J342" s="53"/>
    </row>
    <row r="343" spans="5:10" x14ac:dyDescent="0.35">
      <c r="E343" s="229"/>
      <c r="F343" s="872"/>
      <c r="G343" s="548"/>
      <c r="H343" s="46"/>
      <c r="I343" s="352"/>
      <c r="J343" s="53"/>
    </row>
    <row r="344" spans="5:10" x14ac:dyDescent="0.35">
      <c r="E344" s="229"/>
      <c r="F344" s="872"/>
      <c r="G344" s="548"/>
      <c r="H344" s="46"/>
      <c r="I344" s="352"/>
      <c r="J344" s="53"/>
    </row>
    <row r="345" spans="5:10" x14ac:dyDescent="0.35">
      <c r="E345" s="229"/>
      <c r="F345" s="872"/>
      <c r="G345" s="548"/>
      <c r="H345" s="46"/>
      <c r="I345" s="352"/>
      <c r="J345" s="53"/>
    </row>
    <row r="346" spans="5:10" x14ac:dyDescent="0.35">
      <c r="E346" s="229"/>
      <c r="F346" s="872"/>
      <c r="G346" s="548"/>
      <c r="H346" s="46"/>
      <c r="I346" s="352"/>
      <c r="J346" s="55"/>
    </row>
    <row r="347" spans="5:10" x14ac:dyDescent="0.35">
      <c r="E347" s="229"/>
      <c r="F347" s="872"/>
      <c r="G347" s="549"/>
      <c r="H347" s="46"/>
      <c r="I347" s="353"/>
      <c r="J347" s="55"/>
    </row>
    <row r="348" spans="5:10" x14ac:dyDescent="0.35">
      <c r="E348" s="229"/>
      <c r="F348" s="873"/>
      <c r="G348" s="353"/>
      <c r="H348" s="229"/>
      <c r="I348" s="31"/>
      <c r="J348" s="354"/>
    </row>
    <row r="349" spans="5:10" x14ac:dyDescent="0.35">
      <c r="E349" s="229"/>
      <c r="F349" s="872"/>
      <c r="G349" s="550"/>
      <c r="H349" s="229"/>
      <c r="I349" s="33"/>
      <c r="J349" s="33"/>
    </row>
    <row r="350" spans="5:10" x14ac:dyDescent="0.35">
      <c r="E350" s="229"/>
      <c r="F350" s="872"/>
      <c r="G350" s="550"/>
      <c r="H350" s="229"/>
      <c r="I350" s="32"/>
      <c r="J350" s="33"/>
    </row>
    <row r="351" spans="5:10" x14ac:dyDescent="0.35">
      <c r="E351" s="229"/>
      <c r="F351" s="872"/>
      <c r="G351" s="552"/>
      <c r="H351" s="229"/>
      <c r="I351" s="12"/>
      <c r="J351" s="33"/>
    </row>
    <row r="352" spans="5:10" x14ac:dyDescent="0.35">
      <c r="E352" s="229"/>
      <c r="F352" s="794"/>
      <c r="G352" s="229"/>
      <c r="H352" s="229"/>
    </row>
    <row r="353" spans="5:8" x14ac:dyDescent="0.35">
      <c r="E353" s="229"/>
      <c r="F353" s="794"/>
      <c r="G353" s="229"/>
      <c r="H353" s="22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21" customWidth="1"/>
    <col min="4" max="4" width="12.7265625" style="902" customWidth="1"/>
    <col min="5" max="5" width="11.26953125" style="739" customWidth="1"/>
    <col min="6" max="6" width="11.36328125" style="791" customWidth="1"/>
    <col min="7" max="7" width="13.08984375" customWidth="1"/>
    <col min="8" max="8" width="14.7265625" customWidth="1"/>
    <col min="9" max="11" width="11.36328125" customWidth="1"/>
  </cols>
  <sheetData>
    <row r="1" spans="1:8" ht="12" customHeight="1" x14ac:dyDescent="0.35">
      <c r="A1" s="1196">
        <f>A129</f>
        <v>39081</v>
      </c>
      <c r="B1" s="1197"/>
      <c r="C1" s="291" t="s">
        <v>0</v>
      </c>
      <c r="D1" s="894">
        <f>COUNTA(A5:A129)</f>
        <v>114</v>
      </c>
      <c r="E1" s="1198" t="s">
        <v>250</v>
      </c>
      <c r="F1" s="1198"/>
    </row>
    <row r="2" spans="1:8" ht="12.75" customHeight="1" x14ac:dyDescent="0.35">
      <c r="A2" s="292" t="s">
        <v>2</v>
      </c>
      <c r="B2" s="293">
        <f>G14+G22+G36+G45+G55+G64+G76+G85+G95+G109+G118+G129</f>
        <v>963</v>
      </c>
      <c r="C2" s="294" t="s">
        <v>251</v>
      </c>
      <c r="D2" s="895">
        <f>SUM(C4:C129)-SUM(D4:D129)</f>
        <v>1030</v>
      </c>
      <c r="E2" s="875" t="s">
        <v>252</v>
      </c>
      <c r="F2" s="881"/>
    </row>
    <row r="3" spans="1:8" x14ac:dyDescent="0.35">
      <c r="A3" s="295" t="s">
        <v>7</v>
      </c>
      <c r="B3" s="296" t="s">
        <v>8</v>
      </c>
      <c r="C3" s="297" t="s">
        <v>9</v>
      </c>
      <c r="D3" s="896" t="s">
        <v>63</v>
      </c>
      <c r="E3" s="876"/>
      <c r="F3" s="882"/>
    </row>
    <row r="4" spans="1:8" x14ac:dyDescent="0.35">
      <c r="A4" s="298"/>
      <c r="B4" s="299" t="s">
        <v>253</v>
      </c>
      <c r="C4" s="300">
        <v>67</v>
      </c>
      <c r="D4" s="897"/>
    </row>
    <row r="5" spans="1:8" x14ac:dyDescent="0.35">
      <c r="A5" s="301">
        <v>38723</v>
      </c>
      <c r="B5" s="302" t="s">
        <v>254</v>
      </c>
      <c r="C5" s="303">
        <v>300</v>
      </c>
      <c r="D5" s="898"/>
      <c r="F5" s="855"/>
      <c r="G5" s="304"/>
      <c r="H5" s="304"/>
    </row>
    <row r="6" spans="1:8" x14ac:dyDescent="0.35">
      <c r="A6" s="301">
        <v>38725</v>
      </c>
      <c r="B6" s="302" t="s">
        <v>13</v>
      </c>
      <c r="C6" s="303">
        <v>70</v>
      </c>
      <c r="D6" s="898"/>
      <c r="F6" s="856"/>
      <c r="G6" s="305"/>
      <c r="H6" s="305"/>
    </row>
    <row r="7" spans="1:8" x14ac:dyDescent="0.35">
      <c r="A7" s="301">
        <v>38739</v>
      </c>
      <c r="B7" s="302" t="s">
        <v>217</v>
      </c>
      <c r="C7" s="303">
        <v>80</v>
      </c>
      <c r="D7" s="898"/>
      <c r="F7" s="856"/>
      <c r="G7" s="305"/>
      <c r="H7" s="305"/>
    </row>
    <row r="8" spans="1:8" x14ac:dyDescent="0.35">
      <c r="A8" s="301">
        <v>38739</v>
      </c>
      <c r="B8" s="302" t="s">
        <v>217</v>
      </c>
      <c r="C8" s="303">
        <v>10</v>
      </c>
      <c r="D8" s="898"/>
      <c r="F8" s="883"/>
      <c r="G8" s="304"/>
      <c r="H8" s="304"/>
    </row>
    <row r="9" spans="1:8" x14ac:dyDescent="0.35">
      <c r="A9" s="301">
        <v>38739</v>
      </c>
      <c r="B9" s="302" t="s">
        <v>13</v>
      </c>
      <c r="C9" s="303">
        <v>70</v>
      </c>
      <c r="D9" s="898"/>
      <c r="F9" s="855"/>
      <c r="G9" s="304"/>
      <c r="H9" s="304"/>
    </row>
    <row r="10" spans="1:8" x14ac:dyDescent="0.35">
      <c r="A10" s="301">
        <v>29</v>
      </c>
      <c r="B10" s="302" t="s">
        <v>217</v>
      </c>
      <c r="C10" s="303">
        <v>10</v>
      </c>
      <c r="D10" s="898"/>
    </row>
    <row r="11" spans="1:8" x14ac:dyDescent="0.35">
      <c r="A11" s="301">
        <v>38747</v>
      </c>
      <c r="B11" s="302" t="s">
        <v>13</v>
      </c>
      <c r="C11" s="303">
        <v>70</v>
      </c>
      <c r="D11" s="898"/>
    </row>
    <row r="12" spans="1:8" x14ac:dyDescent="0.35">
      <c r="A12" s="301"/>
      <c r="B12" s="302"/>
      <c r="C12" s="303"/>
      <c r="D12" s="898"/>
      <c r="E12" s="877" t="s">
        <v>11</v>
      </c>
    </row>
    <row r="13" spans="1:8" x14ac:dyDescent="0.35">
      <c r="A13" s="301">
        <v>38747</v>
      </c>
      <c r="B13" s="302" t="s">
        <v>255</v>
      </c>
      <c r="C13" s="303">
        <v>72</v>
      </c>
      <c r="D13" s="898"/>
      <c r="E13" s="878" t="s">
        <v>256</v>
      </c>
      <c r="F13" s="884">
        <f>COUNTA(A5:A14)</f>
        <v>9</v>
      </c>
    </row>
    <row r="14" spans="1:8" x14ac:dyDescent="0.35">
      <c r="A14" s="307">
        <v>38748</v>
      </c>
      <c r="B14" s="308" t="s">
        <v>257</v>
      </c>
      <c r="C14" s="309"/>
      <c r="D14" s="899">
        <v>790</v>
      </c>
      <c r="E14" s="865">
        <f>SUM(C5:C14)</f>
        <v>682</v>
      </c>
      <c r="F14" s="854">
        <f>SUM(D5:D14)</f>
        <v>790</v>
      </c>
      <c r="G14" s="310">
        <f>E14-F14</f>
        <v>-108</v>
      </c>
    </row>
    <row r="15" spans="1:8" x14ac:dyDescent="0.35">
      <c r="A15" s="301">
        <v>38753</v>
      </c>
      <c r="B15" s="302" t="s">
        <v>13</v>
      </c>
      <c r="C15" s="303">
        <v>75</v>
      </c>
      <c r="D15" s="898"/>
    </row>
    <row r="16" spans="1:8" x14ac:dyDescent="0.35">
      <c r="A16" s="301">
        <v>38755</v>
      </c>
      <c r="B16" s="302" t="s">
        <v>258</v>
      </c>
      <c r="C16" s="303">
        <v>300</v>
      </c>
      <c r="D16" s="898"/>
    </row>
    <row r="17" spans="1:7" x14ac:dyDescent="0.35">
      <c r="A17" s="301">
        <v>38760</v>
      </c>
      <c r="B17" s="302" t="s">
        <v>13</v>
      </c>
      <c r="C17" s="303">
        <v>70</v>
      </c>
      <c r="D17" s="898"/>
    </row>
    <row r="18" spans="1:7" x14ac:dyDescent="0.35">
      <c r="A18" s="301">
        <v>38765</v>
      </c>
      <c r="B18" s="302" t="s">
        <v>245</v>
      </c>
      <c r="C18" s="303">
        <v>45</v>
      </c>
      <c r="D18" s="898"/>
      <c r="F18" s="856"/>
      <c r="G18" s="305"/>
    </row>
    <row r="19" spans="1:7" x14ac:dyDescent="0.35">
      <c r="A19" s="301">
        <v>38767</v>
      </c>
      <c r="B19" s="302" t="s">
        <v>13</v>
      </c>
      <c r="C19" s="303">
        <v>70</v>
      </c>
      <c r="D19" s="898"/>
      <c r="F19" s="855"/>
      <c r="G19" s="304"/>
    </row>
    <row r="20" spans="1:7" x14ac:dyDescent="0.35">
      <c r="A20" s="301"/>
      <c r="B20" s="302"/>
      <c r="C20" s="303"/>
      <c r="D20" s="898"/>
      <c r="E20" s="877" t="s">
        <v>16</v>
      </c>
      <c r="F20" s="856"/>
      <c r="G20" s="305"/>
    </row>
    <row r="21" spans="1:7" x14ac:dyDescent="0.35">
      <c r="A21" s="301">
        <v>38774</v>
      </c>
      <c r="B21" s="302" t="s">
        <v>13</v>
      </c>
      <c r="C21" s="303">
        <v>70</v>
      </c>
      <c r="D21" s="898"/>
      <c r="E21" s="878" t="s">
        <v>256</v>
      </c>
      <c r="F21" s="854">
        <f>COUNTA(A15:A22)</f>
        <v>7</v>
      </c>
    </row>
    <row r="22" spans="1:7" x14ac:dyDescent="0.35">
      <c r="A22" s="307">
        <v>38776</v>
      </c>
      <c r="B22" s="308" t="s">
        <v>259</v>
      </c>
      <c r="C22" s="309"/>
      <c r="D22" s="899">
        <v>270</v>
      </c>
      <c r="E22" s="868">
        <f>SUM(C15:C22)</f>
        <v>630</v>
      </c>
      <c r="F22" s="857">
        <f>SUM(D15:D22)</f>
        <v>270</v>
      </c>
      <c r="G22" s="311">
        <f>E22-F22</f>
        <v>360</v>
      </c>
    </row>
    <row r="23" spans="1:7" x14ac:dyDescent="0.35">
      <c r="A23" s="301">
        <v>38778</v>
      </c>
      <c r="B23" s="302" t="s">
        <v>260</v>
      </c>
      <c r="C23" s="303">
        <v>25</v>
      </c>
      <c r="D23" s="898"/>
    </row>
    <row r="24" spans="1:7" x14ac:dyDescent="0.35">
      <c r="A24" s="301">
        <v>38778</v>
      </c>
      <c r="B24" s="302" t="s">
        <v>255</v>
      </c>
      <c r="C24" s="303">
        <v>91</v>
      </c>
      <c r="D24" s="898"/>
    </row>
    <row r="25" spans="1:7" x14ac:dyDescent="0.35">
      <c r="A25" s="301">
        <v>38781</v>
      </c>
      <c r="B25" s="302" t="s">
        <v>13</v>
      </c>
      <c r="C25" s="303">
        <v>70</v>
      </c>
      <c r="D25" s="898"/>
    </row>
    <row r="26" spans="1:7" x14ac:dyDescent="0.35">
      <c r="A26" s="301">
        <v>38782</v>
      </c>
      <c r="B26" s="302" t="s">
        <v>261</v>
      </c>
      <c r="C26" s="303">
        <v>5</v>
      </c>
      <c r="D26" s="898"/>
    </row>
    <row r="27" spans="1:7" x14ac:dyDescent="0.35">
      <c r="A27" s="301">
        <v>38783</v>
      </c>
      <c r="B27" s="302" t="s">
        <v>262</v>
      </c>
      <c r="C27" s="303">
        <v>300</v>
      </c>
      <c r="D27" s="898"/>
    </row>
    <row r="28" spans="1:7" x14ac:dyDescent="0.35">
      <c r="A28" s="301">
        <v>38785</v>
      </c>
      <c r="B28" s="302" t="s">
        <v>263</v>
      </c>
      <c r="C28" s="303">
        <v>15</v>
      </c>
      <c r="D28" s="898"/>
    </row>
    <row r="29" spans="1:7" x14ac:dyDescent="0.35">
      <c r="A29" s="301">
        <v>38785</v>
      </c>
      <c r="B29" s="302" t="s">
        <v>264</v>
      </c>
      <c r="C29" s="303">
        <v>50</v>
      </c>
      <c r="D29" s="898"/>
    </row>
    <row r="30" spans="1:7" x14ac:dyDescent="0.35">
      <c r="A30" s="301">
        <v>38788</v>
      </c>
      <c r="B30" s="302" t="s">
        <v>13</v>
      </c>
      <c r="C30" s="303">
        <v>70</v>
      </c>
      <c r="D30" s="898"/>
    </row>
    <row r="31" spans="1:7" x14ac:dyDescent="0.35">
      <c r="A31" s="301">
        <v>38795</v>
      </c>
      <c r="B31" s="302" t="s">
        <v>13</v>
      </c>
      <c r="C31" s="303">
        <v>70</v>
      </c>
      <c r="D31" s="898"/>
    </row>
    <row r="32" spans="1:7" x14ac:dyDescent="0.35">
      <c r="A32" s="301">
        <v>38795</v>
      </c>
      <c r="B32" s="302" t="s">
        <v>265</v>
      </c>
      <c r="C32" s="303">
        <v>20</v>
      </c>
      <c r="D32" s="898"/>
    </row>
    <row r="33" spans="1:7" x14ac:dyDescent="0.35">
      <c r="A33" s="301">
        <v>38803</v>
      </c>
      <c r="B33" s="302" t="s">
        <v>13</v>
      </c>
      <c r="C33" s="303">
        <v>70</v>
      </c>
      <c r="D33" s="898"/>
    </row>
    <row r="34" spans="1:7" x14ac:dyDescent="0.35">
      <c r="A34" s="307">
        <v>38805</v>
      </c>
      <c r="B34" s="302" t="s">
        <v>259</v>
      </c>
      <c r="C34" s="303"/>
      <c r="D34" s="898">
        <v>685</v>
      </c>
      <c r="E34" s="877" t="s">
        <v>17</v>
      </c>
    </row>
    <row r="35" spans="1:7" x14ac:dyDescent="0.35">
      <c r="A35" s="301">
        <v>38805</v>
      </c>
      <c r="B35" s="302" t="s">
        <v>266</v>
      </c>
      <c r="C35" s="303">
        <v>40</v>
      </c>
      <c r="D35" s="898"/>
      <c r="E35" s="878" t="s">
        <v>256</v>
      </c>
      <c r="F35" s="854">
        <f>COUNTA(A23:A36)</f>
        <v>14</v>
      </c>
    </row>
    <row r="36" spans="1:7" x14ac:dyDescent="0.35">
      <c r="A36" s="307">
        <v>38807</v>
      </c>
      <c r="B36" s="308" t="s">
        <v>217</v>
      </c>
      <c r="C36" s="309">
        <v>30</v>
      </c>
      <c r="D36" s="899"/>
      <c r="E36" s="865">
        <f>SUM(C23:C36)</f>
        <v>856</v>
      </c>
      <c r="F36" s="854">
        <f>SUM(D23:D36)</f>
        <v>685</v>
      </c>
      <c r="G36" s="310">
        <f>E36-F36</f>
        <v>171</v>
      </c>
    </row>
    <row r="37" spans="1:7" x14ac:dyDescent="0.35">
      <c r="A37" s="301">
        <v>38809</v>
      </c>
      <c r="B37" s="302" t="s">
        <v>13</v>
      </c>
      <c r="C37" s="303">
        <v>70</v>
      </c>
      <c r="D37" s="898"/>
      <c r="E37" s="870"/>
      <c r="F37" s="858"/>
      <c r="G37" s="312"/>
    </row>
    <row r="38" spans="1:7" x14ac:dyDescent="0.35">
      <c r="A38" s="301">
        <v>38809</v>
      </c>
      <c r="B38" s="302" t="s">
        <v>255</v>
      </c>
      <c r="C38" s="303">
        <v>73</v>
      </c>
      <c r="D38" s="898"/>
    </row>
    <row r="39" spans="1:7" x14ac:dyDescent="0.35">
      <c r="A39" s="301">
        <v>38814</v>
      </c>
      <c r="B39" s="302" t="s">
        <v>267</v>
      </c>
      <c r="C39" s="303">
        <v>300</v>
      </c>
      <c r="D39" s="898"/>
    </row>
    <row r="40" spans="1:7" x14ac:dyDescent="0.35">
      <c r="A40" s="301">
        <v>38816</v>
      </c>
      <c r="B40" s="302" t="s">
        <v>13</v>
      </c>
      <c r="C40" s="303">
        <v>70</v>
      </c>
      <c r="D40" s="898"/>
    </row>
    <row r="41" spans="1:7" x14ac:dyDescent="0.35">
      <c r="A41" s="301">
        <v>38823</v>
      </c>
      <c r="B41" s="302" t="s">
        <v>268</v>
      </c>
      <c r="C41" s="303">
        <v>80</v>
      </c>
      <c r="D41" s="898"/>
    </row>
    <row r="42" spans="1:7" x14ac:dyDescent="0.35">
      <c r="A42" s="301">
        <v>38830</v>
      </c>
      <c r="B42" s="302" t="s">
        <v>13</v>
      </c>
      <c r="C42" s="303">
        <v>70</v>
      </c>
      <c r="D42" s="898"/>
    </row>
    <row r="43" spans="1:7" x14ac:dyDescent="0.35">
      <c r="A43" s="301"/>
      <c r="B43" s="302"/>
      <c r="C43" s="303"/>
      <c r="D43" s="898"/>
      <c r="E43" s="877" t="s">
        <v>18</v>
      </c>
    </row>
    <row r="44" spans="1:7" x14ac:dyDescent="0.35">
      <c r="A44" s="301">
        <v>38837</v>
      </c>
      <c r="B44" s="302" t="s">
        <v>13</v>
      </c>
      <c r="C44" s="303">
        <v>80</v>
      </c>
      <c r="D44" s="898"/>
      <c r="E44" s="878" t="s">
        <v>256</v>
      </c>
      <c r="F44" s="854">
        <f>COUNTA(A37:A45)</f>
        <v>8</v>
      </c>
      <c r="G44" s="313"/>
    </row>
    <row r="45" spans="1:7" x14ac:dyDescent="0.35">
      <c r="A45" s="307">
        <v>38837</v>
      </c>
      <c r="B45" s="308" t="s">
        <v>259</v>
      </c>
      <c r="C45" s="309"/>
      <c r="D45" s="899">
        <v>557</v>
      </c>
      <c r="E45" s="865">
        <f>SUM(C37:C45)</f>
        <v>743</v>
      </c>
      <c r="F45" s="854">
        <f>SUM(D37:D45)</f>
        <v>557</v>
      </c>
      <c r="G45" s="310">
        <f>E45-F45</f>
        <v>186</v>
      </c>
    </row>
    <row r="46" spans="1:7" x14ac:dyDescent="0.35">
      <c r="A46" s="301">
        <v>38839</v>
      </c>
      <c r="B46" s="302" t="s">
        <v>255</v>
      </c>
      <c r="C46" s="303">
        <v>170</v>
      </c>
      <c r="D46" s="898"/>
    </row>
    <row r="47" spans="1:7" x14ac:dyDescent="0.35">
      <c r="A47" s="301">
        <v>38841</v>
      </c>
      <c r="B47" s="302" t="s">
        <v>269</v>
      </c>
      <c r="C47" s="303">
        <v>100</v>
      </c>
      <c r="D47" s="898"/>
    </row>
    <row r="48" spans="1:7" x14ac:dyDescent="0.35">
      <c r="A48" s="301">
        <v>38843</v>
      </c>
      <c r="B48" s="302" t="s">
        <v>269</v>
      </c>
      <c r="C48" s="303">
        <v>200</v>
      </c>
      <c r="D48" s="898"/>
    </row>
    <row r="49" spans="1:7" x14ac:dyDescent="0.35">
      <c r="A49" s="301">
        <v>38844</v>
      </c>
      <c r="B49" s="302" t="s">
        <v>13</v>
      </c>
      <c r="C49" s="303">
        <v>70</v>
      </c>
      <c r="D49" s="898"/>
    </row>
    <row r="50" spans="1:7" x14ac:dyDescent="0.35">
      <c r="A50" s="301">
        <v>38851</v>
      </c>
      <c r="B50" s="302" t="s">
        <v>13</v>
      </c>
      <c r="C50" s="303">
        <v>70</v>
      </c>
      <c r="D50" s="898"/>
      <c r="E50" s="879"/>
    </row>
    <row r="51" spans="1:7" x14ac:dyDescent="0.35">
      <c r="A51" s="301">
        <v>38858</v>
      </c>
      <c r="B51" s="302" t="s">
        <v>13</v>
      </c>
      <c r="C51" s="303">
        <v>70</v>
      </c>
      <c r="D51" s="898"/>
      <c r="E51" s="879"/>
    </row>
    <row r="52" spans="1:7" x14ac:dyDescent="0.35">
      <c r="A52" s="301">
        <v>38865</v>
      </c>
      <c r="B52" s="302" t="s">
        <v>13</v>
      </c>
      <c r="C52" s="303">
        <v>70</v>
      </c>
      <c r="D52" s="898"/>
    </row>
    <row r="53" spans="1:7" x14ac:dyDescent="0.35">
      <c r="A53" s="301"/>
      <c r="B53" s="302"/>
      <c r="C53" s="303"/>
      <c r="D53" s="898"/>
      <c r="E53" s="877" t="s">
        <v>20</v>
      </c>
      <c r="G53" s="313"/>
    </row>
    <row r="54" spans="1:7" x14ac:dyDescent="0.35">
      <c r="A54" s="301"/>
      <c r="B54" s="302"/>
      <c r="C54" s="303"/>
      <c r="D54" s="898"/>
      <c r="E54" s="878" t="s">
        <v>256</v>
      </c>
      <c r="F54" s="854">
        <f>COUNTA(A46:A55)</f>
        <v>8</v>
      </c>
      <c r="G54" s="313"/>
    </row>
    <row r="55" spans="1:7" x14ac:dyDescent="0.35">
      <c r="A55" s="307">
        <v>38868</v>
      </c>
      <c r="B55" s="308" t="s">
        <v>259</v>
      </c>
      <c r="C55" s="309"/>
      <c r="D55" s="899">
        <v>1051</v>
      </c>
      <c r="E55" s="865">
        <f>SUM(C46:C55)</f>
        <v>750</v>
      </c>
      <c r="F55" s="854">
        <f>SUM(D46:D55)</f>
        <v>1051</v>
      </c>
      <c r="G55" s="310">
        <f>E55-F55</f>
        <v>-301</v>
      </c>
    </row>
    <row r="56" spans="1:7" x14ac:dyDescent="0.35">
      <c r="A56" s="301">
        <v>38872</v>
      </c>
      <c r="B56" s="302" t="s">
        <v>255</v>
      </c>
      <c r="C56" s="303">
        <v>126</v>
      </c>
      <c r="D56" s="898"/>
    </row>
    <row r="57" spans="1:7" x14ac:dyDescent="0.35">
      <c r="A57" s="301">
        <v>38872</v>
      </c>
      <c r="B57" s="302" t="s">
        <v>13</v>
      </c>
      <c r="C57" s="303">
        <v>70</v>
      </c>
      <c r="D57" s="898"/>
    </row>
    <row r="58" spans="1:7" x14ac:dyDescent="0.35">
      <c r="A58" s="301">
        <v>38873</v>
      </c>
      <c r="B58" s="302" t="s">
        <v>270</v>
      </c>
      <c r="C58" s="303">
        <v>300</v>
      </c>
      <c r="D58" s="898"/>
    </row>
    <row r="59" spans="1:7" x14ac:dyDescent="0.35">
      <c r="A59" s="301">
        <v>38879</v>
      </c>
      <c r="B59" s="302" t="s">
        <v>13</v>
      </c>
      <c r="C59" s="303">
        <v>70</v>
      </c>
      <c r="D59" s="898"/>
    </row>
    <row r="60" spans="1:7" x14ac:dyDescent="0.35">
      <c r="A60" s="301">
        <v>38886</v>
      </c>
      <c r="B60" s="302" t="s">
        <v>13</v>
      </c>
      <c r="C60" s="303">
        <v>70</v>
      </c>
      <c r="D60" s="898"/>
    </row>
    <row r="61" spans="1:7" x14ac:dyDescent="0.35">
      <c r="A61" s="301">
        <v>38893</v>
      </c>
      <c r="B61" s="302" t="s">
        <v>13</v>
      </c>
      <c r="C61" s="303">
        <v>70</v>
      </c>
      <c r="D61" s="898"/>
    </row>
    <row r="62" spans="1:7" x14ac:dyDescent="0.35">
      <c r="A62" s="301"/>
      <c r="B62" s="302"/>
      <c r="C62" s="303"/>
      <c r="D62" s="898"/>
      <c r="E62" s="877" t="s">
        <v>21</v>
      </c>
    </row>
    <row r="63" spans="1:7" x14ac:dyDescent="0.35">
      <c r="A63" s="301">
        <v>38897</v>
      </c>
      <c r="B63" s="302" t="s">
        <v>259</v>
      </c>
      <c r="C63" s="303"/>
      <c r="D63" s="898">
        <v>551</v>
      </c>
      <c r="E63" s="878" t="s">
        <v>256</v>
      </c>
      <c r="F63" s="854">
        <f>COUNTA(A56:A63)</f>
        <v>7</v>
      </c>
      <c r="G63" s="313"/>
    </row>
    <row r="64" spans="1:7" x14ac:dyDescent="0.35">
      <c r="A64" s="307">
        <v>38898</v>
      </c>
      <c r="B64" s="308" t="s">
        <v>271</v>
      </c>
      <c r="C64" s="314">
        <v>108</v>
      </c>
      <c r="D64" s="900"/>
      <c r="E64" s="865">
        <f>SUM(C56:C64)</f>
        <v>814</v>
      </c>
      <c r="F64" s="854">
        <f>SUM(D56:D64)</f>
        <v>551</v>
      </c>
      <c r="G64" s="310">
        <f>E64-F64</f>
        <v>263</v>
      </c>
    </row>
    <row r="65" spans="1:7" x14ac:dyDescent="0.35">
      <c r="A65" s="301">
        <v>38899</v>
      </c>
      <c r="B65" s="302" t="s">
        <v>255</v>
      </c>
      <c r="C65" s="303">
        <v>171</v>
      </c>
      <c r="D65" s="898"/>
    </row>
    <row r="66" spans="1:7" x14ac:dyDescent="0.35">
      <c r="A66" s="301">
        <v>38900</v>
      </c>
      <c r="B66" s="302" t="s">
        <v>13</v>
      </c>
      <c r="C66" s="303">
        <v>70</v>
      </c>
      <c r="D66" s="898"/>
    </row>
    <row r="67" spans="1:7" x14ac:dyDescent="0.35">
      <c r="A67" s="301">
        <v>38901</v>
      </c>
      <c r="B67" s="302" t="s">
        <v>272</v>
      </c>
      <c r="C67" s="303">
        <v>190</v>
      </c>
      <c r="D67" s="898"/>
    </row>
    <row r="68" spans="1:7" x14ac:dyDescent="0.35">
      <c r="A68" s="301">
        <v>38902</v>
      </c>
      <c r="B68" s="302" t="s">
        <v>272</v>
      </c>
      <c r="C68" s="303">
        <v>110</v>
      </c>
      <c r="D68" s="898"/>
    </row>
    <row r="69" spans="1:7" x14ac:dyDescent="0.35">
      <c r="A69" s="301">
        <v>38907</v>
      </c>
      <c r="B69" s="302" t="s">
        <v>13</v>
      </c>
      <c r="C69" s="303">
        <v>70</v>
      </c>
      <c r="D69" s="898"/>
    </row>
    <row r="70" spans="1:7" x14ac:dyDescent="0.35">
      <c r="A70" s="301">
        <v>38913</v>
      </c>
      <c r="B70" s="302" t="s">
        <v>19</v>
      </c>
      <c r="C70" s="303">
        <v>220</v>
      </c>
      <c r="D70" s="898"/>
    </row>
    <row r="71" spans="1:7" x14ac:dyDescent="0.35">
      <c r="A71" s="301">
        <v>38914</v>
      </c>
      <c r="B71" s="302" t="s">
        <v>13</v>
      </c>
      <c r="C71" s="303">
        <v>70</v>
      </c>
      <c r="D71" s="898"/>
    </row>
    <row r="72" spans="1:7" x14ac:dyDescent="0.35">
      <c r="A72" s="301">
        <v>38919</v>
      </c>
      <c r="B72" s="302" t="s">
        <v>273</v>
      </c>
      <c r="C72" s="303">
        <v>40</v>
      </c>
      <c r="D72" s="898"/>
    </row>
    <row r="73" spans="1:7" x14ac:dyDescent="0.35">
      <c r="A73" s="301">
        <v>38921</v>
      </c>
      <c r="B73" s="302" t="s">
        <v>13</v>
      </c>
      <c r="C73" s="303">
        <v>70</v>
      </c>
      <c r="D73" s="898"/>
    </row>
    <row r="74" spans="1:7" x14ac:dyDescent="0.35">
      <c r="A74" s="301">
        <v>38926</v>
      </c>
      <c r="B74" s="302" t="s">
        <v>259</v>
      </c>
      <c r="C74" s="303"/>
      <c r="D74" s="898">
        <v>1486</v>
      </c>
      <c r="E74" s="877" t="s">
        <v>22</v>
      </c>
    </row>
    <row r="75" spans="1:7" x14ac:dyDescent="0.35">
      <c r="A75" s="301">
        <v>38929</v>
      </c>
      <c r="B75" s="302" t="s">
        <v>13</v>
      </c>
      <c r="C75" s="303">
        <v>70</v>
      </c>
      <c r="D75" s="898"/>
      <c r="E75" s="878" t="s">
        <v>256</v>
      </c>
      <c r="F75" s="854">
        <f>COUNTA(A65:A76)</f>
        <v>12</v>
      </c>
      <c r="G75" s="313"/>
    </row>
    <row r="76" spans="1:7" x14ac:dyDescent="0.35">
      <c r="A76" s="307">
        <v>38929</v>
      </c>
      <c r="B76" s="308" t="s">
        <v>274</v>
      </c>
      <c r="C76" s="309">
        <v>108</v>
      </c>
      <c r="D76" s="899"/>
      <c r="E76" s="865">
        <f>SUM(C65:C76)</f>
        <v>1189</v>
      </c>
      <c r="F76" s="854">
        <f>SUM(D65:D76)</f>
        <v>1486</v>
      </c>
      <c r="G76" s="310">
        <f>E76-F76</f>
        <v>-297</v>
      </c>
    </row>
    <row r="77" spans="1:7" x14ac:dyDescent="0.35">
      <c r="A77" s="301">
        <v>38931</v>
      </c>
      <c r="B77" s="302" t="s">
        <v>255</v>
      </c>
      <c r="C77" s="303">
        <v>148</v>
      </c>
      <c r="D77" s="898"/>
    </row>
    <row r="78" spans="1:7" x14ac:dyDescent="0.35">
      <c r="A78" s="301">
        <v>38934</v>
      </c>
      <c r="B78" s="302" t="s">
        <v>275</v>
      </c>
      <c r="C78" s="303">
        <v>300</v>
      </c>
      <c r="D78" s="898"/>
    </row>
    <row r="79" spans="1:7" x14ac:dyDescent="0.35">
      <c r="A79" s="301">
        <v>38935</v>
      </c>
      <c r="B79" s="302" t="s">
        <v>13</v>
      </c>
      <c r="C79" s="303">
        <v>70</v>
      </c>
      <c r="D79" s="898"/>
    </row>
    <row r="80" spans="1:7" x14ac:dyDescent="0.35">
      <c r="A80" s="301">
        <v>38942</v>
      </c>
      <c r="B80" s="302" t="s">
        <v>13</v>
      </c>
      <c r="C80" s="303">
        <v>70</v>
      </c>
      <c r="D80" s="898"/>
    </row>
    <row r="81" spans="1:7" x14ac:dyDescent="0.35">
      <c r="A81" s="301">
        <v>38949</v>
      </c>
      <c r="B81" s="302" t="s">
        <v>13</v>
      </c>
      <c r="C81" s="303">
        <v>70</v>
      </c>
      <c r="D81" s="898"/>
    </row>
    <row r="82" spans="1:7" x14ac:dyDescent="0.35">
      <c r="A82" s="301">
        <v>38956</v>
      </c>
      <c r="B82" s="302" t="s">
        <v>13</v>
      </c>
      <c r="C82" s="303">
        <v>70</v>
      </c>
      <c r="D82" s="898"/>
    </row>
    <row r="83" spans="1:7" x14ac:dyDescent="0.35">
      <c r="A83" s="301"/>
      <c r="B83" s="302"/>
      <c r="C83" s="303"/>
      <c r="D83" s="898"/>
      <c r="E83" s="877" t="s">
        <v>23</v>
      </c>
    </row>
    <row r="84" spans="1:7" x14ac:dyDescent="0.35">
      <c r="A84" s="301"/>
      <c r="B84" s="302"/>
      <c r="C84" s="303"/>
      <c r="D84" s="898"/>
      <c r="E84" s="878" t="s">
        <v>256</v>
      </c>
      <c r="F84" s="854">
        <f>COUNTA(A77:A85)</f>
        <v>7</v>
      </c>
      <c r="G84" s="313"/>
    </row>
    <row r="85" spans="1:7" x14ac:dyDescent="0.35">
      <c r="A85" s="307">
        <v>38960</v>
      </c>
      <c r="B85" s="308" t="s">
        <v>259</v>
      </c>
      <c r="C85" s="309"/>
      <c r="D85" s="899">
        <v>579</v>
      </c>
      <c r="E85" s="865">
        <f>SUM(C77:C85)</f>
        <v>728</v>
      </c>
      <c r="F85" s="854">
        <f>SUM(D77:D85)</f>
        <v>579</v>
      </c>
      <c r="G85" s="310">
        <f>E85-F85</f>
        <v>149</v>
      </c>
    </row>
    <row r="86" spans="1:7" x14ac:dyDescent="0.35">
      <c r="A86" s="301">
        <v>38962</v>
      </c>
      <c r="B86" s="302" t="s">
        <v>276</v>
      </c>
      <c r="C86" s="303">
        <v>250</v>
      </c>
      <c r="D86" s="898"/>
    </row>
    <row r="87" spans="1:7" x14ac:dyDescent="0.35">
      <c r="A87" s="301">
        <v>38963</v>
      </c>
      <c r="B87" s="302" t="s">
        <v>13</v>
      </c>
      <c r="C87" s="303">
        <v>70</v>
      </c>
      <c r="D87" s="898"/>
    </row>
    <row r="88" spans="1:7" x14ac:dyDescent="0.35">
      <c r="A88" s="301">
        <v>38970</v>
      </c>
      <c r="B88" s="302" t="s">
        <v>276</v>
      </c>
      <c r="C88" s="303">
        <v>50</v>
      </c>
      <c r="D88" s="898"/>
    </row>
    <row r="89" spans="1:7" x14ac:dyDescent="0.35">
      <c r="A89" s="301">
        <v>38970</v>
      </c>
      <c r="B89" s="302" t="s">
        <v>13</v>
      </c>
      <c r="C89" s="303">
        <v>70</v>
      </c>
      <c r="D89" s="898"/>
    </row>
    <row r="90" spans="1:7" x14ac:dyDescent="0.35">
      <c r="A90" s="301">
        <v>38970</v>
      </c>
      <c r="B90" s="302" t="s">
        <v>277</v>
      </c>
      <c r="C90" s="303">
        <v>5</v>
      </c>
      <c r="D90" s="898"/>
    </row>
    <row r="91" spans="1:7" x14ac:dyDescent="0.35">
      <c r="A91" s="301">
        <v>38977</v>
      </c>
      <c r="B91" s="302" t="s">
        <v>13</v>
      </c>
      <c r="C91" s="303">
        <v>70</v>
      </c>
      <c r="D91" s="898"/>
    </row>
    <row r="92" spans="1:7" x14ac:dyDescent="0.35">
      <c r="A92" s="301">
        <v>38983</v>
      </c>
      <c r="B92" s="302" t="s">
        <v>13</v>
      </c>
      <c r="C92" s="303">
        <v>70</v>
      </c>
      <c r="D92" s="898"/>
    </row>
    <row r="93" spans="1:7" x14ac:dyDescent="0.35">
      <c r="A93" s="301"/>
      <c r="B93" s="302"/>
      <c r="C93" s="303"/>
      <c r="D93" s="898"/>
      <c r="E93" s="877" t="s">
        <v>24</v>
      </c>
    </row>
    <row r="94" spans="1:7" x14ac:dyDescent="0.35">
      <c r="A94" s="301">
        <v>38989</v>
      </c>
      <c r="B94" s="302" t="s">
        <v>259</v>
      </c>
      <c r="C94" s="303"/>
      <c r="D94" s="898">
        <v>330</v>
      </c>
      <c r="E94" s="878" t="s">
        <v>256</v>
      </c>
      <c r="F94" s="854">
        <f>COUNTA(A86:A95)</f>
        <v>9</v>
      </c>
      <c r="G94" s="313"/>
    </row>
    <row r="95" spans="1:7" x14ac:dyDescent="0.35">
      <c r="A95" s="307">
        <v>38990</v>
      </c>
      <c r="B95" s="308" t="s">
        <v>13</v>
      </c>
      <c r="C95" s="309">
        <v>40</v>
      </c>
      <c r="D95" s="899"/>
      <c r="E95" s="865">
        <f>SUM(C86:C95)</f>
        <v>625</v>
      </c>
      <c r="F95" s="854">
        <f>SUM(D86:D95)</f>
        <v>330</v>
      </c>
      <c r="G95" s="310">
        <f>E95-F95</f>
        <v>295</v>
      </c>
    </row>
    <row r="96" spans="1:7" x14ac:dyDescent="0.35">
      <c r="A96" s="301">
        <v>38991</v>
      </c>
      <c r="B96" s="302" t="s">
        <v>13</v>
      </c>
      <c r="C96" s="303">
        <v>30</v>
      </c>
      <c r="D96" s="898"/>
    </row>
    <row r="97" spans="1:7" x14ac:dyDescent="0.35">
      <c r="A97" s="301">
        <v>38991</v>
      </c>
      <c r="B97" s="302" t="s">
        <v>274</v>
      </c>
      <c r="C97" s="303">
        <v>108</v>
      </c>
      <c r="D97" s="898"/>
    </row>
    <row r="98" spans="1:7" x14ac:dyDescent="0.35">
      <c r="A98" s="301">
        <v>38993</v>
      </c>
      <c r="B98" s="302" t="s">
        <v>278</v>
      </c>
      <c r="C98" s="303">
        <v>200</v>
      </c>
      <c r="D98" s="898"/>
    </row>
    <row r="99" spans="1:7" x14ac:dyDescent="0.35">
      <c r="A99" s="301">
        <v>38995</v>
      </c>
      <c r="B99" s="302" t="s">
        <v>279</v>
      </c>
      <c r="C99" s="303">
        <v>100</v>
      </c>
      <c r="D99" s="898"/>
    </row>
    <row r="100" spans="1:7" x14ac:dyDescent="0.35">
      <c r="A100" s="301">
        <v>38998</v>
      </c>
      <c r="B100" s="302" t="s">
        <v>13</v>
      </c>
      <c r="C100" s="303">
        <v>70</v>
      </c>
      <c r="D100" s="898"/>
    </row>
    <row r="101" spans="1:7" x14ac:dyDescent="0.35">
      <c r="A101" s="301">
        <v>39005</v>
      </c>
      <c r="B101" s="302" t="s">
        <v>278</v>
      </c>
      <c r="C101" s="303">
        <v>100</v>
      </c>
      <c r="D101" s="898"/>
    </row>
    <row r="102" spans="1:7" x14ac:dyDescent="0.35">
      <c r="A102" s="301">
        <v>39005</v>
      </c>
      <c r="B102" s="302" t="s">
        <v>13</v>
      </c>
      <c r="C102" s="303">
        <v>70</v>
      </c>
      <c r="D102" s="898"/>
    </row>
    <row r="103" spans="1:7" x14ac:dyDescent="0.35">
      <c r="A103" s="301">
        <v>39012</v>
      </c>
      <c r="B103" s="302" t="s">
        <v>13</v>
      </c>
      <c r="C103" s="303">
        <v>70</v>
      </c>
      <c r="D103" s="898"/>
    </row>
    <row r="104" spans="1:7" x14ac:dyDescent="0.35">
      <c r="A104" s="301">
        <v>39012</v>
      </c>
      <c r="B104" s="302" t="s">
        <v>280</v>
      </c>
      <c r="C104" s="303">
        <v>30</v>
      </c>
      <c r="D104" s="898"/>
    </row>
    <row r="105" spans="1:7" x14ac:dyDescent="0.35">
      <c r="A105" s="301">
        <v>39019</v>
      </c>
      <c r="B105" s="302" t="s">
        <v>13</v>
      </c>
      <c r="C105" s="303">
        <v>70</v>
      </c>
      <c r="D105" s="898"/>
    </row>
    <row r="106" spans="1:7" x14ac:dyDescent="0.35">
      <c r="A106" s="301">
        <v>39019</v>
      </c>
      <c r="B106" s="302" t="s">
        <v>281</v>
      </c>
      <c r="C106" s="303">
        <v>54</v>
      </c>
      <c r="D106" s="898"/>
    </row>
    <row r="107" spans="1:7" x14ac:dyDescent="0.35">
      <c r="A107" s="301"/>
      <c r="B107" s="302"/>
      <c r="C107" s="303"/>
      <c r="D107" s="898"/>
      <c r="E107" s="877" t="s">
        <v>25</v>
      </c>
    </row>
    <row r="108" spans="1:7" x14ac:dyDescent="0.35">
      <c r="A108" s="301">
        <v>39020</v>
      </c>
      <c r="B108" s="302" t="s">
        <v>259</v>
      </c>
      <c r="C108" s="303"/>
      <c r="D108" s="898">
        <v>682</v>
      </c>
      <c r="E108" s="878" t="s">
        <v>256</v>
      </c>
      <c r="F108" s="854">
        <f>COUNTA(A96:A109)</f>
        <v>13</v>
      </c>
      <c r="G108" s="313"/>
    </row>
    <row r="109" spans="1:7" x14ac:dyDescent="0.35">
      <c r="A109" s="307">
        <v>39021</v>
      </c>
      <c r="B109" s="308" t="s">
        <v>274</v>
      </c>
      <c r="C109" s="309">
        <v>110</v>
      </c>
      <c r="D109" s="899"/>
      <c r="E109" s="865">
        <f>SUM(C96:C109)</f>
        <v>1012</v>
      </c>
      <c r="F109" s="854">
        <f>SUM(D96:D109)</f>
        <v>682</v>
      </c>
      <c r="G109" s="310">
        <f>E109-F109</f>
        <v>330</v>
      </c>
    </row>
    <row r="110" spans="1:7" x14ac:dyDescent="0.35">
      <c r="A110" s="301">
        <v>39022</v>
      </c>
      <c r="B110" s="302" t="s">
        <v>282</v>
      </c>
      <c r="C110" s="303">
        <v>300</v>
      </c>
      <c r="D110" s="898"/>
    </row>
    <row r="111" spans="1:7" x14ac:dyDescent="0.35">
      <c r="A111" s="301">
        <v>39026</v>
      </c>
      <c r="B111" s="302" t="s">
        <v>13</v>
      </c>
      <c r="C111" s="303">
        <v>70</v>
      </c>
      <c r="D111" s="898"/>
    </row>
    <row r="112" spans="1:7" x14ac:dyDescent="0.35">
      <c r="A112" s="301">
        <v>39026</v>
      </c>
      <c r="B112" s="302" t="s">
        <v>283</v>
      </c>
      <c r="C112" s="303">
        <v>200</v>
      </c>
      <c r="D112" s="898"/>
    </row>
    <row r="113" spans="1:8" x14ac:dyDescent="0.35">
      <c r="A113" s="301">
        <v>39033</v>
      </c>
      <c r="B113" s="302" t="s">
        <v>13</v>
      </c>
      <c r="C113" s="303">
        <v>70</v>
      </c>
      <c r="D113" s="898"/>
    </row>
    <row r="114" spans="1:8" x14ac:dyDescent="0.35">
      <c r="A114" s="301">
        <v>39040</v>
      </c>
      <c r="B114" s="302" t="s">
        <v>13</v>
      </c>
      <c r="C114" s="303">
        <v>70</v>
      </c>
      <c r="D114" s="898"/>
    </row>
    <row r="115" spans="1:8" x14ac:dyDescent="0.35">
      <c r="A115" s="301">
        <v>39040</v>
      </c>
      <c r="B115" s="302" t="s">
        <v>283</v>
      </c>
      <c r="C115" s="303">
        <v>100</v>
      </c>
      <c r="D115" s="898"/>
    </row>
    <row r="116" spans="1:8" x14ac:dyDescent="0.35">
      <c r="A116" s="301">
        <v>39040</v>
      </c>
      <c r="B116" s="302" t="s">
        <v>274</v>
      </c>
      <c r="C116" s="303">
        <v>200</v>
      </c>
      <c r="D116" s="898"/>
      <c r="E116" s="877" t="s">
        <v>26</v>
      </c>
    </row>
    <row r="117" spans="1:8" x14ac:dyDescent="0.35">
      <c r="A117" s="301">
        <v>39047</v>
      </c>
      <c r="B117" s="302" t="s">
        <v>13</v>
      </c>
      <c r="C117" s="303">
        <v>70</v>
      </c>
      <c r="D117" s="898"/>
      <c r="E117" s="878" t="s">
        <v>256</v>
      </c>
      <c r="F117" s="854">
        <f>COUNTA(A110:A118)</f>
        <v>9</v>
      </c>
      <c r="G117" s="313"/>
    </row>
    <row r="118" spans="1:8" x14ac:dyDescent="0.35">
      <c r="A118" s="307">
        <v>39050</v>
      </c>
      <c r="B118" s="308" t="s">
        <v>259</v>
      </c>
      <c r="C118" s="309"/>
      <c r="D118" s="899">
        <v>895</v>
      </c>
      <c r="E118" s="865">
        <f>SUM(C110:C118)</f>
        <v>1080</v>
      </c>
      <c r="F118" s="854">
        <f>SUM(D110:D118)</f>
        <v>895</v>
      </c>
      <c r="G118" s="310">
        <f>E118-F118</f>
        <v>185</v>
      </c>
    </row>
    <row r="119" spans="1:8" x14ac:dyDescent="0.35">
      <c r="A119" s="301">
        <v>39054</v>
      </c>
      <c r="B119" s="302" t="s">
        <v>13</v>
      </c>
      <c r="C119" s="303">
        <v>70</v>
      </c>
      <c r="D119" s="898"/>
    </row>
    <row r="120" spans="1:8" x14ac:dyDescent="0.35">
      <c r="A120" s="301">
        <v>39054</v>
      </c>
      <c r="B120" s="302" t="s">
        <v>284</v>
      </c>
      <c r="C120" s="303">
        <v>100</v>
      </c>
      <c r="D120" s="898"/>
    </row>
    <row r="121" spans="1:8" x14ac:dyDescent="0.35">
      <c r="A121" s="301">
        <v>39056</v>
      </c>
      <c r="B121" s="302" t="s">
        <v>285</v>
      </c>
      <c r="C121" s="303">
        <v>200</v>
      </c>
      <c r="D121" s="898"/>
      <c r="E121" s="867"/>
      <c r="F121" s="856"/>
      <c r="G121" s="305"/>
      <c r="H121" s="305"/>
    </row>
    <row r="122" spans="1:8" x14ac:dyDescent="0.35">
      <c r="A122" s="301">
        <v>39061</v>
      </c>
      <c r="B122" s="302" t="s">
        <v>13</v>
      </c>
      <c r="C122" s="303">
        <v>70</v>
      </c>
      <c r="D122" s="898"/>
      <c r="E122" s="880"/>
      <c r="F122" s="874"/>
      <c r="G122" s="315"/>
      <c r="H122" s="315"/>
    </row>
    <row r="123" spans="1:8" x14ac:dyDescent="0.35">
      <c r="A123" s="301">
        <v>39061</v>
      </c>
      <c r="B123" s="302" t="s">
        <v>255</v>
      </c>
      <c r="C123" s="303">
        <v>25</v>
      </c>
      <c r="D123" s="898"/>
      <c r="E123" s="880"/>
      <c r="F123" s="874"/>
      <c r="G123" s="315"/>
      <c r="H123" s="315"/>
    </row>
    <row r="124" spans="1:8" x14ac:dyDescent="0.35">
      <c r="A124" s="301">
        <v>39068</v>
      </c>
      <c r="B124" s="302" t="s">
        <v>285</v>
      </c>
      <c r="C124" s="303">
        <v>100</v>
      </c>
      <c r="D124" s="898"/>
    </row>
    <row r="125" spans="1:8" x14ac:dyDescent="0.35">
      <c r="A125" s="301">
        <v>39068</v>
      </c>
      <c r="B125" s="302" t="s">
        <v>13</v>
      </c>
      <c r="C125" s="303">
        <v>70</v>
      </c>
      <c r="D125" s="898"/>
    </row>
    <row r="126" spans="1:8" x14ac:dyDescent="0.35">
      <c r="A126" s="301">
        <v>39074</v>
      </c>
      <c r="B126" s="302" t="s">
        <v>13</v>
      </c>
      <c r="C126" s="303">
        <v>40</v>
      </c>
      <c r="D126" s="898"/>
    </row>
    <row r="127" spans="1:8" x14ac:dyDescent="0.35">
      <c r="A127" s="301"/>
      <c r="B127" s="302"/>
      <c r="C127" s="303"/>
      <c r="D127" s="898"/>
      <c r="E127" s="877" t="s">
        <v>27</v>
      </c>
    </row>
    <row r="128" spans="1:8" x14ac:dyDescent="0.35">
      <c r="A128" s="301">
        <v>39079</v>
      </c>
      <c r="B128" s="302" t="s">
        <v>259</v>
      </c>
      <c r="C128" s="303"/>
      <c r="D128" s="898">
        <v>985</v>
      </c>
      <c r="E128" s="878" t="s">
        <v>256</v>
      </c>
      <c r="F128" s="854">
        <f>COUNTA(A119:A129)</f>
        <v>10</v>
      </c>
      <c r="G128" s="313"/>
    </row>
    <row r="129" spans="1:11" x14ac:dyDescent="0.35">
      <c r="A129" s="316">
        <v>39081</v>
      </c>
      <c r="B129" s="317" t="s">
        <v>13</v>
      </c>
      <c r="C129" s="318">
        <v>40</v>
      </c>
      <c r="D129" s="901"/>
      <c r="E129" s="865">
        <f>SUM(C119:C129)</f>
        <v>715</v>
      </c>
      <c r="F129" s="854">
        <f>SUM(D119:D129)</f>
        <v>985</v>
      </c>
      <c r="G129" s="319">
        <f>E129-F129</f>
        <v>-270</v>
      </c>
    </row>
    <row r="130" spans="1:11" x14ac:dyDescent="0.35">
      <c r="C130" s="320"/>
      <c r="D130" s="892"/>
    </row>
    <row r="131" spans="1:11" x14ac:dyDescent="0.35">
      <c r="C131" s="320"/>
      <c r="D131" s="892"/>
    </row>
    <row r="132" spans="1:11" x14ac:dyDescent="0.35">
      <c r="C132" s="320"/>
      <c r="D132" s="892"/>
    </row>
    <row r="133" spans="1:11" x14ac:dyDescent="0.35">
      <c r="C133" s="320"/>
      <c r="D133" s="892"/>
      <c r="I133" s="42"/>
      <c r="J133" s="42"/>
    </row>
    <row r="134" spans="1:11" x14ac:dyDescent="0.35">
      <c r="C134" s="320"/>
      <c r="D134" s="892"/>
      <c r="I134" s="553" t="s">
        <v>29</v>
      </c>
      <c r="J134" s="554"/>
      <c r="K134" s="555"/>
    </row>
    <row r="135" spans="1:11" x14ac:dyDescent="0.35">
      <c r="C135" s="320"/>
      <c r="D135" s="892"/>
      <c r="I135" s="556">
        <f>_ENE06</f>
        <v>-108</v>
      </c>
      <c r="J135" s="557"/>
      <c r="K135" s="555"/>
    </row>
    <row r="136" spans="1:11" x14ac:dyDescent="0.35">
      <c r="C136" s="320"/>
      <c r="D136" s="892"/>
      <c r="I136" s="556">
        <f>_FEB06</f>
        <v>360</v>
      </c>
      <c r="J136" s="557"/>
      <c r="K136" s="555"/>
    </row>
    <row r="137" spans="1:11" x14ac:dyDescent="0.35">
      <c r="C137" s="320"/>
      <c r="D137" s="892"/>
      <c r="I137" s="556">
        <f>_MAR06</f>
        <v>171</v>
      </c>
      <c r="J137" s="557"/>
      <c r="K137" s="555"/>
    </row>
    <row r="138" spans="1:11" x14ac:dyDescent="0.35">
      <c r="C138" s="320"/>
      <c r="D138" s="892"/>
      <c r="I138" s="556">
        <f>_ABR06</f>
        <v>186</v>
      </c>
      <c r="J138" s="557"/>
      <c r="K138" s="555"/>
    </row>
    <row r="139" spans="1:11" x14ac:dyDescent="0.35">
      <c r="C139" s="320"/>
      <c r="D139" s="892"/>
      <c r="I139" s="556">
        <f>_MAY06</f>
        <v>-301</v>
      </c>
      <c r="J139" s="557"/>
      <c r="K139" s="555"/>
    </row>
    <row r="140" spans="1:11" x14ac:dyDescent="0.35">
      <c r="C140" s="320"/>
      <c r="D140" s="892"/>
      <c r="I140" s="556">
        <f>_JUN06</f>
        <v>263</v>
      </c>
      <c r="J140" s="557"/>
      <c r="K140" s="555"/>
    </row>
    <row r="141" spans="1:11" x14ac:dyDescent="0.35">
      <c r="C141" s="320"/>
      <c r="D141" s="892"/>
      <c r="I141" s="556">
        <f>_JUL06</f>
        <v>-297</v>
      </c>
      <c r="J141" s="557"/>
      <c r="K141" s="555"/>
    </row>
    <row r="142" spans="1:11" x14ac:dyDescent="0.35">
      <c r="C142" s="320"/>
      <c r="D142" s="892"/>
      <c r="I142" s="556">
        <f>_AGO06</f>
        <v>149</v>
      </c>
      <c r="J142" s="557"/>
      <c r="K142" s="555"/>
    </row>
    <row r="143" spans="1:11" x14ac:dyDescent="0.35">
      <c r="C143" s="320"/>
      <c r="D143" s="892"/>
      <c r="I143" s="556">
        <f>_SEP06</f>
        <v>295</v>
      </c>
      <c r="J143" s="557"/>
      <c r="K143" s="555"/>
    </row>
    <row r="144" spans="1:11" x14ac:dyDescent="0.35">
      <c r="C144" s="320"/>
      <c r="D144" s="892"/>
      <c r="I144" s="556">
        <f>_OCT06</f>
        <v>330</v>
      </c>
      <c r="J144" s="557"/>
      <c r="K144" s="555"/>
    </row>
    <row r="145" spans="1:12" x14ac:dyDescent="0.35">
      <c r="C145" s="320"/>
      <c r="D145" s="892"/>
      <c r="I145" s="556">
        <f>_NOV06</f>
        <v>185</v>
      </c>
      <c r="J145" s="557"/>
      <c r="K145" s="555"/>
    </row>
    <row r="146" spans="1:12" x14ac:dyDescent="0.35">
      <c r="I146" s="556">
        <f>_DIC06</f>
        <v>-270</v>
      </c>
      <c r="J146" s="557"/>
      <c r="K146" s="555"/>
    </row>
    <row r="147" spans="1:12" x14ac:dyDescent="0.35">
      <c r="I147" s="558">
        <f>SUM(I135:I146)</f>
        <v>963</v>
      </c>
      <c r="J147" s="559">
        <f>-SUM(J135:J146)</f>
        <v>0</v>
      </c>
      <c r="K147" s="560">
        <f>I147-J147</f>
        <v>963</v>
      </c>
    </row>
    <row r="148" spans="1:12" x14ac:dyDescent="0.35">
      <c r="I148" s="44"/>
      <c r="J148" s="44"/>
    </row>
    <row r="149" spans="1:12" x14ac:dyDescent="0.35">
      <c r="I149" s="23"/>
      <c r="J149" s="23"/>
      <c r="K149" s="15"/>
    </row>
    <row r="150" spans="1:12" x14ac:dyDescent="0.35">
      <c r="I150" s="24"/>
      <c r="J150" s="23"/>
      <c r="K150" s="15"/>
    </row>
    <row r="151" spans="1:12" x14ac:dyDescent="0.35">
      <c r="A151" s="56" t="s">
        <v>32</v>
      </c>
      <c r="B151" s="56" t="s">
        <v>33</v>
      </c>
      <c r="G151" s="28"/>
      <c r="H151" s="43"/>
      <c r="I151" s="181"/>
      <c r="J151" s="565"/>
      <c r="K151" s="51"/>
      <c r="L151" s="37"/>
    </row>
    <row r="152" spans="1:12" x14ac:dyDescent="0.35">
      <c r="A152" s="322">
        <f>SUM(C5:C151)</f>
        <v>9824</v>
      </c>
      <c r="B152" s="322">
        <f>SUM(D5:D151)</f>
        <v>8861</v>
      </c>
      <c r="H152" s="37"/>
      <c r="I152" s="181"/>
      <c r="J152" s="323"/>
      <c r="K152" s="51"/>
      <c r="L152" s="37"/>
    </row>
    <row r="153" spans="1:12" x14ac:dyDescent="0.35">
      <c r="H153" s="37"/>
      <c r="I153" s="323"/>
      <c r="J153" s="323"/>
      <c r="K153" s="51"/>
      <c r="L153" s="37"/>
    </row>
    <row r="154" spans="1:12" x14ac:dyDescent="0.35">
      <c r="I154" s="324"/>
      <c r="J154" s="23"/>
      <c r="K154" s="15"/>
    </row>
    <row r="155" spans="1:12" x14ac:dyDescent="0.35">
      <c r="I155" s="24"/>
      <c r="J155" s="23"/>
      <c r="K155" s="15"/>
    </row>
    <row r="156" spans="1:12" x14ac:dyDescent="0.35">
      <c r="I156" s="24"/>
      <c r="J156" s="23"/>
      <c r="K156" s="15"/>
    </row>
    <row r="158" spans="1:12" x14ac:dyDescent="0.35">
      <c r="F158" s="859"/>
      <c r="G158" s="229"/>
      <c r="H158" s="229"/>
      <c r="I158" s="229"/>
    </row>
    <row r="159" spans="1:12" x14ac:dyDescent="0.35">
      <c r="F159" s="859"/>
      <c r="G159" s="561"/>
      <c r="H159" s="562"/>
      <c r="I159" s="229"/>
    </row>
    <row r="160" spans="1:12" x14ac:dyDescent="0.35">
      <c r="F160" s="859"/>
      <c r="G160" s="539"/>
      <c r="H160" s="562"/>
      <c r="I160" s="229"/>
    </row>
    <row r="161" spans="6:9" x14ac:dyDescent="0.35">
      <c r="F161" s="859"/>
      <c r="G161" s="539"/>
      <c r="H161" s="562"/>
      <c r="I161" s="229"/>
    </row>
    <row r="162" spans="6:9" x14ac:dyDescent="0.35">
      <c r="F162" s="859"/>
      <c r="G162" s="539"/>
      <c r="H162" s="562"/>
      <c r="I162" s="229"/>
    </row>
    <row r="163" spans="6:9" x14ac:dyDescent="0.35">
      <c r="F163" s="859"/>
      <c r="G163" s="539"/>
      <c r="H163" s="562"/>
      <c r="I163" s="229"/>
    </row>
    <row r="164" spans="6:9" x14ac:dyDescent="0.35">
      <c r="F164" s="859"/>
      <c r="G164" s="539"/>
      <c r="H164" s="563"/>
      <c r="I164" s="541"/>
    </row>
    <row r="165" spans="6:9" x14ac:dyDescent="0.35">
      <c r="F165" s="859"/>
      <c r="G165" s="539"/>
      <c r="H165" s="564"/>
      <c r="I165" s="543"/>
    </row>
    <row r="166" spans="6:9" x14ac:dyDescent="0.35">
      <c r="F166" s="859"/>
      <c r="G166" s="539"/>
      <c r="H166" s="564"/>
      <c r="I166" s="543"/>
    </row>
    <row r="167" spans="6:9" x14ac:dyDescent="0.35">
      <c r="F167" s="859"/>
      <c r="G167" s="90"/>
      <c r="H167" s="563"/>
      <c r="I167" s="229"/>
    </row>
    <row r="168" spans="6:9" x14ac:dyDescent="0.35">
      <c r="F168" s="859"/>
      <c r="G168" s="539"/>
      <c r="H168" s="563"/>
      <c r="I168" s="46"/>
    </row>
    <row r="169" spans="6:9" x14ac:dyDescent="0.35">
      <c r="F169" s="859"/>
      <c r="G169" s="11"/>
      <c r="H169" s="563"/>
      <c r="I169" s="229"/>
    </row>
    <row r="170" spans="6:9" x14ac:dyDescent="0.35">
      <c r="F170" s="859"/>
      <c r="G170" s="539"/>
      <c r="H170" s="563"/>
      <c r="I170" s="46"/>
    </row>
    <row r="171" spans="6:9" x14ac:dyDescent="0.35">
      <c r="F171" s="859"/>
      <c r="G171" s="11"/>
      <c r="H171" s="563"/>
      <c r="I171" s="31"/>
    </row>
    <row r="172" spans="6:9" x14ac:dyDescent="0.35">
      <c r="F172" s="859"/>
      <c r="G172" s="547"/>
      <c r="H172" s="548"/>
      <c r="I172" s="46"/>
    </row>
    <row r="173" spans="6:9" x14ac:dyDescent="0.35">
      <c r="F173" s="859"/>
      <c r="G173" s="539"/>
      <c r="H173" s="548"/>
      <c r="I173" s="46"/>
    </row>
    <row r="174" spans="6:9" x14ac:dyDescent="0.35">
      <c r="F174" s="859"/>
      <c r="G174" s="539"/>
      <c r="H174" s="548"/>
      <c r="I174" s="46"/>
    </row>
    <row r="175" spans="6:9" x14ac:dyDescent="0.35">
      <c r="F175" s="859"/>
      <c r="G175" s="539"/>
      <c r="H175" s="548"/>
      <c r="I175" s="46"/>
    </row>
    <row r="176" spans="6:9" x14ac:dyDescent="0.35">
      <c r="F176" s="859"/>
      <c r="G176" s="539"/>
      <c r="H176" s="548"/>
      <c r="I176" s="46"/>
    </row>
    <row r="177" spans="6:9" x14ac:dyDescent="0.35">
      <c r="F177" s="859"/>
      <c r="G177" s="539"/>
      <c r="H177" s="548"/>
      <c r="I177" s="46"/>
    </row>
    <row r="178" spans="6:9" x14ac:dyDescent="0.35">
      <c r="F178" s="859"/>
      <c r="G178" s="539"/>
      <c r="H178" s="548"/>
      <c r="I178" s="46"/>
    </row>
    <row r="179" spans="6:9" x14ac:dyDescent="0.35">
      <c r="F179" s="859"/>
      <c r="G179" s="539"/>
      <c r="H179" s="548"/>
      <c r="I179" s="46"/>
    </row>
    <row r="180" spans="6:9" x14ac:dyDescent="0.35">
      <c r="F180" s="859"/>
      <c r="G180" s="539"/>
      <c r="H180" s="548"/>
      <c r="I180" s="46"/>
    </row>
    <row r="181" spans="6:9" x14ac:dyDescent="0.35">
      <c r="F181" s="859"/>
      <c r="G181" s="539"/>
      <c r="H181" s="549"/>
      <c r="I181" s="46"/>
    </row>
    <row r="182" spans="6:9" x14ac:dyDescent="0.35">
      <c r="F182" s="859"/>
      <c r="G182" s="284"/>
      <c r="H182" s="353"/>
      <c r="I182" s="229"/>
    </row>
    <row r="183" spans="6:9" x14ac:dyDescent="0.35">
      <c r="F183" s="859"/>
      <c r="G183" s="539"/>
      <c r="H183" s="550"/>
      <c r="I183" s="229"/>
    </row>
    <row r="184" spans="6:9" x14ac:dyDescent="0.35">
      <c r="F184" s="859"/>
      <c r="G184" s="551"/>
      <c r="H184" s="550"/>
      <c r="I184" s="229"/>
    </row>
    <row r="185" spans="6:9" x14ac:dyDescent="0.35">
      <c r="F185" s="859"/>
      <c r="G185" s="551"/>
      <c r="H185" s="552"/>
      <c r="I185" s="22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5" x14ac:dyDescent="0.35"/>
  <cols>
    <col min="1" max="1" width="11.36328125" style="288" customWidth="1"/>
    <col min="2" max="2" width="28.36328125" style="289" customWidth="1"/>
    <col min="3" max="3" width="11.36328125" style="852" customWidth="1"/>
    <col min="4" max="4" width="12.26953125" style="290" customWidth="1"/>
    <col min="5" max="5" width="10.26953125" style="834" customWidth="1"/>
    <col min="6" max="6" width="9.7265625" style="838" customWidth="1"/>
    <col min="7" max="7" width="11.36328125" customWidth="1"/>
    <col min="10" max="10" width="14.08984375" customWidth="1"/>
  </cols>
  <sheetData>
    <row r="1" spans="1:7" x14ac:dyDescent="0.35">
      <c r="A1" s="1199" t="s">
        <v>240</v>
      </c>
      <c r="B1" s="1200"/>
      <c r="C1" s="840" t="s">
        <v>175</v>
      </c>
      <c r="D1" s="257">
        <f>SUM(C3:C126)-SUM(D3:D126)</f>
        <v>67</v>
      </c>
      <c r="E1" s="827">
        <f>SUM(C3:C25)-D1</f>
        <v>982</v>
      </c>
      <c r="F1" s="835">
        <f>SUM(D3:D25)</f>
        <v>982</v>
      </c>
    </row>
    <row r="2" spans="1:7" x14ac:dyDescent="0.35">
      <c r="A2" s="258" t="s">
        <v>7</v>
      </c>
      <c r="B2" s="259" t="s">
        <v>8</v>
      </c>
      <c r="C2" s="841" t="s">
        <v>9</v>
      </c>
      <c r="D2" s="260" t="s">
        <v>63</v>
      </c>
      <c r="E2" s="828" t="s">
        <v>241</v>
      </c>
      <c r="F2" s="836" t="s">
        <v>242</v>
      </c>
    </row>
    <row r="3" spans="1:7" x14ac:dyDescent="0.35">
      <c r="A3" s="261">
        <v>38655</v>
      </c>
      <c r="B3" s="262" t="s">
        <v>66</v>
      </c>
      <c r="C3" s="842">
        <v>150</v>
      </c>
      <c r="D3" s="264"/>
      <c r="E3" s="829"/>
      <c r="F3" s="746"/>
      <c r="G3" s="15"/>
    </row>
    <row r="4" spans="1:7" x14ac:dyDescent="0.35">
      <c r="A4" s="261">
        <v>38656</v>
      </c>
      <c r="B4" s="262" t="s">
        <v>243</v>
      </c>
      <c r="C4" s="842"/>
      <c r="D4" s="263">
        <v>75</v>
      </c>
      <c r="E4" s="829"/>
      <c r="F4" s="746"/>
      <c r="G4" s="15"/>
    </row>
    <row r="5" spans="1:7" x14ac:dyDescent="0.35">
      <c r="A5" s="265">
        <v>38656</v>
      </c>
      <c r="B5" s="266" t="s">
        <v>244</v>
      </c>
      <c r="C5" s="843"/>
      <c r="D5" s="267">
        <v>10</v>
      </c>
      <c r="E5" s="830">
        <f>SUM(C3:C5)</f>
        <v>150</v>
      </c>
      <c r="F5" s="837">
        <f>SUM(D3:D5)</f>
        <v>85</v>
      </c>
      <c r="G5" s="268">
        <f>E5-F5</f>
        <v>65</v>
      </c>
    </row>
    <row r="6" spans="1:7" x14ac:dyDescent="0.35">
      <c r="A6" s="261">
        <v>38657</v>
      </c>
      <c r="B6" s="262" t="s">
        <v>244</v>
      </c>
      <c r="C6" s="842"/>
      <c r="D6" s="263">
        <v>382</v>
      </c>
      <c r="E6" s="829"/>
      <c r="F6" s="746"/>
      <c r="G6" s="15"/>
    </row>
    <row r="7" spans="1:7" x14ac:dyDescent="0.35">
      <c r="A7" s="261">
        <v>38662</v>
      </c>
      <c r="B7" s="262" t="s">
        <v>13</v>
      </c>
      <c r="C7" s="842">
        <v>70</v>
      </c>
      <c r="D7" s="263"/>
      <c r="E7" s="829"/>
      <c r="F7" s="746"/>
      <c r="G7" s="15"/>
    </row>
    <row r="8" spans="1:7" x14ac:dyDescent="0.35">
      <c r="A8" s="261">
        <v>38669</v>
      </c>
      <c r="B8" s="262" t="s">
        <v>13</v>
      </c>
      <c r="C8" s="842">
        <v>70</v>
      </c>
      <c r="D8" s="263"/>
      <c r="E8" s="829"/>
      <c r="F8" s="746"/>
      <c r="G8" s="15"/>
    </row>
    <row r="9" spans="1:7" x14ac:dyDescent="0.35">
      <c r="A9" s="261">
        <v>38677</v>
      </c>
      <c r="B9" s="262" t="s">
        <v>13</v>
      </c>
      <c r="C9" s="842">
        <v>70</v>
      </c>
      <c r="D9" s="263"/>
      <c r="E9" s="829"/>
      <c r="F9" s="746"/>
      <c r="G9" s="15"/>
    </row>
    <row r="10" spans="1:7" x14ac:dyDescent="0.35">
      <c r="A10" s="261">
        <v>38680</v>
      </c>
      <c r="B10" s="262" t="s">
        <v>245</v>
      </c>
      <c r="C10" s="842">
        <v>40</v>
      </c>
      <c r="D10" s="263"/>
      <c r="E10" s="829"/>
      <c r="F10" s="746"/>
      <c r="G10" s="15"/>
    </row>
    <row r="11" spans="1:7" x14ac:dyDescent="0.35">
      <c r="A11" s="261">
        <v>38681</v>
      </c>
      <c r="B11" s="262" t="s">
        <v>246</v>
      </c>
      <c r="C11" s="842">
        <v>15</v>
      </c>
      <c r="D11" s="263"/>
      <c r="E11" s="829"/>
      <c r="F11" s="746"/>
      <c r="G11" s="15"/>
    </row>
    <row r="12" spans="1:7" x14ac:dyDescent="0.35">
      <c r="A12" s="261">
        <v>38683</v>
      </c>
      <c r="B12" s="262" t="s">
        <v>13</v>
      </c>
      <c r="C12" s="842">
        <v>70</v>
      </c>
      <c r="D12" s="263"/>
      <c r="E12" s="829"/>
      <c r="F12" s="746"/>
      <c r="G12" s="15"/>
    </row>
    <row r="13" spans="1:7" x14ac:dyDescent="0.35">
      <c r="A13" s="265"/>
      <c r="B13" s="266"/>
      <c r="C13" s="843"/>
      <c r="D13" s="267">
        <v>0</v>
      </c>
      <c r="E13" s="830">
        <f>SUM(C6:C13)</f>
        <v>335</v>
      </c>
      <c r="F13" s="837">
        <f>SUM(D6:D13)</f>
        <v>382</v>
      </c>
      <c r="G13" s="268">
        <f>E13-F13</f>
        <v>-47</v>
      </c>
    </row>
    <row r="14" spans="1:7" x14ac:dyDescent="0.35">
      <c r="A14" s="261">
        <v>38690</v>
      </c>
      <c r="B14" s="262" t="s">
        <v>13</v>
      </c>
      <c r="C14" s="842">
        <v>70</v>
      </c>
      <c r="D14" s="263"/>
      <c r="E14" s="829"/>
      <c r="F14" s="746"/>
      <c r="G14" s="15"/>
    </row>
    <row r="15" spans="1:7" x14ac:dyDescent="0.35">
      <c r="A15" s="261">
        <v>38693</v>
      </c>
      <c r="B15" s="262" t="s">
        <v>247</v>
      </c>
      <c r="C15" s="842">
        <v>20</v>
      </c>
      <c r="D15" s="263"/>
      <c r="E15" s="829"/>
      <c r="F15" s="746"/>
      <c r="G15" s="15"/>
    </row>
    <row r="16" spans="1:7" x14ac:dyDescent="0.35">
      <c r="A16" s="261">
        <v>38694</v>
      </c>
      <c r="B16" s="262" t="s">
        <v>13</v>
      </c>
      <c r="C16" s="842">
        <v>200</v>
      </c>
      <c r="D16" s="263"/>
      <c r="E16" s="829"/>
      <c r="F16" s="746"/>
      <c r="G16" s="15"/>
    </row>
    <row r="17" spans="1:12" x14ac:dyDescent="0.35">
      <c r="A17" s="261">
        <v>38694</v>
      </c>
      <c r="B17" s="262" t="s">
        <v>217</v>
      </c>
      <c r="C17" s="842">
        <v>10</v>
      </c>
      <c r="D17" s="263"/>
      <c r="E17" s="829"/>
      <c r="F17" s="746"/>
      <c r="G17" s="15"/>
    </row>
    <row r="18" spans="1:12" x14ac:dyDescent="0.35">
      <c r="A18" s="261">
        <v>38697</v>
      </c>
      <c r="B18" s="262" t="s">
        <v>13</v>
      </c>
      <c r="C18" s="842">
        <v>72</v>
      </c>
      <c r="D18" s="263"/>
      <c r="E18" s="829"/>
      <c r="F18" s="746"/>
      <c r="G18" s="15"/>
    </row>
    <row r="19" spans="1:12" x14ac:dyDescent="0.35">
      <c r="A19" s="261">
        <v>38697</v>
      </c>
      <c r="B19" s="262" t="s">
        <v>248</v>
      </c>
      <c r="C19" s="842">
        <v>50</v>
      </c>
      <c r="D19" s="263"/>
      <c r="E19" s="829"/>
      <c r="F19" s="746"/>
      <c r="G19" s="15"/>
    </row>
    <row r="20" spans="1:12" x14ac:dyDescent="0.35">
      <c r="A20" s="261">
        <v>38699</v>
      </c>
      <c r="B20" s="262" t="s">
        <v>248</v>
      </c>
      <c r="C20" s="842">
        <v>50</v>
      </c>
      <c r="D20" s="263"/>
      <c r="E20" s="829"/>
      <c r="F20" s="746"/>
      <c r="G20" s="15"/>
    </row>
    <row r="21" spans="1:12" x14ac:dyDescent="0.35">
      <c r="A21" s="261">
        <v>38704</v>
      </c>
      <c r="B21" s="262" t="s">
        <v>13</v>
      </c>
      <c r="C21" s="842">
        <v>70</v>
      </c>
      <c r="D21" s="263"/>
      <c r="E21" s="829"/>
      <c r="F21" s="746"/>
      <c r="G21" s="15"/>
    </row>
    <row r="22" spans="1:12" x14ac:dyDescent="0.35">
      <c r="A22" s="261">
        <v>38707</v>
      </c>
      <c r="B22" s="262" t="s">
        <v>249</v>
      </c>
      <c r="C22" s="842">
        <v>10</v>
      </c>
      <c r="D22" s="263"/>
      <c r="E22" s="829"/>
      <c r="F22" s="746"/>
      <c r="G22" s="15"/>
    </row>
    <row r="23" spans="1:12" x14ac:dyDescent="0.35">
      <c r="A23" s="261">
        <v>38713</v>
      </c>
      <c r="B23" s="262" t="s">
        <v>244</v>
      </c>
      <c r="C23" s="842"/>
      <c r="D23" s="263">
        <v>515</v>
      </c>
      <c r="E23" s="829"/>
      <c r="F23" s="746"/>
      <c r="G23" s="15"/>
    </row>
    <row r="24" spans="1:12" x14ac:dyDescent="0.35">
      <c r="A24" s="269">
        <v>38714</v>
      </c>
      <c r="B24" s="270" t="s">
        <v>217</v>
      </c>
      <c r="C24" s="844">
        <v>12</v>
      </c>
      <c r="D24" s="271"/>
      <c r="E24" s="829"/>
      <c r="F24" s="746"/>
      <c r="G24" s="15"/>
    </row>
    <row r="25" spans="1:12" x14ac:dyDescent="0.35">
      <c r="A25" s="272"/>
      <c r="B25" s="273"/>
      <c r="C25" s="845"/>
      <c r="D25" s="274"/>
      <c r="E25" s="831">
        <f>SUM(C14:C25)</f>
        <v>564</v>
      </c>
      <c r="F25" s="837">
        <f>SUM(D14:D25)</f>
        <v>515</v>
      </c>
      <c r="G25" s="530">
        <f>E25-F25</f>
        <v>49</v>
      </c>
    </row>
    <row r="26" spans="1:12" x14ac:dyDescent="0.35">
      <c r="A26" s="275"/>
      <c r="B26" s="12"/>
      <c r="C26" s="846"/>
      <c r="D26" s="276"/>
      <c r="E26" s="832"/>
      <c r="F26" s="746"/>
      <c r="G26" s="15"/>
    </row>
    <row r="27" spans="1:12" x14ac:dyDescent="0.35">
      <c r="A27" s="275"/>
      <c r="B27" s="12"/>
      <c r="C27" s="847"/>
      <c r="D27" s="277"/>
      <c r="E27" s="832"/>
      <c r="F27" s="746"/>
      <c r="G27" s="15"/>
    </row>
    <row r="28" spans="1:12" x14ac:dyDescent="0.35">
      <c r="A28" s="275"/>
      <c r="B28" s="12"/>
      <c r="C28" s="847"/>
      <c r="D28" s="277"/>
      <c r="E28" s="832"/>
      <c r="F28" s="746"/>
      <c r="G28" s="15"/>
      <c r="J28" s="553" t="s">
        <v>29</v>
      </c>
      <c r="K28" s="554"/>
      <c r="L28" s="555"/>
    </row>
    <row r="29" spans="1:12" x14ac:dyDescent="0.35">
      <c r="A29" s="275"/>
      <c r="B29" s="12"/>
      <c r="C29" s="847"/>
      <c r="D29" s="277"/>
      <c r="E29" s="832"/>
      <c r="F29" s="746"/>
      <c r="G29" s="15"/>
      <c r="J29" s="556">
        <v>0</v>
      </c>
      <c r="K29" s="557"/>
      <c r="L29" s="555"/>
    </row>
    <row r="30" spans="1:12" x14ac:dyDescent="0.35">
      <c r="A30" s="275"/>
      <c r="B30" s="12"/>
      <c r="C30" s="847"/>
      <c r="D30" s="277"/>
      <c r="E30" s="832"/>
      <c r="F30" s="746"/>
      <c r="G30" s="15"/>
      <c r="J30" s="556">
        <v>0</v>
      </c>
      <c r="K30" s="557"/>
      <c r="L30" s="555"/>
    </row>
    <row r="31" spans="1:12" x14ac:dyDescent="0.35">
      <c r="A31" s="275"/>
      <c r="B31" s="12"/>
      <c r="C31" s="848"/>
      <c r="D31" s="278"/>
      <c r="E31" s="832"/>
      <c r="F31" s="746"/>
      <c r="G31" s="15"/>
      <c r="J31" s="556">
        <v>0</v>
      </c>
      <c r="K31" s="557"/>
      <c r="L31" s="555"/>
    </row>
    <row r="32" spans="1:12" x14ac:dyDescent="0.35">
      <c r="A32" s="275"/>
      <c r="B32" s="12"/>
      <c r="C32" s="848"/>
      <c r="D32" s="278"/>
      <c r="E32" s="833"/>
      <c r="J32" s="556">
        <v>0</v>
      </c>
      <c r="K32" s="557"/>
      <c r="L32" s="555"/>
    </row>
    <row r="33" spans="1:12" x14ac:dyDescent="0.35">
      <c r="A33" s="275"/>
      <c r="B33" s="12"/>
      <c r="C33" s="848"/>
      <c r="D33" s="278"/>
      <c r="E33" s="833"/>
      <c r="J33" s="556">
        <v>0</v>
      </c>
      <c r="K33" s="557"/>
      <c r="L33" s="555"/>
    </row>
    <row r="34" spans="1:12" x14ac:dyDescent="0.35">
      <c r="A34" s="275"/>
      <c r="B34" s="12"/>
      <c r="C34" s="849"/>
      <c r="D34" s="280"/>
      <c r="E34" s="833"/>
      <c r="J34" s="556">
        <v>0</v>
      </c>
      <c r="K34" s="557"/>
      <c r="L34" s="555"/>
    </row>
    <row r="35" spans="1:12" x14ac:dyDescent="0.35">
      <c r="A35" s="275"/>
      <c r="B35" s="12"/>
      <c r="C35" s="849"/>
      <c r="D35" s="280"/>
      <c r="E35" s="833"/>
      <c r="J35" s="556">
        <v>0</v>
      </c>
      <c r="K35" s="557"/>
      <c r="L35" s="555"/>
    </row>
    <row r="36" spans="1:12" x14ac:dyDescent="0.35">
      <c r="A36" s="281"/>
      <c r="B36" s="279"/>
      <c r="C36" s="850"/>
      <c r="D36" s="282"/>
      <c r="E36" s="833"/>
      <c r="J36" s="556">
        <v>0</v>
      </c>
      <c r="K36" s="557"/>
      <c r="L36" s="555"/>
    </row>
    <row r="37" spans="1:12" x14ac:dyDescent="0.35">
      <c r="A37" s="281"/>
      <c r="B37" s="279"/>
      <c r="C37" s="850"/>
      <c r="D37" s="282"/>
      <c r="E37" s="833"/>
      <c r="J37" s="556">
        <v>0</v>
      </c>
      <c r="K37" s="557"/>
      <c r="L37" s="555"/>
    </row>
    <row r="38" spans="1:12" x14ac:dyDescent="0.35">
      <c r="A38" s="281"/>
      <c r="B38" s="279"/>
      <c r="C38" s="850"/>
      <c r="D38" s="282"/>
      <c r="E38" s="833"/>
      <c r="J38" s="556">
        <f>_OCT05</f>
        <v>65</v>
      </c>
      <c r="K38" s="557"/>
      <c r="L38" s="555"/>
    </row>
    <row r="39" spans="1:12" x14ac:dyDescent="0.35">
      <c r="A39" s="281"/>
      <c r="B39" s="279"/>
      <c r="C39" s="850"/>
      <c r="D39" s="282"/>
      <c r="E39" s="833"/>
      <c r="J39" s="556">
        <f>_NOV05</f>
        <v>-47</v>
      </c>
      <c r="K39" s="557"/>
      <c r="L39" s="555"/>
    </row>
    <row r="40" spans="1:12" x14ac:dyDescent="0.35">
      <c r="A40" s="281"/>
      <c r="B40" s="279"/>
      <c r="C40" s="850"/>
      <c r="D40" s="282"/>
      <c r="E40" s="833"/>
      <c r="J40" s="556">
        <f>_DIC05</f>
        <v>49</v>
      </c>
      <c r="K40" s="557"/>
      <c r="L40" s="555"/>
    </row>
    <row r="41" spans="1:12" x14ac:dyDescent="0.35">
      <c r="A41" s="281"/>
      <c r="B41" s="279"/>
      <c r="C41" s="850"/>
      <c r="D41" s="282"/>
      <c r="E41" s="833"/>
      <c r="J41" s="558">
        <f>SUM(J29:J40)</f>
        <v>67</v>
      </c>
      <c r="K41" s="559"/>
      <c r="L41" s="560">
        <f>+J41-K41</f>
        <v>67</v>
      </c>
    </row>
    <row r="42" spans="1:12" x14ac:dyDescent="0.35">
      <c r="A42" s="281"/>
      <c r="B42" s="279"/>
      <c r="C42" s="850"/>
      <c r="D42" s="282"/>
      <c r="E42" s="833"/>
    </row>
    <row r="43" spans="1:12" x14ac:dyDescent="0.35">
      <c r="A43" s="281"/>
      <c r="B43" s="279"/>
      <c r="C43" s="850"/>
      <c r="D43" s="282"/>
      <c r="E43" s="833"/>
    </row>
    <row r="44" spans="1:12" x14ac:dyDescent="0.35">
      <c r="A44" s="281"/>
      <c r="B44" s="279"/>
      <c r="C44" s="850"/>
      <c r="D44" s="282"/>
      <c r="E44" s="833"/>
    </row>
    <row r="45" spans="1:12" x14ac:dyDescent="0.35">
      <c r="A45" s="281"/>
      <c r="B45" s="279"/>
      <c r="C45" s="850"/>
      <c r="D45" s="282"/>
      <c r="E45" s="833"/>
    </row>
    <row r="46" spans="1:12" x14ac:dyDescent="0.35">
      <c r="A46" s="281"/>
      <c r="B46" s="279"/>
      <c r="C46" s="850"/>
      <c r="D46" s="282"/>
      <c r="E46" s="833"/>
    </row>
    <row r="47" spans="1:12" x14ac:dyDescent="0.35">
      <c r="A47" s="281"/>
      <c r="B47" s="279"/>
      <c r="C47" s="850"/>
      <c r="D47" s="282"/>
      <c r="E47" s="833"/>
    </row>
    <row r="48" spans="1:12" x14ac:dyDescent="0.35">
      <c r="A48" s="283" t="s">
        <v>32</v>
      </c>
      <c r="B48" s="283" t="s">
        <v>33</v>
      </c>
      <c r="C48" s="850"/>
      <c r="D48" s="282"/>
      <c r="E48" s="833"/>
    </row>
    <row r="49" spans="1:11" x14ac:dyDescent="0.35">
      <c r="A49" s="283">
        <f>SUM(C3:C48)</f>
        <v>1049</v>
      </c>
      <c r="B49" s="283">
        <f>SUM(D3:D48)</f>
        <v>982</v>
      </c>
      <c r="C49" s="850"/>
      <c r="D49" s="282"/>
      <c r="E49" s="833"/>
      <c r="F49" s="839"/>
      <c r="G49" s="33"/>
      <c r="H49" s="33"/>
      <c r="I49" s="33"/>
      <c r="J49" s="33"/>
      <c r="K49" s="33"/>
    </row>
    <row r="50" spans="1:11" x14ac:dyDescent="0.35">
      <c r="A50" s="281"/>
      <c r="B50" s="279"/>
      <c r="C50" s="850"/>
      <c r="D50" s="282"/>
      <c r="E50" s="833"/>
      <c r="F50" s="839"/>
      <c r="G50" s="532"/>
      <c r="H50" s="533"/>
      <c r="I50" s="33"/>
      <c r="J50" s="33"/>
      <c r="K50" s="33"/>
    </row>
    <row r="51" spans="1:11" x14ac:dyDescent="0.35">
      <c r="A51" s="281"/>
      <c r="B51" s="279"/>
      <c r="C51" s="850"/>
      <c r="D51" s="282"/>
      <c r="E51" s="833"/>
      <c r="F51" s="839"/>
      <c r="G51" s="534"/>
      <c r="H51" s="535"/>
      <c r="I51" s="33"/>
      <c r="J51" s="33"/>
      <c r="K51" s="33"/>
    </row>
    <row r="52" spans="1:11" x14ac:dyDescent="0.35">
      <c r="A52" s="281"/>
      <c r="B52" s="279"/>
      <c r="C52" s="850"/>
      <c r="D52" s="282"/>
      <c r="E52" s="833"/>
      <c r="F52" s="839"/>
      <c r="G52" s="536"/>
      <c r="H52" s="537"/>
      <c r="I52" s="33"/>
      <c r="J52" s="33"/>
      <c r="K52" s="33"/>
    </row>
    <row r="53" spans="1:11" x14ac:dyDescent="0.35">
      <c r="A53" s="281"/>
      <c r="B53" s="279"/>
      <c r="C53" s="850"/>
      <c r="D53" s="282"/>
      <c r="E53" s="833"/>
      <c r="F53" s="839"/>
      <c r="G53" s="538"/>
      <c r="H53" s="533"/>
      <c r="I53" s="33"/>
      <c r="J53" s="33"/>
      <c r="K53" s="33"/>
    </row>
    <row r="54" spans="1:11" x14ac:dyDescent="0.35">
      <c r="A54" s="281"/>
      <c r="B54" s="279"/>
      <c r="C54" s="850"/>
      <c r="D54" s="282"/>
      <c r="E54" s="833"/>
      <c r="F54" s="839"/>
      <c r="G54" s="534"/>
      <c r="H54" s="535"/>
      <c r="I54" s="33"/>
      <c r="J54" s="33"/>
      <c r="K54" s="33"/>
    </row>
    <row r="55" spans="1:11" x14ac:dyDescent="0.35">
      <c r="A55" s="281"/>
      <c r="B55" s="279"/>
      <c r="C55" s="850"/>
      <c r="D55" s="282"/>
      <c r="E55" s="833"/>
      <c r="F55" s="839"/>
      <c r="G55" s="539"/>
      <c r="H55" s="540"/>
      <c r="I55" s="541"/>
      <c r="J55" s="33"/>
      <c r="K55" s="33"/>
    </row>
    <row r="56" spans="1:11" x14ac:dyDescent="0.35">
      <c r="A56" s="281"/>
      <c r="B56" s="279"/>
      <c r="C56" s="850"/>
      <c r="D56" s="282"/>
      <c r="E56" s="833"/>
      <c r="F56" s="839"/>
      <c r="G56" s="539"/>
      <c r="H56" s="542"/>
      <c r="I56" s="543"/>
      <c r="J56" s="33"/>
      <c r="K56" s="33"/>
    </row>
    <row r="57" spans="1:11" x14ac:dyDescent="0.35">
      <c r="A57" s="281"/>
      <c r="B57" s="279"/>
      <c r="C57" s="850"/>
      <c r="D57" s="282"/>
      <c r="E57" s="833"/>
      <c r="F57" s="839"/>
      <c r="G57" s="539"/>
      <c r="H57" s="542"/>
      <c r="I57" s="543"/>
      <c r="J57" s="33"/>
      <c r="K57" s="33"/>
    </row>
    <row r="58" spans="1:11" x14ac:dyDescent="0.35">
      <c r="A58" s="281"/>
      <c r="B58" s="279"/>
      <c r="C58" s="850"/>
      <c r="D58" s="282"/>
      <c r="E58" s="833"/>
      <c r="F58" s="839"/>
      <c r="G58" s="90"/>
      <c r="H58" s="544"/>
      <c r="I58" s="33"/>
      <c r="J58" s="33"/>
      <c r="K58" s="33"/>
    </row>
    <row r="59" spans="1:11" x14ac:dyDescent="0.35">
      <c r="A59" s="281"/>
      <c r="B59" s="279"/>
      <c r="C59" s="850"/>
      <c r="D59" s="282"/>
      <c r="E59" s="833"/>
      <c r="F59" s="839"/>
      <c r="G59" s="545"/>
      <c r="H59" s="544"/>
      <c r="I59" s="46"/>
      <c r="J59" s="33"/>
      <c r="K59" s="33"/>
    </row>
    <row r="60" spans="1:11" x14ac:dyDescent="0.35">
      <c r="A60" s="281"/>
      <c r="B60" s="279"/>
      <c r="C60" s="850"/>
      <c r="D60" s="282"/>
      <c r="E60" s="833"/>
      <c r="F60" s="839"/>
      <c r="G60" s="546"/>
      <c r="H60" s="544"/>
      <c r="I60" s="33"/>
      <c r="J60" s="33"/>
      <c r="K60" s="33"/>
    </row>
    <row r="61" spans="1:11" x14ac:dyDescent="0.35">
      <c r="A61" s="281"/>
      <c r="B61" s="279"/>
      <c r="C61" s="850"/>
      <c r="D61" s="282"/>
      <c r="E61" s="833"/>
      <c r="F61" s="839"/>
      <c r="G61" s="545"/>
      <c r="H61" s="544"/>
      <c r="I61" s="46"/>
      <c r="J61" s="33"/>
      <c r="K61" s="33"/>
    </row>
    <row r="62" spans="1:11" x14ac:dyDescent="0.35">
      <c r="A62" s="281"/>
      <c r="B62" s="279"/>
      <c r="C62" s="850"/>
      <c r="D62" s="282"/>
      <c r="E62" s="833"/>
      <c r="F62" s="839"/>
      <c r="G62" s="546"/>
      <c r="H62" s="544"/>
      <c r="I62" s="31"/>
      <c r="J62" s="33"/>
      <c r="K62" s="33"/>
    </row>
    <row r="63" spans="1:11" x14ac:dyDescent="0.35">
      <c r="A63" s="281"/>
      <c r="B63" s="279"/>
      <c r="C63" s="850"/>
      <c r="D63" s="282"/>
      <c r="E63" s="833"/>
      <c r="F63" s="839"/>
      <c r="G63" s="547"/>
      <c r="H63" s="548"/>
      <c r="I63" s="46"/>
      <c r="J63" s="33"/>
      <c r="K63" s="33"/>
    </row>
    <row r="64" spans="1:11" x14ac:dyDescent="0.35">
      <c r="A64" s="281"/>
      <c r="B64" s="279"/>
      <c r="C64" s="850"/>
      <c r="D64" s="282"/>
      <c r="E64" s="833"/>
      <c r="F64" s="839"/>
      <c r="G64" s="539"/>
      <c r="H64" s="548"/>
      <c r="I64" s="46"/>
      <c r="J64" s="33"/>
      <c r="K64" s="33"/>
    </row>
    <row r="65" spans="1:11" x14ac:dyDescent="0.35">
      <c r="A65" s="281"/>
      <c r="B65" s="279"/>
      <c r="C65" s="850"/>
      <c r="D65" s="282"/>
      <c r="E65" s="833"/>
      <c r="F65" s="839"/>
      <c r="G65" s="539"/>
      <c r="H65" s="548"/>
      <c r="I65" s="46"/>
      <c r="J65" s="33"/>
      <c r="K65" s="33"/>
    </row>
    <row r="66" spans="1:11" x14ac:dyDescent="0.35">
      <c r="A66" s="281"/>
      <c r="B66" s="279"/>
      <c r="C66" s="850"/>
      <c r="D66" s="282"/>
      <c r="E66" s="833"/>
      <c r="F66" s="839"/>
      <c r="G66" s="539"/>
      <c r="H66" s="548"/>
      <c r="I66" s="46"/>
      <c r="J66" s="33"/>
      <c r="K66" s="33"/>
    </row>
    <row r="67" spans="1:11" x14ac:dyDescent="0.35">
      <c r="A67" s="281"/>
      <c r="B67" s="279"/>
      <c r="C67" s="850"/>
      <c r="D67" s="282"/>
      <c r="E67" s="833"/>
      <c r="F67" s="839"/>
      <c r="G67" s="539"/>
      <c r="H67" s="548"/>
      <c r="I67" s="46"/>
      <c r="J67" s="33"/>
      <c r="K67" s="33"/>
    </row>
    <row r="68" spans="1:11" x14ac:dyDescent="0.35">
      <c r="A68" s="281"/>
      <c r="B68" s="279"/>
      <c r="C68" s="850"/>
      <c r="D68" s="282"/>
      <c r="E68" s="833"/>
      <c r="F68" s="839"/>
      <c r="G68" s="539"/>
      <c r="H68" s="548"/>
      <c r="I68" s="46"/>
      <c r="J68" s="33"/>
      <c r="K68" s="33"/>
    </row>
    <row r="69" spans="1:11" x14ac:dyDescent="0.35">
      <c r="A69" s="281"/>
      <c r="B69" s="279"/>
      <c r="C69" s="850"/>
      <c r="D69" s="282"/>
      <c r="E69" s="833"/>
      <c r="F69" s="839"/>
      <c r="G69" s="539"/>
      <c r="H69" s="548"/>
      <c r="I69" s="46"/>
      <c r="J69" s="33"/>
      <c r="K69" s="33"/>
    </row>
    <row r="70" spans="1:11" x14ac:dyDescent="0.35">
      <c r="A70" s="281"/>
      <c r="B70" s="279"/>
      <c r="C70" s="850"/>
      <c r="D70" s="282"/>
      <c r="E70" s="833"/>
      <c r="F70" s="839"/>
      <c r="G70" s="539"/>
      <c r="H70" s="548"/>
      <c r="I70" s="46"/>
      <c r="J70" s="33"/>
      <c r="K70" s="33"/>
    </row>
    <row r="71" spans="1:11" x14ac:dyDescent="0.35">
      <c r="A71" s="281"/>
      <c r="B71" s="279"/>
      <c r="C71" s="850"/>
      <c r="D71" s="282"/>
      <c r="E71" s="833"/>
      <c r="F71" s="839"/>
      <c r="G71" s="539"/>
      <c r="H71" s="548"/>
      <c r="I71" s="46"/>
      <c r="J71" s="33"/>
      <c r="K71" s="33"/>
    </row>
    <row r="72" spans="1:11" x14ac:dyDescent="0.35">
      <c r="A72" s="281"/>
      <c r="B72" s="279"/>
      <c r="C72" s="850"/>
      <c r="D72" s="282"/>
      <c r="E72" s="833"/>
      <c r="F72" s="839"/>
      <c r="G72" s="539"/>
      <c r="H72" s="549"/>
      <c r="I72" s="46"/>
      <c r="J72" s="33"/>
      <c r="K72" s="33"/>
    </row>
    <row r="73" spans="1:11" x14ac:dyDescent="0.35">
      <c r="A73" s="281"/>
      <c r="B73" s="279"/>
      <c r="C73" s="850"/>
      <c r="D73" s="282"/>
      <c r="E73" s="833"/>
      <c r="F73" s="839"/>
      <c r="G73" s="284"/>
      <c r="H73" s="353"/>
      <c r="I73" s="33"/>
      <c r="J73" s="33"/>
      <c r="K73" s="33"/>
    </row>
    <row r="74" spans="1:11" x14ac:dyDescent="0.35">
      <c r="A74" s="281"/>
      <c r="B74" s="279"/>
      <c r="C74" s="850"/>
      <c r="D74" s="282"/>
      <c r="E74" s="833"/>
      <c r="F74" s="839"/>
      <c r="G74" s="539"/>
      <c r="H74" s="550"/>
      <c r="I74" s="33"/>
      <c r="J74" s="33"/>
      <c r="K74" s="33"/>
    </row>
    <row r="75" spans="1:11" x14ac:dyDescent="0.35">
      <c r="A75" s="281"/>
      <c r="B75" s="279"/>
      <c r="C75" s="850"/>
      <c r="D75" s="282"/>
      <c r="E75" s="833"/>
      <c r="F75" s="839"/>
      <c r="G75" s="551"/>
      <c r="H75" s="550"/>
      <c r="I75" s="33"/>
      <c r="J75" s="33"/>
      <c r="K75" s="33"/>
    </row>
    <row r="76" spans="1:11" x14ac:dyDescent="0.35">
      <c r="A76" s="281"/>
      <c r="B76" s="279"/>
      <c r="C76" s="850"/>
      <c r="D76" s="282"/>
      <c r="E76" s="833"/>
      <c r="F76" s="839"/>
      <c r="G76" s="551"/>
      <c r="H76" s="552"/>
      <c r="I76" s="33"/>
      <c r="J76" s="33"/>
      <c r="K76" s="33"/>
    </row>
    <row r="77" spans="1:11" x14ac:dyDescent="0.35">
      <c r="A77" s="281"/>
      <c r="B77" s="279"/>
      <c r="C77" s="850"/>
      <c r="D77" s="282"/>
      <c r="E77" s="833"/>
      <c r="F77" s="839"/>
      <c r="G77" s="33"/>
      <c r="H77" s="33"/>
      <c r="I77" s="33"/>
      <c r="J77" s="33"/>
      <c r="K77" s="33"/>
    </row>
    <row r="78" spans="1:11" x14ac:dyDescent="0.35">
      <c r="A78" s="281"/>
      <c r="B78" s="279"/>
      <c r="C78" s="850"/>
      <c r="D78" s="282"/>
      <c r="E78" s="833"/>
      <c r="F78" s="839"/>
      <c r="G78" s="33"/>
      <c r="H78" s="33"/>
      <c r="I78" s="33"/>
      <c r="J78" s="33"/>
      <c r="K78" s="33"/>
    </row>
    <row r="79" spans="1:11" x14ac:dyDescent="0.35">
      <c r="A79" s="281"/>
      <c r="B79" s="279"/>
      <c r="C79" s="850"/>
      <c r="D79" s="282"/>
      <c r="E79" s="833"/>
    </row>
    <row r="80" spans="1:11" x14ac:dyDescent="0.35">
      <c r="A80" s="281"/>
      <c r="B80" s="279"/>
      <c r="C80" s="850"/>
      <c r="D80" s="282"/>
      <c r="E80" s="833"/>
    </row>
    <row r="81" spans="1:5" x14ac:dyDescent="0.35">
      <c r="A81" s="281"/>
      <c r="B81" s="279"/>
      <c r="C81" s="850"/>
      <c r="D81" s="282"/>
      <c r="E81" s="833"/>
    </row>
    <row r="82" spans="1:5" x14ac:dyDescent="0.35">
      <c r="A82" s="281"/>
      <c r="B82" s="279"/>
      <c r="C82" s="850"/>
      <c r="D82" s="282"/>
      <c r="E82" s="833"/>
    </row>
    <row r="83" spans="1:5" x14ac:dyDescent="0.35">
      <c r="A83" s="281"/>
      <c r="B83" s="279"/>
      <c r="C83" s="850"/>
      <c r="D83" s="282"/>
      <c r="E83" s="833"/>
    </row>
    <row r="84" spans="1:5" x14ac:dyDescent="0.35">
      <c r="A84" s="281"/>
      <c r="B84" s="279"/>
      <c r="C84" s="850"/>
      <c r="D84" s="282"/>
      <c r="E84" s="833"/>
    </row>
    <row r="85" spans="1:5" x14ac:dyDescent="0.35">
      <c r="A85" s="281"/>
      <c r="B85" s="279"/>
      <c r="C85" s="850"/>
      <c r="D85" s="282"/>
      <c r="E85" s="833"/>
    </row>
    <row r="86" spans="1:5" x14ac:dyDescent="0.35">
      <c r="A86" s="281"/>
      <c r="B86" s="279"/>
      <c r="C86" s="850"/>
      <c r="D86" s="282"/>
      <c r="E86" s="833"/>
    </row>
    <row r="87" spans="1:5" x14ac:dyDescent="0.35">
      <c r="A87" s="281"/>
      <c r="B87" s="279"/>
      <c r="C87" s="850"/>
      <c r="D87" s="282"/>
      <c r="E87" s="833"/>
    </row>
    <row r="88" spans="1:5" x14ac:dyDescent="0.35">
      <c r="A88" s="281"/>
      <c r="B88" s="279"/>
      <c r="C88" s="850"/>
      <c r="D88" s="282"/>
      <c r="E88" s="833"/>
    </row>
    <row r="89" spans="1:5" x14ac:dyDescent="0.35">
      <c r="A89" s="281"/>
      <c r="B89" s="279"/>
      <c r="C89" s="850"/>
      <c r="D89" s="282"/>
      <c r="E89" s="833"/>
    </row>
    <row r="90" spans="1:5" x14ac:dyDescent="0.35">
      <c r="A90" s="281"/>
      <c r="B90" s="279"/>
      <c r="C90" s="850"/>
      <c r="D90" s="282"/>
      <c r="E90" s="833"/>
    </row>
    <row r="91" spans="1:5" x14ac:dyDescent="0.35">
      <c r="A91" s="281"/>
      <c r="B91" s="279"/>
      <c r="C91" s="850"/>
      <c r="D91" s="282"/>
      <c r="E91" s="833"/>
    </row>
    <row r="92" spans="1:5" x14ac:dyDescent="0.35">
      <c r="A92" s="281"/>
      <c r="B92" s="279"/>
      <c r="C92" s="850"/>
      <c r="D92" s="282"/>
      <c r="E92" s="833"/>
    </row>
    <row r="93" spans="1:5" x14ac:dyDescent="0.35">
      <c r="A93" s="281"/>
      <c r="B93" s="279"/>
      <c r="C93" s="850"/>
      <c r="D93" s="282"/>
      <c r="E93" s="833"/>
    </row>
    <row r="94" spans="1:5" x14ac:dyDescent="0.35">
      <c r="A94" s="281"/>
      <c r="B94" s="279"/>
      <c r="C94" s="850"/>
      <c r="D94" s="282"/>
      <c r="E94" s="833"/>
    </row>
    <row r="95" spans="1:5" x14ac:dyDescent="0.35">
      <c r="A95" s="281"/>
      <c r="B95" s="279"/>
      <c r="C95" s="850"/>
      <c r="D95" s="282"/>
      <c r="E95" s="833"/>
    </row>
    <row r="96" spans="1:5" x14ac:dyDescent="0.35">
      <c r="A96" s="281"/>
      <c r="B96" s="279"/>
      <c r="C96" s="850"/>
      <c r="D96" s="282"/>
      <c r="E96" s="833"/>
    </row>
    <row r="97" spans="1:5" x14ac:dyDescent="0.35">
      <c r="A97" s="281"/>
      <c r="B97" s="279"/>
      <c r="C97" s="850"/>
      <c r="D97" s="282"/>
      <c r="E97" s="833"/>
    </row>
    <row r="98" spans="1:5" x14ac:dyDescent="0.35">
      <c r="A98" s="281"/>
      <c r="B98" s="279"/>
      <c r="C98" s="850"/>
      <c r="D98" s="282"/>
      <c r="E98" s="833"/>
    </row>
    <row r="99" spans="1:5" x14ac:dyDescent="0.35">
      <c r="A99" s="281"/>
      <c r="B99" s="279"/>
      <c r="C99" s="850"/>
      <c r="D99" s="282"/>
      <c r="E99" s="833"/>
    </row>
    <row r="100" spans="1:5" x14ac:dyDescent="0.35">
      <c r="A100" s="281"/>
      <c r="B100" s="279"/>
      <c r="C100" s="850"/>
      <c r="D100" s="282"/>
      <c r="E100" s="833"/>
    </row>
    <row r="101" spans="1:5" x14ac:dyDescent="0.35">
      <c r="A101" s="281"/>
      <c r="B101" s="279"/>
      <c r="C101" s="850"/>
      <c r="D101" s="282"/>
      <c r="E101" s="833"/>
    </row>
    <row r="102" spans="1:5" x14ac:dyDescent="0.35">
      <c r="A102" s="281"/>
      <c r="B102" s="279"/>
      <c r="C102" s="850"/>
      <c r="D102" s="282"/>
      <c r="E102" s="833"/>
    </row>
    <row r="103" spans="1:5" x14ac:dyDescent="0.35">
      <c r="A103" s="281"/>
      <c r="B103" s="279"/>
      <c r="C103" s="850"/>
      <c r="D103" s="282"/>
      <c r="E103" s="833"/>
    </row>
    <row r="104" spans="1:5" x14ac:dyDescent="0.35">
      <c r="A104" s="281"/>
      <c r="B104" s="279"/>
      <c r="C104" s="850"/>
      <c r="D104" s="282"/>
      <c r="E104" s="833"/>
    </row>
    <row r="105" spans="1:5" x14ac:dyDescent="0.35">
      <c r="A105" s="281"/>
      <c r="B105" s="279"/>
      <c r="C105" s="850"/>
      <c r="D105" s="282"/>
      <c r="E105" s="833"/>
    </row>
    <row r="106" spans="1:5" x14ac:dyDescent="0.35">
      <c r="A106" s="281"/>
      <c r="B106" s="279"/>
      <c r="C106" s="850"/>
      <c r="D106" s="282"/>
      <c r="E106" s="833"/>
    </row>
    <row r="107" spans="1:5" x14ac:dyDescent="0.35">
      <c r="A107" s="281"/>
      <c r="B107" s="279"/>
      <c r="C107" s="850"/>
      <c r="D107" s="282"/>
      <c r="E107" s="833"/>
    </row>
    <row r="108" spans="1:5" x14ac:dyDescent="0.35">
      <c r="A108" s="281"/>
      <c r="B108" s="279"/>
      <c r="C108" s="850"/>
      <c r="D108" s="282"/>
      <c r="E108" s="833"/>
    </row>
    <row r="109" spans="1:5" x14ac:dyDescent="0.35">
      <c r="A109" s="281"/>
      <c r="B109" s="279"/>
      <c r="C109" s="850"/>
      <c r="D109" s="282"/>
      <c r="E109" s="833"/>
    </row>
    <row r="110" spans="1:5" x14ac:dyDescent="0.35">
      <c r="A110" s="281"/>
      <c r="B110" s="279"/>
      <c r="C110" s="850"/>
      <c r="D110" s="282"/>
      <c r="E110" s="833"/>
    </row>
    <row r="111" spans="1:5" x14ac:dyDescent="0.35">
      <c r="A111" s="281"/>
      <c r="B111" s="279"/>
      <c r="C111" s="850"/>
      <c r="D111" s="282"/>
      <c r="E111" s="833"/>
    </row>
    <row r="112" spans="1:5" x14ac:dyDescent="0.35">
      <c r="A112" s="281"/>
      <c r="B112" s="279"/>
      <c r="C112" s="850"/>
      <c r="D112" s="282"/>
      <c r="E112" s="833"/>
    </row>
    <row r="113" spans="1:5" x14ac:dyDescent="0.35">
      <c r="A113" s="281"/>
      <c r="B113" s="279"/>
      <c r="C113" s="850"/>
      <c r="D113" s="282"/>
      <c r="E113" s="833"/>
    </row>
    <row r="114" spans="1:5" x14ac:dyDescent="0.35">
      <c r="A114" s="281"/>
      <c r="B114" s="279"/>
      <c r="C114" s="850"/>
      <c r="D114" s="282"/>
      <c r="E114" s="833"/>
    </row>
    <row r="115" spans="1:5" x14ac:dyDescent="0.35">
      <c r="A115" s="281"/>
      <c r="B115" s="279"/>
      <c r="C115" s="850"/>
      <c r="D115" s="282"/>
      <c r="E115" s="833"/>
    </row>
    <row r="116" spans="1:5" x14ac:dyDescent="0.35">
      <c r="A116" s="281"/>
      <c r="B116" s="279"/>
      <c r="C116" s="850"/>
      <c r="D116" s="282"/>
      <c r="E116" s="833"/>
    </row>
    <row r="117" spans="1:5" x14ac:dyDescent="0.35">
      <c r="A117" s="281"/>
      <c r="B117" s="279"/>
      <c r="C117" s="850"/>
      <c r="D117" s="282"/>
      <c r="E117" s="833"/>
    </row>
    <row r="118" spans="1:5" x14ac:dyDescent="0.35">
      <c r="A118" s="281"/>
      <c r="B118" s="279"/>
      <c r="C118" s="850"/>
      <c r="D118" s="282"/>
      <c r="E118" s="833"/>
    </row>
    <row r="119" spans="1:5" x14ac:dyDescent="0.35">
      <c r="A119" s="281"/>
      <c r="B119" s="279"/>
      <c r="C119" s="850"/>
      <c r="D119" s="282"/>
      <c r="E119" s="833"/>
    </row>
    <row r="120" spans="1:5" x14ac:dyDescent="0.35">
      <c r="A120" s="281"/>
      <c r="B120" s="279"/>
      <c r="C120" s="850"/>
      <c r="D120" s="282"/>
      <c r="E120" s="833"/>
    </row>
    <row r="121" spans="1:5" x14ac:dyDescent="0.35">
      <c r="A121" s="281"/>
      <c r="B121" s="279"/>
      <c r="C121" s="850"/>
      <c r="D121" s="282"/>
      <c r="E121" s="833"/>
    </row>
    <row r="122" spans="1:5" x14ac:dyDescent="0.35">
      <c r="A122" s="281"/>
      <c r="B122" s="279"/>
      <c r="C122" s="850"/>
      <c r="D122" s="282"/>
      <c r="E122" s="833"/>
    </row>
    <row r="123" spans="1:5" x14ac:dyDescent="0.35">
      <c r="A123" s="281"/>
      <c r="B123" s="279"/>
      <c r="C123" s="850"/>
      <c r="D123" s="282"/>
      <c r="E123" s="833"/>
    </row>
    <row r="124" spans="1:5" x14ac:dyDescent="0.35">
      <c r="A124" s="281"/>
      <c r="B124" s="279"/>
      <c r="C124" s="850"/>
      <c r="D124" s="282"/>
      <c r="E124" s="833"/>
    </row>
    <row r="125" spans="1:5" x14ac:dyDescent="0.35">
      <c r="A125" s="281"/>
      <c r="B125" s="279"/>
      <c r="C125" s="850"/>
      <c r="D125" s="282"/>
      <c r="E125" s="833"/>
    </row>
    <row r="126" spans="1:5" x14ac:dyDescent="0.35">
      <c r="A126" s="281"/>
      <c r="B126" s="279"/>
      <c r="C126" s="850"/>
      <c r="D126" s="282"/>
      <c r="E126" s="833"/>
    </row>
    <row r="127" spans="1:5" x14ac:dyDescent="0.35">
      <c r="A127" s="281"/>
      <c r="B127" s="279"/>
      <c r="C127" s="850"/>
      <c r="D127" s="282"/>
      <c r="E127" s="833"/>
    </row>
    <row r="128" spans="1:5" x14ac:dyDescent="0.35">
      <c r="A128" s="281"/>
      <c r="B128" s="279"/>
      <c r="C128" s="850"/>
      <c r="D128" s="282"/>
      <c r="E128" s="833"/>
    </row>
    <row r="129" spans="1:5" x14ac:dyDescent="0.35">
      <c r="A129" s="281"/>
      <c r="B129" s="279"/>
      <c r="C129" s="850"/>
      <c r="D129" s="282"/>
      <c r="E129" s="833"/>
    </row>
    <row r="130" spans="1:5" x14ac:dyDescent="0.35">
      <c r="A130" s="281"/>
      <c r="B130" s="279"/>
      <c r="C130" s="850"/>
      <c r="D130" s="282"/>
      <c r="E130" s="833"/>
    </row>
    <row r="131" spans="1:5" x14ac:dyDescent="0.35">
      <c r="A131" s="281"/>
      <c r="B131" s="279"/>
      <c r="C131" s="850"/>
      <c r="D131" s="282"/>
      <c r="E131" s="833"/>
    </row>
    <row r="132" spans="1:5" x14ac:dyDescent="0.35">
      <c r="A132" s="281"/>
      <c r="B132" s="279"/>
      <c r="C132" s="850"/>
      <c r="D132" s="282"/>
      <c r="E132" s="833"/>
    </row>
    <row r="133" spans="1:5" x14ac:dyDescent="0.35">
      <c r="A133" s="281"/>
      <c r="B133" s="279"/>
      <c r="C133" s="850"/>
      <c r="D133" s="282"/>
      <c r="E133" s="833"/>
    </row>
    <row r="134" spans="1:5" x14ac:dyDescent="0.35">
      <c r="A134" s="281"/>
      <c r="B134" s="279"/>
      <c r="C134" s="850"/>
      <c r="D134" s="282"/>
      <c r="E134" s="833"/>
    </row>
    <row r="135" spans="1:5" x14ac:dyDescent="0.35">
      <c r="A135" s="281"/>
      <c r="B135" s="279"/>
      <c r="C135" s="850"/>
      <c r="D135" s="282"/>
      <c r="E135" s="833"/>
    </row>
    <row r="136" spans="1:5" x14ac:dyDescent="0.35">
      <c r="A136" s="281"/>
      <c r="B136" s="279"/>
      <c r="C136" s="850"/>
      <c r="D136" s="282"/>
      <c r="E136" s="833"/>
    </row>
    <row r="137" spans="1:5" x14ac:dyDescent="0.35">
      <c r="A137" s="281"/>
      <c r="B137" s="279"/>
      <c r="C137" s="850"/>
      <c r="D137" s="282"/>
      <c r="E137" s="833"/>
    </row>
    <row r="138" spans="1:5" x14ac:dyDescent="0.35">
      <c r="A138" s="281"/>
      <c r="B138" s="279"/>
      <c r="C138" s="850"/>
      <c r="D138" s="282"/>
      <c r="E138" s="833"/>
    </row>
    <row r="139" spans="1:5" x14ac:dyDescent="0.35">
      <c r="A139" s="281"/>
      <c r="B139" s="279"/>
      <c r="C139" s="850"/>
      <c r="D139" s="282"/>
      <c r="E139" s="833"/>
    </row>
    <row r="140" spans="1:5" x14ac:dyDescent="0.35">
      <c r="A140" s="281"/>
      <c r="B140" s="279"/>
      <c r="C140" s="850"/>
      <c r="D140" s="282"/>
      <c r="E140" s="833"/>
    </row>
    <row r="141" spans="1:5" x14ac:dyDescent="0.35">
      <c r="A141" s="281"/>
      <c r="B141" s="279"/>
      <c r="C141" s="850"/>
      <c r="D141" s="282"/>
      <c r="E141" s="833"/>
    </row>
    <row r="142" spans="1:5" x14ac:dyDescent="0.35">
      <c r="A142" s="281"/>
      <c r="B142" s="279"/>
      <c r="C142" s="850"/>
      <c r="D142" s="282"/>
      <c r="E142" s="833"/>
    </row>
    <row r="143" spans="1:5" x14ac:dyDescent="0.35">
      <c r="A143" s="281"/>
      <c r="B143" s="279"/>
      <c r="C143" s="850"/>
      <c r="D143" s="282"/>
      <c r="E143" s="833"/>
    </row>
    <row r="144" spans="1:5" x14ac:dyDescent="0.35">
      <c r="A144" s="281"/>
      <c r="B144" s="279"/>
      <c r="C144" s="850"/>
      <c r="D144" s="282"/>
      <c r="E144" s="833"/>
    </row>
    <row r="145" spans="1:5" x14ac:dyDescent="0.35">
      <c r="A145" s="281"/>
      <c r="B145" s="279"/>
      <c r="C145" s="850"/>
      <c r="D145" s="282"/>
      <c r="E145" s="833"/>
    </row>
    <row r="146" spans="1:5" x14ac:dyDescent="0.35">
      <c r="A146" s="281"/>
      <c r="B146" s="279"/>
      <c r="C146" s="850"/>
      <c r="D146" s="282"/>
      <c r="E146" s="833"/>
    </row>
    <row r="147" spans="1:5" x14ac:dyDescent="0.35">
      <c r="A147" s="281"/>
      <c r="B147" s="279"/>
      <c r="C147" s="850"/>
      <c r="D147" s="282"/>
      <c r="E147" s="833"/>
    </row>
    <row r="148" spans="1:5" x14ac:dyDescent="0.35">
      <c r="A148" s="281"/>
      <c r="B148" s="279"/>
      <c r="C148" s="850"/>
      <c r="D148" s="282"/>
      <c r="E148" s="833"/>
    </row>
    <row r="149" spans="1:5" x14ac:dyDescent="0.35">
      <c r="A149" s="281"/>
      <c r="B149" s="279"/>
      <c r="C149" s="850"/>
      <c r="D149" s="282"/>
      <c r="E149" s="833"/>
    </row>
    <row r="150" spans="1:5" x14ac:dyDescent="0.35">
      <c r="A150" s="281"/>
      <c r="B150" s="279"/>
      <c r="C150" s="850"/>
      <c r="D150" s="282"/>
      <c r="E150" s="833"/>
    </row>
    <row r="151" spans="1:5" x14ac:dyDescent="0.35">
      <c r="A151" s="281"/>
      <c r="B151" s="279"/>
      <c r="C151" s="850"/>
      <c r="D151" s="282"/>
      <c r="E151" s="833"/>
    </row>
    <row r="152" spans="1:5" x14ac:dyDescent="0.35">
      <c r="A152" s="281"/>
      <c r="B152" s="279"/>
      <c r="C152" s="850"/>
      <c r="D152" s="282"/>
      <c r="E152" s="833"/>
    </row>
    <row r="153" spans="1:5" x14ac:dyDescent="0.35">
      <c r="A153" s="281"/>
      <c r="B153" s="279"/>
      <c r="C153" s="850"/>
      <c r="D153" s="282"/>
      <c r="E153" s="833"/>
    </row>
    <row r="154" spans="1:5" x14ac:dyDescent="0.35">
      <c r="A154" s="281"/>
      <c r="B154" s="279"/>
      <c r="C154" s="850"/>
      <c r="D154" s="282"/>
      <c r="E154" s="833"/>
    </row>
    <row r="155" spans="1:5" x14ac:dyDescent="0.35">
      <c r="A155" s="281"/>
      <c r="B155" s="279"/>
      <c r="C155" s="850"/>
      <c r="D155" s="282"/>
      <c r="E155" s="833"/>
    </row>
    <row r="156" spans="1:5" x14ac:dyDescent="0.35">
      <c r="A156" s="281"/>
      <c r="B156" s="279"/>
      <c r="C156" s="850"/>
      <c r="D156" s="282"/>
      <c r="E156" s="833"/>
    </row>
    <row r="157" spans="1:5" x14ac:dyDescent="0.35">
      <c r="A157" s="281"/>
      <c r="B157" s="279"/>
      <c r="C157" s="850"/>
      <c r="D157" s="282"/>
      <c r="E157" s="833"/>
    </row>
    <row r="158" spans="1:5" x14ac:dyDescent="0.35">
      <c r="A158" s="281"/>
      <c r="B158" s="279"/>
      <c r="C158" s="850"/>
      <c r="D158" s="282"/>
      <c r="E158" s="833"/>
    </row>
    <row r="159" spans="1:5" x14ac:dyDescent="0.35">
      <c r="A159" s="281"/>
      <c r="B159" s="279"/>
      <c r="C159" s="850"/>
      <c r="D159" s="282"/>
      <c r="E159" s="833"/>
    </row>
    <row r="160" spans="1:5" x14ac:dyDescent="0.35">
      <c r="A160" s="281"/>
      <c r="B160" s="279"/>
      <c r="C160" s="850"/>
      <c r="D160" s="282"/>
      <c r="E160" s="833"/>
    </row>
    <row r="161" spans="1:5" x14ac:dyDescent="0.35">
      <c r="A161" s="281"/>
      <c r="B161" s="279"/>
      <c r="C161" s="850"/>
      <c r="D161" s="282"/>
      <c r="E161" s="833"/>
    </row>
    <row r="162" spans="1:5" x14ac:dyDescent="0.35">
      <c r="A162" s="281"/>
      <c r="B162" s="279"/>
      <c r="C162" s="850"/>
      <c r="D162" s="282"/>
      <c r="E162" s="833"/>
    </row>
    <row r="163" spans="1:5" x14ac:dyDescent="0.35">
      <c r="A163" s="281"/>
      <c r="B163" s="279"/>
      <c r="C163" s="850"/>
      <c r="D163" s="282"/>
      <c r="E163" s="833"/>
    </row>
    <row r="164" spans="1:5" x14ac:dyDescent="0.35">
      <c r="A164" s="281"/>
      <c r="B164" s="279"/>
      <c r="C164" s="850"/>
      <c r="D164" s="282"/>
      <c r="E164" s="833"/>
    </row>
    <row r="165" spans="1:5" x14ac:dyDescent="0.35">
      <c r="A165" s="281"/>
      <c r="B165" s="279"/>
      <c r="C165" s="850"/>
      <c r="D165" s="282"/>
      <c r="E165" s="833"/>
    </row>
    <row r="166" spans="1:5" x14ac:dyDescent="0.35">
      <c r="A166" s="281"/>
      <c r="B166" s="279"/>
      <c r="C166" s="850"/>
      <c r="D166" s="282"/>
      <c r="E166" s="833"/>
    </row>
    <row r="167" spans="1:5" x14ac:dyDescent="0.35">
      <c r="A167" s="281"/>
      <c r="B167" s="279"/>
      <c r="C167" s="850"/>
      <c r="D167" s="282"/>
      <c r="E167" s="833"/>
    </row>
    <row r="168" spans="1:5" x14ac:dyDescent="0.35">
      <c r="A168" s="281"/>
      <c r="B168" s="279"/>
      <c r="C168" s="850"/>
      <c r="D168" s="282"/>
      <c r="E168" s="833"/>
    </row>
    <row r="169" spans="1:5" x14ac:dyDescent="0.35">
      <c r="A169" s="281"/>
      <c r="B169" s="279"/>
      <c r="C169" s="850"/>
      <c r="D169" s="282"/>
      <c r="E169" s="833"/>
    </row>
    <row r="170" spans="1:5" x14ac:dyDescent="0.35">
      <c r="A170" s="281"/>
      <c r="B170" s="279"/>
      <c r="C170" s="850"/>
      <c r="D170" s="282"/>
      <c r="E170" s="833"/>
    </row>
    <row r="171" spans="1:5" x14ac:dyDescent="0.35">
      <c r="A171" s="281"/>
      <c r="B171" s="279"/>
      <c r="C171" s="850"/>
      <c r="D171" s="282"/>
      <c r="E171" s="833"/>
    </row>
    <row r="172" spans="1:5" x14ac:dyDescent="0.35">
      <c r="A172" s="281"/>
      <c r="B172" s="279"/>
      <c r="C172" s="850"/>
      <c r="D172" s="282"/>
      <c r="E172" s="833"/>
    </row>
    <row r="173" spans="1:5" x14ac:dyDescent="0.35">
      <c r="A173" s="281"/>
      <c r="B173" s="279"/>
      <c r="C173" s="850"/>
      <c r="D173" s="282"/>
      <c r="E173" s="833"/>
    </row>
    <row r="174" spans="1:5" x14ac:dyDescent="0.35">
      <c r="A174" s="281"/>
      <c r="B174" s="279"/>
      <c r="C174" s="850"/>
      <c r="D174" s="282"/>
      <c r="E174" s="833"/>
    </row>
    <row r="175" spans="1:5" x14ac:dyDescent="0.35">
      <c r="A175" s="281"/>
      <c r="B175" s="279"/>
      <c r="C175" s="850"/>
      <c r="D175" s="282"/>
      <c r="E175" s="833"/>
    </row>
    <row r="176" spans="1:5" x14ac:dyDescent="0.35">
      <c r="A176" s="281"/>
      <c r="B176" s="279"/>
      <c r="C176" s="850"/>
      <c r="D176" s="282"/>
      <c r="E176" s="833"/>
    </row>
    <row r="177" spans="1:5" x14ac:dyDescent="0.35">
      <c r="A177" s="281"/>
      <c r="B177" s="279"/>
      <c r="C177" s="850"/>
      <c r="D177" s="282"/>
      <c r="E177" s="833"/>
    </row>
    <row r="178" spans="1:5" x14ac:dyDescent="0.35">
      <c r="A178" s="281"/>
      <c r="B178" s="279"/>
      <c r="C178" s="850"/>
      <c r="D178" s="282"/>
      <c r="E178" s="833"/>
    </row>
    <row r="179" spans="1:5" x14ac:dyDescent="0.35">
      <c r="A179" s="281"/>
      <c r="B179" s="279"/>
      <c r="C179" s="850"/>
      <c r="D179" s="282"/>
      <c r="E179" s="833"/>
    </row>
    <row r="180" spans="1:5" x14ac:dyDescent="0.35">
      <c r="A180" s="281"/>
      <c r="B180" s="279"/>
      <c r="C180" s="850"/>
      <c r="D180" s="282"/>
      <c r="E180" s="833"/>
    </row>
    <row r="181" spans="1:5" x14ac:dyDescent="0.35">
      <c r="A181" s="281"/>
      <c r="B181" s="279"/>
      <c r="C181" s="850"/>
      <c r="D181" s="282"/>
      <c r="E181" s="833"/>
    </row>
    <row r="182" spans="1:5" x14ac:dyDescent="0.35">
      <c r="A182" s="281"/>
      <c r="B182" s="279"/>
      <c r="C182" s="850"/>
      <c r="D182" s="282"/>
      <c r="E182" s="833"/>
    </row>
    <row r="183" spans="1:5" x14ac:dyDescent="0.35">
      <c r="A183" s="281"/>
      <c r="B183" s="279"/>
      <c r="C183" s="850"/>
      <c r="D183" s="282"/>
      <c r="E183" s="833"/>
    </row>
    <row r="184" spans="1:5" x14ac:dyDescent="0.35">
      <c r="A184" s="281"/>
      <c r="B184" s="279"/>
      <c r="C184" s="850"/>
      <c r="D184" s="282"/>
      <c r="E184" s="833"/>
    </row>
    <row r="185" spans="1:5" x14ac:dyDescent="0.35">
      <c r="A185" s="281"/>
      <c r="B185" s="279"/>
      <c r="C185" s="850"/>
      <c r="D185" s="282"/>
      <c r="E185" s="833"/>
    </row>
    <row r="186" spans="1:5" x14ac:dyDescent="0.35">
      <c r="A186" s="281"/>
      <c r="B186" s="279"/>
      <c r="C186" s="850"/>
      <c r="D186" s="282"/>
      <c r="E186" s="833"/>
    </row>
    <row r="187" spans="1:5" x14ac:dyDescent="0.35">
      <c r="A187" s="281"/>
      <c r="B187" s="279"/>
      <c r="C187" s="850"/>
      <c r="D187" s="282"/>
      <c r="E187" s="833"/>
    </row>
    <row r="188" spans="1:5" x14ac:dyDescent="0.35">
      <c r="A188" s="281"/>
      <c r="B188" s="279"/>
      <c r="C188" s="850"/>
      <c r="D188" s="282"/>
      <c r="E188" s="833"/>
    </row>
    <row r="189" spans="1:5" x14ac:dyDescent="0.35">
      <c r="A189" s="281"/>
      <c r="B189" s="279"/>
      <c r="C189" s="850"/>
      <c r="D189" s="282"/>
      <c r="E189" s="833"/>
    </row>
    <row r="190" spans="1:5" x14ac:dyDescent="0.35">
      <c r="A190" s="281"/>
      <c r="B190" s="279"/>
      <c r="C190" s="850"/>
      <c r="D190" s="282"/>
      <c r="E190" s="833"/>
    </row>
    <row r="191" spans="1:5" x14ac:dyDescent="0.35">
      <c r="A191" s="281"/>
      <c r="B191" s="279"/>
      <c r="C191" s="850"/>
      <c r="D191" s="282"/>
      <c r="E191" s="833"/>
    </row>
    <row r="192" spans="1:5" x14ac:dyDescent="0.35">
      <c r="A192" s="281"/>
      <c r="B192" s="279"/>
      <c r="C192" s="850"/>
      <c r="D192" s="282"/>
      <c r="E192" s="833"/>
    </row>
    <row r="193" spans="1:5" x14ac:dyDescent="0.35">
      <c r="A193" s="281"/>
      <c r="B193" s="279"/>
      <c r="C193" s="850"/>
      <c r="D193" s="282"/>
      <c r="E193" s="833"/>
    </row>
    <row r="194" spans="1:5" x14ac:dyDescent="0.35">
      <c r="A194" s="281"/>
      <c r="B194" s="279"/>
      <c r="C194" s="850"/>
      <c r="D194" s="282"/>
      <c r="E194" s="833"/>
    </row>
    <row r="195" spans="1:5" x14ac:dyDescent="0.35">
      <c r="A195" s="281"/>
      <c r="B195" s="279"/>
      <c r="C195" s="850"/>
      <c r="D195" s="282"/>
      <c r="E195" s="833"/>
    </row>
    <row r="196" spans="1:5" x14ac:dyDescent="0.35">
      <c r="A196" s="281"/>
      <c r="B196" s="279"/>
      <c r="C196" s="850"/>
      <c r="D196" s="282"/>
      <c r="E196" s="833"/>
    </row>
    <row r="197" spans="1:5" x14ac:dyDescent="0.35">
      <c r="A197" s="281"/>
      <c r="B197" s="279"/>
      <c r="C197" s="850"/>
      <c r="D197" s="282"/>
      <c r="E197" s="833"/>
    </row>
    <row r="198" spans="1:5" x14ac:dyDescent="0.35">
      <c r="A198" s="281"/>
      <c r="B198" s="279"/>
      <c r="C198" s="850"/>
      <c r="D198" s="282"/>
      <c r="E198" s="833"/>
    </row>
    <row r="199" spans="1:5" x14ac:dyDescent="0.35">
      <c r="A199" s="281"/>
      <c r="B199" s="279"/>
      <c r="C199" s="850"/>
      <c r="D199" s="282"/>
      <c r="E199" s="833"/>
    </row>
    <row r="200" spans="1:5" x14ac:dyDescent="0.35">
      <c r="A200" s="281"/>
      <c r="B200" s="279"/>
      <c r="C200" s="850"/>
      <c r="D200" s="282"/>
      <c r="E200" s="833"/>
    </row>
    <row r="201" spans="1:5" x14ac:dyDescent="0.35">
      <c r="A201" s="281"/>
      <c r="B201" s="279"/>
      <c r="C201" s="850"/>
      <c r="D201" s="282"/>
      <c r="E201" s="833"/>
    </row>
    <row r="202" spans="1:5" x14ac:dyDescent="0.35">
      <c r="A202" s="281"/>
      <c r="B202" s="279"/>
      <c r="C202" s="850"/>
      <c r="D202" s="282"/>
      <c r="E202" s="833"/>
    </row>
    <row r="203" spans="1:5" x14ac:dyDescent="0.35">
      <c r="A203" s="281"/>
      <c r="B203" s="279"/>
      <c r="C203" s="850"/>
      <c r="D203" s="282"/>
      <c r="E203" s="833"/>
    </row>
    <row r="204" spans="1:5" x14ac:dyDescent="0.35">
      <c r="A204" s="281"/>
      <c r="B204" s="279"/>
      <c r="C204" s="850"/>
      <c r="D204" s="282"/>
      <c r="E204" s="833"/>
    </row>
    <row r="205" spans="1:5" x14ac:dyDescent="0.35">
      <c r="A205" s="281"/>
      <c r="B205" s="279"/>
      <c r="C205" s="850"/>
      <c r="D205" s="282"/>
      <c r="E205" s="833"/>
    </row>
    <row r="206" spans="1:5" x14ac:dyDescent="0.35">
      <c r="A206" s="281"/>
      <c r="B206" s="279"/>
      <c r="C206" s="850"/>
      <c r="D206" s="282"/>
      <c r="E206" s="833"/>
    </row>
    <row r="207" spans="1:5" x14ac:dyDescent="0.35">
      <c r="A207" s="281"/>
      <c r="B207" s="279"/>
      <c r="C207" s="850"/>
      <c r="D207" s="282"/>
      <c r="E207" s="833"/>
    </row>
    <row r="208" spans="1:5" x14ac:dyDescent="0.35">
      <c r="A208" s="281"/>
      <c r="B208" s="279"/>
      <c r="C208" s="850"/>
      <c r="D208" s="282"/>
      <c r="E208" s="833"/>
    </row>
    <row r="209" spans="1:5" x14ac:dyDescent="0.35">
      <c r="A209" s="281"/>
      <c r="B209" s="279"/>
      <c r="C209" s="850"/>
      <c r="D209" s="282"/>
      <c r="E209" s="833"/>
    </row>
    <row r="210" spans="1:5" x14ac:dyDescent="0.35">
      <c r="A210" s="281"/>
      <c r="B210" s="279"/>
      <c r="C210" s="850"/>
      <c r="D210" s="282"/>
      <c r="E210" s="833"/>
    </row>
    <row r="211" spans="1:5" x14ac:dyDescent="0.35">
      <c r="A211" s="281"/>
      <c r="B211" s="279"/>
      <c r="C211" s="850"/>
      <c r="D211" s="282"/>
      <c r="E211" s="833"/>
    </row>
    <row r="212" spans="1:5" x14ac:dyDescent="0.35">
      <c r="A212" s="281"/>
      <c r="B212" s="279"/>
      <c r="C212" s="850"/>
      <c r="D212" s="282"/>
      <c r="E212" s="833"/>
    </row>
    <row r="213" spans="1:5" x14ac:dyDescent="0.35">
      <c r="A213" s="281"/>
      <c r="B213" s="279"/>
      <c r="C213" s="850"/>
      <c r="D213" s="282"/>
      <c r="E213" s="833"/>
    </row>
    <row r="214" spans="1:5" x14ac:dyDescent="0.35">
      <c r="A214" s="281"/>
      <c r="B214" s="279"/>
      <c r="C214" s="850"/>
      <c r="D214" s="282"/>
      <c r="E214" s="833"/>
    </row>
    <row r="215" spans="1:5" x14ac:dyDescent="0.35">
      <c r="A215" s="281"/>
      <c r="B215" s="279"/>
      <c r="C215" s="850"/>
      <c r="D215" s="282"/>
      <c r="E215" s="833"/>
    </row>
    <row r="216" spans="1:5" x14ac:dyDescent="0.35">
      <c r="A216" s="281"/>
      <c r="B216" s="279"/>
      <c r="C216" s="850"/>
      <c r="D216" s="282"/>
      <c r="E216" s="833"/>
    </row>
    <row r="217" spans="1:5" x14ac:dyDescent="0.35">
      <c r="A217" s="281"/>
      <c r="B217" s="279"/>
      <c r="C217" s="850"/>
      <c r="D217" s="282"/>
      <c r="E217" s="833"/>
    </row>
    <row r="218" spans="1:5" x14ac:dyDescent="0.35">
      <c r="A218" s="281"/>
      <c r="B218" s="279"/>
      <c r="C218" s="850"/>
      <c r="D218" s="282"/>
      <c r="E218" s="833"/>
    </row>
    <row r="219" spans="1:5" x14ac:dyDescent="0.35">
      <c r="A219" s="281"/>
      <c r="B219" s="279"/>
      <c r="C219" s="850"/>
      <c r="D219" s="282"/>
      <c r="E219" s="833"/>
    </row>
    <row r="220" spans="1:5" x14ac:dyDescent="0.35">
      <c r="A220" s="281"/>
      <c r="B220" s="279"/>
      <c r="C220" s="850"/>
      <c r="D220" s="282"/>
      <c r="E220" s="833"/>
    </row>
    <row r="221" spans="1:5" x14ac:dyDescent="0.35">
      <c r="A221" s="281"/>
      <c r="B221" s="279"/>
      <c r="C221" s="850"/>
      <c r="D221" s="282"/>
      <c r="E221" s="833"/>
    </row>
    <row r="222" spans="1:5" x14ac:dyDescent="0.35">
      <c r="A222" s="281"/>
      <c r="B222" s="279"/>
      <c r="C222" s="850"/>
      <c r="D222" s="282"/>
      <c r="E222" s="833"/>
    </row>
    <row r="223" spans="1:5" x14ac:dyDescent="0.35">
      <c r="A223" s="281"/>
      <c r="B223" s="279"/>
      <c r="C223" s="850"/>
      <c r="D223" s="282"/>
      <c r="E223" s="833"/>
    </row>
    <row r="224" spans="1:5" x14ac:dyDescent="0.35">
      <c r="A224" s="281"/>
      <c r="B224" s="279"/>
      <c r="C224" s="850"/>
      <c r="D224" s="282"/>
      <c r="E224" s="833"/>
    </row>
    <row r="225" spans="1:5" x14ac:dyDescent="0.35">
      <c r="A225" s="281"/>
      <c r="B225" s="279"/>
      <c r="C225" s="850"/>
      <c r="D225" s="282"/>
      <c r="E225" s="833"/>
    </row>
    <row r="226" spans="1:5" x14ac:dyDescent="0.35">
      <c r="A226" s="281"/>
      <c r="B226" s="279"/>
      <c r="C226" s="850"/>
      <c r="D226" s="282"/>
      <c r="E226" s="833"/>
    </row>
    <row r="227" spans="1:5" x14ac:dyDescent="0.35">
      <c r="A227" s="281"/>
      <c r="B227" s="279"/>
      <c r="C227" s="850"/>
      <c r="D227" s="282"/>
      <c r="E227" s="833"/>
    </row>
    <row r="228" spans="1:5" x14ac:dyDescent="0.35">
      <c r="A228" s="281"/>
      <c r="B228" s="279"/>
      <c r="C228" s="850"/>
      <c r="D228" s="282"/>
      <c r="E228" s="833"/>
    </row>
    <row r="229" spans="1:5" x14ac:dyDescent="0.35">
      <c r="A229" s="281"/>
      <c r="B229" s="279"/>
      <c r="C229" s="850"/>
      <c r="D229" s="282"/>
      <c r="E229" s="833"/>
    </row>
    <row r="230" spans="1:5" x14ac:dyDescent="0.35">
      <c r="A230" s="281"/>
      <c r="B230" s="279"/>
      <c r="C230" s="850"/>
      <c r="D230" s="282"/>
      <c r="E230" s="833"/>
    </row>
    <row r="231" spans="1:5" x14ac:dyDescent="0.35">
      <c r="A231" s="281"/>
      <c r="B231" s="279"/>
      <c r="C231" s="850"/>
      <c r="D231" s="282"/>
      <c r="E231" s="833"/>
    </row>
    <row r="232" spans="1:5" x14ac:dyDescent="0.35">
      <c r="A232" s="281"/>
      <c r="B232" s="279"/>
      <c r="C232" s="850"/>
      <c r="D232" s="282"/>
      <c r="E232" s="833"/>
    </row>
    <row r="233" spans="1:5" x14ac:dyDescent="0.35">
      <c r="A233" s="281"/>
      <c r="B233" s="279"/>
      <c r="C233" s="850"/>
      <c r="D233" s="282"/>
      <c r="E233" s="833"/>
    </row>
    <row r="234" spans="1:5" x14ac:dyDescent="0.35">
      <c r="A234" s="281"/>
      <c r="B234" s="279"/>
      <c r="C234" s="850"/>
      <c r="D234" s="282"/>
      <c r="E234" s="833"/>
    </row>
    <row r="235" spans="1:5" x14ac:dyDescent="0.35">
      <c r="A235" s="281"/>
      <c r="B235" s="279"/>
      <c r="C235" s="850"/>
      <c r="D235" s="282"/>
      <c r="E235" s="833"/>
    </row>
    <row r="236" spans="1:5" x14ac:dyDescent="0.35">
      <c r="A236" s="281"/>
      <c r="B236" s="279"/>
      <c r="C236" s="850"/>
      <c r="D236" s="282"/>
      <c r="E236" s="833"/>
    </row>
    <row r="237" spans="1:5" x14ac:dyDescent="0.35">
      <c r="A237" s="281"/>
      <c r="B237" s="279"/>
      <c r="C237" s="850"/>
      <c r="D237" s="282"/>
      <c r="E237" s="833"/>
    </row>
    <row r="238" spans="1:5" x14ac:dyDescent="0.35">
      <c r="A238" s="281"/>
      <c r="B238" s="279"/>
      <c r="C238" s="850"/>
      <c r="D238" s="282"/>
      <c r="E238" s="833"/>
    </row>
    <row r="239" spans="1:5" x14ac:dyDescent="0.35">
      <c r="A239" s="281"/>
      <c r="B239" s="279"/>
      <c r="C239" s="850"/>
      <c r="D239" s="282"/>
      <c r="E239" s="833"/>
    </row>
    <row r="240" spans="1:5" x14ac:dyDescent="0.35">
      <c r="A240" s="281"/>
      <c r="B240" s="279"/>
      <c r="C240" s="850"/>
      <c r="D240" s="282"/>
      <c r="E240" s="833"/>
    </row>
    <row r="241" spans="1:5" x14ac:dyDescent="0.35">
      <c r="A241" s="281"/>
      <c r="B241" s="279"/>
      <c r="C241" s="850"/>
      <c r="D241" s="282"/>
      <c r="E241" s="833"/>
    </row>
    <row r="242" spans="1:5" x14ac:dyDescent="0.35">
      <c r="A242" s="281"/>
      <c r="B242" s="279"/>
      <c r="C242" s="850"/>
      <c r="D242" s="282"/>
      <c r="E242" s="833"/>
    </row>
    <row r="243" spans="1:5" x14ac:dyDescent="0.35">
      <c r="A243" s="281"/>
      <c r="B243" s="279"/>
      <c r="C243" s="850"/>
      <c r="D243" s="282"/>
      <c r="E243" s="833"/>
    </row>
    <row r="244" spans="1:5" x14ac:dyDescent="0.35">
      <c r="A244" s="281"/>
      <c r="B244" s="279"/>
      <c r="C244" s="850"/>
      <c r="D244" s="282"/>
      <c r="E244" s="833"/>
    </row>
    <row r="245" spans="1:5" x14ac:dyDescent="0.35">
      <c r="A245" s="281"/>
      <c r="B245" s="279"/>
      <c r="C245" s="850"/>
      <c r="D245" s="282"/>
      <c r="E245" s="833"/>
    </row>
    <row r="246" spans="1:5" x14ac:dyDescent="0.35">
      <c r="A246" s="281"/>
      <c r="B246" s="279"/>
      <c r="C246" s="850"/>
      <c r="D246" s="282"/>
      <c r="E246" s="833"/>
    </row>
    <row r="247" spans="1:5" x14ac:dyDescent="0.35">
      <c r="A247" s="281"/>
      <c r="B247" s="279"/>
      <c r="C247" s="850"/>
      <c r="D247" s="282"/>
      <c r="E247" s="833"/>
    </row>
    <row r="248" spans="1:5" x14ac:dyDescent="0.35">
      <c r="A248" s="281"/>
      <c r="B248" s="279"/>
      <c r="C248" s="850"/>
      <c r="D248" s="282"/>
      <c r="E248" s="833"/>
    </row>
    <row r="249" spans="1:5" x14ac:dyDescent="0.35">
      <c r="A249" s="281"/>
      <c r="B249" s="279"/>
      <c r="C249" s="850"/>
      <c r="D249" s="282"/>
      <c r="E249" s="833"/>
    </row>
    <row r="250" spans="1:5" x14ac:dyDescent="0.35">
      <c r="A250" s="281"/>
      <c r="B250" s="279"/>
      <c r="C250" s="850"/>
      <c r="D250" s="282"/>
      <c r="E250" s="833"/>
    </row>
    <row r="251" spans="1:5" x14ac:dyDescent="0.35">
      <c r="A251" s="281"/>
      <c r="B251" s="279"/>
      <c r="C251" s="850"/>
      <c r="D251" s="282"/>
      <c r="E251" s="833"/>
    </row>
    <row r="252" spans="1:5" x14ac:dyDescent="0.35">
      <c r="A252" s="281"/>
      <c r="B252" s="279"/>
      <c r="C252" s="850"/>
      <c r="D252" s="282"/>
      <c r="E252" s="833"/>
    </row>
    <row r="253" spans="1:5" x14ac:dyDescent="0.35">
      <c r="A253" s="281"/>
      <c r="B253" s="279"/>
      <c r="C253" s="850"/>
      <c r="D253" s="282"/>
      <c r="E253" s="833"/>
    </row>
    <row r="254" spans="1:5" x14ac:dyDescent="0.35">
      <c r="A254" s="281"/>
      <c r="B254" s="279"/>
      <c r="C254" s="850"/>
      <c r="D254" s="282"/>
      <c r="E254" s="833"/>
    </row>
    <row r="255" spans="1:5" x14ac:dyDescent="0.35">
      <c r="A255" s="281"/>
      <c r="B255" s="279"/>
      <c r="C255" s="850"/>
      <c r="D255" s="282"/>
      <c r="E255" s="833"/>
    </row>
    <row r="256" spans="1:5" x14ac:dyDescent="0.35">
      <c r="A256" s="281"/>
      <c r="B256" s="279"/>
      <c r="C256" s="850"/>
      <c r="D256" s="282"/>
      <c r="E256" s="833"/>
    </row>
    <row r="257" spans="1:5" x14ac:dyDescent="0.35">
      <c r="A257" s="281"/>
      <c r="B257" s="279"/>
      <c r="C257" s="850"/>
      <c r="D257" s="282"/>
      <c r="E257" s="833"/>
    </row>
    <row r="258" spans="1:5" x14ac:dyDescent="0.35">
      <c r="A258" s="281"/>
      <c r="B258" s="279"/>
      <c r="C258" s="850"/>
      <c r="D258" s="282"/>
      <c r="E258" s="833"/>
    </row>
    <row r="259" spans="1:5" x14ac:dyDescent="0.35">
      <c r="A259" s="281"/>
      <c r="B259" s="279"/>
      <c r="C259" s="850"/>
      <c r="D259" s="282"/>
      <c r="E259" s="833"/>
    </row>
    <row r="260" spans="1:5" x14ac:dyDescent="0.35">
      <c r="A260" s="281"/>
      <c r="B260" s="279"/>
      <c r="C260" s="850"/>
      <c r="D260" s="282"/>
      <c r="E260" s="833"/>
    </row>
    <row r="261" spans="1:5" x14ac:dyDescent="0.35">
      <c r="A261" s="281"/>
      <c r="B261" s="279"/>
      <c r="C261" s="850"/>
      <c r="D261" s="282"/>
      <c r="E261" s="833"/>
    </row>
    <row r="262" spans="1:5" x14ac:dyDescent="0.35">
      <c r="A262" s="281"/>
      <c r="B262" s="279"/>
      <c r="C262" s="850"/>
      <c r="D262" s="282"/>
      <c r="E262" s="833"/>
    </row>
    <row r="263" spans="1:5" x14ac:dyDescent="0.35">
      <c r="A263" s="281"/>
      <c r="B263" s="279"/>
      <c r="C263" s="850"/>
      <c r="D263" s="282"/>
      <c r="E263" s="833"/>
    </row>
    <row r="264" spans="1:5" x14ac:dyDescent="0.35">
      <c r="A264" s="281"/>
      <c r="B264" s="279"/>
      <c r="C264" s="850"/>
      <c r="D264" s="282"/>
      <c r="E264" s="833"/>
    </row>
    <row r="265" spans="1:5" x14ac:dyDescent="0.35">
      <c r="A265" s="281"/>
      <c r="B265" s="279"/>
      <c r="C265" s="850"/>
      <c r="D265" s="282"/>
      <c r="E265" s="833"/>
    </row>
    <row r="266" spans="1:5" x14ac:dyDescent="0.35">
      <c r="A266" s="281"/>
      <c r="B266" s="279"/>
      <c r="C266" s="850"/>
      <c r="D266" s="282"/>
      <c r="E266" s="833"/>
    </row>
    <row r="267" spans="1:5" x14ac:dyDescent="0.35">
      <c r="A267" s="281"/>
      <c r="B267" s="279"/>
      <c r="C267" s="850"/>
      <c r="D267" s="282"/>
      <c r="E267" s="833"/>
    </row>
    <row r="268" spans="1:5" x14ac:dyDescent="0.35">
      <c r="A268" s="281"/>
      <c r="B268" s="279"/>
      <c r="C268" s="850"/>
      <c r="D268" s="282"/>
      <c r="E268" s="833"/>
    </row>
    <row r="269" spans="1:5" x14ac:dyDescent="0.35">
      <c r="A269" s="281"/>
      <c r="B269" s="279"/>
      <c r="C269" s="850"/>
      <c r="D269" s="282"/>
      <c r="E269" s="833"/>
    </row>
    <row r="270" spans="1:5" x14ac:dyDescent="0.35">
      <c r="A270" s="281"/>
      <c r="B270" s="279"/>
      <c r="C270" s="850"/>
      <c r="D270" s="282"/>
      <c r="E270" s="833"/>
    </row>
    <row r="271" spans="1:5" x14ac:dyDescent="0.35">
      <c r="A271" s="281"/>
      <c r="B271" s="279"/>
      <c r="C271" s="850"/>
      <c r="D271" s="282"/>
      <c r="E271" s="833"/>
    </row>
    <row r="272" spans="1:5" x14ac:dyDescent="0.35">
      <c r="A272" s="281"/>
      <c r="B272" s="279"/>
      <c r="C272" s="850"/>
      <c r="D272" s="282"/>
      <c r="E272" s="833"/>
    </row>
    <row r="273" spans="1:5" x14ac:dyDescent="0.35">
      <c r="A273" s="281"/>
      <c r="B273" s="279"/>
      <c r="C273" s="850"/>
      <c r="D273" s="282"/>
      <c r="E273" s="833"/>
    </row>
    <row r="274" spans="1:5" x14ac:dyDescent="0.35">
      <c r="A274" s="281"/>
      <c r="B274" s="279"/>
      <c r="C274" s="850"/>
      <c r="D274" s="282"/>
      <c r="E274" s="833"/>
    </row>
    <row r="275" spans="1:5" x14ac:dyDescent="0.35">
      <c r="A275" s="281"/>
      <c r="B275" s="279"/>
      <c r="C275" s="850"/>
      <c r="D275" s="282"/>
      <c r="E275" s="833"/>
    </row>
    <row r="276" spans="1:5" x14ac:dyDescent="0.35">
      <c r="A276" s="281"/>
      <c r="B276" s="279"/>
      <c r="C276" s="850"/>
      <c r="D276" s="282"/>
      <c r="E276" s="833"/>
    </row>
    <row r="277" spans="1:5" x14ac:dyDescent="0.35">
      <c r="A277" s="281"/>
      <c r="B277" s="279"/>
      <c r="C277" s="850"/>
      <c r="D277" s="282"/>
      <c r="E277" s="833"/>
    </row>
    <row r="278" spans="1:5" x14ac:dyDescent="0.35">
      <c r="A278" s="281"/>
      <c r="B278" s="279"/>
      <c r="C278" s="850"/>
      <c r="D278" s="282"/>
      <c r="E278" s="833"/>
    </row>
    <row r="279" spans="1:5" x14ac:dyDescent="0.35">
      <c r="A279" s="281"/>
      <c r="B279" s="279"/>
      <c r="C279" s="850"/>
      <c r="D279" s="282"/>
      <c r="E279" s="833"/>
    </row>
    <row r="280" spans="1:5" x14ac:dyDescent="0.35">
      <c r="A280" s="281"/>
      <c r="B280" s="279"/>
      <c r="C280" s="850"/>
      <c r="D280" s="282"/>
      <c r="E280" s="833"/>
    </row>
    <row r="281" spans="1:5" x14ac:dyDescent="0.35">
      <c r="A281" s="281"/>
      <c r="B281" s="279"/>
      <c r="C281" s="850"/>
      <c r="D281" s="282"/>
      <c r="E281" s="833"/>
    </row>
    <row r="282" spans="1:5" x14ac:dyDescent="0.35">
      <c r="A282" s="281"/>
      <c r="B282" s="279"/>
      <c r="C282" s="850"/>
      <c r="D282" s="282"/>
      <c r="E282" s="833"/>
    </row>
    <row r="283" spans="1:5" x14ac:dyDescent="0.35">
      <c r="A283" s="281"/>
      <c r="B283" s="279"/>
      <c r="C283" s="850"/>
      <c r="D283" s="282"/>
      <c r="E283" s="833"/>
    </row>
    <row r="284" spans="1:5" x14ac:dyDescent="0.35">
      <c r="A284" s="281"/>
      <c r="B284" s="279"/>
      <c r="C284" s="850"/>
      <c r="D284" s="282"/>
      <c r="E284" s="833"/>
    </row>
    <row r="285" spans="1:5" x14ac:dyDescent="0.35">
      <c r="A285" s="281"/>
      <c r="B285" s="279"/>
      <c r="C285" s="850"/>
      <c r="D285" s="282"/>
      <c r="E285" s="833"/>
    </row>
    <row r="286" spans="1:5" x14ac:dyDescent="0.35">
      <c r="A286" s="281"/>
      <c r="B286" s="279"/>
      <c r="C286" s="850"/>
      <c r="D286" s="282"/>
      <c r="E286" s="833"/>
    </row>
    <row r="287" spans="1:5" x14ac:dyDescent="0.35">
      <c r="A287" s="281"/>
      <c r="B287" s="279"/>
      <c r="C287" s="850"/>
      <c r="D287" s="282"/>
      <c r="E287" s="833"/>
    </row>
    <row r="288" spans="1:5" x14ac:dyDescent="0.35">
      <c r="A288" s="281"/>
      <c r="B288" s="279"/>
      <c r="C288" s="850"/>
      <c r="D288" s="282"/>
      <c r="E288" s="833"/>
    </row>
    <row r="289" spans="1:5" x14ac:dyDescent="0.35">
      <c r="A289" s="281"/>
      <c r="B289" s="279"/>
      <c r="C289" s="850"/>
      <c r="D289" s="282"/>
      <c r="E289" s="833"/>
    </row>
    <row r="290" spans="1:5" x14ac:dyDescent="0.35">
      <c r="A290" s="281"/>
      <c r="B290" s="279"/>
      <c r="C290" s="850"/>
      <c r="D290" s="282"/>
      <c r="E290" s="833"/>
    </row>
    <row r="291" spans="1:5" x14ac:dyDescent="0.35">
      <c r="A291" s="281"/>
      <c r="B291" s="279"/>
      <c r="C291" s="850"/>
      <c r="D291" s="282"/>
      <c r="E291" s="833"/>
    </row>
    <row r="292" spans="1:5" x14ac:dyDescent="0.35">
      <c r="A292" s="281"/>
      <c r="B292" s="279"/>
      <c r="C292" s="850"/>
      <c r="D292" s="282"/>
      <c r="E292" s="833"/>
    </row>
    <row r="293" spans="1:5" x14ac:dyDescent="0.35">
      <c r="A293" s="281"/>
      <c r="B293" s="279"/>
      <c r="C293" s="850"/>
      <c r="D293" s="282"/>
      <c r="E293" s="833"/>
    </row>
    <row r="294" spans="1:5" x14ac:dyDescent="0.35">
      <c r="A294" s="281"/>
      <c r="B294" s="279"/>
      <c r="C294" s="850"/>
      <c r="D294" s="282"/>
      <c r="E294" s="833"/>
    </row>
    <row r="295" spans="1:5" x14ac:dyDescent="0.35">
      <c r="A295" s="281"/>
      <c r="B295" s="279"/>
      <c r="C295" s="850"/>
      <c r="D295" s="282"/>
      <c r="E295" s="833"/>
    </row>
    <row r="296" spans="1:5" x14ac:dyDescent="0.35">
      <c r="A296" s="281"/>
      <c r="B296" s="279"/>
      <c r="C296" s="850"/>
      <c r="D296" s="282"/>
      <c r="E296" s="833"/>
    </row>
    <row r="297" spans="1:5" x14ac:dyDescent="0.35">
      <c r="A297" s="281"/>
      <c r="B297" s="279"/>
      <c r="C297" s="850"/>
      <c r="D297" s="282"/>
      <c r="E297" s="833"/>
    </row>
    <row r="298" spans="1:5" x14ac:dyDescent="0.35">
      <c r="A298" s="281"/>
      <c r="B298" s="279"/>
      <c r="C298" s="850"/>
      <c r="D298" s="282"/>
      <c r="E298" s="833"/>
    </row>
    <row r="299" spans="1:5" x14ac:dyDescent="0.35">
      <c r="A299" s="281"/>
      <c r="B299" s="279"/>
      <c r="C299" s="850"/>
      <c r="D299" s="282"/>
      <c r="E299" s="833"/>
    </row>
    <row r="300" spans="1:5" x14ac:dyDescent="0.35">
      <c r="A300" s="281"/>
      <c r="B300" s="279"/>
      <c r="C300" s="850"/>
      <c r="D300" s="282"/>
      <c r="E300" s="833"/>
    </row>
    <row r="301" spans="1:5" x14ac:dyDescent="0.35">
      <c r="A301" s="281"/>
      <c r="B301" s="279"/>
      <c r="C301" s="850"/>
      <c r="D301" s="282"/>
      <c r="E301" s="833"/>
    </row>
    <row r="302" spans="1:5" x14ac:dyDescent="0.35">
      <c r="A302" s="281"/>
      <c r="B302" s="279"/>
      <c r="C302" s="850"/>
      <c r="D302" s="282"/>
      <c r="E302" s="833"/>
    </row>
    <row r="303" spans="1:5" x14ac:dyDescent="0.35">
      <c r="A303" s="281"/>
      <c r="B303" s="279"/>
      <c r="C303" s="850"/>
      <c r="D303" s="282"/>
      <c r="E303" s="833"/>
    </row>
    <row r="304" spans="1:5" x14ac:dyDescent="0.35">
      <c r="A304" s="281"/>
      <c r="B304" s="279"/>
      <c r="C304" s="850"/>
      <c r="D304" s="282"/>
      <c r="E304" s="833"/>
    </row>
    <row r="305" spans="1:5" x14ac:dyDescent="0.35">
      <c r="A305" s="281"/>
      <c r="B305" s="279"/>
      <c r="C305" s="850"/>
      <c r="D305" s="282"/>
      <c r="E305" s="833"/>
    </row>
    <row r="306" spans="1:5" x14ac:dyDescent="0.35">
      <c r="A306" s="281"/>
      <c r="B306" s="279"/>
      <c r="C306" s="850"/>
      <c r="D306" s="282"/>
      <c r="E306" s="833"/>
    </row>
    <row r="307" spans="1:5" x14ac:dyDescent="0.35">
      <c r="A307" s="281"/>
      <c r="B307" s="279"/>
      <c r="C307" s="850"/>
      <c r="D307" s="282"/>
      <c r="E307" s="833"/>
    </row>
    <row r="308" spans="1:5" x14ac:dyDescent="0.35">
      <c r="A308" s="281"/>
      <c r="B308" s="279"/>
      <c r="C308" s="850"/>
      <c r="D308" s="282"/>
      <c r="E308" s="833"/>
    </row>
    <row r="309" spans="1:5" x14ac:dyDescent="0.35">
      <c r="A309" s="281"/>
      <c r="B309" s="279"/>
      <c r="C309" s="850"/>
      <c r="D309" s="282"/>
      <c r="E309" s="833"/>
    </row>
    <row r="310" spans="1:5" x14ac:dyDescent="0.35">
      <c r="A310" s="281"/>
      <c r="B310" s="279"/>
      <c r="C310" s="850"/>
      <c r="D310" s="282"/>
      <c r="E310" s="833"/>
    </row>
    <row r="311" spans="1:5" x14ac:dyDescent="0.35">
      <c r="A311" s="281"/>
      <c r="B311" s="279"/>
      <c r="C311" s="850"/>
      <c r="D311" s="282"/>
      <c r="E311" s="833"/>
    </row>
    <row r="312" spans="1:5" x14ac:dyDescent="0.35">
      <c r="A312" s="281"/>
      <c r="B312" s="279"/>
      <c r="C312" s="850"/>
      <c r="D312" s="282"/>
      <c r="E312" s="833"/>
    </row>
    <row r="313" spans="1:5" x14ac:dyDescent="0.35">
      <c r="A313" s="281"/>
      <c r="B313" s="279"/>
      <c r="C313" s="850"/>
      <c r="D313" s="282"/>
      <c r="E313" s="833"/>
    </row>
    <row r="314" spans="1:5" x14ac:dyDescent="0.35">
      <c r="A314" s="281"/>
      <c r="B314" s="279"/>
      <c r="C314" s="850"/>
      <c r="D314" s="282"/>
      <c r="E314" s="833"/>
    </row>
    <row r="315" spans="1:5" x14ac:dyDescent="0.35">
      <c r="A315" s="281"/>
      <c r="B315" s="279"/>
      <c r="C315" s="850"/>
      <c r="D315" s="282"/>
      <c r="E315" s="833"/>
    </row>
    <row r="316" spans="1:5" x14ac:dyDescent="0.35">
      <c r="A316" s="281"/>
      <c r="B316" s="279"/>
      <c r="C316" s="850"/>
      <c r="D316" s="282"/>
      <c r="E316" s="833"/>
    </row>
    <row r="317" spans="1:5" x14ac:dyDescent="0.35">
      <c r="A317" s="281"/>
      <c r="B317" s="279"/>
      <c r="C317" s="850"/>
      <c r="D317" s="282"/>
      <c r="E317" s="833"/>
    </row>
    <row r="318" spans="1:5" x14ac:dyDescent="0.35">
      <c r="A318" s="281"/>
      <c r="B318" s="279"/>
      <c r="C318" s="850"/>
      <c r="D318" s="282"/>
      <c r="E318" s="833"/>
    </row>
    <row r="319" spans="1:5" x14ac:dyDescent="0.35">
      <c r="A319" s="281"/>
      <c r="B319" s="279"/>
      <c r="C319" s="850"/>
      <c r="D319" s="282"/>
      <c r="E319" s="833"/>
    </row>
    <row r="320" spans="1:5" x14ac:dyDescent="0.35">
      <c r="A320" s="281"/>
      <c r="B320" s="279"/>
      <c r="C320" s="850"/>
      <c r="D320" s="282"/>
      <c r="E320" s="833"/>
    </row>
    <row r="321" spans="1:5" x14ac:dyDescent="0.35">
      <c r="A321" s="281"/>
      <c r="B321" s="279"/>
      <c r="C321" s="850"/>
      <c r="D321" s="282"/>
      <c r="E321" s="833"/>
    </row>
    <row r="322" spans="1:5" x14ac:dyDescent="0.35">
      <c r="A322" s="281"/>
      <c r="B322" s="279"/>
      <c r="C322" s="850"/>
      <c r="D322" s="282"/>
      <c r="E322" s="833"/>
    </row>
    <row r="323" spans="1:5" x14ac:dyDescent="0.35">
      <c r="A323" s="281"/>
      <c r="B323" s="279"/>
      <c r="C323" s="850"/>
      <c r="D323" s="282"/>
      <c r="E323" s="833"/>
    </row>
    <row r="324" spans="1:5" x14ac:dyDescent="0.35">
      <c r="A324" s="281"/>
      <c r="B324" s="279"/>
      <c r="C324" s="850"/>
      <c r="D324" s="282"/>
      <c r="E324" s="833"/>
    </row>
    <row r="325" spans="1:5" x14ac:dyDescent="0.35">
      <c r="A325" s="281"/>
      <c r="B325" s="279"/>
      <c r="C325" s="850"/>
      <c r="D325" s="282"/>
      <c r="E325" s="833"/>
    </row>
    <row r="326" spans="1:5" x14ac:dyDescent="0.35">
      <c r="A326" s="281"/>
      <c r="B326" s="279"/>
      <c r="C326" s="850"/>
      <c r="D326" s="282"/>
      <c r="E326" s="833"/>
    </row>
    <row r="327" spans="1:5" x14ac:dyDescent="0.35">
      <c r="A327" s="281"/>
      <c r="B327" s="279"/>
      <c r="C327" s="850"/>
      <c r="D327" s="282"/>
      <c r="E327" s="833"/>
    </row>
    <row r="328" spans="1:5" x14ac:dyDescent="0.35">
      <c r="A328" s="281"/>
      <c r="B328" s="279"/>
      <c r="C328" s="850"/>
      <c r="D328" s="282"/>
      <c r="E328" s="833"/>
    </row>
    <row r="329" spans="1:5" x14ac:dyDescent="0.35">
      <c r="A329" s="281"/>
      <c r="B329" s="279"/>
      <c r="C329" s="850"/>
      <c r="D329" s="282"/>
      <c r="E329" s="833"/>
    </row>
    <row r="330" spans="1:5" x14ac:dyDescent="0.35">
      <c r="A330" s="281"/>
      <c r="B330" s="279"/>
      <c r="C330" s="850"/>
      <c r="D330" s="282"/>
      <c r="E330" s="833"/>
    </row>
    <row r="331" spans="1:5" x14ac:dyDescent="0.35">
      <c r="A331" s="281"/>
      <c r="B331" s="279"/>
      <c r="C331" s="850"/>
      <c r="D331" s="282"/>
      <c r="E331" s="833"/>
    </row>
    <row r="332" spans="1:5" x14ac:dyDescent="0.35">
      <c r="A332" s="281"/>
      <c r="B332" s="279"/>
      <c r="C332" s="850"/>
      <c r="D332" s="282"/>
      <c r="E332" s="833"/>
    </row>
    <row r="333" spans="1:5" x14ac:dyDescent="0.35">
      <c r="A333" s="281"/>
      <c r="B333" s="279"/>
      <c r="C333" s="850"/>
      <c r="D333" s="282"/>
      <c r="E333" s="833"/>
    </row>
    <row r="334" spans="1:5" x14ac:dyDescent="0.35">
      <c r="A334" s="281"/>
      <c r="B334" s="279"/>
      <c r="C334" s="850"/>
      <c r="D334" s="282"/>
      <c r="E334" s="833"/>
    </row>
    <row r="335" spans="1:5" x14ac:dyDescent="0.35">
      <c r="A335" s="281"/>
      <c r="B335" s="279"/>
      <c r="C335" s="850"/>
      <c r="D335" s="282"/>
      <c r="E335" s="833"/>
    </row>
    <row r="336" spans="1:5" x14ac:dyDescent="0.35">
      <c r="A336" s="281"/>
      <c r="B336" s="279"/>
      <c r="C336" s="850"/>
      <c r="D336" s="282"/>
      <c r="E336" s="833"/>
    </row>
    <row r="337" spans="1:5" x14ac:dyDescent="0.35">
      <c r="A337" s="281"/>
      <c r="B337" s="279"/>
      <c r="C337" s="850"/>
      <c r="D337" s="282"/>
      <c r="E337" s="833"/>
    </row>
    <row r="338" spans="1:5" x14ac:dyDescent="0.35">
      <c r="A338" s="281"/>
      <c r="B338" s="279"/>
      <c r="C338" s="850"/>
      <c r="D338" s="282"/>
      <c r="E338" s="833"/>
    </row>
    <row r="339" spans="1:5" x14ac:dyDescent="0.35">
      <c r="A339" s="281"/>
      <c r="B339" s="279"/>
      <c r="C339" s="850"/>
      <c r="D339" s="282"/>
      <c r="E339" s="833"/>
    </row>
    <row r="340" spans="1:5" x14ac:dyDescent="0.35">
      <c r="A340" s="281"/>
      <c r="B340" s="279"/>
      <c r="C340" s="850"/>
      <c r="D340" s="282"/>
      <c r="E340" s="833"/>
    </row>
    <row r="341" spans="1:5" x14ac:dyDescent="0.35">
      <c r="A341" s="281"/>
      <c r="B341" s="279"/>
      <c r="C341" s="850"/>
      <c r="D341" s="282"/>
      <c r="E341" s="833"/>
    </row>
    <row r="342" spans="1:5" x14ac:dyDescent="0.35">
      <c r="A342" s="281"/>
      <c r="B342" s="279"/>
      <c r="C342" s="850"/>
      <c r="D342" s="282"/>
      <c r="E342" s="833"/>
    </row>
    <row r="343" spans="1:5" x14ac:dyDescent="0.35">
      <c r="A343" s="281"/>
      <c r="B343" s="279"/>
      <c r="C343" s="850"/>
      <c r="D343" s="282"/>
      <c r="E343" s="833"/>
    </row>
    <row r="344" spans="1:5" x14ac:dyDescent="0.35">
      <c r="A344" s="281"/>
      <c r="B344" s="279"/>
      <c r="C344" s="850"/>
      <c r="D344" s="282"/>
      <c r="E344" s="833"/>
    </row>
    <row r="345" spans="1:5" x14ac:dyDescent="0.35">
      <c r="A345" s="281"/>
      <c r="B345" s="279"/>
      <c r="C345" s="850"/>
      <c r="D345" s="282"/>
      <c r="E345" s="833"/>
    </row>
    <row r="346" spans="1:5" x14ac:dyDescent="0.35">
      <c r="A346" s="281"/>
      <c r="B346" s="279"/>
      <c r="C346" s="850"/>
      <c r="D346" s="282"/>
      <c r="E346" s="833"/>
    </row>
    <row r="347" spans="1:5" x14ac:dyDescent="0.35">
      <c r="A347" s="281"/>
      <c r="B347" s="279"/>
      <c r="C347" s="850"/>
      <c r="D347" s="282"/>
      <c r="E347" s="833"/>
    </row>
    <row r="348" spans="1:5" x14ac:dyDescent="0.35">
      <c r="A348" s="281"/>
      <c r="B348" s="279"/>
      <c r="C348" s="850"/>
      <c r="D348" s="282"/>
      <c r="E348" s="833"/>
    </row>
    <row r="349" spans="1:5" x14ac:dyDescent="0.35">
      <c r="A349" s="281"/>
      <c r="B349" s="279"/>
      <c r="C349" s="850"/>
      <c r="D349" s="282"/>
      <c r="E349" s="833"/>
    </row>
    <row r="350" spans="1:5" x14ac:dyDescent="0.35">
      <c r="A350" s="281"/>
      <c r="B350" s="279"/>
      <c r="C350" s="850"/>
      <c r="D350" s="282"/>
      <c r="E350" s="833"/>
    </row>
    <row r="351" spans="1:5" x14ac:dyDescent="0.35">
      <c r="A351" s="281"/>
      <c r="B351" s="279"/>
      <c r="C351" s="850"/>
      <c r="D351" s="282"/>
      <c r="E351" s="833"/>
    </row>
    <row r="352" spans="1:5" x14ac:dyDescent="0.35">
      <c r="A352" s="281"/>
      <c r="B352" s="279"/>
      <c r="C352" s="850"/>
      <c r="D352" s="282"/>
      <c r="E352" s="833"/>
    </row>
    <row r="353" spans="1:5" x14ac:dyDescent="0.35">
      <c r="A353" s="281"/>
      <c r="B353" s="279"/>
      <c r="C353" s="850"/>
      <c r="D353" s="282"/>
      <c r="E353" s="833"/>
    </row>
    <row r="354" spans="1:5" x14ac:dyDescent="0.35">
      <c r="A354" s="281"/>
      <c r="B354" s="279"/>
      <c r="C354" s="850"/>
      <c r="D354" s="282"/>
      <c r="E354" s="833"/>
    </row>
    <row r="355" spans="1:5" x14ac:dyDescent="0.35">
      <c r="A355" s="281"/>
      <c r="B355" s="279"/>
      <c r="C355" s="850"/>
      <c r="D355" s="282"/>
      <c r="E355" s="833"/>
    </row>
    <row r="356" spans="1:5" x14ac:dyDescent="0.35">
      <c r="A356" s="281"/>
      <c r="B356" s="279"/>
      <c r="C356" s="850"/>
      <c r="D356" s="282"/>
      <c r="E356" s="833"/>
    </row>
    <row r="357" spans="1:5" x14ac:dyDescent="0.35">
      <c r="A357" s="281"/>
      <c r="B357" s="279"/>
      <c r="C357" s="850"/>
      <c r="D357" s="282"/>
      <c r="E357" s="833"/>
    </row>
    <row r="358" spans="1:5" x14ac:dyDescent="0.35">
      <c r="A358" s="281"/>
      <c r="B358" s="279"/>
      <c r="C358" s="850"/>
      <c r="D358" s="282"/>
      <c r="E358" s="833"/>
    </row>
    <row r="359" spans="1:5" x14ac:dyDescent="0.35">
      <c r="A359" s="281"/>
      <c r="B359" s="279"/>
      <c r="C359" s="850"/>
      <c r="D359" s="282"/>
      <c r="E359" s="833"/>
    </row>
    <row r="360" spans="1:5" x14ac:dyDescent="0.35">
      <c r="A360" s="281"/>
      <c r="B360" s="279"/>
      <c r="C360" s="850"/>
      <c r="D360" s="282"/>
      <c r="E360" s="833"/>
    </row>
    <row r="361" spans="1:5" x14ac:dyDescent="0.35">
      <c r="A361" s="281"/>
      <c r="B361" s="279"/>
      <c r="C361" s="850"/>
      <c r="D361" s="282"/>
      <c r="E361" s="833"/>
    </row>
    <row r="362" spans="1:5" x14ac:dyDescent="0.35">
      <c r="A362" s="281"/>
      <c r="B362" s="279"/>
      <c r="C362" s="850"/>
      <c r="D362" s="282"/>
      <c r="E362" s="833"/>
    </row>
    <row r="363" spans="1:5" x14ac:dyDescent="0.35">
      <c r="A363" s="281"/>
      <c r="B363" s="279"/>
      <c r="C363" s="850"/>
      <c r="D363" s="282"/>
      <c r="E363" s="833"/>
    </row>
    <row r="364" spans="1:5" x14ac:dyDescent="0.35">
      <c r="A364" s="281"/>
      <c r="B364" s="279"/>
      <c r="C364" s="850"/>
      <c r="D364" s="282"/>
      <c r="E364" s="833"/>
    </row>
    <row r="365" spans="1:5" x14ac:dyDescent="0.35">
      <c r="A365" s="281"/>
      <c r="B365" s="279"/>
      <c r="C365" s="850"/>
      <c r="D365" s="282"/>
      <c r="E365" s="833"/>
    </row>
    <row r="366" spans="1:5" x14ac:dyDescent="0.35">
      <c r="A366" s="281"/>
      <c r="B366" s="279"/>
      <c r="C366" s="850"/>
      <c r="D366" s="282"/>
      <c r="E366" s="833"/>
    </row>
    <row r="367" spans="1:5" x14ac:dyDescent="0.35">
      <c r="A367" s="281"/>
      <c r="B367" s="279"/>
      <c r="C367" s="850"/>
      <c r="D367" s="282"/>
      <c r="E367" s="833"/>
    </row>
    <row r="368" spans="1:5" x14ac:dyDescent="0.35">
      <c r="A368" s="281"/>
      <c r="B368" s="279"/>
      <c r="C368" s="850"/>
      <c r="D368" s="282"/>
      <c r="E368" s="833"/>
    </row>
    <row r="369" spans="1:5" x14ac:dyDescent="0.35">
      <c r="A369" s="281"/>
      <c r="B369" s="279"/>
      <c r="C369" s="850"/>
      <c r="D369" s="282"/>
      <c r="E369" s="833"/>
    </row>
    <row r="370" spans="1:5" x14ac:dyDescent="0.35">
      <c r="A370" s="281"/>
      <c r="B370" s="279"/>
      <c r="C370" s="850"/>
      <c r="D370" s="282"/>
      <c r="E370" s="833"/>
    </row>
    <row r="371" spans="1:5" x14ac:dyDescent="0.35">
      <c r="A371" s="281"/>
      <c r="B371" s="279"/>
      <c r="C371" s="850"/>
      <c r="D371" s="282"/>
      <c r="E371" s="833"/>
    </row>
    <row r="372" spans="1:5" x14ac:dyDescent="0.35">
      <c r="A372" s="281"/>
      <c r="B372" s="279"/>
      <c r="C372" s="850"/>
      <c r="D372" s="282"/>
      <c r="E372" s="833"/>
    </row>
    <row r="373" spans="1:5" x14ac:dyDescent="0.35">
      <c r="A373" s="281"/>
      <c r="B373" s="279"/>
      <c r="C373" s="850"/>
      <c r="D373" s="282"/>
      <c r="E373" s="833"/>
    </row>
    <row r="374" spans="1:5" x14ac:dyDescent="0.35">
      <c r="A374" s="281"/>
      <c r="B374" s="279"/>
      <c r="C374" s="850"/>
      <c r="D374" s="282"/>
      <c r="E374" s="833"/>
    </row>
    <row r="375" spans="1:5" x14ac:dyDescent="0.35">
      <c r="A375" s="281"/>
      <c r="B375" s="279"/>
      <c r="C375" s="850"/>
      <c r="D375" s="282"/>
      <c r="E375" s="833"/>
    </row>
    <row r="376" spans="1:5" x14ac:dyDescent="0.35">
      <c r="A376" s="281"/>
      <c r="B376" s="279"/>
      <c r="C376" s="850"/>
      <c r="D376" s="282"/>
      <c r="E376" s="833"/>
    </row>
    <row r="377" spans="1:5" x14ac:dyDescent="0.35">
      <c r="A377" s="281"/>
      <c r="B377" s="279"/>
      <c r="C377" s="850"/>
      <c r="D377" s="282"/>
      <c r="E377" s="833"/>
    </row>
    <row r="378" spans="1:5" x14ac:dyDescent="0.35">
      <c r="A378" s="281"/>
      <c r="B378" s="279"/>
      <c r="C378" s="850"/>
      <c r="D378" s="282"/>
      <c r="E378" s="833"/>
    </row>
    <row r="379" spans="1:5" x14ac:dyDescent="0.35">
      <c r="A379" s="281"/>
      <c r="B379" s="279"/>
      <c r="C379" s="850"/>
      <c r="D379" s="282"/>
      <c r="E379" s="833"/>
    </row>
    <row r="380" spans="1:5" x14ac:dyDescent="0.35">
      <c r="A380" s="281"/>
      <c r="B380" s="279"/>
      <c r="C380" s="850"/>
      <c r="D380" s="282"/>
      <c r="E380" s="833"/>
    </row>
    <row r="381" spans="1:5" x14ac:dyDescent="0.35">
      <c r="A381" s="281"/>
      <c r="B381" s="279"/>
      <c r="C381" s="850"/>
      <c r="D381" s="282"/>
      <c r="E381" s="833"/>
    </row>
    <row r="382" spans="1:5" x14ac:dyDescent="0.35">
      <c r="A382" s="281"/>
      <c r="B382" s="279"/>
      <c r="C382" s="850"/>
      <c r="D382" s="282"/>
      <c r="E382" s="833"/>
    </row>
    <row r="383" spans="1:5" x14ac:dyDescent="0.35">
      <c r="A383" s="281"/>
      <c r="B383" s="279"/>
      <c r="C383" s="850"/>
      <c r="D383" s="282"/>
      <c r="E383" s="833"/>
    </row>
    <row r="384" spans="1:5" x14ac:dyDescent="0.35">
      <c r="A384" s="281"/>
      <c r="B384" s="279"/>
      <c r="C384" s="850"/>
      <c r="D384" s="282"/>
      <c r="E384" s="833"/>
    </row>
    <row r="385" spans="1:5" x14ac:dyDescent="0.35">
      <c r="A385" s="281"/>
      <c r="B385" s="279"/>
      <c r="C385" s="850"/>
      <c r="D385" s="282"/>
      <c r="E385" s="833"/>
    </row>
    <row r="386" spans="1:5" x14ac:dyDescent="0.35">
      <c r="A386" s="281"/>
      <c r="B386" s="279"/>
      <c r="C386" s="850"/>
      <c r="D386" s="282"/>
      <c r="E386" s="833"/>
    </row>
    <row r="387" spans="1:5" x14ac:dyDescent="0.35">
      <c r="A387" s="281"/>
      <c r="B387" s="279"/>
      <c r="C387" s="850"/>
      <c r="D387" s="282"/>
      <c r="E387" s="833"/>
    </row>
    <row r="388" spans="1:5" x14ac:dyDescent="0.35">
      <c r="A388" s="281"/>
      <c r="B388" s="279"/>
      <c r="C388" s="850"/>
      <c r="D388" s="282"/>
      <c r="E388" s="833"/>
    </row>
    <row r="389" spans="1:5" x14ac:dyDescent="0.35">
      <c r="A389" s="281"/>
      <c r="B389" s="279"/>
      <c r="C389" s="850"/>
      <c r="D389" s="282"/>
      <c r="E389" s="833"/>
    </row>
    <row r="390" spans="1:5" x14ac:dyDescent="0.35">
      <c r="A390" s="281"/>
      <c r="B390" s="279"/>
      <c r="C390" s="850"/>
      <c r="D390" s="282"/>
      <c r="E390" s="833"/>
    </row>
    <row r="391" spans="1:5" x14ac:dyDescent="0.35">
      <c r="A391" s="281"/>
      <c r="B391" s="279"/>
      <c r="C391" s="850"/>
      <c r="D391" s="282"/>
      <c r="E391" s="833"/>
    </row>
    <row r="392" spans="1:5" x14ac:dyDescent="0.35">
      <c r="A392" s="281"/>
      <c r="B392" s="279"/>
      <c r="C392" s="850"/>
      <c r="D392" s="282"/>
      <c r="E392" s="833"/>
    </row>
    <row r="393" spans="1:5" x14ac:dyDescent="0.35">
      <c r="A393" s="281"/>
      <c r="B393" s="279"/>
      <c r="C393" s="850"/>
      <c r="D393" s="282"/>
      <c r="E393" s="833"/>
    </row>
    <row r="394" spans="1:5" x14ac:dyDescent="0.35">
      <c r="A394" s="281"/>
      <c r="B394" s="279"/>
      <c r="C394" s="850"/>
      <c r="D394" s="282"/>
      <c r="E394" s="833"/>
    </row>
    <row r="395" spans="1:5" x14ac:dyDescent="0.35">
      <c r="A395" s="281"/>
      <c r="B395" s="279"/>
      <c r="C395" s="850"/>
      <c r="D395" s="282"/>
      <c r="E395" s="833"/>
    </row>
    <row r="396" spans="1:5" x14ac:dyDescent="0.35">
      <c r="A396" s="281"/>
      <c r="B396" s="279"/>
      <c r="C396" s="850"/>
      <c r="D396" s="282"/>
      <c r="E396" s="833"/>
    </row>
    <row r="397" spans="1:5" x14ac:dyDescent="0.35">
      <c r="A397" s="281"/>
      <c r="B397" s="279"/>
      <c r="C397" s="850"/>
      <c r="D397" s="282"/>
      <c r="E397" s="833"/>
    </row>
    <row r="398" spans="1:5" x14ac:dyDescent="0.35">
      <c r="A398" s="281"/>
      <c r="B398" s="279"/>
      <c r="C398" s="850"/>
      <c r="D398" s="282"/>
      <c r="E398" s="833"/>
    </row>
    <row r="399" spans="1:5" x14ac:dyDescent="0.35">
      <c r="A399" s="281"/>
      <c r="B399" s="279"/>
      <c r="C399" s="850"/>
      <c r="D399" s="282"/>
      <c r="E399" s="833"/>
    </row>
    <row r="400" spans="1:5" x14ac:dyDescent="0.35">
      <c r="A400" s="281"/>
      <c r="B400" s="279"/>
      <c r="C400" s="850"/>
      <c r="D400" s="282"/>
      <c r="E400" s="833"/>
    </row>
    <row r="401" spans="1:5" x14ac:dyDescent="0.35">
      <c r="A401" s="281"/>
      <c r="B401" s="279"/>
      <c r="C401" s="850"/>
      <c r="D401" s="282"/>
      <c r="E401" s="833"/>
    </row>
    <row r="402" spans="1:5" x14ac:dyDescent="0.35">
      <c r="A402" s="281"/>
      <c r="B402" s="279"/>
      <c r="C402" s="850"/>
      <c r="D402" s="282"/>
      <c r="E402" s="833"/>
    </row>
    <row r="403" spans="1:5" x14ac:dyDescent="0.35">
      <c r="A403" s="281"/>
      <c r="B403" s="279"/>
      <c r="C403" s="850"/>
      <c r="D403" s="282"/>
      <c r="E403" s="833"/>
    </row>
    <row r="404" spans="1:5" x14ac:dyDescent="0.35">
      <c r="A404" s="281"/>
      <c r="B404" s="279"/>
      <c r="C404" s="850"/>
      <c r="D404" s="282"/>
      <c r="E404" s="833"/>
    </row>
    <row r="405" spans="1:5" x14ac:dyDescent="0.35">
      <c r="A405" s="281"/>
      <c r="B405" s="279"/>
      <c r="C405" s="850"/>
      <c r="D405" s="282"/>
      <c r="E405" s="833"/>
    </row>
    <row r="406" spans="1:5" x14ac:dyDescent="0.35">
      <c r="A406" s="281"/>
      <c r="B406" s="279"/>
      <c r="C406" s="850"/>
      <c r="D406" s="282"/>
      <c r="E406" s="833"/>
    </row>
    <row r="407" spans="1:5" x14ac:dyDescent="0.35">
      <c r="A407" s="281"/>
      <c r="B407" s="279"/>
      <c r="C407" s="850"/>
      <c r="D407" s="282"/>
      <c r="E407" s="833"/>
    </row>
    <row r="408" spans="1:5" x14ac:dyDescent="0.35">
      <c r="A408" s="281"/>
      <c r="B408" s="279"/>
      <c r="C408" s="850"/>
      <c r="D408" s="282"/>
      <c r="E408" s="833"/>
    </row>
    <row r="409" spans="1:5" x14ac:dyDescent="0.35">
      <c r="A409" s="281"/>
      <c r="B409" s="279"/>
      <c r="C409" s="850"/>
      <c r="D409" s="282"/>
      <c r="E409" s="833"/>
    </row>
    <row r="410" spans="1:5" x14ac:dyDescent="0.35">
      <c r="A410" s="281"/>
      <c r="B410" s="279"/>
      <c r="C410" s="850"/>
      <c r="D410" s="282"/>
      <c r="E410" s="833"/>
    </row>
    <row r="411" spans="1:5" x14ac:dyDescent="0.35">
      <c r="A411" s="281"/>
      <c r="B411" s="279"/>
      <c r="C411" s="850"/>
      <c r="D411" s="282"/>
      <c r="E411" s="833"/>
    </row>
    <row r="412" spans="1:5" x14ac:dyDescent="0.35">
      <c r="A412" s="281"/>
      <c r="B412" s="279"/>
      <c r="C412" s="850"/>
      <c r="D412" s="282"/>
      <c r="E412" s="833"/>
    </row>
    <row r="413" spans="1:5" x14ac:dyDescent="0.35">
      <c r="A413" s="281"/>
      <c r="B413" s="279"/>
      <c r="C413" s="850"/>
      <c r="D413" s="282"/>
      <c r="E413" s="833"/>
    </row>
    <row r="414" spans="1:5" x14ac:dyDescent="0.35">
      <c r="A414" s="281"/>
      <c r="B414" s="279"/>
      <c r="C414" s="850"/>
      <c r="D414" s="282"/>
      <c r="E414" s="833"/>
    </row>
    <row r="415" spans="1:5" x14ac:dyDescent="0.35">
      <c r="A415" s="281"/>
      <c r="B415" s="279"/>
      <c r="C415" s="850"/>
      <c r="D415" s="282"/>
      <c r="E415" s="833"/>
    </row>
    <row r="416" spans="1:5" x14ac:dyDescent="0.35">
      <c r="A416" s="281"/>
      <c r="B416" s="279"/>
      <c r="C416" s="850"/>
      <c r="D416" s="282"/>
      <c r="E416" s="833"/>
    </row>
    <row r="417" spans="1:5" x14ac:dyDescent="0.35">
      <c r="A417" s="281"/>
      <c r="B417" s="279"/>
      <c r="C417" s="850"/>
      <c r="D417" s="282"/>
      <c r="E417" s="833"/>
    </row>
    <row r="418" spans="1:5" x14ac:dyDescent="0.35">
      <c r="A418" s="281"/>
      <c r="B418" s="279"/>
      <c r="C418" s="850"/>
      <c r="D418" s="282"/>
      <c r="E418" s="833"/>
    </row>
    <row r="419" spans="1:5" x14ac:dyDescent="0.35">
      <c r="A419" s="281"/>
      <c r="B419" s="279"/>
      <c r="C419" s="850"/>
      <c r="D419" s="282"/>
      <c r="E419" s="833"/>
    </row>
    <row r="420" spans="1:5" x14ac:dyDescent="0.35">
      <c r="A420" s="281"/>
      <c r="B420" s="279"/>
      <c r="C420" s="850"/>
      <c r="D420" s="282"/>
      <c r="E420" s="833"/>
    </row>
    <row r="421" spans="1:5" x14ac:dyDescent="0.35">
      <c r="A421" s="281"/>
      <c r="B421" s="279"/>
      <c r="C421" s="850"/>
      <c r="D421" s="282"/>
      <c r="E421" s="833"/>
    </row>
    <row r="422" spans="1:5" x14ac:dyDescent="0.35">
      <c r="A422" s="281"/>
      <c r="B422" s="279"/>
      <c r="C422" s="850"/>
      <c r="D422" s="282"/>
      <c r="E422" s="833"/>
    </row>
    <row r="423" spans="1:5" x14ac:dyDescent="0.35">
      <c r="A423" s="281"/>
      <c r="B423" s="279"/>
      <c r="C423" s="850"/>
      <c r="D423" s="282"/>
      <c r="E423" s="833"/>
    </row>
    <row r="424" spans="1:5" x14ac:dyDescent="0.35">
      <c r="A424" s="281"/>
      <c r="B424" s="279"/>
      <c r="C424" s="850"/>
      <c r="D424" s="282"/>
      <c r="E424" s="833"/>
    </row>
    <row r="425" spans="1:5" x14ac:dyDescent="0.35">
      <c r="A425" s="281"/>
      <c r="B425" s="279"/>
      <c r="C425" s="850"/>
      <c r="D425" s="282"/>
      <c r="E425" s="833"/>
    </row>
    <row r="426" spans="1:5" x14ac:dyDescent="0.35">
      <c r="A426" s="281"/>
      <c r="B426" s="279"/>
      <c r="C426" s="850"/>
      <c r="D426" s="282"/>
      <c r="E426" s="833"/>
    </row>
    <row r="427" spans="1:5" x14ac:dyDescent="0.35">
      <c r="A427" s="281"/>
      <c r="B427" s="279"/>
      <c r="C427" s="850"/>
      <c r="D427" s="282"/>
      <c r="E427" s="833"/>
    </row>
    <row r="428" spans="1:5" x14ac:dyDescent="0.35">
      <c r="A428" s="281"/>
      <c r="B428" s="279"/>
      <c r="C428" s="850"/>
      <c r="D428" s="282"/>
      <c r="E428" s="833"/>
    </row>
    <row r="429" spans="1:5" x14ac:dyDescent="0.35">
      <c r="A429" s="281"/>
      <c r="B429" s="279"/>
      <c r="C429" s="850"/>
      <c r="D429" s="282"/>
      <c r="E429" s="833"/>
    </row>
    <row r="430" spans="1:5" x14ac:dyDescent="0.35">
      <c r="A430" s="281"/>
      <c r="B430" s="279"/>
      <c r="C430" s="850"/>
      <c r="D430" s="282"/>
      <c r="E430" s="833"/>
    </row>
    <row r="431" spans="1:5" x14ac:dyDescent="0.35">
      <c r="A431" s="281"/>
      <c r="B431" s="279"/>
      <c r="C431" s="850"/>
      <c r="D431" s="282"/>
      <c r="E431" s="833"/>
    </row>
    <row r="432" spans="1:5" x14ac:dyDescent="0.35">
      <c r="A432" s="281"/>
      <c r="B432" s="279"/>
      <c r="C432" s="850"/>
      <c r="D432" s="282"/>
      <c r="E432" s="833"/>
    </row>
    <row r="433" spans="1:5" x14ac:dyDescent="0.35">
      <c r="A433" s="281"/>
      <c r="B433" s="279"/>
      <c r="C433" s="850"/>
      <c r="D433" s="282"/>
      <c r="E433" s="833"/>
    </row>
    <row r="434" spans="1:5" x14ac:dyDescent="0.35">
      <c r="A434" s="281"/>
      <c r="B434" s="279"/>
      <c r="C434" s="850"/>
      <c r="D434" s="282"/>
      <c r="E434" s="833"/>
    </row>
    <row r="435" spans="1:5" x14ac:dyDescent="0.35">
      <c r="A435" s="281"/>
      <c r="B435" s="279"/>
      <c r="C435" s="850"/>
      <c r="D435" s="282"/>
      <c r="E435" s="833"/>
    </row>
    <row r="436" spans="1:5" x14ac:dyDescent="0.35">
      <c r="A436" s="281"/>
      <c r="B436" s="279"/>
      <c r="C436" s="850"/>
      <c r="D436" s="282"/>
      <c r="E436" s="833"/>
    </row>
    <row r="437" spans="1:5" x14ac:dyDescent="0.35">
      <c r="A437" s="281"/>
      <c r="B437" s="279"/>
      <c r="C437" s="850"/>
      <c r="D437" s="282"/>
      <c r="E437" s="833"/>
    </row>
    <row r="438" spans="1:5" x14ac:dyDescent="0.35">
      <c r="A438" s="281"/>
      <c r="B438" s="279"/>
      <c r="C438" s="850"/>
      <c r="D438" s="282"/>
      <c r="E438" s="833"/>
    </row>
    <row r="439" spans="1:5" x14ac:dyDescent="0.35">
      <c r="A439" s="281"/>
      <c r="B439" s="279"/>
      <c r="C439" s="850"/>
      <c r="D439" s="282"/>
      <c r="E439" s="833"/>
    </row>
    <row r="440" spans="1:5" x14ac:dyDescent="0.35">
      <c r="A440" s="281"/>
      <c r="B440" s="279"/>
      <c r="C440" s="850"/>
      <c r="D440" s="282"/>
      <c r="E440" s="833"/>
    </row>
    <row r="441" spans="1:5" x14ac:dyDescent="0.35">
      <c r="A441" s="281"/>
      <c r="B441" s="279"/>
      <c r="C441" s="850"/>
      <c r="D441" s="282"/>
      <c r="E441" s="833"/>
    </row>
    <row r="442" spans="1:5" x14ac:dyDescent="0.35">
      <c r="A442" s="281"/>
      <c r="B442" s="279"/>
      <c r="C442" s="850"/>
      <c r="D442" s="282"/>
      <c r="E442" s="833"/>
    </row>
    <row r="443" spans="1:5" x14ac:dyDescent="0.35">
      <c r="A443" s="281"/>
      <c r="B443" s="279"/>
      <c r="C443" s="850"/>
      <c r="D443" s="282"/>
      <c r="E443" s="833"/>
    </row>
    <row r="444" spans="1:5" x14ac:dyDescent="0.35">
      <c r="A444" s="281"/>
      <c r="B444" s="279"/>
      <c r="C444" s="850"/>
      <c r="D444" s="282"/>
      <c r="E444" s="833"/>
    </row>
    <row r="445" spans="1:5" x14ac:dyDescent="0.35">
      <c r="A445" s="281"/>
      <c r="B445" s="279"/>
      <c r="C445" s="850"/>
      <c r="D445" s="282"/>
      <c r="E445" s="833"/>
    </row>
    <row r="446" spans="1:5" x14ac:dyDescent="0.35">
      <c r="A446" s="281"/>
      <c r="B446" s="279"/>
      <c r="C446" s="850"/>
      <c r="D446" s="282"/>
      <c r="E446" s="833"/>
    </row>
    <row r="447" spans="1:5" x14ac:dyDescent="0.35">
      <c r="A447" s="281"/>
      <c r="B447" s="279"/>
      <c r="C447" s="850"/>
      <c r="D447" s="282"/>
      <c r="E447" s="833"/>
    </row>
    <row r="448" spans="1:5" x14ac:dyDescent="0.35">
      <c r="A448" s="281"/>
      <c r="B448" s="279"/>
      <c r="C448" s="850"/>
      <c r="D448" s="282"/>
      <c r="E448" s="833"/>
    </row>
    <row r="449" spans="1:5" x14ac:dyDescent="0.35">
      <c r="A449" s="281"/>
      <c r="B449" s="279"/>
      <c r="C449" s="850"/>
      <c r="D449" s="282"/>
      <c r="E449" s="833"/>
    </row>
    <row r="450" spans="1:5" x14ac:dyDescent="0.35">
      <c r="A450" s="281"/>
      <c r="B450" s="279"/>
      <c r="C450" s="850"/>
      <c r="D450" s="282"/>
      <c r="E450" s="833"/>
    </row>
    <row r="451" spans="1:5" x14ac:dyDescent="0.35">
      <c r="A451" s="281"/>
      <c r="B451" s="279"/>
      <c r="C451" s="850"/>
      <c r="D451" s="282"/>
      <c r="E451" s="833"/>
    </row>
    <row r="452" spans="1:5" x14ac:dyDescent="0.35">
      <c r="A452" s="281"/>
      <c r="B452" s="279"/>
      <c r="C452" s="850"/>
      <c r="D452" s="282"/>
      <c r="E452" s="833"/>
    </row>
    <row r="453" spans="1:5" x14ac:dyDescent="0.35">
      <c r="A453" s="281"/>
      <c r="B453" s="279"/>
      <c r="C453" s="850"/>
      <c r="D453" s="282"/>
      <c r="E453" s="833"/>
    </row>
    <row r="454" spans="1:5" x14ac:dyDescent="0.35">
      <c r="A454" s="281"/>
      <c r="B454" s="279"/>
      <c r="C454" s="850"/>
      <c r="D454" s="282"/>
      <c r="E454" s="833"/>
    </row>
    <row r="455" spans="1:5" x14ac:dyDescent="0.35">
      <c r="A455" s="281"/>
      <c r="B455" s="279"/>
      <c r="C455" s="850"/>
      <c r="D455" s="282"/>
      <c r="E455" s="833"/>
    </row>
    <row r="456" spans="1:5" x14ac:dyDescent="0.35">
      <c r="A456" s="281"/>
      <c r="B456" s="279"/>
      <c r="C456" s="850"/>
      <c r="D456" s="282"/>
      <c r="E456" s="833"/>
    </row>
    <row r="457" spans="1:5" x14ac:dyDescent="0.35">
      <c r="A457" s="281"/>
      <c r="B457" s="279"/>
      <c r="C457" s="850"/>
      <c r="D457" s="282"/>
      <c r="E457" s="833"/>
    </row>
    <row r="458" spans="1:5" x14ac:dyDescent="0.35">
      <c r="A458" s="281"/>
      <c r="B458" s="279"/>
      <c r="C458" s="850"/>
      <c r="D458" s="282"/>
      <c r="E458" s="833"/>
    </row>
    <row r="459" spans="1:5" x14ac:dyDescent="0.35">
      <c r="A459" s="281"/>
      <c r="B459" s="279"/>
      <c r="C459" s="850"/>
      <c r="D459" s="282"/>
      <c r="E459" s="833"/>
    </row>
    <row r="460" spans="1:5" x14ac:dyDescent="0.35">
      <c r="A460" s="281"/>
      <c r="B460" s="279"/>
      <c r="C460" s="850"/>
      <c r="D460" s="282"/>
      <c r="E460" s="833"/>
    </row>
    <row r="461" spans="1:5" x14ac:dyDescent="0.35">
      <c r="A461" s="281"/>
      <c r="B461" s="279"/>
      <c r="C461" s="850"/>
      <c r="D461" s="282"/>
      <c r="E461" s="833"/>
    </row>
    <row r="462" spans="1:5" x14ac:dyDescent="0.35">
      <c r="A462" s="281"/>
      <c r="B462" s="279"/>
      <c r="C462" s="850"/>
      <c r="D462" s="282"/>
      <c r="E462" s="833"/>
    </row>
    <row r="463" spans="1:5" x14ac:dyDescent="0.35">
      <c r="A463" s="281"/>
      <c r="B463" s="279"/>
      <c r="C463" s="850"/>
      <c r="D463" s="282"/>
      <c r="E463" s="833"/>
    </row>
    <row r="464" spans="1:5" x14ac:dyDescent="0.35">
      <c r="A464" s="281"/>
      <c r="B464" s="279"/>
      <c r="C464" s="850"/>
      <c r="D464" s="282"/>
      <c r="E464" s="833"/>
    </row>
    <row r="465" spans="1:5" x14ac:dyDescent="0.35">
      <c r="A465" s="281"/>
      <c r="B465" s="279"/>
      <c r="C465" s="850"/>
      <c r="D465" s="282"/>
      <c r="E465" s="833"/>
    </row>
    <row r="466" spans="1:5" x14ac:dyDescent="0.35">
      <c r="A466" s="281"/>
      <c r="B466" s="279"/>
      <c r="C466" s="850"/>
      <c r="D466" s="282"/>
      <c r="E466" s="833"/>
    </row>
    <row r="467" spans="1:5" x14ac:dyDescent="0.35">
      <c r="A467" s="281"/>
      <c r="B467" s="279"/>
      <c r="C467" s="850"/>
      <c r="D467" s="282"/>
      <c r="E467" s="833"/>
    </row>
    <row r="468" spans="1:5" x14ac:dyDescent="0.35">
      <c r="A468" s="281"/>
      <c r="B468" s="279"/>
      <c r="C468" s="850"/>
      <c r="D468" s="282"/>
      <c r="E468" s="833"/>
    </row>
    <row r="469" spans="1:5" x14ac:dyDescent="0.35">
      <c r="A469" s="281"/>
      <c r="B469" s="279"/>
      <c r="C469" s="850"/>
      <c r="D469" s="282"/>
      <c r="E469" s="833"/>
    </row>
    <row r="470" spans="1:5" x14ac:dyDescent="0.35">
      <c r="A470" s="281"/>
      <c r="B470" s="279"/>
      <c r="C470" s="850"/>
      <c r="D470" s="282"/>
      <c r="E470" s="833"/>
    </row>
    <row r="471" spans="1:5" x14ac:dyDescent="0.35">
      <c r="A471" s="281"/>
      <c r="B471" s="279"/>
      <c r="C471" s="850"/>
      <c r="D471" s="282"/>
      <c r="E471" s="833"/>
    </row>
    <row r="472" spans="1:5" x14ac:dyDescent="0.35">
      <c r="A472" s="281"/>
      <c r="B472" s="279"/>
      <c r="C472" s="850"/>
      <c r="D472" s="282"/>
      <c r="E472" s="833"/>
    </row>
    <row r="473" spans="1:5" x14ac:dyDescent="0.35">
      <c r="A473" s="281"/>
      <c r="B473" s="279"/>
      <c r="C473" s="850"/>
      <c r="D473" s="282"/>
      <c r="E473" s="833"/>
    </row>
    <row r="474" spans="1:5" x14ac:dyDescent="0.35">
      <c r="A474" s="281"/>
      <c r="B474" s="279"/>
      <c r="C474" s="850"/>
      <c r="D474" s="282"/>
      <c r="E474" s="833"/>
    </row>
    <row r="475" spans="1:5" x14ac:dyDescent="0.35">
      <c r="A475" s="281"/>
      <c r="B475" s="279"/>
      <c r="C475" s="850"/>
      <c r="D475" s="282"/>
      <c r="E475" s="833"/>
    </row>
    <row r="476" spans="1:5" x14ac:dyDescent="0.35">
      <c r="A476" s="281"/>
      <c r="B476" s="279"/>
      <c r="C476" s="850"/>
      <c r="D476" s="282"/>
      <c r="E476" s="833"/>
    </row>
    <row r="477" spans="1:5" x14ac:dyDescent="0.35">
      <c r="A477" s="281"/>
      <c r="B477" s="279"/>
      <c r="C477" s="850"/>
      <c r="D477" s="282"/>
      <c r="E477" s="833"/>
    </row>
    <row r="478" spans="1:5" x14ac:dyDescent="0.35">
      <c r="A478" s="281"/>
      <c r="B478" s="279"/>
      <c r="C478" s="850"/>
      <c r="D478" s="282"/>
      <c r="E478" s="833"/>
    </row>
    <row r="479" spans="1:5" x14ac:dyDescent="0.35">
      <c r="A479" s="281"/>
      <c r="B479" s="279"/>
      <c r="C479" s="850"/>
      <c r="D479" s="282"/>
      <c r="E479" s="833"/>
    </row>
    <row r="480" spans="1:5" x14ac:dyDescent="0.35">
      <c r="A480" s="281"/>
      <c r="B480" s="279"/>
      <c r="C480" s="850"/>
      <c r="D480" s="282"/>
      <c r="E480" s="833"/>
    </row>
    <row r="481" spans="1:5" x14ac:dyDescent="0.35">
      <c r="A481" s="281"/>
      <c r="B481" s="279"/>
      <c r="C481" s="850"/>
      <c r="D481" s="282"/>
      <c r="E481" s="833"/>
    </row>
    <row r="482" spans="1:5" x14ac:dyDescent="0.35">
      <c r="A482" s="281"/>
      <c r="B482" s="279"/>
      <c r="C482" s="850"/>
      <c r="D482" s="282"/>
      <c r="E482" s="833"/>
    </row>
    <row r="483" spans="1:5" x14ac:dyDescent="0.35">
      <c r="A483" s="281"/>
      <c r="B483" s="279"/>
      <c r="C483" s="850"/>
      <c r="D483" s="282"/>
      <c r="E483" s="833"/>
    </row>
    <row r="484" spans="1:5" x14ac:dyDescent="0.35">
      <c r="A484" s="281"/>
      <c r="B484" s="279"/>
      <c r="C484" s="850"/>
      <c r="D484" s="282"/>
      <c r="E484" s="833"/>
    </row>
    <row r="485" spans="1:5" x14ac:dyDescent="0.35">
      <c r="A485" s="281"/>
      <c r="B485" s="279"/>
      <c r="C485" s="850"/>
      <c r="D485" s="282"/>
      <c r="E485" s="833"/>
    </row>
    <row r="486" spans="1:5" x14ac:dyDescent="0.35">
      <c r="A486" s="281"/>
      <c r="B486" s="279"/>
      <c r="C486" s="850"/>
      <c r="D486" s="282"/>
      <c r="E486" s="833"/>
    </row>
    <row r="487" spans="1:5" x14ac:dyDescent="0.35">
      <c r="A487" s="281"/>
      <c r="B487" s="279"/>
      <c r="C487" s="850"/>
      <c r="D487" s="282"/>
      <c r="E487" s="833"/>
    </row>
    <row r="488" spans="1:5" x14ac:dyDescent="0.35">
      <c r="A488" s="281"/>
      <c r="B488" s="279"/>
      <c r="C488" s="850"/>
      <c r="D488" s="282"/>
      <c r="E488" s="833"/>
    </row>
    <row r="489" spans="1:5" x14ac:dyDescent="0.35">
      <c r="A489" s="281"/>
      <c r="B489" s="279"/>
      <c r="C489" s="850"/>
      <c r="D489" s="282"/>
      <c r="E489" s="833"/>
    </row>
    <row r="490" spans="1:5" x14ac:dyDescent="0.35">
      <c r="A490" s="281"/>
      <c r="B490" s="279"/>
      <c r="C490" s="850"/>
      <c r="D490" s="282"/>
      <c r="E490" s="833"/>
    </row>
    <row r="491" spans="1:5" x14ac:dyDescent="0.35">
      <c r="A491" s="281"/>
      <c r="B491" s="279"/>
      <c r="C491" s="850"/>
      <c r="D491" s="282"/>
      <c r="E491" s="833"/>
    </row>
    <row r="492" spans="1:5" x14ac:dyDescent="0.35">
      <c r="A492" s="281"/>
      <c r="B492" s="279"/>
      <c r="C492" s="850"/>
      <c r="D492" s="282"/>
      <c r="E492" s="833"/>
    </row>
    <row r="493" spans="1:5" x14ac:dyDescent="0.35">
      <c r="A493" s="281"/>
      <c r="B493" s="279"/>
      <c r="C493" s="850"/>
      <c r="D493" s="282"/>
      <c r="E493" s="833"/>
    </row>
    <row r="494" spans="1:5" x14ac:dyDescent="0.35">
      <c r="A494" s="281"/>
      <c r="B494" s="279"/>
      <c r="C494" s="850"/>
      <c r="D494" s="282"/>
      <c r="E494" s="833"/>
    </row>
    <row r="495" spans="1:5" x14ac:dyDescent="0.35">
      <c r="A495" s="281"/>
      <c r="B495" s="279"/>
      <c r="C495" s="850"/>
      <c r="D495" s="282"/>
      <c r="E495" s="833"/>
    </row>
    <row r="496" spans="1:5" x14ac:dyDescent="0.35">
      <c r="A496" s="281"/>
      <c r="B496" s="279"/>
      <c r="C496" s="850"/>
      <c r="D496" s="282"/>
      <c r="E496" s="833"/>
    </row>
    <row r="497" spans="1:5" x14ac:dyDescent="0.35">
      <c r="A497" s="281"/>
      <c r="B497" s="279"/>
      <c r="C497" s="850"/>
      <c r="D497" s="282"/>
      <c r="E497" s="833"/>
    </row>
    <row r="498" spans="1:5" x14ac:dyDescent="0.35">
      <c r="A498" s="281"/>
      <c r="B498" s="279"/>
      <c r="C498" s="850"/>
      <c r="D498" s="282"/>
      <c r="E498" s="833"/>
    </row>
    <row r="499" spans="1:5" x14ac:dyDescent="0.35">
      <c r="A499" s="281"/>
      <c r="B499" s="279"/>
      <c r="C499" s="850"/>
      <c r="D499" s="282"/>
      <c r="E499" s="833"/>
    </row>
    <row r="500" spans="1:5" x14ac:dyDescent="0.35">
      <c r="A500" s="281"/>
      <c r="B500" s="279"/>
      <c r="C500" s="850"/>
      <c r="D500" s="282"/>
      <c r="E500" s="833"/>
    </row>
    <row r="501" spans="1:5" x14ac:dyDescent="0.35">
      <c r="A501" s="281"/>
      <c r="B501" s="279"/>
      <c r="C501" s="850"/>
      <c r="D501" s="282"/>
      <c r="E501" s="833"/>
    </row>
    <row r="502" spans="1:5" x14ac:dyDescent="0.35">
      <c r="A502" s="281"/>
      <c r="B502" s="279"/>
      <c r="C502" s="850"/>
      <c r="D502" s="282"/>
      <c r="E502" s="833"/>
    </row>
    <row r="503" spans="1:5" x14ac:dyDescent="0.35">
      <c r="A503" s="281"/>
      <c r="B503" s="279"/>
      <c r="C503" s="850"/>
      <c r="D503" s="282"/>
      <c r="E503" s="833"/>
    </row>
    <row r="504" spans="1:5" x14ac:dyDescent="0.35">
      <c r="A504" s="281"/>
      <c r="B504" s="279"/>
      <c r="C504" s="850"/>
      <c r="D504" s="282"/>
      <c r="E504" s="833"/>
    </row>
    <row r="505" spans="1:5" x14ac:dyDescent="0.35">
      <c r="A505" s="281"/>
      <c r="B505" s="279"/>
      <c r="C505" s="850"/>
      <c r="D505" s="282"/>
      <c r="E505" s="833"/>
    </row>
    <row r="506" spans="1:5" x14ac:dyDescent="0.35">
      <c r="A506" s="281"/>
      <c r="B506" s="279"/>
      <c r="C506" s="850"/>
      <c r="D506" s="282"/>
      <c r="E506" s="833"/>
    </row>
    <row r="507" spans="1:5" x14ac:dyDescent="0.35">
      <c r="A507" s="281"/>
      <c r="B507" s="279"/>
      <c r="C507" s="850"/>
      <c r="D507" s="282"/>
      <c r="E507" s="833"/>
    </row>
    <row r="508" spans="1:5" x14ac:dyDescent="0.35">
      <c r="A508" s="281"/>
      <c r="B508" s="279"/>
      <c r="C508" s="850"/>
      <c r="D508" s="282"/>
      <c r="E508" s="833"/>
    </row>
    <row r="509" spans="1:5" x14ac:dyDescent="0.35">
      <c r="A509" s="281"/>
      <c r="B509" s="279"/>
      <c r="C509" s="850"/>
      <c r="D509" s="282"/>
      <c r="E509" s="833"/>
    </row>
    <row r="510" spans="1:5" x14ac:dyDescent="0.35">
      <c r="A510" s="281"/>
      <c r="B510" s="279"/>
      <c r="C510" s="850"/>
      <c r="D510" s="282"/>
      <c r="E510" s="833"/>
    </row>
    <row r="511" spans="1:5" x14ac:dyDescent="0.35">
      <c r="A511" s="281"/>
      <c r="B511" s="279"/>
      <c r="C511" s="850"/>
      <c r="D511" s="282"/>
      <c r="E511" s="833"/>
    </row>
    <row r="512" spans="1:5" x14ac:dyDescent="0.35">
      <c r="A512" s="281"/>
      <c r="B512" s="279"/>
      <c r="C512" s="850"/>
      <c r="D512" s="282"/>
      <c r="E512" s="833"/>
    </row>
    <row r="513" spans="1:5" x14ac:dyDescent="0.35">
      <c r="A513" s="281"/>
      <c r="B513" s="279"/>
      <c r="C513" s="850"/>
      <c r="D513" s="282"/>
      <c r="E513" s="833"/>
    </row>
    <row r="514" spans="1:5" x14ac:dyDescent="0.35">
      <c r="A514" s="281"/>
      <c r="B514" s="279"/>
      <c r="C514" s="850"/>
      <c r="D514" s="282"/>
      <c r="E514" s="833"/>
    </row>
    <row r="515" spans="1:5" x14ac:dyDescent="0.35">
      <c r="A515" s="281"/>
      <c r="B515" s="279"/>
      <c r="C515" s="850"/>
      <c r="D515" s="282"/>
      <c r="E515" s="833"/>
    </row>
    <row r="516" spans="1:5" x14ac:dyDescent="0.35">
      <c r="A516" s="281"/>
      <c r="B516" s="279"/>
      <c r="C516" s="850"/>
      <c r="D516" s="282"/>
      <c r="E516" s="833"/>
    </row>
    <row r="517" spans="1:5" x14ac:dyDescent="0.35">
      <c r="A517" s="281"/>
      <c r="B517" s="279"/>
      <c r="C517" s="850"/>
      <c r="D517" s="282"/>
      <c r="E517" s="833"/>
    </row>
    <row r="518" spans="1:5" x14ac:dyDescent="0.35">
      <c r="A518" s="281"/>
      <c r="B518" s="279"/>
      <c r="C518" s="850"/>
      <c r="D518" s="282"/>
      <c r="E518" s="833"/>
    </row>
    <row r="519" spans="1:5" x14ac:dyDescent="0.35">
      <c r="A519" s="281"/>
      <c r="B519" s="279"/>
      <c r="C519" s="850"/>
      <c r="D519" s="282"/>
      <c r="E519" s="833"/>
    </row>
    <row r="520" spans="1:5" x14ac:dyDescent="0.35">
      <c r="A520" s="281"/>
      <c r="B520" s="279"/>
      <c r="C520" s="850"/>
      <c r="D520" s="282"/>
      <c r="E520" s="833"/>
    </row>
    <row r="521" spans="1:5" x14ac:dyDescent="0.35">
      <c r="A521" s="281"/>
      <c r="B521" s="279"/>
      <c r="C521" s="850"/>
      <c r="D521" s="282"/>
      <c r="E521" s="833"/>
    </row>
    <row r="522" spans="1:5" x14ac:dyDescent="0.35">
      <c r="A522" s="281"/>
      <c r="B522" s="279"/>
      <c r="C522" s="850"/>
      <c r="D522" s="282"/>
      <c r="E522" s="833"/>
    </row>
    <row r="523" spans="1:5" x14ac:dyDescent="0.35">
      <c r="A523" s="281"/>
      <c r="B523" s="279"/>
      <c r="C523" s="850"/>
      <c r="D523" s="282"/>
      <c r="E523" s="833"/>
    </row>
    <row r="524" spans="1:5" x14ac:dyDescent="0.35">
      <c r="A524" s="281"/>
      <c r="B524" s="279"/>
      <c r="C524" s="850"/>
      <c r="D524" s="282"/>
      <c r="E524" s="833"/>
    </row>
    <row r="525" spans="1:5" x14ac:dyDescent="0.35">
      <c r="A525" s="281"/>
      <c r="B525" s="279"/>
      <c r="C525" s="850"/>
      <c r="D525" s="282"/>
      <c r="E525" s="833"/>
    </row>
    <row r="526" spans="1:5" x14ac:dyDescent="0.35">
      <c r="A526" s="281"/>
      <c r="B526" s="279"/>
      <c r="C526" s="850"/>
      <c r="D526" s="282"/>
      <c r="E526" s="833"/>
    </row>
    <row r="527" spans="1:5" x14ac:dyDescent="0.35">
      <c r="A527" s="281"/>
      <c r="B527" s="279"/>
      <c r="C527" s="850"/>
      <c r="D527" s="282"/>
      <c r="E527" s="833"/>
    </row>
    <row r="528" spans="1:5" x14ac:dyDescent="0.35">
      <c r="A528" s="281"/>
      <c r="B528" s="279"/>
      <c r="C528" s="850"/>
      <c r="D528" s="282"/>
      <c r="E528" s="833"/>
    </row>
    <row r="529" spans="1:5" x14ac:dyDescent="0.35">
      <c r="A529" s="281"/>
      <c r="B529" s="279"/>
      <c r="C529" s="850"/>
      <c r="D529" s="282"/>
      <c r="E529" s="833"/>
    </row>
    <row r="530" spans="1:5" x14ac:dyDescent="0.35">
      <c r="A530" s="281"/>
      <c r="B530" s="279"/>
      <c r="C530" s="850"/>
      <c r="D530" s="282"/>
      <c r="E530" s="833"/>
    </row>
    <row r="531" spans="1:5" x14ac:dyDescent="0.35">
      <c r="A531" s="281"/>
      <c r="B531" s="279"/>
      <c r="C531" s="850"/>
      <c r="D531" s="282"/>
      <c r="E531" s="833"/>
    </row>
    <row r="532" spans="1:5" x14ac:dyDescent="0.35">
      <c r="A532" s="281"/>
      <c r="B532" s="279"/>
      <c r="C532" s="850"/>
      <c r="D532" s="282"/>
      <c r="E532" s="833"/>
    </row>
    <row r="533" spans="1:5" x14ac:dyDescent="0.35">
      <c r="A533" s="281"/>
      <c r="B533" s="279"/>
      <c r="C533" s="850"/>
      <c r="D533" s="282"/>
      <c r="E533" s="833"/>
    </row>
    <row r="534" spans="1:5" x14ac:dyDescent="0.35">
      <c r="A534" s="281"/>
      <c r="B534" s="279"/>
      <c r="C534" s="850"/>
      <c r="D534" s="282"/>
      <c r="E534" s="833"/>
    </row>
    <row r="535" spans="1:5" x14ac:dyDescent="0.35">
      <c r="A535" s="281"/>
      <c r="B535" s="279"/>
      <c r="C535" s="850"/>
      <c r="D535" s="282"/>
      <c r="E535" s="833"/>
    </row>
    <row r="536" spans="1:5" x14ac:dyDescent="0.35">
      <c r="A536" s="281"/>
      <c r="B536" s="279"/>
      <c r="C536" s="850"/>
      <c r="D536" s="282"/>
      <c r="E536" s="833"/>
    </row>
    <row r="537" spans="1:5" x14ac:dyDescent="0.35">
      <c r="A537" s="281"/>
      <c r="B537" s="279"/>
      <c r="C537" s="850"/>
      <c r="D537" s="282"/>
      <c r="E537" s="833"/>
    </row>
    <row r="538" spans="1:5" x14ac:dyDescent="0.35">
      <c r="A538" s="281"/>
      <c r="B538" s="279"/>
      <c r="C538" s="850"/>
      <c r="D538" s="282"/>
      <c r="E538" s="833"/>
    </row>
    <row r="539" spans="1:5" x14ac:dyDescent="0.35">
      <c r="A539" s="281"/>
      <c r="B539" s="279"/>
      <c r="C539" s="850"/>
      <c r="D539" s="282"/>
      <c r="E539" s="833"/>
    </row>
    <row r="540" spans="1:5" x14ac:dyDescent="0.35">
      <c r="A540" s="281"/>
      <c r="B540" s="279"/>
      <c r="C540" s="850"/>
      <c r="D540" s="282"/>
      <c r="E540" s="833"/>
    </row>
    <row r="541" spans="1:5" x14ac:dyDescent="0.35">
      <c r="A541" s="281"/>
      <c r="B541" s="279"/>
      <c r="C541" s="850"/>
      <c r="D541" s="282"/>
      <c r="E541" s="833"/>
    </row>
    <row r="542" spans="1:5" x14ac:dyDescent="0.35">
      <c r="A542" s="281"/>
      <c r="B542" s="279"/>
      <c r="C542" s="850"/>
      <c r="D542" s="282"/>
      <c r="E542" s="833"/>
    </row>
    <row r="543" spans="1:5" x14ac:dyDescent="0.35">
      <c r="A543" s="281"/>
      <c r="B543" s="279"/>
      <c r="C543" s="850"/>
      <c r="D543" s="282"/>
      <c r="E543" s="833"/>
    </row>
    <row r="544" spans="1:5" x14ac:dyDescent="0.35">
      <c r="A544" s="281"/>
      <c r="B544" s="279"/>
      <c r="C544" s="850"/>
      <c r="D544" s="282"/>
      <c r="E544" s="833"/>
    </row>
    <row r="545" spans="1:5" x14ac:dyDescent="0.35">
      <c r="A545" s="281"/>
      <c r="B545" s="279"/>
      <c r="C545" s="850"/>
      <c r="D545" s="282"/>
      <c r="E545" s="833"/>
    </row>
    <row r="546" spans="1:5" x14ac:dyDescent="0.35">
      <c r="A546" s="281"/>
      <c r="B546" s="279"/>
      <c r="C546" s="850"/>
      <c r="D546" s="282"/>
      <c r="E546" s="833"/>
    </row>
    <row r="547" spans="1:5" x14ac:dyDescent="0.35">
      <c r="A547" s="281"/>
      <c r="B547" s="279"/>
      <c r="C547" s="850"/>
      <c r="D547" s="282"/>
      <c r="E547" s="833"/>
    </row>
    <row r="548" spans="1:5" x14ac:dyDescent="0.35">
      <c r="A548" s="281"/>
      <c r="B548" s="279"/>
      <c r="C548" s="850"/>
      <c r="D548" s="282"/>
      <c r="E548" s="833"/>
    </row>
    <row r="549" spans="1:5" x14ac:dyDescent="0.35">
      <c r="A549" s="281"/>
      <c r="B549" s="279"/>
      <c r="C549" s="850"/>
      <c r="D549" s="282"/>
      <c r="E549" s="833"/>
    </row>
    <row r="550" spans="1:5" x14ac:dyDescent="0.35">
      <c r="A550" s="281"/>
      <c r="B550" s="279"/>
      <c r="C550" s="850"/>
      <c r="D550" s="282"/>
      <c r="E550" s="833"/>
    </row>
    <row r="551" spans="1:5" x14ac:dyDescent="0.35">
      <c r="A551" s="281"/>
      <c r="B551" s="279"/>
      <c r="C551" s="850"/>
      <c r="D551" s="282"/>
      <c r="E551" s="833"/>
    </row>
    <row r="552" spans="1:5" x14ac:dyDescent="0.35">
      <c r="A552" s="281"/>
      <c r="B552" s="279"/>
      <c r="C552" s="850"/>
      <c r="D552" s="282"/>
      <c r="E552" s="833"/>
    </row>
    <row r="553" spans="1:5" x14ac:dyDescent="0.35">
      <c r="A553" s="281"/>
      <c r="B553" s="279"/>
      <c r="C553" s="850"/>
      <c r="D553" s="282"/>
      <c r="E553" s="833"/>
    </row>
    <row r="554" spans="1:5" x14ac:dyDescent="0.35">
      <c r="A554" s="281"/>
      <c r="B554" s="279"/>
      <c r="C554" s="850"/>
      <c r="D554" s="282"/>
      <c r="E554" s="833"/>
    </row>
    <row r="555" spans="1:5" x14ac:dyDescent="0.35">
      <c r="A555" s="281"/>
      <c r="B555" s="279"/>
      <c r="C555" s="850"/>
      <c r="D555" s="282"/>
      <c r="E555" s="833"/>
    </row>
    <row r="556" spans="1:5" x14ac:dyDescent="0.35">
      <c r="A556" s="281"/>
      <c r="B556" s="279"/>
      <c r="C556" s="850"/>
      <c r="D556" s="282"/>
      <c r="E556" s="833"/>
    </row>
    <row r="557" spans="1:5" x14ac:dyDescent="0.35">
      <c r="A557" s="281"/>
      <c r="B557" s="279"/>
      <c r="C557" s="850"/>
      <c r="D557" s="282"/>
      <c r="E557" s="833"/>
    </row>
    <row r="558" spans="1:5" x14ac:dyDescent="0.35">
      <c r="A558" s="281"/>
      <c r="B558" s="279"/>
      <c r="C558" s="850"/>
      <c r="D558" s="282"/>
      <c r="E558" s="833"/>
    </row>
    <row r="559" spans="1:5" x14ac:dyDescent="0.35">
      <c r="A559" s="281"/>
      <c r="B559" s="279"/>
      <c r="C559" s="850"/>
      <c r="D559" s="282"/>
      <c r="E559" s="833"/>
    </row>
    <row r="560" spans="1:5" x14ac:dyDescent="0.35">
      <c r="A560" s="281"/>
      <c r="B560" s="279"/>
      <c r="C560" s="850"/>
      <c r="D560" s="282"/>
      <c r="E560" s="833"/>
    </row>
    <row r="561" spans="1:5" x14ac:dyDescent="0.35">
      <c r="A561" s="281"/>
      <c r="B561" s="279"/>
      <c r="C561" s="850"/>
      <c r="D561" s="282"/>
      <c r="E561" s="833"/>
    </row>
    <row r="562" spans="1:5" x14ac:dyDescent="0.35">
      <c r="A562" s="281"/>
      <c r="B562" s="279"/>
      <c r="C562" s="850"/>
      <c r="D562" s="282"/>
      <c r="E562" s="833"/>
    </row>
    <row r="563" spans="1:5" x14ac:dyDescent="0.35">
      <c r="A563" s="281"/>
      <c r="B563" s="279"/>
      <c r="C563" s="850"/>
      <c r="D563" s="282"/>
      <c r="E563" s="833"/>
    </row>
    <row r="564" spans="1:5" x14ac:dyDescent="0.35">
      <c r="A564" s="281"/>
      <c r="B564" s="279"/>
      <c r="C564" s="850"/>
      <c r="D564" s="282"/>
      <c r="E564" s="833"/>
    </row>
    <row r="565" spans="1:5" x14ac:dyDescent="0.35">
      <c r="A565" s="281"/>
      <c r="B565" s="279"/>
      <c r="C565" s="850"/>
      <c r="D565" s="282"/>
      <c r="E565" s="833"/>
    </row>
    <row r="566" spans="1:5" x14ac:dyDescent="0.35">
      <c r="A566" s="281"/>
      <c r="B566" s="279"/>
      <c r="C566" s="850"/>
      <c r="D566" s="282"/>
      <c r="E566" s="833"/>
    </row>
    <row r="567" spans="1:5" x14ac:dyDescent="0.35">
      <c r="A567" s="281"/>
      <c r="B567" s="279"/>
      <c r="C567" s="850"/>
      <c r="D567" s="282"/>
      <c r="E567" s="833"/>
    </row>
    <row r="568" spans="1:5" x14ac:dyDescent="0.35">
      <c r="A568" s="281"/>
      <c r="B568" s="279"/>
      <c r="C568" s="850"/>
      <c r="D568" s="282"/>
      <c r="E568" s="833"/>
    </row>
    <row r="569" spans="1:5" x14ac:dyDescent="0.35">
      <c r="A569" s="281"/>
      <c r="B569" s="279"/>
      <c r="C569" s="850"/>
      <c r="D569" s="282"/>
      <c r="E569" s="833"/>
    </row>
    <row r="570" spans="1:5" x14ac:dyDescent="0.35">
      <c r="A570" s="281"/>
      <c r="B570" s="279"/>
      <c r="C570" s="850"/>
      <c r="D570" s="282"/>
      <c r="E570" s="833"/>
    </row>
    <row r="571" spans="1:5" x14ac:dyDescent="0.35">
      <c r="A571" s="281"/>
      <c r="B571" s="279"/>
      <c r="C571" s="850"/>
      <c r="D571" s="282"/>
      <c r="E571" s="833"/>
    </row>
    <row r="572" spans="1:5" x14ac:dyDescent="0.35">
      <c r="A572" s="281"/>
      <c r="B572" s="279"/>
      <c r="C572" s="850"/>
      <c r="D572" s="282"/>
      <c r="E572" s="833"/>
    </row>
    <row r="573" spans="1:5" x14ac:dyDescent="0.35">
      <c r="A573" s="281"/>
      <c r="B573" s="279"/>
      <c r="C573" s="850"/>
      <c r="D573" s="282"/>
      <c r="E573" s="833"/>
    </row>
    <row r="574" spans="1:5" x14ac:dyDescent="0.35">
      <c r="A574" s="281"/>
      <c r="B574" s="279"/>
      <c r="C574" s="850"/>
      <c r="D574" s="282"/>
      <c r="E574" s="833"/>
    </row>
    <row r="575" spans="1:5" x14ac:dyDescent="0.35">
      <c r="A575" s="281"/>
      <c r="B575" s="279"/>
      <c r="C575" s="850"/>
      <c r="D575" s="282"/>
      <c r="E575" s="833"/>
    </row>
    <row r="576" spans="1:5" x14ac:dyDescent="0.35">
      <c r="A576" s="281"/>
      <c r="B576" s="279"/>
      <c r="C576" s="850"/>
      <c r="D576" s="282"/>
      <c r="E576" s="833"/>
    </row>
    <row r="577" spans="1:5" x14ac:dyDescent="0.35">
      <c r="A577" s="281"/>
      <c r="B577" s="279"/>
      <c r="C577" s="850"/>
      <c r="D577" s="282"/>
      <c r="E577" s="833"/>
    </row>
    <row r="578" spans="1:5" x14ac:dyDescent="0.35">
      <c r="A578" s="281"/>
      <c r="B578" s="279"/>
      <c r="C578" s="850"/>
      <c r="D578" s="282"/>
      <c r="E578" s="833"/>
    </row>
    <row r="579" spans="1:5" x14ac:dyDescent="0.35">
      <c r="A579" s="281"/>
      <c r="B579" s="279"/>
      <c r="C579" s="850"/>
      <c r="D579" s="282"/>
      <c r="E579" s="833"/>
    </row>
    <row r="580" spans="1:5" x14ac:dyDescent="0.35">
      <c r="A580" s="281"/>
      <c r="B580" s="279"/>
      <c r="C580" s="850"/>
      <c r="D580" s="282"/>
      <c r="E580" s="833"/>
    </row>
    <row r="581" spans="1:5" x14ac:dyDescent="0.35">
      <c r="A581" s="281"/>
      <c r="B581" s="279"/>
      <c r="C581" s="850"/>
      <c r="D581" s="282"/>
      <c r="E581" s="833"/>
    </row>
    <row r="582" spans="1:5" x14ac:dyDescent="0.35">
      <c r="A582" s="281"/>
      <c r="B582" s="279"/>
      <c r="C582" s="850"/>
      <c r="D582" s="282"/>
      <c r="E582" s="833"/>
    </row>
    <row r="583" spans="1:5" x14ac:dyDescent="0.35">
      <c r="A583" s="281"/>
      <c r="B583" s="279"/>
      <c r="C583" s="850"/>
      <c r="D583" s="282"/>
      <c r="E583" s="833"/>
    </row>
    <row r="584" spans="1:5" x14ac:dyDescent="0.35">
      <c r="A584" s="281"/>
      <c r="B584" s="279"/>
      <c r="C584" s="850"/>
      <c r="D584" s="282"/>
      <c r="E584" s="833"/>
    </row>
    <row r="585" spans="1:5" x14ac:dyDescent="0.35">
      <c r="A585" s="281"/>
      <c r="B585" s="279"/>
      <c r="C585" s="850"/>
      <c r="D585" s="282"/>
      <c r="E585" s="833"/>
    </row>
    <row r="586" spans="1:5" x14ac:dyDescent="0.35">
      <c r="A586" s="281"/>
      <c r="B586" s="279"/>
      <c r="C586" s="850"/>
      <c r="D586" s="282"/>
      <c r="E586" s="833"/>
    </row>
    <row r="587" spans="1:5" x14ac:dyDescent="0.35">
      <c r="A587" s="281"/>
      <c r="B587" s="279"/>
      <c r="C587" s="850"/>
      <c r="D587" s="282"/>
      <c r="E587" s="833"/>
    </row>
    <row r="588" spans="1:5" x14ac:dyDescent="0.35">
      <c r="A588" s="281"/>
      <c r="B588" s="279"/>
      <c r="C588" s="850"/>
      <c r="D588" s="282"/>
      <c r="E588" s="833"/>
    </row>
    <row r="589" spans="1:5" x14ac:dyDescent="0.35">
      <c r="A589" s="281"/>
      <c r="B589" s="279"/>
      <c r="C589" s="850"/>
      <c r="D589" s="282"/>
      <c r="E589" s="833"/>
    </row>
    <row r="590" spans="1:5" x14ac:dyDescent="0.35">
      <c r="A590" s="281"/>
      <c r="B590" s="279"/>
      <c r="C590" s="850"/>
      <c r="D590" s="282"/>
      <c r="E590" s="833"/>
    </row>
    <row r="591" spans="1:5" x14ac:dyDescent="0.35">
      <c r="A591" s="281"/>
      <c r="B591" s="279"/>
      <c r="C591" s="850"/>
      <c r="D591" s="282"/>
      <c r="E591" s="833"/>
    </row>
    <row r="592" spans="1:5" x14ac:dyDescent="0.35">
      <c r="A592" s="281"/>
      <c r="B592" s="279"/>
      <c r="C592" s="850"/>
      <c r="D592" s="282"/>
      <c r="E592" s="833"/>
    </row>
    <row r="593" spans="1:5" x14ac:dyDescent="0.35">
      <c r="A593" s="281"/>
      <c r="B593" s="279"/>
      <c r="C593" s="850"/>
      <c r="D593" s="282"/>
      <c r="E593" s="833"/>
    </row>
    <row r="594" spans="1:5" x14ac:dyDescent="0.35">
      <c r="A594" s="281"/>
      <c r="B594" s="279"/>
      <c r="C594" s="850"/>
      <c r="D594" s="282"/>
      <c r="E594" s="833"/>
    </row>
    <row r="595" spans="1:5" x14ac:dyDescent="0.35">
      <c r="A595" s="281"/>
      <c r="B595" s="279"/>
      <c r="C595" s="850"/>
      <c r="D595" s="282"/>
      <c r="E595" s="833"/>
    </row>
    <row r="596" spans="1:5" x14ac:dyDescent="0.35">
      <c r="A596" s="281"/>
      <c r="B596" s="279"/>
      <c r="C596" s="850"/>
      <c r="D596" s="282"/>
      <c r="E596" s="833"/>
    </row>
    <row r="597" spans="1:5" x14ac:dyDescent="0.35">
      <c r="A597" s="281"/>
      <c r="B597" s="279"/>
      <c r="C597" s="850"/>
      <c r="D597" s="282"/>
      <c r="E597" s="833"/>
    </row>
    <row r="598" spans="1:5" x14ac:dyDescent="0.35">
      <c r="A598" s="281"/>
      <c r="B598" s="279"/>
      <c r="C598" s="850"/>
      <c r="D598" s="282"/>
      <c r="E598" s="833"/>
    </row>
    <row r="599" spans="1:5" x14ac:dyDescent="0.35">
      <c r="A599" s="281"/>
      <c r="B599" s="279"/>
      <c r="C599" s="850"/>
      <c r="D599" s="282"/>
      <c r="E599" s="833"/>
    </row>
    <row r="600" spans="1:5" x14ac:dyDescent="0.35">
      <c r="A600" s="281"/>
      <c r="B600" s="279"/>
      <c r="C600" s="850"/>
      <c r="D600" s="282"/>
      <c r="E600" s="833"/>
    </row>
    <row r="601" spans="1:5" x14ac:dyDescent="0.35">
      <c r="A601" s="281"/>
      <c r="B601" s="279"/>
      <c r="C601" s="850"/>
      <c r="D601" s="282"/>
      <c r="E601" s="833"/>
    </row>
    <row r="602" spans="1:5" x14ac:dyDescent="0.35">
      <c r="A602" s="281"/>
      <c r="B602" s="279"/>
      <c r="C602" s="850"/>
      <c r="D602" s="282"/>
      <c r="E602" s="833"/>
    </row>
    <row r="603" spans="1:5" x14ac:dyDescent="0.35">
      <c r="A603" s="281"/>
      <c r="B603" s="279"/>
      <c r="C603" s="850"/>
      <c r="D603" s="282"/>
      <c r="E603" s="833"/>
    </row>
    <row r="604" spans="1:5" x14ac:dyDescent="0.35">
      <c r="A604" s="281"/>
      <c r="B604" s="279"/>
      <c r="C604" s="850"/>
      <c r="D604" s="282"/>
      <c r="E604" s="833"/>
    </row>
    <row r="605" spans="1:5" x14ac:dyDescent="0.35">
      <c r="A605" s="281"/>
      <c r="B605" s="279"/>
      <c r="C605" s="850"/>
      <c r="D605" s="282"/>
      <c r="E605" s="833"/>
    </row>
    <row r="606" spans="1:5" x14ac:dyDescent="0.35">
      <c r="A606" s="281"/>
      <c r="B606" s="279"/>
      <c r="C606" s="850"/>
      <c r="D606" s="282"/>
      <c r="E606" s="833"/>
    </row>
    <row r="607" spans="1:5" x14ac:dyDescent="0.35">
      <c r="A607" s="281"/>
      <c r="B607" s="279"/>
      <c r="C607" s="850"/>
      <c r="D607" s="282"/>
      <c r="E607" s="833"/>
    </row>
    <row r="608" spans="1:5" x14ac:dyDescent="0.35">
      <c r="A608" s="281"/>
      <c r="B608" s="279"/>
      <c r="C608" s="850"/>
      <c r="D608" s="282"/>
      <c r="E608" s="833"/>
    </row>
    <row r="609" spans="1:5" x14ac:dyDescent="0.35">
      <c r="A609" s="281"/>
      <c r="B609" s="279"/>
      <c r="C609" s="850"/>
      <c r="D609" s="282"/>
      <c r="E609" s="833"/>
    </row>
    <row r="610" spans="1:5" x14ac:dyDescent="0.35">
      <c r="A610" s="281"/>
      <c r="B610" s="279"/>
      <c r="C610" s="850"/>
      <c r="D610" s="282"/>
      <c r="E610" s="833"/>
    </row>
    <row r="611" spans="1:5" x14ac:dyDescent="0.35">
      <c r="A611" s="281"/>
      <c r="B611" s="279"/>
      <c r="C611" s="850"/>
      <c r="D611" s="282"/>
      <c r="E611" s="833"/>
    </row>
    <row r="612" spans="1:5" x14ac:dyDescent="0.35">
      <c r="A612" s="281"/>
      <c r="B612" s="279"/>
      <c r="C612" s="850"/>
      <c r="D612" s="282"/>
      <c r="E612" s="833"/>
    </row>
    <row r="613" spans="1:5" x14ac:dyDescent="0.35">
      <c r="A613" s="281"/>
      <c r="B613" s="279"/>
      <c r="C613" s="850"/>
      <c r="D613" s="282"/>
      <c r="E613" s="833"/>
    </row>
    <row r="614" spans="1:5" x14ac:dyDescent="0.35">
      <c r="A614" s="281"/>
      <c r="B614" s="279"/>
      <c r="C614" s="850"/>
      <c r="D614" s="282"/>
      <c r="E614" s="833"/>
    </row>
    <row r="615" spans="1:5" x14ac:dyDescent="0.35">
      <c r="A615" s="281"/>
      <c r="B615" s="279"/>
      <c r="C615" s="850"/>
      <c r="D615" s="282"/>
      <c r="E615" s="833"/>
    </row>
    <row r="616" spans="1:5" x14ac:dyDescent="0.35">
      <c r="A616" s="281"/>
      <c r="B616" s="279"/>
      <c r="C616" s="850"/>
      <c r="D616" s="282"/>
      <c r="E616" s="833"/>
    </row>
    <row r="617" spans="1:5" x14ac:dyDescent="0.35">
      <c r="A617" s="281"/>
      <c r="B617" s="279"/>
      <c r="C617" s="850"/>
      <c r="D617" s="282"/>
      <c r="E617" s="833"/>
    </row>
    <row r="618" spans="1:5" x14ac:dyDescent="0.35">
      <c r="A618" s="281"/>
      <c r="B618" s="279"/>
      <c r="C618" s="850"/>
      <c r="D618" s="282"/>
      <c r="E618" s="833"/>
    </row>
    <row r="619" spans="1:5" x14ac:dyDescent="0.35">
      <c r="A619" s="281"/>
      <c r="B619" s="279"/>
      <c r="C619" s="850"/>
      <c r="D619" s="282"/>
      <c r="E619" s="833"/>
    </row>
    <row r="620" spans="1:5" x14ac:dyDescent="0.35">
      <c r="A620" s="281"/>
      <c r="B620" s="279"/>
      <c r="C620" s="850"/>
      <c r="D620" s="282"/>
      <c r="E620" s="833"/>
    </row>
    <row r="621" spans="1:5" x14ac:dyDescent="0.35">
      <c r="A621" s="281"/>
      <c r="B621" s="279"/>
      <c r="C621" s="850"/>
      <c r="D621" s="282"/>
      <c r="E621" s="833"/>
    </row>
    <row r="622" spans="1:5" x14ac:dyDescent="0.35">
      <c r="A622" s="281"/>
      <c r="B622" s="279"/>
      <c r="C622" s="850"/>
      <c r="D622" s="282"/>
      <c r="E622" s="833"/>
    </row>
    <row r="623" spans="1:5" x14ac:dyDescent="0.35">
      <c r="A623" s="281"/>
      <c r="B623" s="279"/>
      <c r="C623" s="850"/>
      <c r="D623" s="282"/>
      <c r="E623" s="833"/>
    </row>
    <row r="624" spans="1:5" x14ac:dyDescent="0.35">
      <c r="A624" s="281"/>
      <c r="B624" s="279"/>
      <c r="C624" s="850"/>
      <c r="D624" s="282"/>
      <c r="E624" s="833"/>
    </row>
    <row r="625" spans="1:5" x14ac:dyDescent="0.35">
      <c r="A625" s="281"/>
      <c r="B625" s="279"/>
      <c r="C625" s="850"/>
      <c r="D625" s="282"/>
      <c r="E625" s="833"/>
    </row>
    <row r="626" spans="1:5" x14ac:dyDescent="0.35">
      <c r="A626" s="281"/>
      <c r="B626" s="279"/>
      <c r="C626" s="850"/>
      <c r="D626" s="282"/>
      <c r="E626" s="833"/>
    </row>
    <row r="627" spans="1:5" x14ac:dyDescent="0.35">
      <c r="A627" s="281"/>
      <c r="B627" s="279"/>
      <c r="C627" s="850"/>
      <c r="D627" s="282"/>
      <c r="E627" s="833"/>
    </row>
    <row r="628" spans="1:5" x14ac:dyDescent="0.35">
      <c r="A628" s="281"/>
      <c r="B628" s="279"/>
      <c r="C628" s="850"/>
      <c r="D628" s="282"/>
      <c r="E628" s="833"/>
    </row>
    <row r="629" spans="1:5" x14ac:dyDescent="0.35">
      <c r="A629" s="281"/>
      <c r="B629" s="279"/>
      <c r="C629" s="850"/>
      <c r="D629" s="282"/>
      <c r="E629" s="833"/>
    </row>
    <row r="630" spans="1:5" x14ac:dyDescent="0.35">
      <c r="A630" s="281"/>
      <c r="B630" s="279"/>
      <c r="C630" s="850"/>
      <c r="D630" s="282"/>
      <c r="E630" s="833"/>
    </row>
    <row r="631" spans="1:5" x14ac:dyDescent="0.35">
      <c r="A631" s="281"/>
      <c r="B631" s="279"/>
      <c r="C631" s="850"/>
      <c r="D631" s="282"/>
      <c r="E631" s="833"/>
    </row>
    <row r="632" spans="1:5" x14ac:dyDescent="0.35">
      <c r="A632" s="281"/>
      <c r="B632" s="279"/>
      <c r="C632" s="850"/>
      <c r="D632" s="282"/>
      <c r="E632" s="833"/>
    </row>
    <row r="633" spans="1:5" x14ac:dyDescent="0.35">
      <c r="A633" s="281"/>
      <c r="B633" s="279"/>
      <c r="C633" s="850"/>
      <c r="D633" s="282"/>
      <c r="E633" s="833"/>
    </row>
    <row r="634" spans="1:5" x14ac:dyDescent="0.35">
      <c r="A634" s="281"/>
      <c r="B634" s="279"/>
      <c r="C634" s="850"/>
      <c r="D634" s="282"/>
      <c r="E634" s="833"/>
    </row>
    <row r="635" spans="1:5" x14ac:dyDescent="0.35">
      <c r="A635" s="281"/>
      <c r="B635" s="279"/>
      <c r="C635" s="850"/>
      <c r="D635" s="282"/>
      <c r="E635" s="833"/>
    </row>
    <row r="636" spans="1:5" x14ac:dyDescent="0.35">
      <c r="A636" s="281"/>
      <c r="B636" s="279"/>
      <c r="C636" s="850"/>
      <c r="D636" s="282"/>
      <c r="E636" s="833"/>
    </row>
    <row r="637" spans="1:5" x14ac:dyDescent="0.35">
      <c r="A637" s="281"/>
      <c r="B637" s="279"/>
      <c r="C637" s="850"/>
      <c r="D637" s="282"/>
      <c r="E637" s="833"/>
    </row>
    <row r="638" spans="1:5" x14ac:dyDescent="0.35">
      <c r="A638" s="281"/>
      <c r="B638" s="279"/>
      <c r="C638" s="850"/>
      <c r="D638" s="282"/>
      <c r="E638" s="833"/>
    </row>
    <row r="639" spans="1:5" x14ac:dyDescent="0.35">
      <c r="A639" s="281"/>
      <c r="B639" s="279"/>
      <c r="C639" s="850"/>
      <c r="D639" s="282"/>
      <c r="E639" s="833"/>
    </row>
    <row r="640" spans="1:5" x14ac:dyDescent="0.35">
      <c r="A640" s="281"/>
      <c r="B640" s="279"/>
      <c r="C640" s="850"/>
      <c r="D640" s="282"/>
      <c r="E640" s="833"/>
    </row>
    <row r="641" spans="1:5" x14ac:dyDescent="0.35">
      <c r="A641" s="281"/>
      <c r="B641" s="279"/>
      <c r="C641" s="850"/>
      <c r="D641" s="282"/>
      <c r="E641" s="833"/>
    </row>
    <row r="642" spans="1:5" x14ac:dyDescent="0.35">
      <c r="A642" s="281"/>
      <c r="B642" s="279"/>
      <c r="C642" s="850"/>
      <c r="D642" s="282"/>
      <c r="E642" s="833"/>
    </row>
    <row r="643" spans="1:5" x14ac:dyDescent="0.35">
      <c r="A643" s="281"/>
      <c r="B643" s="279"/>
      <c r="C643" s="850"/>
      <c r="D643" s="282"/>
      <c r="E643" s="833"/>
    </row>
    <row r="644" spans="1:5" x14ac:dyDescent="0.35">
      <c r="A644" s="281"/>
      <c r="B644" s="279"/>
      <c r="C644" s="850"/>
      <c r="D644" s="282"/>
      <c r="E644" s="833"/>
    </row>
    <row r="645" spans="1:5" x14ac:dyDescent="0.35">
      <c r="A645" s="281"/>
      <c r="B645" s="279"/>
      <c r="C645" s="850"/>
      <c r="D645" s="282"/>
      <c r="E645" s="833"/>
    </row>
    <row r="646" spans="1:5" x14ac:dyDescent="0.35">
      <c r="A646" s="281"/>
      <c r="B646" s="279"/>
      <c r="C646" s="850"/>
      <c r="D646" s="282"/>
      <c r="E646" s="833"/>
    </row>
    <row r="647" spans="1:5" x14ac:dyDescent="0.35">
      <c r="A647" s="281"/>
      <c r="B647" s="279"/>
      <c r="C647" s="850"/>
      <c r="D647" s="282"/>
      <c r="E647" s="833"/>
    </row>
    <row r="648" spans="1:5" x14ac:dyDescent="0.35">
      <c r="A648" s="281"/>
      <c r="B648" s="279"/>
      <c r="C648" s="850"/>
      <c r="D648" s="282"/>
      <c r="E648" s="833"/>
    </row>
    <row r="649" spans="1:5" x14ac:dyDescent="0.35">
      <c r="A649" s="281"/>
      <c r="B649" s="279"/>
      <c r="C649" s="850"/>
      <c r="D649" s="282"/>
      <c r="E649" s="833"/>
    </row>
    <row r="650" spans="1:5" x14ac:dyDescent="0.35">
      <c r="A650" s="281"/>
      <c r="B650" s="279"/>
      <c r="C650" s="850"/>
      <c r="D650" s="282"/>
      <c r="E650" s="833"/>
    </row>
    <row r="651" spans="1:5" x14ac:dyDescent="0.35">
      <c r="A651" s="281"/>
      <c r="B651" s="279"/>
      <c r="C651" s="850"/>
      <c r="D651" s="282"/>
      <c r="E651" s="833"/>
    </row>
    <row r="652" spans="1:5" x14ac:dyDescent="0.35">
      <c r="A652" s="281"/>
      <c r="B652" s="279"/>
      <c r="C652" s="850"/>
      <c r="D652" s="282"/>
      <c r="E652" s="833"/>
    </row>
    <row r="653" spans="1:5" x14ac:dyDescent="0.35">
      <c r="A653" s="281"/>
      <c r="B653" s="279"/>
      <c r="C653" s="850"/>
      <c r="D653" s="282"/>
      <c r="E653" s="833"/>
    </row>
    <row r="654" spans="1:5" x14ac:dyDescent="0.35">
      <c r="A654" s="281"/>
      <c r="B654" s="279"/>
      <c r="C654" s="850"/>
      <c r="D654" s="282"/>
      <c r="E654" s="833"/>
    </row>
    <row r="655" spans="1:5" x14ac:dyDescent="0.35">
      <c r="A655" s="281"/>
      <c r="B655" s="279"/>
      <c r="C655" s="850"/>
      <c r="D655" s="282"/>
      <c r="E655" s="833"/>
    </row>
    <row r="656" spans="1:5" x14ac:dyDescent="0.35">
      <c r="A656" s="281"/>
      <c r="B656" s="279"/>
      <c r="C656" s="850"/>
      <c r="D656" s="282"/>
      <c r="E656" s="833"/>
    </row>
    <row r="657" spans="1:5" x14ac:dyDescent="0.35">
      <c r="A657" s="281"/>
      <c r="B657" s="279"/>
      <c r="C657" s="850"/>
      <c r="D657" s="282"/>
      <c r="E657" s="833"/>
    </row>
    <row r="658" spans="1:5" x14ac:dyDescent="0.35">
      <c r="A658" s="281"/>
      <c r="B658" s="279"/>
      <c r="C658" s="850"/>
      <c r="D658" s="282"/>
      <c r="E658" s="833"/>
    </row>
    <row r="659" spans="1:5" x14ac:dyDescent="0.35">
      <c r="A659" s="281"/>
      <c r="B659" s="279"/>
      <c r="C659" s="850"/>
      <c r="D659" s="282"/>
      <c r="E659" s="833"/>
    </row>
    <row r="660" spans="1:5" x14ac:dyDescent="0.35">
      <c r="A660" s="281"/>
      <c r="B660" s="279"/>
      <c r="C660" s="850"/>
      <c r="D660" s="282"/>
      <c r="E660" s="833"/>
    </row>
    <row r="661" spans="1:5" x14ac:dyDescent="0.35">
      <c r="A661" s="281"/>
      <c r="B661" s="279"/>
      <c r="C661" s="850"/>
      <c r="D661" s="282"/>
      <c r="E661" s="833"/>
    </row>
    <row r="662" spans="1:5" x14ac:dyDescent="0.35">
      <c r="A662" s="281"/>
      <c r="B662" s="279"/>
      <c r="C662" s="850"/>
      <c r="D662" s="282"/>
      <c r="E662" s="833"/>
    </row>
    <row r="663" spans="1:5" x14ac:dyDescent="0.35">
      <c r="A663" s="281"/>
      <c r="B663" s="279"/>
      <c r="C663" s="850"/>
      <c r="D663" s="282"/>
      <c r="E663" s="833"/>
    </row>
    <row r="664" spans="1:5" x14ac:dyDescent="0.35">
      <c r="A664" s="281"/>
      <c r="B664" s="279"/>
      <c r="C664" s="850"/>
      <c r="D664" s="282"/>
      <c r="E664" s="833"/>
    </row>
    <row r="665" spans="1:5" x14ac:dyDescent="0.35">
      <c r="A665" s="281"/>
      <c r="B665" s="279"/>
      <c r="C665" s="850"/>
      <c r="D665" s="282"/>
      <c r="E665" s="833"/>
    </row>
    <row r="666" spans="1:5" x14ac:dyDescent="0.35">
      <c r="A666" s="281"/>
      <c r="B666" s="279"/>
      <c r="C666" s="850"/>
      <c r="D666" s="282"/>
      <c r="E666" s="833"/>
    </row>
    <row r="667" spans="1:5" x14ac:dyDescent="0.35">
      <c r="A667" s="281"/>
      <c r="B667" s="279"/>
      <c r="C667" s="850"/>
      <c r="D667" s="282"/>
      <c r="E667" s="833"/>
    </row>
    <row r="668" spans="1:5" x14ac:dyDescent="0.35">
      <c r="A668" s="281"/>
      <c r="B668" s="279"/>
      <c r="C668" s="850"/>
      <c r="D668" s="282"/>
      <c r="E668" s="833"/>
    </row>
    <row r="669" spans="1:5" x14ac:dyDescent="0.35">
      <c r="A669" s="281"/>
      <c r="B669" s="279"/>
      <c r="C669" s="850"/>
      <c r="D669" s="282"/>
      <c r="E669" s="833"/>
    </row>
    <row r="670" spans="1:5" x14ac:dyDescent="0.35">
      <c r="A670" s="281"/>
      <c r="B670" s="279"/>
      <c r="C670" s="850"/>
      <c r="D670" s="282"/>
      <c r="E670" s="833"/>
    </row>
    <row r="671" spans="1:5" x14ac:dyDescent="0.35">
      <c r="A671" s="281"/>
      <c r="B671" s="279"/>
      <c r="C671" s="850"/>
      <c r="D671" s="282"/>
      <c r="E671" s="833"/>
    </row>
    <row r="672" spans="1:5" x14ac:dyDescent="0.35">
      <c r="A672" s="281"/>
      <c r="B672" s="279"/>
      <c r="C672" s="850"/>
      <c r="D672" s="282"/>
      <c r="E672" s="833"/>
    </row>
    <row r="673" spans="1:5" x14ac:dyDescent="0.35">
      <c r="A673" s="281"/>
      <c r="B673" s="279"/>
      <c r="C673" s="850"/>
      <c r="D673" s="282"/>
      <c r="E673" s="833"/>
    </row>
    <row r="674" spans="1:5" x14ac:dyDescent="0.35">
      <c r="A674" s="281"/>
      <c r="B674" s="279"/>
      <c r="C674" s="850"/>
      <c r="D674" s="282"/>
      <c r="E674" s="833"/>
    </row>
    <row r="675" spans="1:5" x14ac:dyDescent="0.35">
      <c r="A675" s="281"/>
      <c r="B675" s="279"/>
      <c r="C675" s="850"/>
      <c r="D675" s="282"/>
      <c r="E675" s="833"/>
    </row>
    <row r="676" spans="1:5" x14ac:dyDescent="0.35">
      <c r="A676" s="281"/>
      <c r="B676" s="279"/>
      <c r="C676" s="850"/>
      <c r="D676" s="282"/>
      <c r="E676" s="833"/>
    </row>
    <row r="677" spans="1:5" x14ac:dyDescent="0.35">
      <c r="A677" s="281"/>
      <c r="B677" s="279"/>
      <c r="C677" s="850"/>
      <c r="D677" s="282"/>
      <c r="E677" s="833"/>
    </row>
    <row r="678" spans="1:5" x14ac:dyDescent="0.35">
      <c r="A678" s="281"/>
      <c r="B678" s="279"/>
      <c r="C678" s="850"/>
      <c r="D678" s="282"/>
      <c r="E678" s="833"/>
    </row>
    <row r="679" spans="1:5" x14ac:dyDescent="0.35">
      <c r="A679" s="281"/>
      <c r="B679" s="279"/>
      <c r="C679" s="850"/>
      <c r="D679" s="282"/>
      <c r="E679" s="833"/>
    </row>
    <row r="680" spans="1:5" x14ac:dyDescent="0.35">
      <c r="A680" s="281"/>
      <c r="B680" s="279"/>
      <c r="C680" s="850"/>
      <c r="D680" s="282"/>
      <c r="E680" s="833"/>
    </row>
    <row r="681" spans="1:5" x14ac:dyDescent="0.35">
      <c r="A681" s="281"/>
      <c r="B681" s="279"/>
      <c r="C681" s="850"/>
      <c r="D681" s="282"/>
      <c r="E681" s="833"/>
    </row>
    <row r="682" spans="1:5" x14ac:dyDescent="0.35">
      <c r="A682" s="281"/>
      <c r="B682" s="279"/>
      <c r="C682" s="850"/>
      <c r="D682" s="282"/>
      <c r="E682" s="833"/>
    </row>
    <row r="683" spans="1:5" x14ac:dyDescent="0.35">
      <c r="A683" s="281"/>
      <c r="B683" s="279"/>
      <c r="C683" s="850"/>
      <c r="D683" s="282"/>
      <c r="E683" s="833"/>
    </row>
    <row r="684" spans="1:5" x14ac:dyDescent="0.35">
      <c r="A684" s="281"/>
      <c r="B684" s="279"/>
      <c r="C684" s="850"/>
      <c r="D684" s="282"/>
      <c r="E684" s="833"/>
    </row>
    <row r="685" spans="1:5" x14ac:dyDescent="0.35">
      <c r="A685" s="281"/>
      <c r="B685" s="279"/>
      <c r="C685" s="850"/>
      <c r="D685" s="282"/>
      <c r="E685" s="833"/>
    </row>
    <row r="686" spans="1:5" x14ac:dyDescent="0.35">
      <c r="A686" s="281"/>
      <c r="B686" s="279"/>
      <c r="C686" s="850"/>
      <c r="D686" s="282"/>
      <c r="E686" s="833"/>
    </row>
    <row r="687" spans="1:5" x14ac:dyDescent="0.35">
      <c r="A687" s="281"/>
      <c r="B687" s="279"/>
      <c r="C687" s="850"/>
      <c r="D687" s="282"/>
      <c r="E687" s="833"/>
    </row>
    <row r="688" spans="1:5" x14ac:dyDescent="0.35">
      <c r="A688" s="281"/>
      <c r="B688" s="279"/>
      <c r="C688" s="850"/>
      <c r="D688" s="282"/>
      <c r="E688" s="833"/>
    </row>
    <row r="689" spans="1:5" x14ac:dyDescent="0.35">
      <c r="A689" s="281"/>
      <c r="B689" s="279"/>
      <c r="C689" s="850"/>
      <c r="D689" s="282"/>
      <c r="E689" s="833"/>
    </row>
    <row r="690" spans="1:5" x14ac:dyDescent="0.35">
      <c r="A690" s="281"/>
      <c r="B690" s="279"/>
      <c r="C690" s="850"/>
      <c r="D690" s="282"/>
      <c r="E690" s="833"/>
    </row>
    <row r="691" spans="1:5" x14ac:dyDescent="0.35">
      <c r="A691" s="281"/>
      <c r="B691" s="279"/>
      <c r="C691" s="850"/>
      <c r="D691" s="282"/>
      <c r="E691" s="833"/>
    </row>
    <row r="692" spans="1:5" x14ac:dyDescent="0.35">
      <c r="A692" s="281"/>
      <c r="B692" s="279"/>
      <c r="C692" s="850"/>
      <c r="D692" s="282"/>
      <c r="E692" s="833"/>
    </row>
    <row r="693" spans="1:5" x14ac:dyDescent="0.35">
      <c r="A693" s="281"/>
      <c r="B693" s="279"/>
      <c r="C693" s="850"/>
      <c r="D693" s="282"/>
      <c r="E693" s="833"/>
    </row>
    <row r="694" spans="1:5" x14ac:dyDescent="0.35">
      <c r="A694" s="281"/>
      <c r="B694" s="279"/>
      <c r="C694" s="850"/>
      <c r="D694" s="282"/>
      <c r="E694" s="833"/>
    </row>
    <row r="695" spans="1:5" x14ac:dyDescent="0.35">
      <c r="A695" s="281"/>
      <c r="B695" s="279"/>
      <c r="C695" s="850"/>
      <c r="D695" s="282"/>
      <c r="E695" s="833"/>
    </row>
    <row r="696" spans="1:5" x14ac:dyDescent="0.35">
      <c r="A696" s="281"/>
      <c r="B696" s="279"/>
      <c r="C696" s="850"/>
      <c r="D696" s="282"/>
      <c r="E696" s="833"/>
    </row>
    <row r="697" spans="1:5" x14ac:dyDescent="0.35">
      <c r="A697" s="281"/>
      <c r="B697" s="279"/>
      <c r="C697" s="850"/>
      <c r="D697" s="282"/>
      <c r="E697" s="833"/>
    </row>
    <row r="698" spans="1:5" x14ac:dyDescent="0.35">
      <c r="A698" s="281"/>
      <c r="B698" s="279"/>
      <c r="C698" s="850"/>
      <c r="D698" s="282"/>
      <c r="E698" s="833"/>
    </row>
    <row r="699" spans="1:5" x14ac:dyDescent="0.35">
      <c r="A699" s="281"/>
      <c r="B699" s="279"/>
      <c r="C699" s="850"/>
      <c r="D699" s="282"/>
      <c r="E699" s="833"/>
    </row>
    <row r="700" spans="1:5" x14ac:dyDescent="0.35">
      <c r="A700" s="281"/>
      <c r="B700" s="279"/>
      <c r="C700" s="850"/>
      <c r="D700" s="282"/>
      <c r="E700" s="833"/>
    </row>
    <row r="701" spans="1:5" x14ac:dyDescent="0.35">
      <c r="A701" s="281"/>
      <c r="B701" s="279"/>
      <c r="C701" s="850"/>
      <c r="D701" s="282"/>
      <c r="E701" s="833"/>
    </row>
    <row r="702" spans="1:5" x14ac:dyDescent="0.35">
      <c r="A702" s="281"/>
      <c r="B702" s="279"/>
      <c r="C702" s="850"/>
      <c r="D702" s="282"/>
      <c r="E702" s="833"/>
    </row>
    <row r="703" spans="1:5" x14ac:dyDescent="0.35">
      <c r="A703" s="281"/>
      <c r="B703" s="279"/>
      <c r="C703" s="850"/>
      <c r="D703" s="282"/>
      <c r="E703" s="833"/>
    </row>
    <row r="704" spans="1:5" x14ac:dyDescent="0.35">
      <c r="A704" s="281"/>
      <c r="B704" s="279"/>
      <c r="C704" s="850"/>
      <c r="D704" s="282"/>
      <c r="E704" s="833"/>
    </row>
    <row r="705" spans="1:5" x14ac:dyDescent="0.35">
      <c r="A705" s="281"/>
      <c r="B705" s="279"/>
      <c r="C705" s="850"/>
      <c r="D705" s="282"/>
      <c r="E705" s="833"/>
    </row>
    <row r="706" spans="1:5" x14ac:dyDescent="0.35">
      <c r="A706" s="281"/>
      <c r="B706" s="279"/>
      <c r="C706" s="850"/>
      <c r="D706" s="282"/>
      <c r="E706" s="833"/>
    </row>
    <row r="707" spans="1:5" x14ac:dyDescent="0.35">
      <c r="A707" s="281"/>
      <c r="B707" s="279"/>
      <c r="C707" s="850"/>
      <c r="D707" s="282"/>
      <c r="E707" s="833"/>
    </row>
    <row r="708" spans="1:5" x14ac:dyDescent="0.35">
      <c r="A708" s="281"/>
      <c r="B708" s="279"/>
      <c r="C708" s="850"/>
      <c r="D708" s="282"/>
      <c r="E708" s="833"/>
    </row>
    <row r="709" spans="1:5" x14ac:dyDescent="0.35">
      <c r="A709" s="281"/>
      <c r="B709" s="279"/>
      <c r="C709" s="850"/>
      <c r="D709" s="282"/>
      <c r="E709" s="833"/>
    </row>
    <row r="710" spans="1:5" x14ac:dyDescent="0.35">
      <c r="A710" s="281"/>
      <c r="B710" s="279"/>
      <c r="C710" s="850"/>
      <c r="D710" s="282"/>
      <c r="E710" s="833"/>
    </row>
    <row r="711" spans="1:5" x14ac:dyDescent="0.35">
      <c r="A711" s="281"/>
      <c r="B711" s="279"/>
      <c r="C711" s="850"/>
      <c r="D711" s="282"/>
      <c r="E711" s="833"/>
    </row>
    <row r="712" spans="1:5" x14ac:dyDescent="0.35">
      <c r="A712" s="281"/>
      <c r="B712" s="279"/>
      <c r="C712" s="850"/>
      <c r="D712" s="282"/>
      <c r="E712" s="833"/>
    </row>
    <row r="713" spans="1:5" x14ac:dyDescent="0.35">
      <c r="A713" s="281"/>
      <c r="B713" s="279"/>
      <c r="C713" s="850"/>
      <c r="D713" s="282"/>
      <c r="E713" s="833"/>
    </row>
    <row r="714" spans="1:5" x14ac:dyDescent="0.35">
      <c r="A714" s="281"/>
      <c r="B714" s="279"/>
      <c r="C714" s="850"/>
      <c r="D714" s="282"/>
      <c r="E714" s="833"/>
    </row>
    <row r="715" spans="1:5" x14ac:dyDescent="0.35">
      <c r="A715" s="281"/>
      <c r="B715" s="279"/>
      <c r="C715" s="850"/>
      <c r="D715" s="282"/>
      <c r="E715" s="833"/>
    </row>
    <row r="716" spans="1:5" x14ac:dyDescent="0.35">
      <c r="A716" s="281"/>
      <c r="B716" s="279"/>
      <c r="C716" s="850"/>
      <c r="D716" s="282"/>
      <c r="E716" s="833"/>
    </row>
    <row r="717" spans="1:5" x14ac:dyDescent="0.35">
      <c r="A717" s="281"/>
      <c r="B717" s="279"/>
      <c r="C717" s="850"/>
      <c r="D717" s="282"/>
      <c r="E717" s="833"/>
    </row>
    <row r="718" spans="1:5" x14ac:dyDescent="0.35">
      <c r="A718" s="281"/>
      <c r="B718" s="279"/>
      <c r="C718" s="850"/>
      <c r="D718" s="282"/>
      <c r="E718" s="833"/>
    </row>
    <row r="719" spans="1:5" x14ac:dyDescent="0.35">
      <c r="A719" s="281"/>
      <c r="B719" s="279"/>
      <c r="C719" s="850"/>
      <c r="D719" s="282"/>
      <c r="E719" s="833"/>
    </row>
    <row r="720" spans="1:5" x14ac:dyDescent="0.35">
      <c r="A720" s="281"/>
      <c r="B720" s="279"/>
      <c r="C720" s="850"/>
      <c r="D720" s="282"/>
      <c r="E720" s="833"/>
    </row>
    <row r="721" spans="1:5" x14ac:dyDescent="0.35">
      <c r="A721" s="281"/>
      <c r="B721" s="279"/>
      <c r="C721" s="850"/>
      <c r="D721" s="282"/>
      <c r="E721" s="833"/>
    </row>
    <row r="722" spans="1:5" x14ac:dyDescent="0.35">
      <c r="A722" s="281"/>
      <c r="B722" s="279"/>
      <c r="C722" s="850"/>
      <c r="D722" s="282"/>
      <c r="E722" s="833"/>
    </row>
    <row r="723" spans="1:5" x14ac:dyDescent="0.35">
      <c r="A723" s="281"/>
      <c r="B723" s="279"/>
      <c r="C723" s="850"/>
      <c r="D723" s="282"/>
      <c r="E723" s="833"/>
    </row>
    <row r="724" spans="1:5" x14ac:dyDescent="0.35">
      <c r="A724" s="281"/>
      <c r="B724" s="279"/>
      <c r="C724" s="850"/>
      <c r="D724" s="282"/>
      <c r="E724" s="833"/>
    </row>
    <row r="725" spans="1:5" x14ac:dyDescent="0.35">
      <c r="A725" s="281"/>
      <c r="B725" s="279"/>
      <c r="C725" s="850"/>
      <c r="D725" s="282"/>
      <c r="E725" s="833"/>
    </row>
    <row r="726" spans="1:5" x14ac:dyDescent="0.35">
      <c r="A726" s="281"/>
      <c r="B726" s="279"/>
      <c r="C726" s="850"/>
      <c r="D726" s="282"/>
      <c r="E726" s="833"/>
    </row>
    <row r="727" spans="1:5" x14ac:dyDescent="0.35">
      <c r="A727" s="281"/>
      <c r="B727" s="279"/>
      <c r="C727" s="850"/>
      <c r="D727" s="282"/>
      <c r="E727" s="833"/>
    </row>
    <row r="728" spans="1:5" x14ac:dyDescent="0.35">
      <c r="A728" s="281"/>
      <c r="B728" s="279"/>
      <c r="C728" s="850"/>
      <c r="D728" s="282"/>
      <c r="E728" s="833"/>
    </row>
    <row r="729" spans="1:5" x14ac:dyDescent="0.35">
      <c r="A729" s="281"/>
      <c r="B729" s="279"/>
      <c r="C729" s="850"/>
      <c r="D729" s="282"/>
      <c r="E729" s="833"/>
    </row>
    <row r="730" spans="1:5" x14ac:dyDescent="0.35">
      <c r="A730" s="281"/>
      <c r="B730" s="279"/>
      <c r="C730" s="850"/>
      <c r="D730" s="282"/>
      <c r="E730" s="833"/>
    </row>
    <row r="731" spans="1:5" x14ac:dyDescent="0.35">
      <c r="A731" s="281"/>
      <c r="B731" s="279"/>
      <c r="C731" s="850"/>
      <c r="D731" s="282"/>
      <c r="E731" s="833"/>
    </row>
    <row r="732" spans="1:5" x14ac:dyDescent="0.35">
      <c r="A732" s="281"/>
      <c r="B732" s="279"/>
      <c r="C732" s="850"/>
      <c r="D732" s="282"/>
      <c r="E732" s="833"/>
    </row>
    <row r="733" spans="1:5" x14ac:dyDescent="0.35">
      <c r="A733" s="281"/>
      <c r="B733" s="279"/>
      <c r="C733" s="850"/>
      <c r="D733" s="282"/>
      <c r="E733" s="833"/>
    </row>
    <row r="734" spans="1:5" x14ac:dyDescent="0.35">
      <c r="A734" s="281"/>
      <c r="B734" s="279"/>
      <c r="C734" s="850"/>
      <c r="D734" s="282"/>
      <c r="E734" s="833"/>
    </row>
    <row r="735" spans="1:5" x14ac:dyDescent="0.35">
      <c r="A735" s="281"/>
      <c r="B735" s="279"/>
      <c r="C735" s="850"/>
      <c r="D735" s="282"/>
      <c r="E735" s="833"/>
    </row>
    <row r="736" spans="1:5" x14ac:dyDescent="0.35">
      <c r="A736" s="281"/>
      <c r="B736" s="279"/>
      <c r="C736" s="850"/>
      <c r="D736" s="282"/>
      <c r="E736" s="833"/>
    </row>
    <row r="737" spans="1:5" x14ac:dyDescent="0.35">
      <c r="A737" s="281"/>
      <c r="B737" s="279"/>
      <c r="C737" s="850"/>
      <c r="D737" s="282"/>
      <c r="E737" s="833"/>
    </row>
    <row r="738" spans="1:5" x14ac:dyDescent="0.35">
      <c r="A738" s="281"/>
      <c r="B738" s="279"/>
      <c r="C738" s="850"/>
      <c r="D738" s="282"/>
      <c r="E738" s="833"/>
    </row>
    <row r="739" spans="1:5" x14ac:dyDescent="0.35">
      <c r="A739" s="281"/>
      <c r="B739" s="279"/>
      <c r="C739" s="850"/>
      <c r="D739" s="282"/>
      <c r="E739" s="833"/>
    </row>
    <row r="740" spans="1:5" x14ac:dyDescent="0.35">
      <c r="A740" s="281"/>
      <c r="B740" s="279"/>
      <c r="C740" s="850"/>
      <c r="D740" s="282"/>
      <c r="E740" s="833"/>
    </row>
    <row r="741" spans="1:5" x14ac:dyDescent="0.35">
      <c r="A741" s="281"/>
      <c r="B741" s="279"/>
      <c r="C741" s="850"/>
      <c r="D741" s="282"/>
      <c r="E741" s="833"/>
    </row>
    <row r="742" spans="1:5" x14ac:dyDescent="0.35">
      <c r="A742" s="281"/>
      <c r="B742" s="279"/>
      <c r="C742" s="850"/>
      <c r="D742" s="282"/>
      <c r="E742" s="833"/>
    </row>
    <row r="743" spans="1:5" x14ac:dyDescent="0.35">
      <c r="A743" s="281"/>
      <c r="B743" s="279"/>
      <c r="C743" s="850"/>
      <c r="D743" s="282"/>
      <c r="E743" s="833"/>
    </row>
    <row r="744" spans="1:5" x14ac:dyDescent="0.35">
      <c r="A744" s="281"/>
      <c r="B744" s="279"/>
      <c r="C744" s="850"/>
      <c r="D744" s="282"/>
      <c r="E744" s="833"/>
    </row>
    <row r="745" spans="1:5" x14ac:dyDescent="0.35">
      <c r="A745" s="281"/>
      <c r="B745" s="279"/>
      <c r="C745" s="850"/>
      <c r="D745" s="282"/>
      <c r="E745" s="833"/>
    </row>
    <row r="746" spans="1:5" x14ac:dyDescent="0.35">
      <c r="A746" s="281"/>
      <c r="B746" s="279"/>
      <c r="C746" s="850"/>
      <c r="D746" s="282"/>
      <c r="E746" s="833"/>
    </row>
    <row r="747" spans="1:5" x14ac:dyDescent="0.35">
      <c r="A747" s="281"/>
      <c r="B747" s="279"/>
      <c r="C747" s="850"/>
      <c r="D747" s="282"/>
      <c r="E747" s="833"/>
    </row>
    <row r="748" spans="1:5" x14ac:dyDescent="0.35">
      <c r="A748" s="281"/>
      <c r="B748" s="279"/>
      <c r="C748" s="850"/>
      <c r="D748" s="282"/>
      <c r="E748" s="833"/>
    </row>
    <row r="749" spans="1:5" x14ac:dyDescent="0.35">
      <c r="A749" s="281"/>
      <c r="B749" s="279"/>
      <c r="C749" s="850"/>
      <c r="D749" s="282"/>
      <c r="E749" s="833"/>
    </row>
    <row r="750" spans="1:5" x14ac:dyDescent="0.35">
      <c r="A750" s="281"/>
      <c r="B750" s="279"/>
      <c r="C750" s="850"/>
      <c r="D750" s="282"/>
      <c r="E750" s="833"/>
    </row>
    <row r="751" spans="1:5" x14ac:dyDescent="0.35">
      <c r="A751" s="281"/>
      <c r="B751" s="279"/>
      <c r="C751" s="850"/>
      <c r="D751" s="282"/>
      <c r="E751" s="833"/>
    </row>
    <row r="752" spans="1:5" x14ac:dyDescent="0.35">
      <c r="A752" s="281"/>
      <c r="B752" s="279"/>
      <c r="C752" s="850"/>
      <c r="D752" s="282"/>
      <c r="E752" s="833"/>
    </row>
    <row r="753" spans="1:5" x14ac:dyDescent="0.35">
      <c r="A753" s="281"/>
      <c r="B753" s="279"/>
      <c r="C753" s="850"/>
      <c r="D753" s="282"/>
      <c r="E753" s="833"/>
    </row>
    <row r="754" spans="1:5" x14ac:dyDescent="0.35">
      <c r="A754" s="281"/>
      <c r="B754" s="279"/>
      <c r="C754" s="850"/>
      <c r="D754" s="282"/>
      <c r="E754" s="833"/>
    </row>
    <row r="755" spans="1:5" x14ac:dyDescent="0.35">
      <c r="A755" s="281"/>
      <c r="B755" s="279"/>
      <c r="C755" s="850"/>
      <c r="D755" s="282"/>
      <c r="E755" s="833"/>
    </row>
    <row r="756" spans="1:5" x14ac:dyDescent="0.35">
      <c r="A756" s="281"/>
      <c r="B756" s="279"/>
      <c r="C756" s="850"/>
      <c r="D756" s="282"/>
      <c r="E756" s="833"/>
    </row>
    <row r="757" spans="1:5" x14ac:dyDescent="0.35">
      <c r="A757" s="281"/>
      <c r="B757" s="279"/>
      <c r="C757" s="850"/>
      <c r="D757" s="282"/>
      <c r="E757" s="833"/>
    </row>
    <row r="758" spans="1:5" x14ac:dyDescent="0.35">
      <c r="A758" s="281"/>
      <c r="B758" s="279"/>
      <c r="C758" s="850"/>
      <c r="D758" s="282"/>
      <c r="E758" s="833"/>
    </row>
    <row r="759" spans="1:5" x14ac:dyDescent="0.35">
      <c r="A759" s="281"/>
      <c r="B759" s="279"/>
      <c r="C759" s="850"/>
      <c r="D759" s="282"/>
      <c r="E759" s="833"/>
    </row>
    <row r="760" spans="1:5" x14ac:dyDescent="0.35">
      <c r="A760" s="281"/>
      <c r="B760" s="279"/>
      <c r="C760" s="850"/>
      <c r="D760" s="282"/>
      <c r="E760" s="833"/>
    </row>
    <row r="761" spans="1:5" x14ac:dyDescent="0.35">
      <c r="A761" s="281"/>
      <c r="B761" s="279"/>
      <c r="C761" s="850"/>
      <c r="D761" s="282"/>
      <c r="E761" s="833"/>
    </row>
    <row r="762" spans="1:5" x14ac:dyDescent="0.35">
      <c r="A762" s="281"/>
      <c r="B762" s="279"/>
      <c r="C762" s="850"/>
      <c r="D762" s="282"/>
      <c r="E762" s="833"/>
    </row>
    <row r="763" spans="1:5" x14ac:dyDescent="0.35">
      <c r="A763" s="281"/>
      <c r="B763" s="279"/>
      <c r="C763" s="850"/>
      <c r="D763" s="282"/>
      <c r="E763" s="833"/>
    </row>
    <row r="764" spans="1:5" x14ac:dyDescent="0.35">
      <c r="A764" s="281"/>
      <c r="B764" s="279"/>
      <c r="C764" s="850"/>
      <c r="D764" s="282"/>
      <c r="E764" s="833"/>
    </row>
    <row r="765" spans="1:5" x14ac:dyDescent="0.35">
      <c r="A765" s="281"/>
      <c r="B765" s="279"/>
      <c r="C765" s="850"/>
      <c r="D765" s="282"/>
      <c r="E765" s="833"/>
    </row>
    <row r="766" spans="1:5" x14ac:dyDescent="0.35">
      <c r="A766" s="281"/>
      <c r="B766" s="279"/>
      <c r="C766" s="850"/>
      <c r="D766" s="282"/>
      <c r="E766" s="833"/>
    </row>
    <row r="767" spans="1:5" x14ac:dyDescent="0.35">
      <c r="A767" s="281"/>
      <c r="B767" s="279"/>
      <c r="C767" s="850"/>
      <c r="D767" s="282"/>
      <c r="E767" s="833"/>
    </row>
    <row r="768" spans="1:5" x14ac:dyDescent="0.35">
      <c r="A768" s="281"/>
      <c r="B768" s="279"/>
      <c r="C768" s="850"/>
      <c r="D768" s="282"/>
      <c r="E768" s="833"/>
    </row>
    <row r="769" spans="1:5" x14ac:dyDescent="0.35">
      <c r="A769" s="281"/>
      <c r="B769" s="279"/>
      <c r="C769" s="850"/>
      <c r="D769" s="282"/>
      <c r="E769" s="833"/>
    </row>
    <row r="770" spans="1:5" x14ac:dyDescent="0.35">
      <c r="A770" s="281"/>
      <c r="B770" s="279"/>
      <c r="C770" s="850"/>
      <c r="D770" s="282"/>
      <c r="E770" s="833"/>
    </row>
    <row r="771" spans="1:5" x14ac:dyDescent="0.35">
      <c r="A771" s="281"/>
      <c r="B771" s="279"/>
      <c r="C771" s="850"/>
      <c r="D771" s="282"/>
      <c r="E771" s="833"/>
    </row>
    <row r="772" spans="1:5" x14ac:dyDescent="0.35">
      <c r="A772" s="281"/>
      <c r="B772" s="279"/>
      <c r="C772" s="850"/>
      <c r="D772" s="282"/>
      <c r="E772" s="833"/>
    </row>
    <row r="773" spans="1:5" x14ac:dyDescent="0.35">
      <c r="A773" s="281"/>
      <c r="B773" s="279"/>
      <c r="C773" s="850"/>
      <c r="D773" s="282"/>
      <c r="E773" s="833"/>
    </row>
    <row r="774" spans="1:5" x14ac:dyDescent="0.35">
      <c r="A774" s="281"/>
      <c r="B774" s="279"/>
      <c r="C774" s="850"/>
      <c r="D774" s="282"/>
      <c r="E774" s="833"/>
    </row>
    <row r="775" spans="1:5" x14ac:dyDescent="0.35">
      <c r="A775" s="281"/>
      <c r="B775" s="279"/>
      <c r="C775" s="850"/>
      <c r="D775" s="282"/>
      <c r="E775" s="833"/>
    </row>
    <row r="776" spans="1:5" x14ac:dyDescent="0.35">
      <c r="A776" s="281"/>
      <c r="B776" s="279"/>
      <c r="C776" s="850"/>
      <c r="D776" s="282"/>
      <c r="E776" s="833"/>
    </row>
    <row r="777" spans="1:5" x14ac:dyDescent="0.35">
      <c r="A777" s="281"/>
      <c r="B777" s="279"/>
      <c r="C777" s="850"/>
      <c r="D777" s="282"/>
      <c r="E777" s="833"/>
    </row>
    <row r="778" spans="1:5" x14ac:dyDescent="0.35">
      <c r="A778" s="281"/>
      <c r="B778" s="279"/>
      <c r="C778" s="850"/>
      <c r="D778" s="282"/>
      <c r="E778" s="833"/>
    </row>
    <row r="779" spans="1:5" x14ac:dyDescent="0.35">
      <c r="A779" s="281"/>
      <c r="B779" s="279"/>
      <c r="C779" s="850"/>
      <c r="D779" s="282"/>
      <c r="E779" s="833"/>
    </row>
    <row r="780" spans="1:5" x14ac:dyDescent="0.35">
      <c r="A780" s="281"/>
      <c r="B780" s="279"/>
      <c r="C780" s="850"/>
      <c r="D780" s="282"/>
      <c r="E780" s="833"/>
    </row>
    <row r="781" spans="1:5" x14ac:dyDescent="0.35">
      <c r="A781" s="281"/>
      <c r="B781" s="279"/>
      <c r="C781" s="850"/>
      <c r="D781" s="282"/>
      <c r="E781" s="833"/>
    </row>
    <row r="782" spans="1:5" x14ac:dyDescent="0.35">
      <c r="A782" s="281"/>
      <c r="B782" s="279"/>
      <c r="C782" s="850"/>
      <c r="D782" s="282"/>
      <c r="E782" s="833"/>
    </row>
    <row r="783" spans="1:5" x14ac:dyDescent="0.35">
      <c r="A783" s="281"/>
      <c r="B783" s="279"/>
      <c r="C783" s="850"/>
      <c r="D783" s="282"/>
      <c r="E783" s="833"/>
    </row>
    <row r="784" spans="1:5" x14ac:dyDescent="0.35">
      <c r="A784" s="281"/>
      <c r="B784" s="279"/>
      <c r="C784" s="850"/>
      <c r="D784" s="282"/>
      <c r="E784" s="833"/>
    </row>
    <row r="785" spans="1:5" x14ac:dyDescent="0.35">
      <c r="A785" s="281"/>
      <c r="B785" s="279"/>
      <c r="C785" s="850"/>
      <c r="D785" s="282"/>
      <c r="E785" s="833"/>
    </row>
    <row r="786" spans="1:5" x14ac:dyDescent="0.35">
      <c r="A786" s="281"/>
      <c r="B786" s="279"/>
      <c r="C786" s="850"/>
      <c r="D786" s="282"/>
      <c r="E786" s="833"/>
    </row>
    <row r="787" spans="1:5" x14ac:dyDescent="0.35">
      <c r="A787" s="281"/>
      <c r="B787" s="279"/>
      <c r="C787" s="850"/>
      <c r="D787" s="282"/>
      <c r="E787" s="833"/>
    </row>
    <row r="788" spans="1:5" x14ac:dyDescent="0.35">
      <c r="A788" s="281"/>
      <c r="B788" s="279"/>
      <c r="C788" s="850"/>
      <c r="D788" s="282"/>
      <c r="E788" s="833"/>
    </row>
    <row r="789" spans="1:5" x14ac:dyDescent="0.35">
      <c r="A789" s="281"/>
      <c r="B789" s="279"/>
      <c r="C789" s="850"/>
      <c r="D789" s="282"/>
      <c r="E789" s="833"/>
    </row>
    <row r="790" spans="1:5" x14ac:dyDescent="0.35">
      <c r="A790" s="281"/>
      <c r="B790" s="279"/>
      <c r="C790" s="850"/>
      <c r="D790" s="282"/>
      <c r="E790" s="833"/>
    </row>
    <row r="791" spans="1:5" x14ac:dyDescent="0.35">
      <c r="A791" s="281"/>
      <c r="B791" s="279"/>
      <c r="C791" s="850"/>
      <c r="D791" s="282"/>
      <c r="E791" s="833"/>
    </row>
    <row r="792" spans="1:5" x14ac:dyDescent="0.35">
      <c r="A792" s="281"/>
      <c r="B792" s="279"/>
      <c r="C792" s="850"/>
      <c r="D792" s="282"/>
      <c r="E792" s="833"/>
    </row>
    <row r="793" spans="1:5" x14ac:dyDescent="0.35">
      <c r="A793" s="281"/>
      <c r="B793" s="279"/>
      <c r="C793" s="850"/>
      <c r="D793" s="282"/>
      <c r="E793" s="833"/>
    </row>
    <row r="794" spans="1:5" x14ac:dyDescent="0.35">
      <c r="A794" s="281"/>
      <c r="B794" s="279"/>
      <c r="C794" s="850"/>
      <c r="D794" s="282"/>
      <c r="E794" s="833"/>
    </row>
    <row r="795" spans="1:5" x14ac:dyDescent="0.35">
      <c r="A795" s="281"/>
      <c r="B795" s="279"/>
      <c r="C795" s="850"/>
      <c r="D795" s="282"/>
      <c r="E795" s="833"/>
    </row>
    <row r="796" spans="1:5" x14ac:dyDescent="0.35">
      <c r="A796" s="281"/>
      <c r="B796" s="279"/>
      <c r="C796" s="850"/>
      <c r="D796" s="282"/>
      <c r="E796" s="833"/>
    </row>
    <row r="797" spans="1:5" x14ac:dyDescent="0.35">
      <c r="A797" s="281"/>
      <c r="B797" s="279"/>
      <c r="C797" s="850"/>
      <c r="D797" s="282"/>
      <c r="E797" s="833"/>
    </row>
    <row r="798" spans="1:5" x14ac:dyDescent="0.35">
      <c r="A798" s="281"/>
      <c r="B798" s="279"/>
      <c r="C798" s="850"/>
      <c r="D798" s="282"/>
      <c r="E798" s="833"/>
    </row>
    <row r="799" spans="1:5" x14ac:dyDescent="0.35">
      <c r="A799" s="281"/>
      <c r="B799" s="279"/>
      <c r="C799" s="850"/>
      <c r="D799" s="282"/>
      <c r="E799" s="833"/>
    </row>
    <row r="800" spans="1:5" x14ac:dyDescent="0.35">
      <c r="A800" s="281"/>
      <c r="B800" s="279"/>
      <c r="C800" s="850"/>
      <c r="D800" s="282"/>
      <c r="E800" s="833"/>
    </row>
    <row r="801" spans="1:5" x14ac:dyDescent="0.35">
      <c r="A801" s="281"/>
      <c r="B801" s="279"/>
      <c r="C801" s="850"/>
      <c r="D801" s="282"/>
      <c r="E801" s="833"/>
    </row>
    <row r="802" spans="1:5" x14ac:dyDescent="0.35">
      <c r="A802" s="281"/>
      <c r="B802" s="279"/>
      <c r="C802" s="850"/>
      <c r="D802" s="282"/>
      <c r="E802" s="833"/>
    </row>
    <row r="803" spans="1:5" x14ac:dyDescent="0.35">
      <c r="A803" s="281"/>
      <c r="B803" s="279"/>
      <c r="C803" s="850"/>
      <c r="D803" s="282"/>
      <c r="E803" s="833"/>
    </row>
    <row r="804" spans="1:5" x14ac:dyDescent="0.35">
      <c r="A804" s="281"/>
      <c r="B804" s="279"/>
      <c r="C804" s="850"/>
      <c r="D804" s="282"/>
      <c r="E804" s="833"/>
    </row>
    <row r="805" spans="1:5" x14ac:dyDescent="0.35">
      <c r="A805" s="281"/>
      <c r="B805" s="279"/>
      <c r="C805" s="850"/>
      <c r="D805" s="282"/>
      <c r="E805" s="833"/>
    </row>
    <row r="806" spans="1:5" x14ac:dyDescent="0.35">
      <c r="A806" s="281"/>
      <c r="B806" s="279"/>
      <c r="C806" s="850"/>
      <c r="D806" s="282"/>
      <c r="E806" s="833"/>
    </row>
    <row r="807" spans="1:5" x14ac:dyDescent="0.35">
      <c r="A807" s="281"/>
      <c r="B807" s="279"/>
      <c r="C807" s="850"/>
      <c r="D807" s="282"/>
      <c r="E807" s="833"/>
    </row>
    <row r="808" spans="1:5" x14ac:dyDescent="0.35">
      <c r="A808" s="281"/>
      <c r="B808" s="279"/>
      <c r="C808" s="850"/>
      <c r="D808" s="282"/>
      <c r="E808" s="833"/>
    </row>
    <row r="809" spans="1:5" x14ac:dyDescent="0.35">
      <c r="A809" s="281"/>
      <c r="B809" s="279"/>
      <c r="C809" s="850"/>
      <c r="D809" s="282"/>
      <c r="E809" s="833"/>
    </row>
    <row r="810" spans="1:5" x14ac:dyDescent="0.35">
      <c r="A810" s="281"/>
      <c r="B810" s="279"/>
      <c r="C810" s="850"/>
      <c r="D810" s="282"/>
      <c r="E810" s="833"/>
    </row>
    <row r="811" spans="1:5" x14ac:dyDescent="0.35">
      <c r="A811" s="281"/>
      <c r="B811" s="279"/>
      <c r="C811" s="850"/>
      <c r="D811" s="282"/>
      <c r="E811" s="833"/>
    </row>
    <row r="812" spans="1:5" x14ac:dyDescent="0.35">
      <c r="A812" s="281"/>
      <c r="B812" s="279"/>
      <c r="C812" s="850"/>
      <c r="D812" s="282"/>
      <c r="E812" s="833"/>
    </row>
    <row r="813" spans="1:5" x14ac:dyDescent="0.35">
      <c r="A813" s="281"/>
      <c r="B813" s="279"/>
      <c r="C813" s="850"/>
      <c r="D813" s="282"/>
      <c r="E813" s="833"/>
    </row>
    <row r="814" spans="1:5" x14ac:dyDescent="0.35">
      <c r="A814" s="281"/>
      <c r="B814" s="279"/>
      <c r="C814" s="850"/>
      <c r="D814" s="282"/>
      <c r="E814" s="833"/>
    </row>
    <row r="815" spans="1:5" x14ac:dyDescent="0.35">
      <c r="A815" s="281"/>
      <c r="B815" s="279"/>
      <c r="C815" s="850"/>
      <c r="D815" s="282"/>
      <c r="E815" s="833"/>
    </row>
    <row r="816" spans="1:5" x14ac:dyDescent="0.35">
      <c r="A816" s="281"/>
      <c r="B816" s="279"/>
      <c r="C816" s="850"/>
      <c r="D816" s="282"/>
      <c r="E816" s="833"/>
    </row>
    <row r="817" spans="1:5" x14ac:dyDescent="0.35">
      <c r="A817" s="281"/>
      <c r="B817" s="279"/>
      <c r="C817" s="850"/>
      <c r="D817" s="282"/>
      <c r="E817" s="833"/>
    </row>
    <row r="818" spans="1:5" x14ac:dyDescent="0.35">
      <c r="A818" s="281"/>
      <c r="B818" s="279"/>
      <c r="C818" s="850"/>
      <c r="D818" s="282"/>
      <c r="E818" s="833"/>
    </row>
    <row r="819" spans="1:5" x14ac:dyDescent="0.35">
      <c r="A819" s="281"/>
      <c r="B819" s="279"/>
      <c r="C819" s="850"/>
      <c r="D819" s="282"/>
      <c r="E819" s="833"/>
    </row>
    <row r="820" spans="1:5" x14ac:dyDescent="0.35">
      <c r="A820" s="281"/>
      <c r="B820" s="279"/>
      <c r="C820" s="850"/>
      <c r="D820" s="282"/>
      <c r="E820" s="833"/>
    </row>
    <row r="821" spans="1:5" x14ac:dyDescent="0.35">
      <c r="A821" s="281"/>
      <c r="B821" s="279"/>
      <c r="C821" s="850"/>
      <c r="D821" s="282"/>
      <c r="E821" s="833"/>
    </row>
    <row r="822" spans="1:5" x14ac:dyDescent="0.35">
      <c r="A822" s="281"/>
      <c r="B822" s="279"/>
      <c r="C822" s="850"/>
      <c r="D822" s="282"/>
      <c r="E822" s="833"/>
    </row>
    <row r="823" spans="1:5" x14ac:dyDescent="0.35">
      <c r="A823" s="281"/>
      <c r="B823" s="279"/>
      <c r="C823" s="850"/>
      <c r="D823" s="282"/>
      <c r="E823" s="833"/>
    </row>
    <row r="824" spans="1:5" x14ac:dyDescent="0.35">
      <c r="A824" s="281"/>
      <c r="B824" s="279"/>
      <c r="C824" s="850"/>
      <c r="D824" s="282"/>
      <c r="E824" s="833"/>
    </row>
    <row r="825" spans="1:5" x14ac:dyDescent="0.35">
      <c r="A825" s="281"/>
      <c r="B825" s="279"/>
      <c r="C825" s="850"/>
      <c r="D825" s="282"/>
      <c r="E825" s="833"/>
    </row>
    <row r="826" spans="1:5" x14ac:dyDescent="0.35">
      <c r="A826" s="281"/>
      <c r="B826" s="279"/>
      <c r="C826" s="850"/>
      <c r="D826" s="282"/>
      <c r="E826" s="833"/>
    </row>
    <row r="827" spans="1:5" x14ac:dyDescent="0.35">
      <c r="A827" s="281"/>
      <c r="B827" s="279"/>
      <c r="C827" s="850"/>
      <c r="D827" s="282"/>
      <c r="E827" s="833"/>
    </row>
    <row r="828" spans="1:5" x14ac:dyDescent="0.35">
      <c r="A828" s="281"/>
      <c r="B828" s="279"/>
      <c r="C828" s="850"/>
      <c r="D828" s="282"/>
      <c r="E828" s="833"/>
    </row>
    <row r="829" spans="1:5" x14ac:dyDescent="0.35">
      <c r="A829" s="281"/>
      <c r="B829" s="279"/>
      <c r="C829" s="850"/>
      <c r="D829" s="282"/>
      <c r="E829" s="833"/>
    </row>
    <row r="830" spans="1:5" x14ac:dyDescent="0.35">
      <c r="A830" s="281"/>
      <c r="B830" s="279"/>
      <c r="C830" s="850"/>
      <c r="D830" s="282"/>
      <c r="E830" s="833"/>
    </row>
    <row r="831" spans="1:5" x14ac:dyDescent="0.35">
      <c r="A831" s="281"/>
      <c r="B831" s="279"/>
      <c r="C831" s="850"/>
      <c r="D831" s="282"/>
      <c r="E831" s="833"/>
    </row>
    <row r="832" spans="1:5" x14ac:dyDescent="0.35">
      <c r="A832" s="281"/>
      <c r="B832" s="279"/>
      <c r="C832" s="850"/>
      <c r="D832" s="282"/>
      <c r="E832" s="833"/>
    </row>
    <row r="833" spans="1:5" x14ac:dyDescent="0.35">
      <c r="A833" s="281"/>
      <c r="B833" s="279"/>
      <c r="C833" s="850"/>
      <c r="D833" s="282"/>
      <c r="E833" s="833"/>
    </row>
    <row r="834" spans="1:5" x14ac:dyDescent="0.35">
      <c r="A834" s="281"/>
      <c r="B834" s="279"/>
      <c r="C834" s="850"/>
      <c r="D834" s="282"/>
      <c r="E834" s="833"/>
    </row>
    <row r="835" spans="1:5" x14ac:dyDescent="0.35">
      <c r="A835" s="281"/>
      <c r="B835" s="279"/>
      <c r="C835" s="850"/>
      <c r="D835" s="282"/>
      <c r="E835" s="833"/>
    </row>
    <row r="836" spans="1:5" x14ac:dyDescent="0.35">
      <c r="A836" s="281"/>
      <c r="B836" s="279"/>
      <c r="C836" s="850"/>
      <c r="D836" s="282"/>
      <c r="E836" s="833"/>
    </row>
    <row r="837" spans="1:5" x14ac:dyDescent="0.35">
      <c r="A837" s="281"/>
      <c r="B837" s="279"/>
      <c r="C837" s="850"/>
      <c r="D837" s="282"/>
      <c r="E837" s="833"/>
    </row>
    <row r="838" spans="1:5" x14ac:dyDescent="0.35">
      <c r="A838" s="281"/>
      <c r="B838" s="279"/>
      <c r="C838" s="850"/>
      <c r="D838" s="282"/>
      <c r="E838" s="833"/>
    </row>
    <row r="839" spans="1:5" x14ac:dyDescent="0.35">
      <c r="A839" s="281"/>
      <c r="B839" s="279"/>
      <c r="C839" s="850"/>
      <c r="D839" s="282"/>
      <c r="E839" s="833"/>
    </row>
    <row r="840" spans="1:5" x14ac:dyDescent="0.35">
      <c r="A840" s="281"/>
      <c r="B840" s="279"/>
      <c r="C840" s="850"/>
      <c r="D840" s="282"/>
      <c r="E840" s="833"/>
    </row>
    <row r="841" spans="1:5" x14ac:dyDescent="0.35">
      <c r="A841" s="281"/>
      <c r="B841" s="279"/>
      <c r="C841" s="850"/>
      <c r="D841" s="282"/>
      <c r="E841" s="833"/>
    </row>
    <row r="842" spans="1:5" x14ac:dyDescent="0.35">
      <c r="A842" s="281"/>
      <c r="B842" s="279"/>
      <c r="C842" s="850"/>
      <c r="D842" s="282"/>
      <c r="E842" s="833"/>
    </row>
    <row r="843" spans="1:5" x14ac:dyDescent="0.35">
      <c r="A843" s="281"/>
      <c r="B843" s="279"/>
      <c r="C843" s="850"/>
      <c r="D843" s="282"/>
      <c r="E843" s="833"/>
    </row>
    <row r="844" spans="1:5" x14ac:dyDescent="0.35">
      <c r="A844" s="281"/>
      <c r="B844" s="279"/>
      <c r="C844" s="850"/>
      <c r="D844" s="282"/>
      <c r="E844" s="833"/>
    </row>
    <row r="845" spans="1:5" x14ac:dyDescent="0.35">
      <c r="A845" s="281"/>
      <c r="B845" s="279"/>
      <c r="C845" s="850"/>
      <c r="D845" s="282"/>
      <c r="E845" s="833"/>
    </row>
    <row r="846" spans="1:5" x14ac:dyDescent="0.35">
      <c r="A846" s="281"/>
      <c r="B846" s="279"/>
      <c r="C846" s="850"/>
      <c r="D846" s="282"/>
      <c r="E846" s="833"/>
    </row>
    <row r="847" spans="1:5" x14ac:dyDescent="0.35">
      <c r="A847" s="281"/>
      <c r="B847" s="279"/>
      <c r="C847" s="850"/>
      <c r="D847" s="282"/>
      <c r="E847" s="833"/>
    </row>
    <row r="848" spans="1:5" x14ac:dyDescent="0.35">
      <c r="A848" s="281"/>
      <c r="B848" s="279"/>
      <c r="C848" s="850"/>
      <c r="D848" s="282"/>
      <c r="E848" s="833"/>
    </row>
    <row r="849" spans="1:5" x14ac:dyDescent="0.35">
      <c r="A849" s="281"/>
      <c r="B849" s="279"/>
      <c r="C849" s="850"/>
      <c r="D849" s="282"/>
      <c r="E849" s="833"/>
    </row>
    <row r="850" spans="1:5" x14ac:dyDescent="0.35">
      <c r="A850" s="281"/>
      <c r="B850" s="279"/>
      <c r="C850" s="850"/>
      <c r="D850" s="282"/>
      <c r="E850" s="833"/>
    </row>
    <row r="851" spans="1:5" x14ac:dyDescent="0.35">
      <c r="A851" s="281"/>
      <c r="B851" s="279"/>
      <c r="C851" s="850"/>
      <c r="D851" s="282"/>
      <c r="E851" s="833"/>
    </row>
    <row r="852" spans="1:5" x14ac:dyDescent="0.35">
      <c r="A852" s="281"/>
      <c r="B852" s="279"/>
      <c r="C852" s="850"/>
      <c r="D852" s="282"/>
      <c r="E852" s="833"/>
    </row>
    <row r="853" spans="1:5" x14ac:dyDescent="0.35">
      <c r="A853" s="281"/>
      <c r="B853" s="279"/>
      <c r="C853" s="850"/>
      <c r="D853" s="282"/>
      <c r="E853" s="833"/>
    </row>
    <row r="854" spans="1:5" x14ac:dyDescent="0.35">
      <c r="A854" s="281"/>
      <c r="B854" s="279"/>
      <c r="C854" s="850"/>
      <c r="D854" s="282"/>
      <c r="E854" s="833"/>
    </row>
    <row r="855" spans="1:5" x14ac:dyDescent="0.35">
      <c r="A855" s="281"/>
      <c r="B855" s="279"/>
      <c r="C855" s="850"/>
      <c r="D855" s="282"/>
      <c r="E855" s="833"/>
    </row>
    <row r="856" spans="1:5" x14ac:dyDescent="0.35">
      <c r="A856" s="281"/>
      <c r="B856" s="279"/>
      <c r="C856" s="850"/>
      <c r="D856" s="282"/>
      <c r="E856" s="833"/>
    </row>
    <row r="857" spans="1:5" x14ac:dyDescent="0.35">
      <c r="A857" s="281"/>
      <c r="B857" s="279"/>
      <c r="C857" s="850"/>
      <c r="D857" s="282"/>
      <c r="E857" s="833"/>
    </row>
    <row r="858" spans="1:5" x14ac:dyDescent="0.35">
      <c r="A858" s="281"/>
      <c r="B858" s="279"/>
      <c r="C858" s="850"/>
      <c r="D858" s="282"/>
      <c r="E858" s="833"/>
    </row>
    <row r="859" spans="1:5" x14ac:dyDescent="0.35">
      <c r="A859" s="281"/>
      <c r="B859" s="279"/>
      <c r="C859" s="850"/>
      <c r="D859" s="282"/>
      <c r="E859" s="833"/>
    </row>
    <row r="860" spans="1:5" x14ac:dyDescent="0.35">
      <c r="A860" s="281"/>
      <c r="B860" s="279"/>
      <c r="C860" s="850"/>
      <c r="D860" s="282"/>
      <c r="E860" s="833"/>
    </row>
    <row r="861" spans="1:5" x14ac:dyDescent="0.35">
      <c r="A861" s="281"/>
      <c r="B861" s="279"/>
      <c r="C861" s="850"/>
      <c r="D861" s="282"/>
      <c r="E861" s="833"/>
    </row>
    <row r="862" spans="1:5" x14ac:dyDescent="0.35">
      <c r="A862" s="281"/>
      <c r="B862" s="279"/>
      <c r="C862" s="850"/>
      <c r="D862" s="282"/>
      <c r="E862" s="833"/>
    </row>
    <row r="863" spans="1:5" x14ac:dyDescent="0.35">
      <c r="A863" s="281"/>
      <c r="B863" s="279"/>
      <c r="C863" s="850"/>
      <c r="D863" s="282"/>
      <c r="E863" s="833"/>
    </row>
    <row r="864" spans="1:5" x14ac:dyDescent="0.35">
      <c r="A864" s="281"/>
      <c r="B864" s="279"/>
      <c r="C864" s="850"/>
      <c r="D864" s="282"/>
      <c r="E864" s="833"/>
    </row>
    <row r="865" spans="1:5" x14ac:dyDescent="0.35">
      <c r="A865" s="281"/>
      <c r="B865" s="279"/>
      <c r="C865" s="850"/>
      <c r="D865" s="282"/>
      <c r="E865" s="833"/>
    </row>
    <row r="866" spans="1:5" x14ac:dyDescent="0.35">
      <c r="A866" s="281"/>
      <c r="B866" s="279"/>
      <c r="C866" s="850"/>
      <c r="D866" s="282"/>
      <c r="E866" s="833"/>
    </row>
    <row r="867" spans="1:5" x14ac:dyDescent="0.35">
      <c r="A867" s="281"/>
      <c r="B867" s="279"/>
      <c r="C867" s="850"/>
      <c r="D867" s="282"/>
      <c r="E867" s="833"/>
    </row>
    <row r="868" spans="1:5" x14ac:dyDescent="0.35">
      <c r="A868" s="281"/>
      <c r="B868" s="279"/>
      <c r="C868" s="850"/>
      <c r="D868" s="282"/>
      <c r="E868" s="833"/>
    </row>
    <row r="869" spans="1:5" x14ac:dyDescent="0.35">
      <c r="A869" s="281"/>
      <c r="B869" s="279"/>
      <c r="C869" s="850"/>
      <c r="D869" s="282"/>
      <c r="E869" s="833"/>
    </row>
    <row r="870" spans="1:5" x14ac:dyDescent="0.35">
      <c r="A870" s="281"/>
      <c r="B870" s="279"/>
      <c r="C870" s="850"/>
      <c r="D870" s="282"/>
      <c r="E870" s="833"/>
    </row>
    <row r="871" spans="1:5" x14ac:dyDescent="0.35">
      <c r="A871" s="281"/>
      <c r="B871" s="279"/>
      <c r="C871" s="850"/>
      <c r="D871" s="282"/>
      <c r="E871" s="833"/>
    </row>
    <row r="872" spans="1:5" x14ac:dyDescent="0.35">
      <c r="A872" s="281"/>
      <c r="B872" s="279"/>
      <c r="C872" s="850"/>
      <c r="D872" s="282"/>
      <c r="E872" s="833"/>
    </row>
    <row r="873" spans="1:5" x14ac:dyDescent="0.35">
      <c r="A873" s="281"/>
      <c r="B873" s="279"/>
      <c r="C873" s="850"/>
      <c r="D873" s="282"/>
      <c r="E873" s="833"/>
    </row>
    <row r="874" spans="1:5" x14ac:dyDescent="0.35">
      <c r="A874" s="281"/>
      <c r="B874" s="279"/>
      <c r="C874" s="850"/>
      <c r="D874" s="282"/>
      <c r="E874" s="833"/>
    </row>
    <row r="875" spans="1:5" x14ac:dyDescent="0.35">
      <c r="A875" s="281"/>
      <c r="B875" s="279"/>
      <c r="C875" s="850"/>
      <c r="D875" s="282"/>
      <c r="E875" s="833"/>
    </row>
    <row r="876" spans="1:5" x14ac:dyDescent="0.35">
      <c r="A876" s="281"/>
      <c r="B876" s="279"/>
      <c r="C876" s="850"/>
      <c r="D876" s="282"/>
      <c r="E876" s="833"/>
    </row>
    <row r="877" spans="1:5" x14ac:dyDescent="0.35">
      <c r="A877" s="281"/>
      <c r="B877" s="279"/>
      <c r="C877" s="850"/>
      <c r="D877" s="282"/>
      <c r="E877" s="833"/>
    </row>
    <row r="878" spans="1:5" x14ac:dyDescent="0.35">
      <c r="A878" s="281"/>
      <c r="B878" s="279"/>
      <c r="C878" s="850"/>
      <c r="D878" s="282"/>
      <c r="E878" s="833"/>
    </row>
    <row r="879" spans="1:5" x14ac:dyDescent="0.35">
      <c r="A879" s="281"/>
      <c r="B879" s="279"/>
      <c r="C879" s="850"/>
      <c r="D879" s="282"/>
      <c r="E879" s="833"/>
    </row>
    <row r="880" spans="1:5" x14ac:dyDescent="0.35">
      <c r="A880" s="281"/>
      <c r="B880" s="279"/>
      <c r="C880" s="850"/>
      <c r="D880" s="282"/>
      <c r="E880" s="833"/>
    </row>
    <row r="881" spans="1:5" x14ac:dyDescent="0.35">
      <c r="A881" s="281"/>
      <c r="B881" s="279"/>
      <c r="C881" s="850"/>
      <c r="D881" s="282"/>
      <c r="E881" s="833"/>
    </row>
    <row r="882" spans="1:5" x14ac:dyDescent="0.35">
      <c r="A882" s="281"/>
      <c r="B882" s="279"/>
      <c r="C882" s="850"/>
      <c r="D882" s="282"/>
      <c r="E882" s="833"/>
    </row>
    <row r="883" spans="1:5" x14ac:dyDescent="0.35">
      <c r="A883" s="281"/>
      <c r="B883" s="279"/>
      <c r="C883" s="850"/>
      <c r="D883" s="282"/>
      <c r="E883" s="833"/>
    </row>
    <row r="884" spans="1:5" x14ac:dyDescent="0.35">
      <c r="A884" s="281"/>
      <c r="B884" s="279"/>
      <c r="C884" s="850"/>
      <c r="D884" s="282"/>
      <c r="E884" s="833"/>
    </row>
    <row r="885" spans="1:5" x14ac:dyDescent="0.35">
      <c r="A885" s="281"/>
      <c r="B885" s="279"/>
      <c r="C885" s="850"/>
      <c r="D885" s="282"/>
      <c r="E885" s="833"/>
    </row>
    <row r="886" spans="1:5" x14ac:dyDescent="0.35">
      <c r="A886" s="281"/>
      <c r="B886" s="279"/>
      <c r="C886" s="850"/>
      <c r="D886" s="282"/>
      <c r="E886" s="833"/>
    </row>
    <row r="887" spans="1:5" x14ac:dyDescent="0.35">
      <c r="A887" s="281"/>
      <c r="B887" s="279"/>
      <c r="C887" s="850"/>
      <c r="D887" s="282"/>
      <c r="E887" s="833"/>
    </row>
    <row r="888" spans="1:5" x14ac:dyDescent="0.35">
      <c r="A888" s="281"/>
      <c r="B888" s="279"/>
      <c r="C888" s="850"/>
      <c r="D888" s="282"/>
      <c r="E888" s="833"/>
    </row>
    <row r="889" spans="1:5" x14ac:dyDescent="0.35">
      <c r="A889" s="281"/>
      <c r="B889" s="279"/>
      <c r="C889" s="850"/>
      <c r="D889" s="282"/>
      <c r="E889" s="833"/>
    </row>
    <row r="890" spans="1:5" x14ac:dyDescent="0.35">
      <c r="A890" s="281"/>
      <c r="B890" s="279"/>
      <c r="C890" s="850"/>
      <c r="D890" s="282"/>
      <c r="E890" s="833"/>
    </row>
    <row r="891" spans="1:5" x14ac:dyDescent="0.35">
      <c r="A891" s="281"/>
      <c r="B891" s="279"/>
      <c r="C891" s="850"/>
      <c r="D891" s="282"/>
      <c r="E891" s="833"/>
    </row>
    <row r="892" spans="1:5" x14ac:dyDescent="0.35">
      <c r="A892" s="281"/>
      <c r="B892" s="279"/>
      <c r="C892" s="850"/>
      <c r="D892" s="282"/>
      <c r="E892" s="833"/>
    </row>
    <row r="893" spans="1:5" x14ac:dyDescent="0.35">
      <c r="A893" s="281"/>
      <c r="B893" s="279"/>
      <c r="C893" s="850"/>
      <c r="D893" s="282"/>
      <c r="E893" s="833"/>
    </row>
    <row r="894" spans="1:5" x14ac:dyDescent="0.35">
      <c r="A894" s="281"/>
      <c r="B894" s="279"/>
      <c r="C894" s="850"/>
      <c r="D894" s="282"/>
      <c r="E894" s="833"/>
    </row>
    <row r="895" spans="1:5" x14ac:dyDescent="0.35">
      <c r="A895" s="281"/>
      <c r="B895" s="279"/>
      <c r="C895" s="850"/>
      <c r="D895" s="282"/>
      <c r="E895" s="833"/>
    </row>
    <row r="896" spans="1:5" x14ac:dyDescent="0.35">
      <c r="A896" s="281"/>
      <c r="B896" s="279"/>
      <c r="C896" s="850"/>
      <c r="D896" s="282"/>
      <c r="E896" s="833"/>
    </row>
    <row r="897" spans="1:5" x14ac:dyDescent="0.35">
      <c r="A897" s="281"/>
      <c r="B897" s="279"/>
      <c r="C897" s="850"/>
      <c r="D897" s="282"/>
      <c r="E897" s="833"/>
    </row>
    <row r="898" spans="1:5" x14ac:dyDescent="0.35">
      <c r="A898" s="281"/>
      <c r="B898" s="279"/>
      <c r="C898" s="850"/>
      <c r="D898" s="282"/>
      <c r="E898" s="833"/>
    </row>
    <row r="899" spans="1:5" x14ac:dyDescent="0.35">
      <c r="A899" s="281"/>
      <c r="B899" s="279"/>
      <c r="C899" s="850"/>
      <c r="D899" s="282"/>
      <c r="E899" s="833"/>
    </row>
    <row r="900" spans="1:5" x14ac:dyDescent="0.35">
      <c r="A900" s="281"/>
      <c r="B900" s="279"/>
      <c r="C900" s="850"/>
      <c r="D900" s="282"/>
      <c r="E900" s="833"/>
    </row>
    <row r="901" spans="1:5" x14ac:dyDescent="0.35">
      <c r="A901" s="281"/>
      <c r="B901" s="279"/>
      <c r="C901" s="850"/>
      <c r="D901" s="282"/>
      <c r="E901" s="833"/>
    </row>
    <row r="902" spans="1:5" x14ac:dyDescent="0.35">
      <c r="A902" s="281"/>
      <c r="B902" s="279"/>
      <c r="C902" s="850"/>
      <c r="D902" s="282"/>
      <c r="E902" s="833"/>
    </row>
    <row r="903" spans="1:5" x14ac:dyDescent="0.35">
      <c r="A903" s="281"/>
      <c r="B903" s="279"/>
      <c r="C903" s="850"/>
      <c r="D903" s="282"/>
      <c r="E903" s="833"/>
    </row>
    <row r="904" spans="1:5" x14ac:dyDescent="0.35">
      <c r="A904" s="281"/>
      <c r="B904" s="279"/>
      <c r="C904" s="850"/>
      <c r="D904" s="282"/>
      <c r="E904" s="833"/>
    </row>
    <row r="905" spans="1:5" x14ac:dyDescent="0.35">
      <c r="A905" s="281"/>
      <c r="B905" s="279"/>
      <c r="C905" s="850"/>
      <c r="D905" s="282"/>
      <c r="E905" s="833"/>
    </row>
    <row r="906" spans="1:5" x14ac:dyDescent="0.35">
      <c r="A906" s="281"/>
      <c r="B906" s="279"/>
      <c r="C906" s="850"/>
      <c r="D906" s="282"/>
      <c r="E906" s="833"/>
    </row>
    <row r="907" spans="1:5" x14ac:dyDescent="0.35">
      <c r="A907" s="281"/>
      <c r="B907" s="279"/>
      <c r="C907" s="850"/>
      <c r="D907" s="282"/>
      <c r="E907" s="833"/>
    </row>
    <row r="908" spans="1:5" x14ac:dyDescent="0.35">
      <c r="A908" s="281"/>
      <c r="B908" s="279"/>
      <c r="C908" s="850"/>
      <c r="D908" s="282"/>
      <c r="E908" s="833"/>
    </row>
    <row r="909" spans="1:5" x14ac:dyDescent="0.35">
      <c r="A909" s="281"/>
      <c r="B909" s="279"/>
      <c r="C909" s="850"/>
      <c r="D909" s="282"/>
      <c r="E909" s="833"/>
    </row>
    <row r="910" spans="1:5" x14ac:dyDescent="0.35">
      <c r="A910" s="281"/>
      <c r="B910" s="279"/>
      <c r="C910" s="850"/>
      <c r="D910" s="282"/>
      <c r="E910" s="833"/>
    </row>
    <row r="911" spans="1:5" x14ac:dyDescent="0.35">
      <c r="A911" s="281"/>
      <c r="B911" s="279"/>
      <c r="C911" s="850"/>
      <c r="D911" s="282"/>
      <c r="E911" s="833"/>
    </row>
    <row r="912" spans="1:5" x14ac:dyDescent="0.35">
      <c r="A912" s="281"/>
      <c r="B912" s="279"/>
      <c r="C912" s="850"/>
      <c r="D912" s="282"/>
      <c r="E912" s="833"/>
    </row>
    <row r="913" spans="1:5" x14ac:dyDescent="0.35">
      <c r="A913" s="281"/>
      <c r="B913" s="279"/>
      <c r="C913" s="850"/>
      <c r="D913" s="282"/>
      <c r="E913" s="833"/>
    </row>
    <row r="914" spans="1:5" x14ac:dyDescent="0.35">
      <c r="A914" s="281"/>
      <c r="B914" s="279"/>
      <c r="C914" s="850"/>
      <c r="D914" s="282"/>
      <c r="E914" s="833"/>
    </row>
    <row r="915" spans="1:5" x14ac:dyDescent="0.35">
      <c r="A915" s="281"/>
      <c r="B915" s="279"/>
      <c r="C915" s="850"/>
      <c r="D915" s="282"/>
      <c r="E915" s="833"/>
    </row>
    <row r="916" spans="1:5" x14ac:dyDescent="0.35">
      <c r="A916" s="281"/>
      <c r="B916" s="279"/>
      <c r="C916" s="850"/>
      <c r="D916" s="282"/>
      <c r="E916" s="833"/>
    </row>
    <row r="917" spans="1:5" x14ac:dyDescent="0.35">
      <c r="A917" s="281"/>
      <c r="B917" s="279"/>
      <c r="C917" s="850"/>
      <c r="D917" s="282"/>
      <c r="E917" s="833"/>
    </row>
    <row r="918" spans="1:5" x14ac:dyDescent="0.35">
      <c r="A918" s="281"/>
      <c r="B918" s="279"/>
      <c r="C918" s="850"/>
      <c r="D918" s="282"/>
      <c r="E918" s="833"/>
    </row>
    <row r="919" spans="1:5" x14ac:dyDescent="0.35">
      <c r="A919" s="281"/>
      <c r="B919" s="279"/>
      <c r="C919" s="850"/>
      <c r="D919" s="282"/>
      <c r="E919" s="833"/>
    </row>
    <row r="920" spans="1:5" x14ac:dyDescent="0.35">
      <c r="A920" s="281"/>
      <c r="B920" s="279"/>
      <c r="C920" s="850"/>
      <c r="D920" s="282"/>
      <c r="E920" s="833"/>
    </row>
    <row r="921" spans="1:5" x14ac:dyDescent="0.35">
      <c r="A921" s="281"/>
      <c r="B921" s="279"/>
      <c r="C921" s="850"/>
      <c r="D921" s="282"/>
      <c r="E921" s="833"/>
    </row>
    <row r="922" spans="1:5" x14ac:dyDescent="0.35">
      <c r="A922" s="281"/>
      <c r="B922" s="279"/>
      <c r="C922" s="850"/>
      <c r="D922" s="282"/>
      <c r="E922" s="833"/>
    </row>
    <row r="923" spans="1:5" x14ac:dyDescent="0.35">
      <c r="A923" s="281"/>
      <c r="B923" s="279"/>
      <c r="C923" s="850"/>
      <c r="D923" s="282"/>
      <c r="E923" s="833"/>
    </row>
    <row r="924" spans="1:5" x14ac:dyDescent="0.35">
      <c r="A924" s="281"/>
      <c r="B924" s="279"/>
      <c r="C924" s="850"/>
      <c r="D924" s="282"/>
      <c r="E924" s="833"/>
    </row>
    <row r="925" spans="1:5" x14ac:dyDescent="0.35">
      <c r="A925" s="281"/>
      <c r="B925" s="279"/>
      <c r="C925" s="850"/>
      <c r="D925" s="282"/>
      <c r="E925" s="833"/>
    </row>
    <row r="926" spans="1:5" x14ac:dyDescent="0.35">
      <c r="A926" s="281"/>
      <c r="B926" s="279"/>
      <c r="C926" s="850"/>
      <c r="D926" s="282"/>
      <c r="E926" s="833"/>
    </row>
    <row r="927" spans="1:5" x14ac:dyDescent="0.35">
      <c r="A927" s="281"/>
      <c r="B927" s="279"/>
      <c r="C927" s="850"/>
      <c r="D927" s="282"/>
      <c r="E927" s="833"/>
    </row>
    <row r="928" spans="1:5" x14ac:dyDescent="0.35">
      <c r="A928" s="281"/>
      <c r="B928" s="279"/>
      <c r="C928" s="850"/>
      <c r="D928" s="282"/>
      <c r="E928" s="833"/>
    </row>
    <row r="929" spans="1:5" x14ac:dyDescent="0.35">
      <c r="A929" s="281"/>
      <c r="B929" s="279"/>
      <c r="C929" s="850"/>
      <c r="D929" s="282"/>
      <c r="E929" s="833"/>
    </row>
    <row r="930" spans="1:5" x14ac:dyDescent="0.35">
      <c r="A930" s="281"/>
      <c r="B930" s="279"/>
      <c r="C930" s="850"/>
      <c r="D930" s="282"/>
      <c r="E930" s="833"/>
    </row>
    <row r="931" spans="1:5" x14ac:dyDescent="0.35">
      <c r="A931" s="281"/>
      <c r="B931" s="279"/>
      <c r="C931" s="850"/>
      <c r="D931" s="282"/>
      <c r="E931" s="833"/>
    </row>
    <row r="932" spans="1:5" x14ac:dyDescent="0.35">
      <c r="A932" s="281"/>
      <c r="B932" s="279"/>
      <c r="C932" s="850"/>
      <c r="D932" s="282"/>
      <c r="E932" s="833"/>
    </row>
    <row r="933" spans="1:5" x14ac:dyDescent="0.35">
      <c r="A933" s="281"/>
      <c r="B933" s="279"/>
      <c r="C933" s="850"/>
      <c r="D933" s="282"/>
      <c r="E933" s="833"/>
    </row>
    <row r="934" spans="1:5" x14ac:dyDescent="0.35">
      <c r="A934" s="281"/>
      <c r="B934" s="279"/>
      <c r="C934" s="850"/>
      <c r="D934" s="282"/>
      <c r="E934" s="833"/>
    </row>
    <row r="935" spans="1:5" x14ac:dyDescent="0.35">
      <c r="A935" s="281"/>
      <c r="B935" s="279"/>
      <c r="C935" s="850"/>
      <c r="D935" s="282"/>
      <c r="E935" s="833"/>
    </row>
    <row r="936" spans="1:5" x14ac:dyDescent="0.35">
      <c r="A936" s="281"/>
      <c r="B936" s="279"/>
      <c r="C936" s="850"/>
      <c r="D936" s="282"/>
      <c r="E936" s="833"/>
    </row>
    <row r="937" spans="1:5" x14ac:dyDescent="0.35">
      <c r="A937" s="281"/>
      <c r="B937" s="279"/>
      <c r="C937" s="850"/>
      <c r="D937" s="282"/>
      <c r="E937" s="833"/>
    </row>
    <row r="938" spans="1:5" x14ac:dyDescent="0.35">
      <c r="A938" s="281"/>
      <c r="B938" s="279"/>
      <c r="C938" s="850"/>
      <c r="D938" s="282"/>
      <c r="E938" s="833"/>
    </row>
    <row r="939" spans="1:5" x14ac:dyDescent="0.35">
      <c r="A939" s="281"/>
      <c r="B939" s="279"/>
      <c r="C939" s="850"/>
      <c r="D939" s="282"/>
      <c r="E939" s="833"/>
    </row>
    <row r="940" spans="1:5" x14ac:dyDescent="0.35">
      <c r="A940" s="281"/>
      <c r="B940" s="279"/>
      <c r="C940" s="850"/>
      <c r="D940" s="282"/>
      <c r="E940" s="833"/>
    </row>
    <row r="941" spans="1:5" x14ac:dyDescent="0.35">
      <c r="A941" s="281"/>
      <c r="B941" s="279"/>
      <c r="C941" s="850"/>
      <c r="D941" s="282"/>
      <c r="E941" s="833"/>
    </row>
    <row r="942" spans="1:5" x14ac:dyDescent="0.35">
      <c r="A942" s="281"/>
      <c r="B942" s="279"/>
      <c r="C942" s="850"/>
      <c r="D942" s="282"/>
      <c r="E942" s="833"/>
    </row>
    <row r="943" spans="1:5" x14ac:dyDescent="0.35">
      <c r="A943" s="281"/>
      <c r="B943" s="279"/>
      <c r="C943" s="850"/>
      <c r="D943" s="282"/>
      <c r="E943" s="833"/>
    </row>
    <row r="944" spans="1:5" x14ac:dyDescent="0.35">
      <c r="A944" s="281"/>
      <c r="B944" s="279"/>
      <c r="C944" s="850"/>
      <c r="D944" s="282"/>
      <c r="E944" s="833"/>
    </row>
    <row r="945" spans="1:5" x14ac:dyDescent="0.35">
      <c r="A945" s="281"/>
      <c r="B945" s="279"/>
      <c r="C945" s="850"/>
      <c r="D945" s="282"/>
      <c r="E945" s="833"/>
    </row>
    <row r="946" spans="1:5" x14ac:dyDescent="0.35">
      <c r="A946" s="281"/>
      <c r="B946" s="279"/>
      <c r="C946" s="850"/>
      <c r="D946" s="282"/>
      <c r="E946" s="833"/>
    </row>
    <row r="947" spans="1:5" x14ac:dyDescent="0.35">
      <c r="A947" s="281"/>
      <c r="B947" s="279"/>
      <c r="C947" s="850"/>
      <c r="D947" s="282"/>
      <c r="E947" s="833"/>
    </row>
    <row r="948" spans="1:5" x14ac:dyDescent="0.35">
      <c r="A948" s="281"/>
      <c r="B948" s="279"/>
      <c r="C948" s="850"/>
      <c r="D948" s="282"/>
      <c r="E948" s="833"/>
    </row>
    <row r="949" spans="1:5" x14ac:dyDescent="0.35">
      <c r="A949" s="281"/>
      <c r="B949" s="279"/>
      <c r="C949" s="850"/>
      <c r="D949" s="282"/>
      <c r="E949" s="833"/>
    </row>
    <row r="950" spans="1:5" x14ac:dyDescent="0.35">
      <c r="A950" s="281"/>
      <c r="B950" s="279"/>
      <c r="C950" s="850"/>
      <c r="D950" s="282"/>
      <c r="E950" s="833"/>
    </row>
    <row r="951" spans="1:5" x14ac:dyDescent="0.35">
      <c r="A951" s="281"/>
      <c r="B951" s="279"/>
      <c r="C951" s="850"/>
      <c r="D951" s="282"/>
      <c r="E951" s="833"/>
    </row>
    <row r="952" spans="1:5" x14ac:dyDescent="0.35">
      <c r="A952" s="281"/>
      <c r="B952" s="279"/>
      <c r="C952" s="850"/>
      <c r="D952" s="282"/>
      <c r="E952" s="833"/>
    </row>
    <row r="953" spans="1:5" x14ac:dyDescent="0.35">
      <c r="A953" s="281"/>
      <c r="B953" s="279"/>
      <c r="C953" s="850"/>
      <c r="D953" s="282"/>
      <c r="E953" s="833"/>
    </row>
    <row r="954" spans="1:5" x14ac:dyDescent="0.35">
      <c r="A954" s="281"/>
      <c r="B954" s="279"/>
      <c r="C954" s="850"/>
      <c r="D954" s="282"/>
      <c r="E954" s="833"/>
    </row>
    <row r="955" spans="1:5" x14ac:dyDescent="0.35">
      <c r="A955" s="281"/>
      <c r="B955" s="279"/>
      <c r="C955" s="850"/>
      <c r="D955" s="282"/>
      <c r="E955" s="833"/>
    </row>
    <row r="956" spans="1:5" x14ac:dyDescent="0.35">
      <c r="A956" s="281"/>
      <c r="B956" s="279"/>
      <c r="C956" s="850"/>
      <c r="D956" s="282"/>
      <c r="E956" s="833"/>
    </row>
    <row r="957" spans="1:5" x14ac:dyDescent="0.35">
      <c r="A957" s="281"/>
      <c r="B957" s="279"/>
      <c r="C957" s="850"/>
      <c r="D957" s="282"/>
      <c r="E957" s="833"/>
    </row>
    <row r="958" spans="1:5" x14ac:dyDescent="0.35">
      <c r="A958" s="281"/>
      <c r="B958" s="279"/>
      <c r="C958" s="850"/>
      <c r="D958" s="282"/>
      <c r="E958" s="833"/>
    </row>
    <row r="959" spans="1:5" x14ac:dyDescent="0.35">
      <c r="A959" s="281"/>
      <c r="B959" s="279"/>
      <c r="C959" s="850"/>
      <c r="D959" s="282"/>
      <c r="E959" s="833"/>
    </row>
    <row r="960" spans="1:5" x14ac:dyDescent="0.35">
      <c r="A960" s="281"/>
      <c r="B960" s="279"/>
      <c r="C960" s="850"/>
      <c r="D960" s="282"/>
      <c r="E960" s="833"/>
    </row>
    <row r="961" spans="1:5" x14ac:dyDescent="0.35">
      <c r="A961" s="281"/>
      <c r="B961" s="279"/>
      <c r="C961" s="850"/>
      <c r="D961" s="282"/>
      <c r="E961" s="833"/>
    </row>
    <row r="962" spans="1:5" x14ac:dyDescent="0.35">
      <c r="A962" s="281"/>
      <c r="B962" s="279"/>
      <c r="C962" s="850"/>
      <c r="D962" s="282"/>
      <c r="E962" s="833"/>
    </row>
    <row r="963" spans="1:5" x14ac:dyDescent="0.35">
      <c r="A963" s="281"/>
      <c r="B963" s="279"/>
      <c r="C963" s="850"/>
      <c r="D963" s="282"/>
      <c r="E963" s="833"/>
    </row>
    <row r="964" spans="1:5" x14ac:dyDescent="0.35">
      <c r="A964" s="281"/>
      <c r="B964" s="279"/>
      <c r="C964" s="850"/>
      <c r="D964" s="282"/>
      <c r="E964" s="833"/>
    </row>
    <row r="965" spans="1:5" x14ac:dyDescent="0.35">
      <c r="A965" s="281"/>
      <c r="B965" s="279"/>
      <c r="C965" s="850"/>
      <c r="D965" s="282"/>
      <c r="E965" s="833"/>
    </row>
    <row r="966" spans="1:5" x14ac:dyDescent="0.35">
      <c r="A966" s="281"/>
      <c r="B966" s="279"/>
      <c r="C966" s="850"/>
      <c r="D966" s="282"/>
      <c r="E966" s="833"/>
    </row>
    <row r="967" spans="1:5" x14ac:dyDescent="0.35">
      <c r="A967" s="281"/>
      <c r="B967" s="279"/>
      <c r="C967" s="850"/>
      <c r="D967" s="282"/>
      <c r="E967" s="833"/>
    </row>
    <row r="968" spans="1:5" x14ac:dyDescent="0.35">
      <c r="A968" s="281"/>
      <c r="B968" s="279"/>
      <c r="C968" s="850"/>
      <c r="D968" s="282"/>
      <c r="E968" s="833"/>
    </row>
    <row r="969" spans="1:5" x14ac:dyDescent="0.35">
      <c r="A969" s="281"/>
      <c r="B969" s="279"/>
      <c r="C969" s="850"/>
      <c r="D969" s="282"/>
      <c r="E969" s="833"/>
    </row>
    <row r="970" spans="1:5" x14ac:dyDescent="0.35">
      <c r="A970" s="281"/>
      <c r="B970" s="279"/>
      <c r="C970" s="850"/>
      <c r="D970" s="282"/>
      <c r="E970" s="833"/>
    </row>
    <row r="971" spans="1:5" x14ac:dyDescent="0.35">
      <c r="A971" s="281"/>
      <c r="B971" s="279"/>
      <c r="C971" s="850"/>
      <c r="D971" s="282"/>
      <c r="E971" s="833"/>
    </row>
    <row r="972" spans="1:5" x14ac:dyDescent="0.35">
      <c r="A972" s="281"/>
      <c r="B972" s="279"/>
      <c r="C972" s="850"/>
      <c r="D972" s="282"/>
      <c r="E972" s="833"/>
    </row>
    <row r="973" spans="1:5" x14ac:dyDescent="0.35">
      <c r="A973" s="281"/>
      <c r="B973" s="279"/>
      <c r="C973" s="850"/>
      <c r="D973" s="282"/>
      <c r="E973" s="833"/>
    </row>
    <row r="974" spans="1:5" x14ac:dyDescent="0.35">
      <c r="A974" s="281"/>
      <c r="B974" s="279"/>
      <c r="C974" s="850"/>
      <c r="D974" s="282"/>
      <c r="E974" s="833"/>
    </row>
    <row r="975" spans="1:5" x14ac:dyDescent="0.35">
      <c r="A975" s="281"/>
      <c r="B975" s="279"/>
      <c r="C975" s="850"/>
      <c r="D975" s="282"/>
      <c r="E975" s="833"/>
    </row>
    <row r="976" spans="1:5" x14ac:dyDescent="0.35">
      <c r="A976" s="281"/>
      <c r="B976" s="279"/>
      <c r="C976" s="850"/>
      <c r="D976" s="282"/>
      <c r="E976" s="833"/>
    </row>
    <row r="977" spans="1:5" x14ac:dyDescent="0.35">
      <c r="A977" s="281"/>
      <c r="B977" s="279"/>
      <c r="C977" s="850"/>
      <c r="D977" s="282"/>
      <c r="E977" s="833"/>
    </row>
    <row r="978" spans="1:5" x14ac:dyDescent="0.35">
      <c r="A978" s="281"/>
      <c r="B978" s="279"/>
      <c r="C978" s="850"/>
      <c r="D978" s="282"/>
      <c r="E978" s="833"/>
    </row>
    <row r="979" spans="1:5" x14ac:dyDescent="0.35">
      <c r="A979" s="281"/>
      <c r="B979" s="279"/>
      <c r="C979" s="850"/>
      <c r="D979" s="282"/>
      <c r="E979" s="833"/>
    </row>
    <row r="980" spans="1:5" x14ac:dyDescent="0.35">
      <c r="A980" s="281"/>
      <c r="B980" s="279"/>
      <c r="C980" s="850"/>
      <c r="D980" s="282"/>
      <c r="E980" s="833"/>
    </row>
    <row r="981" spans="1:5" x14ac:dyDescent="0.35">
      <c r="A981" s="281"/>
      <c r="B981" s="279"/>
      <c r="C981" s="850"/>
      <c r="D981" s="282"/>
      <c r="E981" s="833"/>
    </row>
    <row r="982" spans="1:5" x14ac:dyDescent="0.35">
      <c r="A982" s="281"/>
      <c r="B982" s="279"/>
      <c r="C982" s="850"/>
      <c r="D982" s="282"/>
      <c r="E982" s="833"/>
    </row>
    <row r="983" spans="1:5" x14ac:dyDescent="0.35">
      <c r="A983" s="281"/>
      <c r="B983" s="279"/>
      <c r="C983" s="850"/>
      <c r="D983" s="282"/>
      <c r="E983" s="833"/>
    </row>
    <row r="984" spans="1:5" x14ac:dyDescent="0.35">
      <c r="A984" s="281"/>
      <c r="B984" s="279"/>
      <c r="C984" s="850"/>
      <c r="D984" s="282"/>
      <c r="E984" s="833"/>
    </row>
    <row r="985" spans="1:5" x14ac:dyDescent="0.35">
      <c r="A985" s="281"/>
      <c r="B985" s="279"/>
      <c r="C985" s="850"/>
      <c r="D985" s="282"/>
      <c r="E985" s="833"/>
    </row>
    <row r="986" spans="1:5" x14ac:dyDescent="0.35">
      <c r="A986" s="281"/>
      <c r="B986" s="279"/>
      <c r="C986" s="850"/>
      <c r="D986" s="282"/>
      <c r="E986" s="833"/>
    </row>
    <row r="987" spans="1:5" x14ac:dyDescent="0.35">
      <c r="A987" s="281"/>
      <c r="B987" s="279"/>
      <c r="C987" s="850"/>
      <c r="D987" s="282"/>
      <c r="E987" s="833"/>
    </row>
    <row r="988" spans="1:5" x14ac:dyDescent="0.35">
      <c r="A988" s="281"/>
      <c r="B988" s="279"/>
      <c r="C988" s="850"/>
      <c r="D988" s="282"/>
      <c r="E988" s="833"/>
    </row>
    <row r="989" spans="1:5" x14ac:dyDescent="0.35">
      <c r="A989" s="281"/>
      <c r="B989" s="279"/>
      <c r="C989" s="850"/>
      <c r="D989" s="282"/>
      <c r="E989" s="833"/>
    </row>
    <row r="990" spans="1:5" x14ac:dyDescent="0.35">
      <c r="A990" s="281"/>
      <c r="B990" s="279"/>
      <c r="C990" s="850"/>
      <c r="D990" s="282"/>
      <c r="E990" s="833"/>
    </row>
    <row r="991" spans="1:5" x14ac:dyDescent="0.35">
      <c r="A991" s="281"/>
      <c r="B991" s="279"/>
      <c r="C991" s="850"/>
      <c r="D991" s="282"/>
      <c r="E991" s="833"/>
    </row>
    <row r="992" spans="1:5" x14ac:dyDescent="0.35">
      <c r="A992" s="281"/>
      <c r="B992" s="279"/>
      <c r="C992" s="850"/>
      <c r="D992" s="282"/>
      <c r="E992" s="833"/>
    </row>
    <row r="993" spans="1:5" x14ac:dyDescent="0.35">
      <c r="A993" s="281"/>
      <c r="B993" s="279"/>
      <c r="C993" s="850"/>
      <c r="D993" s="282"/>
      <c r="E993" s="833"/>
    </row>
    <row r="994" spans="1:5" x14ac:dyDescent="0.35">
      <c r="A994" s="281"/>
      <c r="B994" s="279"/>
      <c r="C994" s="850"/>
      <c r="D994" s="282"/>
      <c r="E994" s="833"/>
    </row>
    <row r="995" spans="1:5" x14ac:dyDescent="0.35">
      <c r="A995" s="281"/>
      <c r="B995" s="279"/>
      <c r="C995" s="850"/>
      <c r="D995" s="282"/>
      <c r="E995" s="833"/>
    </row>
    <row r="996" spans="1:5" x14ac:dyDescent="0.35">
      <c r="A996" s="281"/>
      <c r="B996" s="279"/>
      <c r="C996" s="850"/>
      <c r="D996" s="282"/>
      <c r="E996" s="833"/>
    </row>
    <row r="997" spans="1:5" x14ac:dyDescent="0.35">
      <c r="A997" s="281"/>
      <c r="B997" s="279"/>
      <c r="C997" s="850"/>
      <c r="D997" s="282"/>
      <c r="E997" s="833"/>
    </row>
    <row r="998" spans="1:5" x14ac:dyDescent="0.35">
      <c r="A998" s="281"/>
      <c r="B998" s="279"/>
      <c r="C998" s="850"/>
      <c r="D998" s="282"/>
      <c r="E998" s="833"/>
    </row>
    <row r="999" spans="1:5" x14ac:dyDescent="0.35">
      <c r="A999" s="281"/>
      <c r="B999" s="279"/>
      <c r="C999" s="850"/>
      <c r="D999" s="282"/>
      <c r="E999" s="833"/>
    </row>
    <row r="1000" spans="1:5" x14ac:dyDescent="0.35">
      <c r="A1000" s="281"/>
      <c r="B1000" s="279"/>
      <c r="C1000" s="850"/>
      <c r="D1000" s="282"/>
      <c r="E1000" s="833"/>
    </row>
    <row r="1001" spans="1:5" x14ac:dyDescent="0.35">
      <c r="A1001" s="281"/>
      <c r="B1001" s="279"/>
      <c r="C1001" s="850"/>
      <c r="D1001" s="282"/>
      <c r="E1001" s="833"/>
    </row>
    <row r="1002" spans="1:5" x14ac:dyDescent="0.35">
      <c r="A1002" s="281"/>
      <c r="B1002" s="279"/>
      <c r="C1002" s="850"/>
      <c r="D1002" s="282"/>
      <c r="E1002" s="833"/>
    </row>
    <row r="1003" spans="1:5" x14ac:dyDescent="0.35">
      <c r="A1003" s="281"/>
      <c r="B1003" s="279"/>
      <c r="C1003" s="850"/>
      <c r="D1003" s="282"/>
      <c r="E1003" s="833"/>
    </row>
    <row r="1004" spans="1:5" x14ac:dyDescent="0.35">
      <c r="A1004" s="281"/>
      <c r="B1004" s="279"/>
      <c r="C1004" s="850"/>
      <c r="D1004" s="282"/>
      <c r="E1004" s="833"/>
    </row>
    <row r="1005" spans="1:5" x14ac:dyDescent="0.35">
      <c r="A1005" s="281"/>
      <c r="B1005" s="279"/>
      <c r="C1005" s="850"/>
      <c r="D1005" s="282"/>
      <c r="E1005" s="833"/>
    </row>
    <row r="1006" spans="1:5" x14ac:dyDescent="0.35">
      <c r="A1006" s="281"/>
      <c r="B1006" s="279"/>
      <c r="C1006" s="850"/>
      <c r="D1006" s="282"/>
      <c r="E1006" s="833"/>
    </row>
    <row r="1007" spans="1:5" x14ac:dyDescent="0.35">
      <c r="A1007" s="281"/>
      <c r="B1007" s="279"/>
      <c r="C1007" s="850"/>
      <c r="D1007" s="282"/>
      <c r="E1007" s="833"/>
    </row>
    <row r="1008" spans="1:5" x14ac:dyDescent="0.35">
      <c r="A1008" s="281"/>
      <c r="B1008" s="279"/>
      <c r="C1008" s="850"/>
      <c r="D1008" s="282"/>
      <c r="E1008" s="833"/>
    </row>
    <row r="1009" spans="1:5" x14ac:dyDescent="0.35">
      <c r="A1009" s="281"/>
      <c r="B1009" s="279"/>
      <c r="C1009" s="850"/>
      <c r="D1009" s="282"/>
      <c r="E1009" s="833"/>
    </row>
    <row r="1010" spans="1:5" x14ac:dyDescent="0.35">
      <c r="A1010" s="281"/>
      <c r="B1010" s="279"/>
      <c r="C1010" s="850"/>
      <c r="D1010" s="282"/>
      <c r="E1010" s="833"/>
    </row>
    <row r="1011" spans="1:5" x14ac:dyDescent="0.35">
      <c r="A1011" s="281"/>
      <c r="B1011" s="279"/>
      <c r="C1011" s="850"/>
      <c r="D1011" s="282"/>
      <c r="E1011" s="833"/>
    </row>
    <row r="1012" spans="1:5" x14ac:dyDescent="0.35">
      <c r="A1012" s="281"/>
      <c r="B1012" s="279"/>
      <c r="C1012" s="850"/>
      <c r="D1012" s="282"/>
      <c r="E1012" s="833"/>
    </row>
    <row r="1013" spans="1:5" x14ac:dyDescent="0.35">
      <c r="A1013" s="281"/>
      <c r="B1013" s="279"/>
      <c r="C1013" s="850"/>
      <c r="D1013" s="282"/>
      <c r="E1013" s="833"/>
    </row>
    <row r="1014" spans="1:5" x14ac:dyDescent="0.35">
      <c r="A1014" s="281"/>
      <c r="B1014" s="279"/>
      <c r="C1014" s="850"/>
      <c r="D1014" s="282"/>
      <c r="E1014" s="833"/>
    </row>
    <row r="1015" spans="1:5" x14ac:dyDescent="0.35">
      <c r="A1015" s="281"/>
      <c r="B1015" s="279"/>
      <c r="C1015" s="850"/>
      <c r="D1015" s="282"/>
      <c r="E1015" s="833"/>
    </row>
    <row r="1016" spans="1:5" x14ac:dyDescent="0.35">
      <c r="A1016" s="281"/>
      <c r="B1016" s="279"/>
      <c r="C1016" s="850"/>
      <c r="D1016" s="282"/>
      <c r="E1016" s="833"/>
    </row>
    <row r="1017" spans="1:5" x14ac:dyDescent="0.35">
      <c r="A1017" s="281"/>
      <c r="B1017" s="279"/>
      <c r="C1017" s="850"/>
      <c r="D1017" s="282"/>
      <c r="E1017" s="833"/>
    </row>
    <row r="1018" spans="1:5" x14ac:dyDescent="0.35">
      <c r="A1018" s="281"/>
      <c r="B1018" s="279"/>
      <c r="C1018" s="850"/>
      <c r="D1018" s="282"/>
      <c r="E1018" s="833"/>
    </row>
    <row r="1019" spans="1:5" x14ac:dyDescent="0.35">
      <c r="A1019" s="281"/>
      <c r="B1019" s="279"/>
      <c r="C1019" s="850"/>
      <c r="D1019" s="282"/>
      <c r="E1019" s="833"/>
    </row>
    <row r="1020" spans="1:5" x14ac:dyDescent="0.35">
      <c r="A1020" s="281"/>
      <c r="B1020" s="279"/>
      <c r="C1020" s="850"/>
      <c r="D1020" s="282"/>
      <c r="E1020" s="833"/>
    </row>
    <row r="1021" spans="1:5" x14ac:dyDescent="0.35">
      <c r="A1021" s="281"/>
      <c r="B1021" s="279"/>
      <c r="C1021" s="850"/>
      <c r="D1021" s="282"/>
      <c r="E1021" s="833"/>
    </row>
    <row r="1022" spans="1:5" x14ac:dyDescent="0.35">
      <c r="A1022" s="281"/>
      <c r="B1022" s="279"/>
      <c r="C1022" s="850"/>
      <c r="D1022" s="282"/>
      <c r="E1022" s="833"/>
    </row>
    <row r="1023" spans="1:5" x14ac:dyDescent="0.35">
      <c r="A1023" s="281"/>
      <c r="B1023" s="279"/>
      <c r="C1023" s="850"/>
      <c r="D1023" s="282"/>
      <c r="E1023" s="833"/>
    </row>
    <row r="1024" spans="1:5" x14ac:dyDescent="0.35">
      <c r="A1024" s="281"/>
      <c r="B1024" s="279"/>
      <c r="C1024" s="850"/>
      <c r="D1024" s="282"/>
      <c r="E1024" s="833"/>
    </row>
    <row r="1025" spans="1:5" x14ac:dyDescent="0.35">
      <c r="A1025" s="281"/>
      <c r="B1025" s="279"/>
      <c r="C1025" s="850"/>
      <c r="D1025" s="282"/>
      <c r="E1025" s="833"/>
    </row>
    <row r="1026" spans="1:5" x14ac:dyDescent="0.35">
      <c r="A1026" s="281"/>
      <c r="B1026" s="279"/>
      <c r="C1026" s="850"/>
      <c r="D1026" s="282"/>
      <c r="E1026" s="833"/>
    </row>
    <row r="1027" spans="1:5" x14ac:dyDescent="0.35">
      <c r="A1027" s="281"/>
      <c r="B1027" s="279"/>
      <c r="C1027" s="850"/>
      <c r="D1027" s="282"/>
      <c r="E1027" s="833"/>
    </row>
    <row r="1028" spans="1:5" x14ac:dyDescent="0.35">
      <c r="A1028" s="281"/>
      <c r="B1028" s="279"/>
      <c r="C1028" s="850"/>
      <c r="D1028" s="282"/>
      <c r="E1028" s="833"/>
    </row>
    <row r="1029" spans="1:5" x14ac:dyDescent="0.35">
      <c r="A1029" s="281"/>
      <c r="B1029" s="279"/>
      <c r="C1029" s="850"/>
      <c r="D1029" s="282"/>
      <c r="E1029" s="833"/>
    </row>
    <row r="1030" spans="1:5" x14ac:dyDescent="0.35">
      <c r="A1030" s="281"/>
      <c r="B1030" s="279"/>
      <c r="C1030" s="850"/>
      <c r="D1030" s="282"/>
      <c r="E1030" s="833"/>
    </row>
    <row r="1031" spans="1:5" x14ac:dyDescent="0.35">
      <c r="A1031" s="281"/>
      <c r="B1031" s="279"/>
      <c r="C1031" s="850"/>
      <c r="D1031" s="282"/>
      <c r="E1031" s="833"/>
    </row>
    <row r="1032" spans="1:5" x14ac:dyDescent="0.35">
      <c r="A1032" s="281"/>
      <c r="B1032" s="279"/>
      <c r="C1032" s="850"/>
      <c r="D1032" s="282"/>
      <c r="E1032" s="833"/>
    </row>
    <row r="1033" spans="1:5" x14ac:dyDescent="0.35">
      <c r="A1033" s="281"/>
      <c r="B1033" s="279"/>
      <c r="C1033" s="850"/>
      <c r="D1033" s="282"/>
      <c r="E1033" s="833"/>
    </row>
    <row r="1034" spans="1:5" x14ac:dyDescent="0.35">
      <c r="A1034" s="281"/>
      <c r="B1034" s="279"/>
      <c r="C1034" s="850"/>
      <c r="D1034" s="282"/>
      <c r="E1034" s="833"/>
    </row>
    <row r="1035" spans="1:5" x14ac:dyDescent="0.35">
      <c r="A1035" s="281"/>
      <c r="B1035" s="279"/>
      <c r="C1035" s="850"/>
      <c r="D1035" s="282"/>
      <c r="E1035" s="833"/>
    </row>
    <row r="1036" spans="1:5" x14ac:dyDescent="0.35">
      <c r="A1036" s="281"/>
      <c r="B1036" s="279"/>
      <c r="C1036" s="850"/>
      <c r="D1036" s="282"/>
      <c r="E1036" s="833"/>
    </row>
    <row r="1037" spans="1:5" x14ac:dyDescent="0.35">
      <c r="A1037" s="281"/>
      <c r="B1037" s="279"/>
      <c r="C1037" s="850"/>
      <c r="D1037" s="282"/>
      <c r="E1037" s="833"/>
    </row>
    <row r="1038" spans="1:5" x14ac:dyDescent="0.35">
      <c r="A1038" s="281"/>
      <c r="B1038" s="279"/>
      <c r="C1038" s="850"/>
      <c r="D1038" s="282"/>
      <c r="E1038" s="833"/>
    </row>
    <row r="1039" spans="1:5" x14ac:dyDescent="0.35">
      <c r="A1039" s="281"/>
      <c r="B1039" s="279"/>
      <c r="C1039" s="850"/>
      <c r="D1039" s="282"/>
      <c r="E1039" s="833"/>
    </row>
    <row r="1040" spans="1:5" x14ac:dyDescent="0.35">
      <c r="A1040" s="281"/>
      <c r="B1040" s="279"/>
      <c r="C1040" s="850"/>
      <c r="D1040" s="282"/>
      <c r="E1040" s="833"/>
    </row>
    <row r="1041" spans="1:5" x14ac:dyDescent="0.35">
      <c r="A1041" s="281"/>
      <c r="B1041" s="279"/>
      <c r="C1041" s="850"/>
      <c r="D1041" s="282"/>
      <c r="E1041" s="833"/>
    </row>
    <row r="1042" spans="1:5" x14ac:dyDescent="0.35">
      <c r="A1042" s="281"/>
      <c r="B1042" s="279"/>
      <c r="C1042" s="850"/>
      <c r="D1042" s="282"/>
      <c r="E1042" s="833"/>
    </row>
    <row r="1043" spans="1:5" x14ac:dyDescent="0.35">
      <c r="A1043" s="281"/>
      <c r="B1043" s="279"/>
      <c r="C1043" s="850"/>
      <c r="D1043" s="282"/>
      <c r="E1043" s="833"/>
    </row>
    <row r="1044" spans="1:5" x14ac:dyDescent="0.35">
      <c r="A1044" s="281"/>
      <c r="B1044" s="279"/>
      <c r="C1044" s="850"/>
      <c r="D1044" s="282"/>
      <c r="E1044" s="833"/>
    </row>
    <row r="1045" spans="1:5" x14ac:dyDescent="0.35">
      <c r="A1045" s="281"/>
      <c r="B1045" s="279"/>
      <c r="C1045" s="850"/>
      <c r="D1045" s="282"/>
      <c r="E1045" s="833"/>
    </row>
    <row r="1046" spans="1:5" x14ac:dyDescent="0.35">
      <c r="A1046" s="281"/>
      <c r="B1046" s="279"/>
      <c r="C1046" s="850"/>
      <c r="D1046" s="282"/>
      <c r="E1046" s="833"/>
    </row>
    <row r="1047" spans="1:5" x14ac:dyDescent="0.35">
      <c r="A1047" s="281"/>
      <c r="B1047" s="279"/>
      <c r="C1047" s="850"/>
      <c r="D1047" s="282"/>
      <c r="E1047" s="833"/>
    </row>
    <row r="1048" spans="1:5" x14ac:dyDescent="0.35">
      <c r="A1048" s="281"/>
      <c r="B1048" s="279"/>
      <c r="C1048" s="850"/>
      <c r="D1048" s="282"/>
      <c r="E1048" s="833"/>
    </row>
    <row r="1049" spans="1:5" x14ac:dyDescent="0.35">
      <c r="A1049" s="281"/>
      <c r="B1049" s="279"/>
      <c r="C1049" s="850"/>
      <c r="D1049" s="282"/>
      <c r="E1049" s="833"/>
    </row>
    <row r="1050" spans="1:5" x14ac:dyDescent="0.35">
      <c r="A1050" s="281"/>
      <c r="B1050" s="279"/>
      <c r="C1050" s="850"/>
      <c r="D1050" s="282"/>
      <c r="E1050" s="833"/>
    </row>
    <row r="1051" spans="1:5" x14ac:dyDescent="0.35">
      <c r="A1051" s="281"/>
      <c r="B1051" s="279"/>
      <c r="C1051" s="850"/>
      <c r="D1051" s="282"/>
      <c r="E1051" s="833"/>
    </row>
    <row r="1052" spans="1:5" x14ac:dyDescent="0.35">
      <c r="A1052" s="281"/>
      <c r="B1052" s="279"/>
      <c r="C1052" s="850"/>
      <c r="D1052" s="282"/>
      <c r="E1052" s="833"/>
    </row>
    <row r="1053" spans="1:5" x14ac:dyDescent="0.35">
      <c r="A1053" s="281"/>
      <c r="B1053" s="279"/>
      <c r="C1053" s="850"/>
      <c r="D1053" s="282"/>
      <c r="E1053" s="833"/>
    </row>
    <row r="1054" spans="1:5" x14ac:dyDescent="0.35">
      <c r="A1054" s="281"/>
      <c r="B1054" s="279"/>
      <c r="C1054" s="850"/>
      <c r="D1054" s="282"/>
      <c r="E1054" s="833"/>
    </row>
    <row r="1055" spans="1:5" x14ac:dyDescent="0.35">
      <c r="A1055" s="281"/>
      <c r="B1055" s="279"/>
      <c r="C1055" s="850"/>
      <c r="D1055" s="282"/>
      <c r="E1055" s="833"/>
    </row>
    <row r="1056" spans="1:5" x14ac:dyDescent="0.35">
      <c r="A1056" s="281"/>
      <c r="B1056" s="279"/>
      <c r="C1056" s="850"/>
      <c r="D1056" s="282"/>
      <c r="E1056" s="833"/>
    </row>
    <row r="1057" spans="1:5" x14ac:dyDescent="0.35">
      <c r="A1057" s="281"/>
      <c r="B1057" s="279"/>
      <c r="C1057" s="850"/>
      <c r="D1057" s="282"/>
      <c r="E1057" s="833"/>
    </row>
    <row r="1058" spans="1:5" x14ac:dyDescent="0.35">
      <c r="A1058" s="281"/>
      <c r="B1058" s="279"/>
      <c r="C1058" s="850"/>
      <c r="D1058" s="282"/>
      <c r="E1058" s="833"/>
    </row>
    <row r="1059" spans="1:5" x14ac:dyDescent="0.35">
      <c r="A1059" s="281"/>
      <c r="B1059" s="279"/>
      <c r="C1059" s="850"/>
      <c r="D1059" s="282"/>
      <c r="E1059" s="833"/>
    </row>
    <row r="1060" spans="1:5" x14ac:dyDescent="0.35">
      <c r="A1060" s="281"/>
      <c r="B1060" s="279"/>
      <c r="C1060" s="850"/>
      <c r="D1060" s="282"/>
      <c r="E1060" s="833"/>
    </row>
    <row r="1061" spans="1:5" x14ac:dyDescent="0.35">
      <c r="A1061" s="281"/>
      <c r="B1061" s="279"/>
      <c r="C1061" s="850"/>
      <c r="D1061" s="282"/>
      <c r="E1061" s="833"/>
    </row>
    <row r="1062" spans="1:5" x14ac:dyDescent="0.35">
      <c r="A1062" s="281"/>
      <c r="B1062" s="279"/>
      <c r="C1062" s="850"/>
      <c r="D1062" s="282"/>
      <c r="E1062" s="833"/>
    </row>
    <row r="1063" spans="1:5" x14ac:dyDescent="0.35">
      <c r="A1063" s="281"/>
      <c r="B1063" s="279"/>
      <c r="C1063" s="850"/>
      <c r="D1063" s="282"/>
      <c r="E1063" s="833"/>
    </row>
    <row r="1064" spans="1:5" x14ac:dyDescent="0.35">
      <c r="A1064" s="281"/>
      <c r="B1064" s="279"/>
      <c r="C1064" s="850"/>
      <c r="D1064" s="282"/>
      <c r="E1064" s="833"/>
    </row>
    <row r="1065" spans="1:5" x14ac:dyDescent="0.35">
      <c r="A1065" s="281"/>
      <c r="B1065" s="279"/>
      <c r="C1065" s="850"/>
      <c r="D1065" s="282"/>
      <c r="E1065" s="833"/>
    </row>
    <row r="1066" spans="1:5" x14ac:dyDescent="0.35">
      <c r="A1066" s="281"/>
      <c r="B1066" s="279"/>
      <c r="C1066" s="850"/>
      <c r="D1066" s="282"/>
      <c r="E1066" s="833"/>
    </row>
    <row r="1067" spans="1:5" x14ac:dyDescent="0.35">
      <c r="A1067" s="281"/>
      <c r="B1067" s="279"/>
      <c r="C1067" s="850"/>
      <c r="D1067" s="282"/>
      <c r="E1067" s="833"/>
    </row>
    <row r="1068" spans="1:5" x14ac:dyDescent="0.35">
      <c r="A1068" s="281"/>
      <c r="B1068" s="279"/>
      <c r="C1068" s="850"/>
      <c r="D1068" s="282"/>
      <c r="E1068" s="833"/>
    </row>
    <row r="1069" spans="1:5" x14ac:dyDescent="0.35">
      <c r="A1069" s="281"/>
      <c r="B1069" s="279"/>
      <c r="C1069" s="850"/>
      <c r="D1069" s="282"/>
      <c r="E1069" s="833"/>
    </row>
    <row r="1070" spans="1:5" x14ac:dyDescent="0.35">
      <c r="A1070" s="281"/>
      <c r="B1070" s="279"/>
      <c r="C1070" s="850"/>
      <c r="D1070" s="282"/>
      <c r="E1070" s="833"/>
    </row>
    <row r="1071" spans="1:5" x14ac:dyDescent="0.35">
      <c r="A1071" s="281"/>
      <c r="B1071" s="279"/>
      <c r="C1071" s="850"/>
      <c r="D1071" s="282"/>
      <c r="E1071" s="833"/>
    </row>
    <row r="1072" spans="1:5" x14ac:dyDescent="0.35">
      <c r="A1072" s="281"/>
      <c r="B1072" s="279"/>
      <c r="C1072" s="850"/>
      <c r="D1072" s="282"/>
      <c r="E1072" s="833"/>
    </row>
    <row r="1073" spans="1:5" x14ac:dyDescent="0.35">
      <c r="A1073" s="281"/>
      <c r="B1073" s="279"/>
      <c r="C1073" s="850"/>
      <c r="D1073" s="282"/>
      <c r="E1073" s="833"/>
    </row>
    <row r="1074" spans="1:5" x14ac:dyDescent="0.35">
      <c r="A1074" s="281"/>
      <c r="B1074" s="279"/>
      <c r="C1074" s="850"/>
      <c r="D1074" s="282"/>
      <c r="E1074" s="833"/>
    </row>
    <row r="1075" spans="1:5" x14ac:dyDescent="0.35">
      <c r="A1075" s="281"/>
      <c r="B1075" s="279"/>
      <c r="C1075" s="850"/>
      <c r="D1075" s="282"/>
      <c r="E1075" s="833"/>
    </row>
    <row r="1076" spans="1:5" x14ac:dyDescent="0.35">
      <c r="A1076" s="281"/>
      <c r="B1076" s="279"/>
      <c r="C1076" s="850"/>
      <c r="D1076" s="282"/>
      <c r="E1076" s="833"/>
    </row>
    <row r="1077" spans="1:5" x14ac:dyDescent="0.35">
      <c r="A1077" s="281"/>
      <c r="B1077" s="279"/>
      <c r="C1077" s="850"/>
      <c r="D1077" s="282"/>
      <c r="E1077" s="833"/>
    </row>
    <row r="1078" spans="1:5" x14ac:dyDescent="0.35">
      <c r="A1078" s="281"/>
      <c r="B1078" s="279"/>
      <c r="C1078" s="850"/>
      <c r="D1078" s="282"/>
      <c r="E1078" s="833"/>
    </row>
    <row r="1079" spans="1:5" x14ac:dyDescent="0.35">
      <c r="A1079" s="281"/>
      <c r="B1079" s="279"/>
      <c r="C1079" s="850"/>
      <c r="D1079" s="282"/>
      <c r="E1079" s="833"/>
    </row>
    <row r="1080" spans="1:5" x14ac:dyDescent="0.35">
      <c r="A1080" s="281"/>
      <c r="B1080" s="279"/>
      <c r="C1080" s="850"/>
      <c r="D1080" s="282"/>
      <c r="E1080" s="833"/>
    </row>
    <row r="1081" spans="1:5" x14ac:dyDescent="0.35">
      <c r="A1081" s="281"/>
      <c r="B1081" s="279"/>
      <c r="C1081" s="850"/>
      <c r="D1081" s="282"/>
      <c r="E1081" s="833"/>
    </row>
    <row r="1082" spans="1:5" x14ac:dyDescent="0.35">
      <c r="A1082" s="281"/>
      <c r="B1082" s="279"/>
      <c r="C1082" s="850"/>
      <c r="D1082" s="282"/>
      <c r="E1082" s="833"/>
    </row>
    <row r="1083" spans="1:5" x14ac:dyDescent="0.35">
      <c r="A1083" s="281"/>
      <c r="B1083" s="279"/>
      <c r="C1083" s="850"/>
      <c r="D1083" s="282"/>
      <c r="E1083" s="833"/>
    </row>
    <row r="1084" spans="1:5" x14ac:dyDescent="0.35">
      <c r="A1084" s="281"/>
      <c r="B1084" s="279"/>
      <c r="C1084" s="850"/>
      <c r="D1084" s="282"/>
      <c r="E1084" s="833"/>
    </row>
    <row r="1085" spans="1:5" x14ac:dyDescent="0.35">
      <c r="A1085" s="281"/>
      <c r="B1085" s="279"/>
      <c r="C1085" s="850"/>
      <c r="D1085" s="282"/>
      <c r="E1085" s="833"/>
    </row>
    <row r="1086" spans="1:5" x14ac:dyDescent="0.35">
      <c r="A1086" s="281"/>
      <c r="B1086" s="279"/>
      <c r="C1086" s="850"/>
      <c r="D1086" s="282"/>
      <c r="E1086" s="833"/>
    </row>
    <row r="1087" spans="1:5" x14ac:dyDescent="0.35">
      <c r="A1087" s="281"/>
      <c r="B1087" s="279"/>
      <c r="C1087" s="850"/>
      <c r="D1087" s="282"/>
      <c r="E1087" s="833"/>
    </row>
    <row r="1088" spans="1:5" x14ac:dyDescent="0.35">
      <c r="A1088" s="281"/>
      <c r="B1088" s="279"/>
      <c r="C1088" s="850"/>
      <c r="D1088" s="282"/>
      <c r="E1088" s="833"/>
    </row>
    <row r="1089" spans="1:5" x14ac:dyDescent="0.35">
      <c r="A1089" s="281"/>
      <c r="B1089" s="279"/>
      <c r="C1089" s="850"/>
      <c r="D1089" s="282"/>
      <c r="E1089" s="833"/>
    </row>
    <row r="1090" spans="1:5" x14ac:dyDescent="0.35">
      <c r="A1090" s="281"/>
      <c r="B1090" s="279"/>
      <c r="C1090" s="850"/>
      <c r="D1090" s="282"/>
      <c r="E1090" s="833"/>
    </row>
    <row r="1091" spans="1:5" x14ac:dyDescent="0.35">
      <c r="A1091" s="281"/>
      <c r="B1091" s="279"/>
      <c r="C1091" s="850"/>
      <c r="D1091" s="282"/>
      <c r="E1091" s="833"/>
    </row>
    <row r="1092" spans="1:5" x14ac:dyDescent="0.35">
      <c r="A1092" s="281"/>
      <c r="B1092" s="279"/>
      <c r="C1092" s="850"/>
      <c r="D1092" s="282"/>
      <c r="E1092" s="833"/>
    </row>
    <row r="1093" spans="1:5" x14ac:dyDescent="0.35">
      <c r="A1093" s="281"/>
      <c r="B1093" s="279"/>
      <c r="C1093" s="850"/>
      <c r="D1093" s="282"/>
      <c r="E1093" s="833"/>
    </row>
    <row r="1094" spans="1:5" x14ac:dyDescent="0.35">
      <c r="A1094" s="281"/>
      <c r="B1094" s="279"/>
      <c r="C1094" s="850"/>
      <c r="D1094" s="282"/>
      <c r="E1094" s="833"/>
    </row>
    <row r="1095" spans="1:5" x14ac:dyDescent="0.35">
      <c r="A1095" s="281"/>
      <c r="B1095" s="279"/>
      <c r="C1095" s="850"/>
      <c r="D1095" s="282"/>
      <c r="E1095" s="833"/>
    </row>
    <row r="1096" spans="1:5" x14ac:dyDescent="0.35">
      <c r="A1096" s="281"/>
      <c r="B1096" s="279"/>
      <c r="C1096" s="850"/>
      <c r="D1096" s="282"/>
      <c r="E1096" s="833"/>
    </row>
    <row r="1097" spans="1:5" x14ac:dyDescent="0.35">
      <c r="A1097" s="281"/>
      <c r="B1097" s="279"/>
      <c r="C1097" s="850"/>
      <c r="D1097" s="282"/>
      <c r="E1097" s="833"/>
    </row>
    <row r="1098" spans="1:5" x14ac:dyDescent="0.35">
      <c r="A1098" s="281"/>
      <c r="B1098" s="279"/>
      <c r="C1098" s="850"/>
      <c r="D1098" s="282"/>
      <c r="E1098" s="833"/>
    </row>
    <row r="1099" spans="1:5" x14ac:dyDescent="0.35">
      <c r="A1099" s="281"/>
      <c r="B1099" s="279"/>
      <c r="C1099" s="850"/>
      <c r="D1099" s="282"/>
      <c r="E1099" s="833"/>
    </row>
    <row r="1100" spans="1:5" x14ac:dyDescent="0.35">
      <c r="A1100" s="281"/>
      <c r="B1100" s="279"/>
      <c r="C1100" s="850"/>
      <c r="D1100" s="282"/>
      <c r="E1100" s="833"/>
    </row>
    <row r="1101" spans="1:5" x14ac:dyDescent="0.35">
      <c r="A1101" s="281"/>
      <c r="B1101" s="279"/>
      <c r="C1101" s="850"/>
      <c r="D1101" s="282"/>
      <c r="E1101" s="833"/>
    </row>
    <row r="1102" spans="1:5" x14ac:dyDescent="0.35">
      <c r="A1102" s="281"/>
      <c r="B1102" s="279"/>
      <c r="C1102" s="850"/>
      <c r="D1102" s="282"/>
      <c r="E1102" s="833"/>
    </row>
    <row r="1103" spans="1:5" x14ac:dyDescent="0.35">
      <c r="A1103" s="281"/>
      <c r="B1103" s="279"/>
      <c r="C1103" s="850"/>
      <c r="D1103" s="282"/>
      <c r="E1103" s="833"/>
    </row>
    <row r="1104" spans="1:5" x14ac:dyDescent="0.35">
      <c r="A1104" s="281"/>
      <c r="B1104" s="279"/>
      <c r="C1104" s="850"/>
      <c r="D1104" s="282"/>
      <c r="E1104" s="833"/>
    </row>
    <row r="1105" spans="1:5" x14ac:dyDescent="0.35">
      <c r="A1105" s="281"/>
      <c r="B1105" s="279"/>
      <c r="C1105" s="850"/>
      <c r="D1105" s="282"/>
      <c r="E1105" s="833"/>
    </row>
    <row r="1106" spans="1:5" x14ac:dyDescent="0.35">
      <c r="A1106" s="281"/>
      <c r="B1106" s="279"/>
      <c r="C1106" s="850"/>
      <c r="D1106" s="282"/>
      <c r="E1106" s="833"/>
    </row>
    <row r="1107" spans="1:5" x14ac:dyDescent="0.35">
      <c r="A1107" s="281"/>
      <c r="B1107" s="279"/>
      <c r="C1107" s="850"/>
      <c r="D1107" s="282"/>
      <c r="E1107" s="833"/>
    </row>
    <row r="1108" spans="1:5" x14ac:dyDescent="0.35">
      <c r="A1108" s="281"/>
      <c r="B1108" s="279"/>
      <c r="C1108" s="850"/>
      <c r="D1108" s="282"/>
      <c r="E1108" s="833"/>
    </row>
    <row r="1109" spans="1:5" x14ac:dyDescent="0.35">
      <c r="A1109" s="281"/>
      <c r="B1109" s="279"/>
      <c r="C1109" s="850"/>
      <c r="D1109" s="282"/>
      <c r="E1109" s="833"/>
    </row>
    <row r="1110" spans="1:5" x14ac:dyDescent="0.35">
      <c r="A1110" s="281"/>
      <c r="B1110" s="279"/>
      <c r="C1110" s="850"/>
      <c r="D1110" s="282"/>
      <c r="E1110" s="833"/>
    </row>
    <row r="1111" spans="1:5" x14ac:dyDescent="0.35">
      <c r="A1111" s="281"/>
      <c r="B1111" s="279"/>
      <c r="C1111" s="850"/>
      <c r="D1111" s="282"/>
      <c r="E1111" s="833"/>
    </row>
    <row r="1112" spans="1:5" x14ac:dyDescent="0.35">
      <c r="A1112" s="281"/>
      <c r="B1112" s="279"/>
      <c r="C1112" s="850"/>
      <c r="D1112" s="282"/>
      <c r="E1112" s="833"/>
    </row>
    <row r="1113" spans="1:5" x14ac:dyDescent="0.35">
      <c r="A1113" s="281"/>
      <c r="B1113" s="279"/>
      <c r="C1113" s="850"/>
      <c r="D1113" s="282"/>
      <c r="E1113" s="833"/>
    </row>
    <row r="1114" spans="1:5" x14ac:dyDescent="0.35">
      <c r="A1114" s="281"/>
      <c r="B1114" s="279"/>
      <c r="C1114" s="850"/>
      <c r="D1114" s="282"/>
      <c r="E1114" s="833"/>
    </row>
    <row r="1115" spans="1:5" x14ac:dyDescent="0.35">
      <c r="A1115" s="281"/>
      <c r="B1115" s="279"/>
      <c r="C1115" s="850"/>
      <c r="D1115" s="282"/>
      <c r="E1115" s="833"/>
    </row>
    <row r="1116" spans="1:5" x14ac:dyDescent="0.35">
      <c r="A1116" s="281"/>
      <c r="B1116" s="279"/>
      <c r="C1116" s="850"/>
      <c r="D1116" s="282"/>
      <c r="E1116" s="833"/>
    </row>
    <row r="1117" spans="1:5" x14ac:dyDescent="0.35">
      <c r="A1117" s="281"/>
      <c r="B1117" s="279"/>
      <c r="C1117" s="850"/>
      <c r="D1117" s="282"/>
      <c r="E1117" s="833"/>
    </row>
    <row r="1118" spans="1:5" x14ac:dyDescent="0.35">
      <c r="A1118" s="281"/>
      <c r="B1118" s="279"/>
      <c r="C1118" s="850"/>
      <c r="D1118" s="282"/>
      <c r="E1118" s="833"/>
    </row>
    <row r="1119" spans="1:5" x14ac:dyDescent="0.35">
      <c r="A1119" s="281"/>
      <c r="B1119" s="279"/>
      <c r="C1119" s="850"/>
      <c r="D1119" s="282"/>
      <c r="E1119" s="833"/>
    </row>
    <row r="1120" spans="1:5" x14ac:dyDescent="0.35">
      <c r="A1120" s="281"/>
      <c r="B1120" s="279"/>
      <c r="C1120" s="850"/>
      <c r="D1120" s="282"/>
      <c r="E1120" s="833"/>
    </row>
    <row r="1121" spans="1:5" x14ac:dyDescent="0.35">
      <c r="A1121" s="281"/>
      <c r="B1121" s="279"/>
      <c r="C1121" s="850"/>
      <c r="D1121" s="282"/>
      <c r="E1121" s="833"/>
    </row>
    <row r="1122" spans="1:5" x14ac:dyDescent="0.35">
      <c r="A1122" s="281"/>
      <c r="B1122" s="279"/>
      <c r="C1122" s="850"/>
      <c r="D1122" s="282"/>
      <c r="E1122" s="833"/>
    </row>
    <row r="1123" spans="1:5" x14ac:dyDescent="0.35">
      <c r="A1123" s="281"/>
      <c r="B1123" s="279"/>
      <c r="C1123" s="850"/>
      <c r="D1123" s="282"/>
      <c r="E1123" s="833"/>
    </row>
    <row r="1124" spans="1:5" x14ac:dyDescent="0.35">
      <c r="A1124" s="281"/>
      <c r="B1124" s="279"/>
      <c r="C1124" s="850"/>
      <c r="D1124" s="282"/>
      <c r="E1124" s="833"/>
    </row>
    <row r="1125" spans="1:5" x14ac:dyDescent="0.35">
      <c r="A1125" s="281"/>
      <c r="B1125" s="279"/>
      <c r="C1125" s="850"/>
      <c r="D1125" s="282"/>
      <c r="E1125" s="833"/>
    </row>
    <row r="1126" spans="1:5" x14ac:dyDescent="0.35">
      <c r="A1126" s="281"/>
      <c r="B1126" s="279"/>
      <c r="C1126" s="850"/>
      <c r="D1126" s="282"/>
      <c r="E1126" s="833"/>
    </row>
    <row r="1127" spans="1:5" x14ac:dyDescent="0.35">
      <c r="A1127" s="281"/>
      <c r="B1127" s="279"/>
      <c r="C1127" s="850"/>
      <c r="D1127" s="282"/>
      <c r="E1127" s="833"/>
    </row>
    <row r="1128" spans="1:5" x14ac:dyDescent="0.35">
      <c r="A1128" s="281"/>
      <c r="B1128" s="279"/>
      <c r="C1128" s="850"/>
      <c r="D1128" s="282"/>
      <c r="E1128" s="833"/>
    </row>
    <row r="1129" spans="1:5" x14ac:dyDescent="0.35">
      <c r="A1129" s="281"/>
      <c r="B1129" s="279"/>
      <c r="C1129" s="850"/>
      <c r="D1129" s="282"/>
      <c r="E1129" s="833"/>
    </row>
    <row r="1130" spans="1:5" x14ac:dyDescent="0.35">
      <c r="A1130" s="281"/>
      <c r="B1130" s="279"/>
      <c r="C1130" s="850"/>
      <c r="D1130" s="282"/>
      <c r="E1130" s="833"/>
    </row>
    <row r="1131" spans="1:5" x14ac:dyDescent="0.35">
      <c r="A1131" s="281"/>
      <c r="B1131" s="279"/>
      <c r="C1131" s="850"/>
      <c r="D1131" s="282"/>
      <c r="E1131" s="833"/>
    </row>
    <row r="1132" spans="1:5" x14ac:dyDescent="0.35">
      <c r="A1132" s="281"/>
      <c r="B1132" s="279"/>
      <c r="C1132" s="850"/>
      <c r="D1132" s="282"/>
      <c r="E1132" s="833"/>
    </row>
    <row r="1133" spans="1:5" x14ac:dyDescent="0.35">
      <c r="A1133" s="281"/>
      <c r="B1133" s="279"/>
      <c r="C1133" s="850"/>
      <c r="D1133" s="282"/>
      <c r="E1133" s="833"/>
    </row>
    <row r="1134" spans="1:5" x14ac:dyDescent="0.35">
      <c r="A1134" s="281"/>
      <c r="B1134" s="279"/>
      <c r="C1134" s="850"/>
      <c r="D1134" s="282"/>
      <c r="E1134" s="833"/>
    </row>
    <row r="1135" spans="1:5" x14ac:dyDescent="0.35">
      <c r="A1135" s="281"/>
      <c r="B1135" s="279"/>
      <c r="C1135" s="850"/>
      <c r="D1135" s="282"/>
      <c r="E1135" s="833"/>
    </row>
    <row r="1136" spans="1:5" x14ac:dyDescent="0.35">
      <c r="A1136" s="281"/>
      <c r="B1136" s="279"/>
      <c r="C1136" s="850"/>
      <c r="D1136" s="282"/>
      <c r="E1136" s="833"/>
    </row>
    <row r="1137" spans="1:5" x14ac:dyDescent="0.35">
      <c r="A1137" s="281"/>
      <c r="B1137" s="279"/>
      <c r="C1137" s="850"/>
      <c r="D1137" s="282"/>
      <c r="E1137" s="833"/>
    </row>
    <row r="1138" spans="1:5" x14ac:dyDescent="0.35">
      <c r="A1138" s="281"/>
      <c r="B1138" s="279"/>
      <c r="C1138" s="850"/>
      <c r="D1138" s="282"/>
      <c r="E1138" s="833"/>
    </row>
    <row r="1139" spans="1:5" x14ac:dyDescent="0.35">
      <c r="A1139" s="281"/>
      <c r="B1139" s="279"/>
      <c r="C1139" s="850"/>
      <c r="D1139" s="282"/>
      <c r="E1139" s="833"/>
    </row>
    <row r="1140" spans="1:5" x14ac:dyDescent="0.35">
      <c r="A1140" s="281"/>
      <c r="B1140" s="279"/>
      <c r="C1140" s="850"/>
      <c r="D1140" s="282"/>
      <c r="E1140" s="833"/>
    </row>
    <row r="1141" spans="1:5" x14ac:dyDescent="0.35">
      <c r="A1141" s="281"/>
      <c r="B1141" s="279"/>
      <c r="C1141" s="850"/>
      <c r="D1141" s="282"/>
      <c r="E1141" s="833"/>
    </row>
    <row r="1142" spans="1:5" x14ac:dyDescent="0.35">
      <c r="A1142" s="281"/>
      <c r="B1142" s="279"/>
      <c r="C1142" s="850"/>
      <c r="D1142" s="282"/>
      <c r="E1142" s="833"/>
    </row>
    <row r="1143" spans="1:5" x14ac:dyDescent="0.35">
      <c r="A1143" s="281"/>
      <c r="B1143" s="279"/>
      <c r="C1143" s="850"/>
      <c r="D1143" s="282"/>
      <c r="E1143" s="833"/>
    </row>
    <row r="1144" spans="1:5" x14ac:dyDescent="0.35">
      <c r="A1144" s="281"/>
      <c r="B1144" s="279"/>
      <c r="C1144" s="850"/>
      <c r="D1144" s="282"/>
      <c r="E1144" s="833"/>
    </row>
    <row r="1145" spans="1:5" x14ac:dyDescent="0.35">
      <c r="A1145" s="281"/>
      <c r="B1145" s="279"/>
      <c r="C1145" s="850"/>
      <c r="D1145" s="282"/>
      <c r="E1145" s="833"/>
    </row>
    <row r="1146" spans="1:5" x14ac:dyDescent="0.35">
      <c r="A1146" s="281"/>
      <c r="B1146" s="279"/>
      <c r="C1146" s="850"/>
      <c r="D1146" s="282"/>
      <c r="E1146" s="833"/>
    </row>
    <row r="1147" spans="1:5" x14ac:dyDescent="0.35">
      <c r="A1147" s="281"/>
      <c r="B1147" s="279"/>
      <c r="C1147" s="850"/>
      <c r="D1147" s="282"/>
      <c r="E1147" s="833"/>
    </row>
    <row r="1148" spans="1:5" x14ac:dyDescent="0.35">
      <c r="A1148" s="281"/>
      <c r="B1148" s="279"/>
      <c r="C1148" s="850"/>
      <c r="D1148" s="282"/>
      <c r="E1148" s="833"/>
    </row>
    <row r="1149" spans="1:5" x14ac:dyDescent="0.35">
      <c r="A1149" s="281"/>
      <c r="B1149" s="279"/>
      <c r="C1149" s="850"/>
      <c r="D1149" s="282"/>
      <c r="E1149" s="833"/>
    </row>
    <row r="1150" spans="1:5" x14ac:dyDescent="0.35">
      <c r="A1150" s="281"/>
      <c r="B1150" s="279"/>
      <c r="C1150" s="850"/>
      <c r="D1150" s="282"/>
      <c r="E1150" s="833"/>
    </row>
    <row r="1151" spans="1:5" x14ac:dyDescent="0.35">
      <c r="A1151" s="281"/>
      <c r="B1151" s="279"/>
      <c r="C1151" s="850"/>
      <c r="D1151" s="282"/>
      <c r="E1151" s="833"/>
    </row>
    <row r="1152" spans="1:5" x14ac:dyDescent="0.35">
      <c r="A1152" s="281"/>
      <c r="B1152" s="279"/>
      <c r="C1152" s="850"/>
      <c r="D1152" s="282"/>
      <c r="E1152" s="833"/>
    </row>
    <row r="1153" spans="1:5" x14ac:dyDescent="0.35">
      <c r="A1153" s="281"/>
      <c r="B1153" s="279"/>
      <c r="C1153" s="850"/>
      <c r="D1153" s="282"/>
      <c r="E1153" s="833"/>
    </row>
    <row r="1154" spans="1:5" x14ac:dyDescent="0.35">
      <c r="A1154" s="281"/>
      <c r="B1154" s="279"/>
      <c r="C1154" s="850"/>
      <c r="D1154" s="282"/>
      <c r="E1154" s="833"/>
    </row>
    <row r="1155" spans="1:5" x14ac:dyDescent="0.35">
      <c r="A1155" s="281"/>
      <c r="B1155" s="279"/>
      <c r="C1155" s="850"/>
      <c r="D1155" s="282"/>
      <c r="E1155" s="833"/>
    </row>
    <row r="1156" spans="1:5" x14ac:dyDescent="0.35">
      <c r="A1156" s="281"/>
      <c r="B1156" s="279"/>
      <c r="C1156" s="850"/>
      <c r="D1156" s="282"/>
      <c r="E1156" s="833"/>
    </row>
    <row r="1157" spans="1:5" x14ac:dyDescent="0.35">
      <c r="A1157" s="281"/>
      <c r="B1157" s="279"/>
      <c r="C1157" s="850"/>
      <c r="D1157" s="282"/>
      <c r="E1157" s="833"/>
    </row>
    <row r="1158" spans="1:5" x14ac:dyDescent="0.35">
      <c r="A1158" s="281"/>
      <c r="B1158" s="279"/>
      <c r="C1158" s="850"/>
      <c r="D1158" s="282"/>
      <c r="E1158" s="833"/>
    </row>
    <row r="1159" spans="1:5" x14ac:dyDescent="0.35">
      <c r="A1159" s="281"/>
      <c r="B1159" s="279"/>
      <c r="C1159" s="850"/>
      <c r="D1159" s="282"/>
      <c r="E1159" s="833"/>
    </row>
    <row r="1160" spans="1:5" x14ac:dyDescent="0.35">
      <c r="A1160" s="281"/>
      <c r="B1160" s="279"/>
      <c r="C1160" s="850"/>
      <c r="D1160" s="282"/>
      <c r="E1160" s="833"/>
    </row>
    <row r="1161" spans="1:5" x14ac:dyDescent="0.35">
      <c r="A1161" s="281"/>
      <c r="B1161" s="279"/>
      <c r="C1161" s="850"/>
      <c r="D1161" s="282"/>
      <c r="E1161" s="833"/>
    </row>
    <row r="1162" spans="1:5" x14ac:dyDescent="0.35">
      <c r="A1162" s="281"/>
      <c r="B1162" s="279"/>
      <c r="C1162" s="850"/>
      <c r="D1162" s="282"/>
      <c r="E1162" s="833"/>
    </row>
    <row r="1163" spans="1:5" x14ac:dyDescent="0.35">
      <c r="A1163" s="281"/>
      <c r="B1163" s="279"/>
      <c r="C1163" s="850"/>
      <c r="D1163" s="282"/>
      <c r="E1163" s="833"/>
    </row>
    <row r="1164" spans="1:5" x14ac:dyDescent="0.35">
      <c r="A1164" s="281"/>
      <c r="B1164" s="279"/>
      <c r="C1164" s="850"/>
      <c r="D1164" s="282"/>
      <c r="E1164" s="833"/>
    </row>
    <row r="1165" spans="1:5" x14ac:dyDescent="0.35">
      <c r="A1165" s="281"/>
      <c r="B1165" s="279"/>
      <c r="C1165" s="850"/>
      <c r="D1165" s="282"/>
      <c r="E1165" s="833"/>
    </row>
    <row r="1166" spans="1:5" x14ac:dyDescent="0.35">
      <c r="A1166" s="281"/>
      <c r="B1166" s="279"/>
      <c r="C1166" s="850"/>
      <c r="D1166" s="282"/>
      <c r="E1166" s="833"/>
    </row>
    <row r="1167" spans="1:5" x14ac:dyDescent="0.35">
      <c r="A1167" s="281"/>
      <c r="B1167" s="279"/>
      <c r="C1167" s="850"/>
      <c r="D1167" s="282"/>
      <c r="E1167" s="833"/>
    </row>
    <row r="1168" spans="1:5" x14ac:dyDescent="0.35">
      <c r="A1168" s="281"/>
      <c r="B1168" s="279"/>
      <c r="C1168" s="850"/>
      <c r="D1168" s="282"/>
      <c r="E1168" s="833"/>
    </row>
    <row r="1169" spans="1:5" x14ac:dyDescent="0.35">
      <c r="A1169" s="281"/>
      <c r="B1169" s="279"/>
      <c r="C1169" s="850"/>
      <c r="D1169" s="282"/>
      <c r="E1169" s="833"/>
    </row>
    <row r="1170" spans="1:5" x14ac:dyDescent="0.35">
      <c r="A1170" s="281"/>
      <c r="B1170" s="279"/>
      <c r="C1170" s="850"/>
      <c r="D1170" s="282"/>
      <c r="E1170" s="833"/>
    </row>
    <row r="1171" spans="1:5" x14ac:dyDescent="0.35">
      <c r="A1171" s="281"/>
      <c r="B1171" s="279"/>
      <c r="C1171" s="850"/>
      <c r="D1171" s="282"/>
      <c r="E1171" s="833"/>
    </row>
    <row r="1172" spans="1:5" x14ac:dyDescent="0.35">
      <c r="A1172" s="281"/>
      <c r="B1172" s="279"/>
      <c r="C1172" s="850"/>
      <c r="D1172" s="282"/>
      <c r="E1172" s="833"/>
    </row>
    <row r="1173" spans="1:5" x14ac:dyDescent="0.35">
      <c r="A1173" s="281"/>
      <c r="B1173" s="279"/>
      <c r="C1173" s="850"/>
      <c r="D1173" s="282"/>
      <c r="E1173" s="833"/>
    </row>
    <row r="1174" spans="1:5" x14ac:dyDescent="0.35">
      <c r="A1174" s="281"/>
      <c r="B1174" s="279"/>
      <c r="C1174" s="850"/>
      <c r="D1174" s="282"/>
      <c r="E1174" s="833"/>
    </row>
    <row r="1175" spans="1:5" x14ac:dyDescent="0.35">
      <c r="A1175" s="281"/>
      <c r="B1175" s="279"/>
      <c r="C1175" s="850"/>
      <c r="D1175" s="282"/>
      <c r="E1175" s="833"/>
    </row>
    <row r="1176" spans="1:5" x14ac:dyDescent="0.35">
      <c r="A1176" s="281"/>
      <c r="B1176" s="279"/>
      <c r="C1176" s="850"/>
      <c r="D1176" s="282"/>
      <c r="E1176" s="833"/>
    </row>
    <row r="1177" spans="1:5" x14ac:dyDescent="0.35">
      <c r="A1177" s="281"/>
      <c r="B1177" s="279"/>
      <c r="C1177" s="850"/>
      <c r="D1177" s="282"/>
      <c r="E1177" s="833"/>
    </row>
    <row r="1178" spans="1:5" x14ac:dyDescent="0.35">
      <c r="A1178" s="281"/>
      <c r="B1178" s="279"/>
      <c r="C1178" s="850"/>
      <c r="D1178" s="282"/>
      <c r="E1178" s="833"/>
    </row>
    <row r="1179" spans="1:5" x14ac:dyDescent="0.35">
      <c r="A1179" s="281"/>
      <c r="B1179" s="279"/>
      <c r="C1179" s="850"/>
      <c r="D1179" s="282"/>
      <c r="E1179" s="833"/>
    </row>
    <row r="1180" spans="1:5" x14ac:dyDescent="0.35">
      <c r="A1180" s="281"/>
      <c r="B1180" s="279"/>
      <c r="C1180" s="850"/>
      <c r="D1180" s="282"/>
      <c r="E1180" s="833"/>
    </row>
    <row r="1181" spans="1:5" x14ac:dyDescent="0.35">
      <c r="A1181" s="281"/>
      <c r="B1181" s="279"/>
      <c r="C1181" s="850"/>
      <c r="D1181" s="282"/>
      <c r="E1181" s="833"/>
    </row>
    <row r="1182" spans="1:5" x14ac:dyDescent="0.35">
      <c r="A1182" s="281"/>
      <c r="B1182" s="279"/>
      <c r="C1182" s="850"/>
      <c r="D1182" s="282"/>
      <c r="E1182" s="833"/>
    </row>
    <row r="1183" spans="1:5" x14ac:dyDescent="0.35">
      <c r="A1183" s="281"/>
      <c r="B1183" s="279"/>
      <c r="C1183" s="850"/>
      <c r="D1183" s="282"/>
      <c r="E1183" s="833"/>
    </row>
    <row r="1184" spans="1:5" x14ac:dyDescent="0.35">
      <c r="A1184" s="281"/>
      <c r="B1184" s="279"/>
      <c r="C1184" s="850"/>
      <c r="D1184" s="282"/>
      <c r="E1184" s="833"/>
    </row>
    <row r="1185" spans="1:5" x14ac:dyDescent="0.35">
      <c r="A1185" s="281"/>
      <c r="B1185" s="279"/>
      <c r="C1185" s="850"/>
      <c r="D1185" s="282"/>
      <c r="E1185" s="833"/>
    </row>
    <row r="1186" spans="1:5" x14ac:dyDescent="0.35">
      <c r="A1186" s="281"/>
      <c r="B1186" s="279"/>
      <c r="C1186" s="850"/>
      <c r="D1186" s="282"/>
      <c r="E1186" s="833"/>
    </row>
    <row r="1187" spans="1:5" x14ac:dyDescent="0.35">
      <c r="A1187" s="281"/>
      <c r="B1187" s="279"/>
      <c r="C1187" s="850"/>
      <c r="D1187" s="282"/>
      <c r="E1187" s="833"/>
    </row>
    <row r="1188" spans="1:5" x14ac:dyDescent="0.35">
      <c r="A1188" s="281"/>
      <c r="B1188" s="279"/>
      <c r="C1188" s="850"/>
      <c r="D1188" s="282"/>
      <c r="E1188" s="833"/>
    </row>
    <row r="1189" spans="1:5" x14ac:dyDescent="0.35">
      <c r="A1189" s="281"/>
      <c r="B1189" s="279"/>
      <c r="C1189" s="850"/>
      <c r="D1189" s="282"/>
      <c r="E1189" s="833"/>
    </row>
    <row r="1190" spans="1:5" x14ac:dyDescent="0.35">
      <c r="A1190" s="281"/>
      <c r="B1190" s="279"/>
      <c r="C1190" s="850"/>
      <c r="D1190" s="282"/>
      <c r="E1190" s="833"/>
    </row>
    <row r="1191" spans="1:5" x14ac:dyDescent="0.35">
      <c r="A1191" s="281"/>
      <c r="B1191" s="279"/>
      <c r="C1191" s="850"/>
      <c r="D1191" s="282"/>
      <c r="E1191" s="833"/>
    </row>
    <row r="1192" spans="1:5" x14ac:dyDescent="0.35">
      <c r="A1192" s="281"/>
      <c r="B1192" s="279"/>
      <c r="C1192" s="850"/>
      <c r="D1192" s="282"/>
      <c r="E1192" s="833"/>
    </row>
    <row r="1193" spans="1:5" x14ac:dyDescent="0.35">
      <c r="A1193" s="281"/>
      <c r="B1193" s="279"/>
      <c r="C1193" s="850"/>
      <c r="D1193" s="282"/>
      <c r="E1193" s="833"/>
    </row>
    <row r="1194" spans="1:5" x14ac:dyDescent="0.35">
      <c r="A1194" s="281"/>
      <c r="B1194" s="279"/>
      <c r="C1194" s="850"/>
      <c r="D1194" s="282"/>
      <c r="E1194" s="833"/>
    </row>
    <row r="1195" spans="1:5" x14ac:dyDescent="0.35">
      <c r="A1195" s="281"/>
      <c r="B1195" s="279"/>
      <c r="C1195" s="850"/>
      <c r="D1195" s="282"/>
      <c r="E1195" s="833"/>
    </row>
    <row r="1196" spans="1:5" x14ac:dyDescent="0.35">
      <c r="A1196" s="281"/>
      <c r="B1196" s="279"/>
      <c r="C1196" s="850"/>
      <c r="D1196" s="282"/>
      <c r="E1196" s="833"/>
    </row>
    <row r="1197" spans="1:5" x14ac:dyDescent="0.35">
      <c r="A1197" s="281"/>
      <c r="B1197" s="279"/>
      <c r="C1197" s="850"/>
      <c r="D1197" s="282"/>
      <c r="E1197" s="833"/>
    </row>
    <row r="1198" spans="1:5" x14ac:dyDescent="0.35">
      <c r="A1198" s="281"/>
      <c r="B1198" s="279"/>
      <c r="C1198" s="850"/>
      <c r="D1198" s="282"/>
      <c r="E1198" s="833"/>
    </row>
    <row r="1199" spans="1:5" x14ac:dyDescent="0.35">
      <c r="A1199" s="281"/>
      <c r="B1199" s="279"/>
      <c r="C1199" s="850"/>
      <c r="D1199" s="282"/>
      <c r="E1199" s="833"/>
    </row>
    <row r="1200" spans="1:5" x14ac:dyDescent="0.35">
      <c r="A1200" s="281"/>
      <c r="B1200" s="279"/>
      <c r="C1200" s="850"/>
      <c r="D1200" s="282"/>
      <c r="E1200" s="833"/>
    </row>
    <row r="1201" spans="1:5" x14ac:dyDescent="0.35">
      <c r="A1201" s="281"/>
      <c r="B1201" s="279"/>
      <c r="C1201" s="850"/>
      <c r="D1201" s="282"/>
      <c r="E1201" s="833"/>
    </row>
    <row r="1202" spans="1:5" x14ac:dyDescent="0.35">
      <c r="A1202" s="281"/>
      <c r="B1202" s="279"/>
      <c r="C1202" s="850"/>
      <c r="D1202" s="282"/>
      <c r="E1202" s="833"/>
    </row>
    <row r="1203" spans="1:5" x14ac:dyDescent="0.35">
      <c r="A1203" s="281"/>
      <c r="B1203" s="279"/>
      <c r="C1203" s="850"/>
      <c r="D1203" s="282"/>
      <c r="E1203" s="833"/>
    </row>
    <row r="1204" spans="1:5" x14ac:dyDescent="0.35">
      <c r="A1204" s="281"/>
      <c r="B1204" s="279"/>
      <c r="C1204" s="850"/>
      <c r="D1204" s="282"/>
      <c r="E1204" s="833"/>
    </row>
    <row r="1205" spans="1:5" x14ac:dyDescent="0.35">
      <c r="A1205" s="281"/>
      <c r="B1205" s="279"/>
      <c r="C1205" s="850"/>
      <c r="D1205" s="282"/>
      <c r="E1205" s="833"/>
    </row>
    <row r="1206" spans="1:5" x14ac:dyDescent="0.35">
      <c r="A1206" s="281"/>
      <c r="B1206" s="279"/>
      <c r="C1206" s="850"/>
      <c r="D1206" s="282"/>
      <c r="E1206" s="833"/>
    </row>
    <row r="1207" spans="1:5" x14ac:dyDescent="0.35">
      <c r="A1207" s="281"/>
      <c r="B1207" s="279"/>
      <c r="C1207" s="850"/>
      <c r="D1207" s="282"/>
      <c r="E1207" s="833"/>
    </row>
    <row r="1208" spans="1:5" x14ac:dyDescent="0.35">
      <c r="A1208" s="281"/>
      <c r="B1208" s="279"/>
      <c r="C1208" s="850"/>
      <c r="D1208" s="282"/>
      <c r="E1208" s="833"/>
    </row>
    <row r="1209" spans="1:5" x14ac:dyDescent="0.35">
      <c r="A1209" s="281"/>
      <c r="B1209" s="279"/>
      <c r="C1209" s="850"/>
      <c r="D1209" s="282"/>
      <c r="E1209" s="833"/>
    </row>
    <row r="1210" spans="1:5" x14ac:dyDescent="0.35">
      <c r="A1210" s="281"/>
      <c r="B1210" s="279"/>
      <c r="C1210" s="850"/>
      <c r="D1210" s="282"/>
      <c r="E1210" s="833"/>
    </row>
    <row r="1211" spans="1:5" x14ac:dyDescent="0.35">
      <c r="A1211" s="281"/>
      <c r="B1211" s="279"/>
      <c r="C1211" s="850"/>
      <c r="D1211" s="282"/>
      <c r="E1211" s="833"/>
    </row>
    <row r="1212" spans="1:5" x14ac:dyDescent="0.35">
      <c r="A1212" s="281"/>
      <c r="B1212" s="279"/>
      <c r="C1212" s="850"/>
      <c r="D1212" s="282"/>
      <c r="E1212" s="833"/>
    </row>
    <row r="1213" spans="1:5" x14ac:dyDescent="0.35">
      <c r="A1213" s="281"/>
      <c r="B1213" s="279"/>
      <c r="C1213" s="850"/>
      <c r="D1213" s="282"/>
      <c r="E1213" s="833"/>
    </row>
    <row r="1214" spans="1:5" x14ac:dyDescent="0.35">
      <c r="A1214" s="281"/>
      <c r="B1214" s="279"/>
      <c r="C1214" s="850"/>
      <c r="D1214" s="282"/>
      <c r="E1214" s="833"/>
    </row>
    <row r="1215" spans="1:5" x14ac:dyDescent="0.35">
      <c r="A1215" s="281"/>
      <c r="B1215" s="279"/>
      <c r="C1215" s="850"/>
      <c r="D1215" s="282"/>
      <c r="E1215" s="833"/>
    </row>
    <row r="1216" spans="1:5" x14ac:dyDescent="0.35">
      <c r="A1216" s="281"/>
      <c r="B1216" s="279"/>
      <c r="C1216" s="850"/>
      <c r="D1216" s="282"/>
      <c r="E1216" s="833"/>
    </row>
    <row r="1217" spans="1:5" x14ac:dyDescent="0.35">
      <c r="A1217" s="281"/>
      <c r="B1217" s="279"/>
      <c r="C1217" s="850"/>
      <c r="D1217" s="282"/>
      <c r="E1217" s="833"/>
    </row>
    <row r="1218" spans="1:5" x14ac:dyDescent="0.35">
      <c r="A1218" s="281"/>
      <c r="B1218" s="279"/>
      <c r="C1218" s="850"/>
      <c r="D1218" s="282"/>
      <c r="E1218" s="833"/>
    </row>
    <row r="1219" spans="1:5" x14ac:dyDescent="0.35">
      <c r="A1219" s="281"/>
      <c r="B1219" s="279"/>
      <c r="C1219" s="850"/>
      <c r="D1219" s="282"/>
      <c r="E1219" s="833"/>
    </row>
    <row r="1220" spans="1:5" x14ac:dyDescent="0.35">
      <c r="A1220" s="281"/>
      <c r="B1220" s="279"/>
      <c r="C1220" s="850"/>
      <c r="D1220" s="282"/>
      <c r="E1220" s="833"/>
    </row>
    <row r="1221" spans="1:5" x14ac:dyDescent="0.35">
      <c r="A1221" s="281"/>
      <c r="B1221" s="279"/>
      <c r="C1221" s="850"/>
      <c r="D1221" s="282"/>
      <c r="E1221" s="833"/>
    </row>
    <row r="1222" spans="1:5" x14ac:dyDescent="0.35">
      <c r="A1222" s="281"/>
      <c r="B1222" s="279"/>
      <c r="C1222" s="850"/>
      <c r="D1222" s="282"/>
      <c r="E1222" s="833"/>
    </row>
    <row r="1223" spans="1:5" x14ac:dyDescent="0.35">
      <c r="A1223" s="281"/>
      <c r="B1223" s="279"/>
      <c r="C1223" s="850"/>
      <c r="D1223" s="282"/>
      <c r="E1223" s="833"/>
    </row>
    <row r="1224" spans="1:5" x14ac:dyDescent="0.35">
      <c r="A1224" s="281"/>
      <c r="B1224" s="279"/>
      <c r="C1224" s="850"/>
      <c r="D1224" s="282"/>
      <c r="E1224" s="833"/>
    </row>
    <row r="1225" spans="1:5" x14ac:dyDescent="0.35">
      <c r="A1225" s="281"/>
      <c r="B1225" s="279"/>
      <c r="C1225" s="850"/>
      <c r="D1225" s="282"/>
      <c r="E1225" s="833"/>
    </row>
    <row r="1226" spans="1:5" x14ac:dyDescent="0.35">
      <c r="A1226" s="281"/>
      <c r="B1226" s="279"/>
      <c r="C1226" s="850"/>
      <c r="D1226" s="282"/>
      <c r="E1226" s="833"/>
    </row>
    <row r="1227" spans="1:5" x14ac:dyDescent="0.35">
      <c r="A1227" s="281"/>
      <c r="B1227" s="279"/>
      <c r="C1227" s="850"/>
      <c r="D1227" s="282"/>
      <c r="E1227" s="833"/>
    </row>
    <row r="1228" spans="1:5" x14ac:dyDescent="0.35">
      <c r="A1228" s="281"/>
      <c r="B1228" s="279"/>
      <c r="C1228" s="850"/>
      <c r="D1228" s="282"/>
      <c r="E1228" s="833"/>
    </row>
    <row r="1229" spans="1:5" x14ac:dyDescent="0.35">
      <c r="A1229" s="281"/>
      <c r="B1229" s="279"/>
      <c r="C1229" s="850"/>
      <c r="D1229" s="282"/>
      <c r="E1229" s="833"/>
    </row>
    <row r="1230" spans="1:5" x14ac:dyDescent="0.35">
      <c r="A1230" s="281"/>
      <c r="B1230" s="279"/>
      <c r="C1230" s="850"/>
      <c r="D1230" s="282"/>
      <c r="E1230" s="833"/>
    </row>
    <row r="1231" spans="1:5" x14ac:dyDescent="0.35">
      <c r="A1231" s="281"/>
      <c r="B1231" s="279"/>
      <c r="C1231" s="850"/>
      <c r="D1231" s="282"/>
      <c r="E1231" s="833"/>
    </row>
    <row r="1232" spans="1:5" x14ac:dyDescent="0.35">
      <c r="A1232" s="281"/>
      <c r="B1232" s="279"/>
      <c r="C1232" s="850"/>
      <c r="D1232" s="282"/>
      <c r="E1232" s="833"/>
    </row>
    <row r="1233" spans="1:5" x14ac:dyDescent="0.35">
      <c r="A1233" s="281"/>
      <c r="B1233" s="279"/>
      <c r="C1233" s="850"/>
      <c r="D1233" s="282"/>
      <c r="E1233" s="833"/>
    </row>
    <row r="1234" spans="1:5" x14ac:dyDescent="0.35">
      <c r="A1234" s="281"/>
      <c r="B1234" s="279"/>
      <c r="C1234" s="850"/>
      <c r="D1234" s="282"/>
      <c r="E1234" s="833"/>
    </row>
    <row r="1235" spans="1:5" x14ac:dyDescent="0.35">
      <c r="A1235" s="281"/>
      <c r="B1235" s="279"/>
      <c r="C1235" s="850"/>
      <c r="D1235" s="282"/>
      <c r="E1235" s="833"/>
    </row>
    <row r="1236" spans="1:5" x14ac:dyDescent="0.35">
      <c r="A1236" s="281"/>
      <c r="B1236" s="279"/>
      <c r="C1236" s="850"/>
      <c r="D1236" s="282"/>
      <c r="E1236" s="833"/>
    </row>
    <row r="1237" spans="1:5" x14ac:dyDescent="0.35">
      <c r="A1237" s="281"/>
      <c r="B1237" s="279"/>
      <c r="C1237" s="850"/>
      <c r="D1237" s="282"/>
      <c r="E1237" s="833"/>
    </row>
    <row r="1238" spans="1:5" x14ac:dyDescent="0.35">
      <c r="A1238" s="281"/>
      <c r="B1238" s="279"/>
      <c r="C1238" s="850"/>
      <c r="D1238" s="282"/>
      <c r="E1238" s="833"/>
    </row>
    <row r="1239" spans="1:5" x14ac:dyDescent="0.35">
      <c r="A1239" s="281"/>
      <c r="B1239" s="279"/>
      <c r="C1239" s="850"/>
      <c r="D1239" s="282"/>
      <c r="E1239" s="833"/>
    </row>
    <row r="1240" spans="1:5" x14ac:dyDescent="0.35">
      <c r="A1240" s="281"/>
      <c r="B1240" s="279"/>
      <c r="C1240" s="850"/>
      <c r="D1240" s="282"/>
      <c r="E1240" s="833"/>
    </row>
    <row r="1241" spans="1:5" x14ac:dyDescent="0.35">
      <c r="A1241" s="281"/>
      <c r="B1241" s="279"/>
      <c r="C1241" s="850"/>
      <c r="D1241" s="282"/>
      <c r="E1241" s="833"/>
    </row>
    <row r="1242" spans="1:5" x14ac:dyDescent="0.35">
      <c r="A1242" s="281"/>
      <c r="B1242" s="279"/>
      <c r="C1242" s="850"/>
      <c r="D1242" s="282"/>
      <c r="E1242" s="833"/>
    </row>
    <row r="1243" spans="1:5" x14ac:dyDescent="0.35">
      <c r="A1243" s="281"/>
      <c r="B1243" s="279"/>
      <c r="C1243" s="850"/>
      <c r="D1243" s="282"/>
      <c r="E1243" s="833"/>
    </row>
    <row r="1244" spans="1:5" x14ac:dyDescent="0.35">
      <c r="A1244" s="281"/>
      <c r="B1244" s="279"/>
      <c r="C1244" s="850"/>
      <c r="D1244" s="282"/>
      <c r="E1244" s="833"/>
    </row>
    <row r="1245" spans="1:5" x14ac:dyDescent="0.35">
      <c r="A1245" s="281"/>
      <c r="B1245" s="279"/>
      <c r="C1245" s="850"/>
      <c r="D1245" s="282"/>
      <c r="E1245" s="833"/>
    </row>
    <row r="1246" spans="1:5" x14ac:dyDescent="0.35">
      <c r="A1246" s="281"/>
      <c r="B1246" s="279"/>
      <c r="C1246" s="850"/>
      <c r="D1246" s="282"/>
      <c r="E1246" s="833"/>
    </row>
    <row r="1247" spans="1:5" x14ac:dyDescent="0.35">
      <c r="A1247" s="281"/>
      <c r="B1247" s="279"/>
      <c r="C1247" s="850"/>
      <c r="D1247" s="282"/>
      <c r="E1247" s="833"/>
    </row>
    <row r="1248" spans="1:5" x14ac:dyDescent="0.35">
      <c r="A1248" s="281"/>
      <c r="B1248" s="279"/>
      <c r="C1248" s="850"/>
      <c r="D1248" s="282"/>
      <c r="E1248" s="833"/>
    </row>
    <row r="1249" spans="1:5" x14ac:dyDescent="0.35">
      <c r="A1249" s="281"/>
      <c r="B1249" s="279"/>
      <c r="C1249" s="850"/>
      <c r="D1249" s="282"/>
      <c r="E1249" s="833"/>
    </row>
    <row r="1250" spans="1:5" x14ac:dyDescent="0.35">
      <c r="A1250" s="281"/>
      <c r="B1250" s="279"/>
      <c r="C1250" s="850"/>
      <c r="D1250" s="282"/>
      <c r="E1250" s="833"/>
    </row>
    <row r="1251" spans="1:5" x14ac:dyDescent="0.35">
      <c r="A1251" s="281"/>
      <c r="B1251" s="279"/>
      <c r="C1251" s="850"/>
      <c r="D1251" s="282"/>
      <c r="E1251" s="833"/>
    </row>
    <row r="1252" spans="1:5" x14ac:dyDescent="0.35">
      <c r="A1252" s="281"/>
      <c r="B1252" s="279"/>
      <c r="C1252" s="850"/>
      <c r="D1252" s="282"/>
      <c r="E1252" s="833"/>
    </row>
    <row r="1253" spans="1:5" x14ac:dyDescent="0.35">
      <c r="A1253" s="281"/>
      <c r="B1253" s="279"/>
      <c r="C1253" s="850"/>
      <c r="D1253" s="282"/>
      <c r="E1253" s="833"/>
    </row>
    <row r="1254" spans="1:5" x14ac:dyDescent="0.35">
      <c r="A1254" s="281"/>
      <c r="B1254" s="279"/>
      <c r="C1254" s="850"/>
      <c r="D1254" s="282"/>
      <c r="E1254" s="833"/>
    </row>
    <row r="1255" spans="1:5" x14ac:dyDescent="0.35">
      <c r="A1255" s="281"/>
      <c r="B1255" s="279"/>
      <c r="C1255" s="850"/>
      <c r="D1255" s="282"/>
      <c r="E1255" s="833"/>
    </row>
    <row r="1256" spans="1:5" x14ac:dyDescent="0.35">
      <c r="A1256" s="281"/>
      <c r="B1256" s="279"/>
      <c r="C1256" s="850"/>
      <c r="D1256" s="282"/>
      <c r="E1256" s="833"/>
    </row>
    <row r="1257" spans="1:5" x14ac:dyDescent="0.35">
      <c r="A1257" s="281"/>
      <c r="B1257" s="279"/>
      <c r="C1257" s="850"/>
      <c r="D1257" s="282"/>
      <c r="E1257" s="833"/>
    </row>
    <row r="1258" spans="1:5" x14ac:dyDescent="0.35">
      <c r="A1258" s="281"/>
      <c r="B1258" s="279"/>
      <c r="C1258" s="850"/>
      <c r="D1258" s="282"/>
      <c r="E1258" s="833"/>
    </row>
    <row r="1259" spans="1:5" x14ac:dyDescent="0.35">
      <c r="A1259" s="281"/>
      <c r="B1259" s="279"/>
      <c r="C1259" s="850"/>
      <c r="D1259" s="282"/>
      <c r="E1259" s="833"/>
    </row>
    <row r="1260" spans="1:5" x14ac:dyDescent="0.35">
      <c r="A1260" s="281"/>
      <c r="B1260" s="279"/>
      <c r="C1260" s="850"/>
      <c r="D1260" s="282"/>
      <c r="E1260" s="833"/>
    </row>
    <row r="1261" spans="1:5" x14ac:dyDescent="0.35">
      <c r="A1261" s="281"/>
      <c r="B1261" s="279"/>
      <c r="C1261" s="850"/>
      <c r="D1261" s="282"/>
      <c r="E1261" s="833"/>
    </row>
    <row r="1262" spans="1:5" x14ac:dyDescent="0.35">
      <c r="A1262" s="281"/>
      <c r="B1262" s="279"/>
      <c r="C1262" s="850"/>
      <c r="D1262" s="282"/>
      <c r="E1262" s="833"/>
    </row>
    <row r="1263" spans="1:5" x14ac:dyDescent="0.35">
      <c r="A1263" s="281"/>
      <c r="B1263" s="279"/>
      <c r="C1263" s="850"/>
      <c r="D1263" s="282"/>
      <c r="E1263" s="833"/>
    </row>
    <row r="1264" spans="1:5" x14ac:dyDescent="0.35">
      <c r="A1264" s="281"/>
      <c r="B1264" s="279"/>
      <c r="C1264" s="850"/>
      <c r="D1264" s="282"/>
      <c r="E1264" s="833"/>
    </row>
    <row r="1265" spans="1:5" x14ac:dyDescent="0.35">
      <c r="A1265" s="281"/>
      <c r="B1265" s="279"/>
      <c r="C1265" s="850"/>
      <c r="D1265" s="282"/>
      <c r="E1265" s="833"/>
    </row>
    <row r="1266" spans="1:5" x14ac:dyDescent="0.35">
      <c r="A1266" s="281"/>
      <c r="B1266" s="279"/>
      <c r="C1266" s="850"/>
      <c r="D1266" s="282"/>
      <c r="E1266" s="833"/>
    </row>
    <row r="1267" spans="1:5" x14ac:dyDescent="0.35">
      <c r="A1267" s="281"/>
      <c r="B1267" s="279"/>
      <c r="C1267" s="850"/>
      <c r="D1267" s="282"/>
      <c r="E1267" s="833"/>
    </row>
    <row r="1268" spans="1:5" x14ac:dyDescent="0.35">
      <c r="A1268" s="281"/>
      <c r="B1268" s="279"/>
      <c r="C1268" s="850"/>
      <c r="D1268" s="282"/>
      <c r="E1268" s="833"/>
    </row>
    <row r="1269" spans="1:5" x14ac:dyDescent="0.35">
      <c r="A1269" s="281"/>
      <c r="B1269" s="279"/>
      <c r="C1269" s="850"/>
      <c r="D1269" s="282"/>
      <c r="E1269" s="833"/>
    </row>
    <row r="1270" spans="1:5" x14ac:dyDescent="0.35">
      <c r="A1270" s="281"/>
      <c r="B1270" s="279"/>
      <c r="C1270" s="850"/>
      <c r="D1270" s="282"/>
      <c r="E1270" s="833"/>
    </row>
    <row r="1271" spans="1:5" x14ac:dyDescent="0.35">
      <c r="A1271" s="281"/>
      <c r="B1271" s="279"/>
      <c r="C1271" s="850"/>
      <c r="D1271" s="282"/>
      <c r="E1271" s="833"/>
    </row>
    <row r="1272" spans="1:5" x14ac:dyDescent="0.35">
      <c r="A1272" s="281"/>
      <c r="B1272" s="279"/>
      <c r="C1272" s="850"/>
      <c r="D1272" s="282"/>
      <c r="E1272" s="833"/>
    </row>
    <row r="1273" spans="1:5" x14ac:dyDescent="0.35">
      <c r="A1273" s="281"/>
      <c r="B1273" s="279"/>
      <c r="C1273" s="850"/>
      <c r="D1273" s="282"/>
      <c r="E1273" s="833"/>
    </row>
    <row r="1274" spans="1:5" x14ac:dyDescent="0.35">
      <c r="A1274" s="281"/>
      <c r="B1274" s="279"/>
      <c r="C1274" s="850"/>
      <c r="D1274" s="282"/>
      <c r="E1274" s="833"/>
    </row>
    <row r="1275" spans="1:5" x14ac:dyDescent="0.35">
      <c r="A1275" s="281"/>
      <c r="B1275" s="279"/>
      <c r="C1275" s="850"/>
      <c r="D1275" s="282"/>
      <c r="E1275" s="833"/>
    </row>
    <row r="1276" spans="1:5" x14ac:dyDescent="0.35">
      <c r="A1276" s="281"/>
      <c r="B1276" s="279"/>
      <c r="C1276" s="850"/>
      <c r="D1276" s="282"/>
      <c r="E1276" s="833"/>
    </row>
    <row r="1277" spans="1:5" x14ac:dyDescent="0.35">
      <c r="A1277" s="281"/>
      <c r="B1277" s="279"/>
      <c r="C1277" s="850"/>
      <c r="D1277" s="282"/>
      <c r="E1277" s="833"/>
    </row>
    <row r="1278" spans="1:5" x14ac:dyDescent="0.35">
      <c r="A1278" s="281"/>
      <c r="B1278" s="279"/>
      <c r="C1278" s="850"/>
      <c r="D1278" s="282"/>
      <c r="E1278" s="833"/>
    </row>
    <row r="1279" spans="1:5" x14ac:dyDescent="0.35">
      <c r="A1279" s="281"/>
      <c r="B1279" s="279"/>
      <c r="C1279" s="850"/>
      <c r="D1279" s="282"/>
      <c r="E1279" s="833"/>
    </row>
    <row r="1280" spans="1:5" x14ac:dyDescent="0.35">
      <c r="A1280" s="281"/>
      <c r="B1280" s="279"/>
      <c r="C1280" s="850"/>
      <c r="D1280" s="282"/>
      <c r="E1280" s="833"/>
    </row>
    <row r="1281" spans="1:5" x14ac:dyDescent="0.35">
      <c r="A1281" s="281"/>
      <c r="B1281" s="279"/>
      <c r="C1281" s="850"/>
      <c r="D1281" s="282"/>
      <c r="E1281" s="833"/>
    </row>
    <row r="1282" spans="1:5" x14ac:dyDescent="0.35">
      <c r="A1282" s="281"/>
      <c r="B1282" s="279"/>
      <c r="C1282" s="850"/>
      <c r="D1282" s="282"/>
      <c r="E1282" s="833"/>
    </row>
    <row r="1283" spans="1:5" x14ac:dyDescent="0.35">
      <c r="A1283" s="281"/>
      <c r="B1283" s="279"/>
      <c r="C1283" s="850"/>
      <c r="D1283" s="282"/>
      <c r="E1283" s="833"/>
    </row>
    <row r="1284" spans="1:5" x14ac:dyDescent="0.35">
      <c r="A1284" s="281"/>
      <c r="B1284" s="279"/>
      <c r="C1284" s="850"/>
      <c r="D1284" s="282"/>
      <c r="E1284" s="833"/>
    </row>
    <row r="1285" spans="1:5" x14ac:dyDescent="0.35">
      <c r="A1285" s="281"/>
      <c r="B1285" s="279"/>
      <c r="C1285" s="850"/>
      <c r="D1285" s="282"/>
      <c r="E1285" s="833"/>
    </row>
    <row r="1286" spans="1:5" x14ac:dyDescent="0.35">
      <c r="A1286" s="281"/>
      <c r="B1286" s="279"/>
      <c r="C1286" s="850"/>
      <c r="D1286" s="282"/>
      <c r="E1286" s="833"/>
    </row>
    <row r="1287" spans="1:5" x14ac:dyDescent="0.35">
      <c r="A1287" s="281"/>
      <c r="B1287" s="279"/>
      <c r="C1287" s="850"/>
      <c r="D1287" s="282"/>
      <c r="E1287" s="833"/>
    </row>
    <row r="1288" spans="1:5" x14ac:dyDescent="0.35">
      <c r="A1288" s="281"/>
      <c r="B1288" s="279"/>
      <c r="C1288" s="850"/>
      <c r="D1288" s="282"/>
      <c r="E1288" s="833"/>
    </row>
    <row r="1289" spans="1:5" x14ac:dyDescent="0.35">
      <c r="A1289" s="281"/>
      <c r="B1289" s="279"/>
      <c r="C1289" s="850"/>
      <c r="D1289" s="282"/>
      <c r="E1289" s="833"/>
    </row>
    <row r="1290" spans="1:5" x14ac:dyDescent="0.35">
      <c r="A1290" s="281"/>
      <c r="B1290" s="279"/>
      <c r="C1290" s="850"/>
      <c r="D1290" s="282"/>
      <c r="E1290" s="833"/>
    </row>
    <row r="1291" spans="1:5" x14ac:dyDescent="0.35">
      <c r="A1291" s="281"/>
      <c r="B1291" s="279"/>
      <c r="C1291" s="850"/>
      <c r="D1291" s="282"/>
      <c r="E1291" s="833"/>
    </row>
    <row r="1292" spans="1:5" x14ac:dyDescent="0.35">
      <c r="A1292" s="281"/>
      <c r="B1292" s="279"/>
      <c r="C1292" s="850"/>
      <c r="D1292" s="282"/>
      <c r="E1292" s="833"/>
    </row>
    <row r="1293" spans="1:5" x14ac:dyDescent="0.35">
      <c r="A1293" s="281"/>
      <c r="B1293" s="279"/>
      <c r="C1293" s="850"/>
      <c r="D1293" s="282"/>
      <c r="E1293" s="833"/>
    </row>
    <row r="1294" spans="1:5" x14ac:dyDescent="0.35">
      <c r="A1294" s="281"/>
      <c r="B1294" s="279"/>
      <c r="C1294" s="850"/>
      <c r="D1294" s="282"/>
      <c r="E1294" s="833"/>
    </row>
    <row r="1295" spans="1:5" x14ac:dyDescent="0.35">
      <c r="A1295" s="281"/>
      <c r="B1295" s="279"/>
      <c r="C1295" s="850"/>
      <c r="D1295" s="282"/>
      <c r="E1295" s="833"/>
    </row>
    <row r="1296" spans="1:5" x14ac:dyDescent="0.35">
      <c r="A1296" s="281"/>
      <c r="B1296" s="279"/>
      <c r="C1296" s="850"/>
      <c r="D1296" s="282"/>
      <c r="E1296" s="833"/>
    </row>
    <row r="1297" spans="1:5" x14ac:dyDescent="0.35">
      <c r="A1297" s="281"/>
      <c r="B1297" s="279"/>
      <c r="C1297" s="850"/>
      <c r="D1297" s="282"/>
      <c r="E1297" s="833"/>
    </row>
    <row r="1298" spans="1:5" x14ac:dyDescent="0.35">
      <c r="A1298" s="281"/>
      <c r="B1298" s="279"/>
      <c r="C1298" s="850"/>
      <c r="D1298" s="282"/>
      <c r="E1298" s="833"/>
    </row>
    <row r="1299" spans="1:5" x14ac:dyDescent="0.35">
      <c r="A1299" s="281"/>
      <c r="B1299" s="279"/>
      <c r="C1299" s="850"/>
      <c r="D1299" s="282"/>
      <c r="E1299" s="833"/>
    </row>
    <row r="1300" spans="1:5" x14ac:dyDescent="0.35">
      <c r="A1300" s="281"/>
      <c r="B1300" s="279"/>
      <c r="C1300" s="850"/>
      <c r="D1300" s="282"/>
      <c r="E1300" s="833"/>
    </row>
    <row r="1301" spans="1:5" x14ac:dyDescent="0.35">
      <c r="A1301" s="281"/>
      <c r="B1301" s="279"/>
      <c r="C1301" s="850"/>
      <c r="D1301" s="282"/>
      <c r="E1301" s="833"/>
    </row>
    <row r="1302" spans="1:5" x14ac:dyDescent="0.35">
      <c r="A1302" s="281"/>
      <c r="B1302" s="279"/>
      <c r="C1302" s="850"/>
      <c r="D1302" s="282"/>
      <c r="E1302" s="833"/>
    </row>
    <row r="1303" spans="1:5" x14ac:dyDescent="0.35">
      <c r="A1303" s="281"/>
      <c r="B1303" s="279"/>
      <c r="C1303" s="850"/>
      <c r="D1303" s="282"/>
      <c r="E1303" s="833"/>
    </row>
    <row r="1304" spans="1:5" x14ac:dyDescent="0.35">
      <c r="A1304" s="281"/>
      <c r="B1304" s="279"/>
      <c r="C1304" s="850"/>
      <c r="D1304" s="282"/>
      <c r="E1304" s="833"/>
    </row>
    <row r="1305" spans="1:5" x14ac:dyDescent="0.35">
      <c r="A1305" s="281"/>
      <c r="B1305" s="279"/>
      <c r="C1305" s="850"/>
      <c r="D1305" s="282"/>
      <c r="E1305" s="833"/>
    </row>
    <row r="1306" spans="1:5" x14ac:dyDescent="0.35">
      <c r="A1306" s="281"/>
      <c r="B1306" s="279"/>
      <c r="C1306" s="850"/>
      <c r="D1306" s="282"/>
      <c r="E1306" s="833"/>
    </row>
    <row r="1307" spans="1:5" x14ac:dyDescent="0.35">
      <c r="A1307" s="281"/>
      <c r="B1307" s="279"/>
      <c r="C1307" s="850"/>
      <c r="D1307" s="282"/>
      <c r="E1307" s="833"/>
    </row>
    <row r="1308" spans="1:5" x14ac:dyDescent="0.35">
      <c r="A1308" s="281"/>
      <c r="B1308" s="279"/>
      <c r="C1308" s="850"/>
      <c r="D1308" s="282"/>
      <c r="E1308" s="833"/>
    </row>
    <row r="1309" spans="1:5" x14ac:dyDescent="0.35">
      <c r="A1309" s="281"/>
      <c r="B1309" s="279"/>
      <c r="C1309" s="850"/>
      <c r="D1309" s="282"/>
      <c r="E1309" s="833"/>
    </row>
    <row r="1310" spans="1:5" x14ac:dyDescent="0.35">
      <c r="A1310" s="281"/>
      <c r="B1310" s="279"/>
      <c r="C1310" s="850"/>
      <c r="D1310" s="282"/>
      <c r="E1310" s="833"/>
    </row>
    <row r="1311" spans="1:5" x14ac:dyDescent="0.35">
      <c r="A1311" s="281"/>
      <c r="B1311" s="279"/>
      <c r="C1311" s="850"/>
      <c r="D1311" s="282"/>
      <c r="E1311" s="833"/>
    </row>
    <row r="1312" spans="1:5" x14ac:dyDescent="0.35">
      <c r="A1312" s="281"/>
      <c r="B1312" s="279"/>
      <c r="C1312" s="850"/>
      <c r="D1312" s="282"/>
      <c r="E1312" s="833"/>
    </row>
    <row r="1313" spans="1:5" x14ac:dyDescent="0.35">
      <c r="A1313" s="281"/>
      <c r="B1313" s="279"/>
      <c r="C1313" s="850"/>
      <c r="D1313" s="282"/>
      <c r="E1313" s="833"/>
    </row>
    <row r="1314" spans="1:5" x14ac:dyDescent="0.35">
      <c r="A1314" s="281"/>
      <c r="B1314" s="279"/>
      <c r="C1314" s="850"/>
      <c r="D1314" s="282"/>
      <c r="E1314" s="833"/>
    </row>
    <row r="1315" spans="1:5" x14ac:dyDescent="0.35">
      <c r="A1315" s="281"/>
      <c r="B1315" s="279"/>
      <c r="C1315" s="850"/>
      <c r="D1315" s="282"/>
      <c r="E1315" s="833"/>
    </row>
    <row r="1316" spans="1:5" x14ac:dyDescent="0.35">
      <c r="A1316" s="281"/>
      <c r="B1316" s="279"/>
      <c r="C1316" s="850"/>
      <c r="D1316" s="282"/>
      <c r="E1316" s="833"/>
    </row>
    <row r="1317" spans="1:5" x14ac:dyDescent="0.35">
      <c r="A1317" s="281"/>
      <c r="B1317" s="279"/>
      <c r="C1317" s="850"/>
      <c r="D1317" s="282"/>
      <c r="E1317" s="833"/>
    </row>
    <row r="1318" spans="1:5" x14ac:dyDescent="0.35">
      <c r="A1318" s="281"/>
      <c r="B1318" s="279"/>
      <c r="C1318" s="850"/>
      <c r="D1318" s="282"/>
      <c r="E1318" s="833"/>
    </row>
    <row r="1319" spans="1:5" x14ac:dyDescent="0.35">
      <c r="A1319" s="281"/>
      <c r="B1319" s="279"/>
      <c r="C1319" s="850"/>
      <c r="D1319" s="282"/>
      <c r="E1319" s="833"/>
    </row>
    <row r="1320" spans="1:5" x14ac:dyDescent="0.35">
      <c r="A1320" s="281"/>
      <c r="B1320" s="279"/>
      <c r="C1320" s="850"/>
      <c r="D1320" s="282"/>
      <c r="E1320" s="833"/>
    </row>
    <row r="1321" spans="1:5" x14ac:dyDescent="0.35">
      <c r="A1321" s="281"/>
      <c r="B1321" s="279"/>
      <c r="C1321" s="850"/>
      <c r="D1321" s="282"/>
      <c r="E1321" s="833"/>
    </row>
    <row r="1322" spans="1:5" x14ac:dyDescent="0.35">
      <c r="A1322" s="281"/>
      <c r="B1322" s="279"/>
      <c r="C1322" s="850"/>
      <c r="D1322" s="282"/>
      <c r="E1322" s="833"/>
    </row>
    <row r="1323" spans="1:5" x14ac:dyDescent="0.35">
      <c r="A1323" s="281"/>
      <c r="B1323" s="279"/>
      <c r="C1323" s="850"/>
      <c r="D1323" s="282"/>
      <c r="E1323" s="833"/>
    </row>
    <row r="1324" spans="1:5" x14ac:dyDescent="0.35">
      <c r="A1324" s="281"/>
      <c r="B1324" s="279"/>
      <c r="C1324" s="850"/>
      <c r="D1324" s="282"/>
      <c r="E1324" s="833"/>
    </row>
    <row r="1325" spans="1:5" x14ac:dyDescent="0.35">
      <c r="A1325" s="281"/>
      <c r="B1325" s="279"/>
      <c r="C1325" s="850"/>
      <c r="D1325" s="282"/>
      <c r="E1325" s="833"/>
    </row>
    <row r="1326" spans="1:5" x14ac:dyDescent="0.35">
      <c r="A1326" s="281"/>
      <c r="B1326" s="279"/>
      <c r="C1326" s="850"/>
      <c r="D1326" s="282"/>
      <c r="E1326" s="833"/>
    </row>
    <row r="1327" spans="1:5" x14ac:dyDescent="0.35">
      <c r="A1327" s="281"/>
      <c r="B1327" s="279"/>
      <c r="C1327" s="850"/>
      <c r="D1327" s="282"/>
      <c r="E1327" s="833"/>
    </row>
    <row r="1328" spans="1:5" x14ac:dyDescent="0.35">
      <c r="A1328" s="281"/>
      <c r="B1328" s="279"/>
      <c r="C1328" s="850"/>
      <c r="D1328" s="282"/>
      <c r="E1328" s="833"/>
    </row>
    <row r="1329" spans="1:5" x14ac:dyDescent="0.35">
      <c r="A1329" s="281"/>
      <c r="B1329" s="279"/>
      <c r="C1329" s="850"/>
      <c r="D1329" s="282"/>
      <c r="E1329" s="833"/>
    </row>
    <row r="1330" spans="1:5" x14ac:dyDescent="0.35">
      <c r="A1330" s="281"/>
      <c r="B1330" s="279"/>
      <c r="C1330" s="850"/>
      <c r="D1330" s="282"/>
      <c r="E1330" s="833"/>
    </row>
    <row r="1331" spans="1:5" x14ac:dyDescent="0.35">
      <c r="A1331" s="281"/>
      <c r="B1331" s="279"/>
      <c r="C1331" s="850"/>
      <c r="D1331" s="282"/>
      <c r="E1331" s="833"/>
    </row>
    <row r="1332" spans="1:5" x14ac:dyDescent="0.35">
      <c r="A1332" s="281"/>
      <c r="B1332" s="279"/>
      <c r="C1332" s="850"/>
      <c r="D1332" s="282"/>
      <c r="E1332" s="833"/>
    </row>
    <row r="1333" spans="1:5" x14ac:dyDescent="0.35">
      <c r="A1333" s="281"/>
      <c r="B1333" s="279"/>
      <c r="C1333" s="850"/>
      <c r="D1333" s="282"/>
      <c r="E1333" s="833"/>
    </row>
    <row r="1334" spans="1:5" x14ac:dyDescent="0.35">
      <c r="A1334" s="281"/>
      <c r="B1334" s="279"/>
      <c r="C1334" s="850"/>
      <c r="D1334" s="282"/>
      <c r="E1334" s="833"/>
    </row>
    <row r="1335" spans="1:5" x14ac:dyDescent="0.35">
      <c r="A1335" s="281"/>
      <c r="B1335" s="279"/>
      <c r="C1335" s="850"/>
      <c r="D1335" s="282"/>
      <c r="E1335" s="833"/>
    </row>
    <row r="1336" spans="1:5" x14ac:dyDescent="0.35">
      <c r="A1336" s="281"/>
      <c r="B1336" s="279"/>
      <c r="C1336" s="850"/>
      <c r="D1336" s="282"/>
      <c r="E1336" s="833"/>
    </row>
    <row r="1337" spans="1:5" x14ac:dyDescent="0.35">
      <c r="A1337" s="281"/>
      <c r="B1337" s="279"/>
      <c r="C1337" s="850"/>
      <c r="D1337" s="282"/>
      <c r="E1337" s="833"/>
    </row>
    <row r="1338" spans="1:5" x14ac:dyDescent="0.35">
      <c r="A1338" s="281"/>
      <c r="B1338" s="279"/>
      <c r="C1338" s="850"/>
      <c r="D1338" s="282"/>
      <c r="E1338" s="833"/>
    </row>
    <row r="1339" spans="1:5" x14ac:dyDescent="0.35">
      <c r="A1339" s="281"/>
      <c r="B1339" s="279"/>
      <c r="C1339" s="850"/>
      <c r="D1339" s="282"/>
      <c r="E1339" s="833"/>
    </row>
    <row r="1340" spans="1:5" x14ac:dyDescent="0.35">
      <c r="A1340" s="281"/>
      <c r="B1340" s="279"/>
      <c r="C1340" s="850"/>
      <c r="D1340" s="282"/>
      <c r="E1340" s="833"/>
    </row>
    <row r="1341" spans="1:5" x14ac:dyDescent="0.35">
      <c r="A1341" s="281"/>
      <c r="B1341" s="279"/>
      <c r="C1341" s="850"/>
      <c r="D1341" s="282"/>
      <c r="E1341" s="833"/>
    </row>
    <row r="1342" spans="1:5" x14ac:dyDescent="0.35">
      <c r="A1342" s="281"/>
      <c r="B1342" s="279"/>
      <c r="C1342" s="850"/>
      <c r="D1342" s="282"/>
      <c r="E1342" s="833"/>
    </row>
    <row r="1343" spans="1:5" x14ac:dyDescent="0.35">
      <c r="A1343" s="281"/>
      <c r="B1343" s="279"/>
      <c r="C1343" s="850"/>
      <c r="D1343" s="282"/>
      <c r="E1343" s="833"/>
    </row>
    <row r="1344" spans="1:5" x14ac:dyDescent="0.35">
      <c r="A1344" s="281"/>
      <c r="B1344" s="279"/>
      <c r="C1344" s="850"/>
      <c r="D1344" s="282"/>
      <c r="E1344" s="833"/>
    </row>
    <row r="1345" spans="1:5" x14ac:dyDescent="0.35">
      <c r="A1345" s="281"/>
      <c r="B1345" s="279"/>
      <c r="C1345" s="850"/>
      <c r="D1345" s="282"/>
      <c r="E1345" s="833"/>
    </row>
    <row r="1346" spans="1:5" x14ac:dyDescent="0.35">
      <c r="A1346" s="281"/>
      <c r="B1346" s="279"/>
      <c r="C1346" s="850"/>
      <c r="D1346" s="282"/>
      <c r="E1346" s="833"/>
    </row>
    <row r="1347" spans="1:5" x14ac:dyDescent="0.35">
      <c r="A1347" s="281"/>
      <c r="B1347" s="279"/>
      <c r="C1347" s="850"/>
      <c r="D1347" s="282"/>
      <c r="E1347" s="833"/>
    </row>
    <row r="1348" spans="1:5" x14ac:dyDescent="0.35">
      <c r="A1348" s="281"/>
      <c r="B1348" s="279"/>
      <c r="C1348" s="850"/>
      <c r="D1348" s="282"/>
      <c r="E1348" s="833"/>
    </row>
    <row r="1349" spans="1:5" x14ac:dyDescent="0.35">
      <c r="A1349" s="281"/>
      <c r="B1349" s="279"/>
      <c r="C1349" s="850"/>
      <c r="D1349" s="282"/>
      <c r="E1349" s="833"/>
    </row>
    <row r="1350" spans="1:5" x14ac:dyDescent="0.35">
      <c r="A1350" s="281"/>
      <c r="B1350" s="279"/>
      <c r="C1350" s="850"/>
      <c r="D1350" s="282"/>
      <c r="E1350" s="833"/>
    </row>
    <row r="1351" spans="1:5" x14ac:dyDescent="0.35">
      <c r="A1351" s="281"/>
      <c r="B1351" s="279"/>
      <c r="C1351" s="850"/>
      <c r="D1351" s="282"/>
      <c r="E1351" s="833"/>
    </row>
    <row r="1352" spans="1:5" x14ac:dyDescent="0.35">
      <c r="A1352" s="281"/>
      <c r="B1352" s="279"/>
      <c r="C1352" s="850"/>
      <c r="D1352" s="282"/>
      <c r="E1352" s="833"/>
    </row>
    <row r="1353" spans="1:5" x14ac:dyDescent="0.35">
      <c r="A1353" s="281"/>
      <c r="B1353" s="279"/>
      <c r="C1353" s="850"/>
      <c r="D1353" s="282"/>
      <c r="E1353" s="833"/>
    </row>
    <row r="1354" spans="1:5" x14ac:dyDescent="0.35">
      <c r="A1354" s="281"/>
      <c r="B1354" s="279"/>
      <c r="C1354" s="850"/>
      <c r="D1354" s="282"/>
      <c r="E1354" s="833"/>
    </row>
    <row r="1355" spans="1:5" x14ac:dyDescent="0.35">
      <c r="A1355" s="281"/>
      <c r="B1355" s="279"/>
      <c r="C1355" s="850"/>
      <c r="D1355" s="282"/>
      <c r="E1355" s="833"/>
    </row>
    <row r="1356" spans="1:5" x14ac:dyDescent="0.35">
      <c r="A1356" s="281"/>
      <c r="B1356" s="279"/>
      <c r="C1356" s="850"/>
      <c r="D1356" s="282"/>
      <c r="E1356" s="833"/>
    </row>
    <row r="1357" spans="1:5" x14ac:dyDescent="0.35">
      <c r="A1357" s="281"/>
      <c r="B1357" s="279"/>
      <c r="C1357" s="850"/>
      <c r="D1357" s="282"/>
      <c r="E1357" s="833"/>
    </row>
    <row r="1358" spans="1:5" x14ac:dyDescent="0.35">
      <c r="A1358" s="281"/>
      <c r="B1358" s="279"/>
      <c r="C1358" s="850"/>
      <c r="D1358" s="282"/>
      <c r="E1358" s="833"/>
    </row>
    <row r="1359" spans="1:5" x14ac:dyDescent="0.35">
      <c r="A1359" s="281"/>
      <c r="B1359" s="279"/>
      <c r="C1359" s="850"/>
      <c r="D1359" s="282"/>
      <c r="E1359" s="833"/>
    </row>
    <row r="1360" spans="1:5" x14ac:dyDescent="0.35">
      <c r="A1360" s="281"/>
      <c r="B1360" s="279"/>
      <c r="C1360" s="850"/>
      <c r="D1360" s="282"/>
      <c r="E1360" s="833"/>
    </row>
    <row r="1361" spans="1:5" x14ac:dyDescent="0.35">
      <c r="A1361" s="281"/>
      <c r="B1361" s="279"/>
      <c r="C1361" s="850"/>
      <c r="D1361" s="282"/>
      <c r="E1361" s="833"/>
    </row>
    <row r="1362" spans="1:5" x14ac:dyDescent="0.35">
      <c r="A1362" s="281"/>
      <c r="B1362" s="279"/>
      <c r="C1362" s="850"/>
      <c r="D1362" s="282"/>
      <c r="E1362" s="833"/>
    </row>
    <row r="1363" spans="1:5" x14ac:dyDescent="0.35">
      <c r="A1363" s="281"/>
      <c r="B1363" s="279"/>
      <c r="C1363" s="850"/>
      <c r="D1363" s="282"/>
      <c r="E1363" s="833"/>
    </row>
    <row r="1364" spans="1:5" x14ac:dyDescent="0.35">
      <c r="A1364" s="281"/>
      <c r="B1364" s="279"/>
      <c r="C1364" s="850"/>
      <c r="D1364" s="282"/>
      <c r="E1364" s="833"/>
    </row>
    <row r="1365" spans="1:5" x14ac:dyDescent="0.35">
      <c r="A1365" s="281"/>
      <c r="B1365" s="279"/>
      <c r="C1365" s="850"/>
      <c r="D1365" s="282"/>
      <c r="E1365" s="833"/>
    </row>
    <row r="1366" spans="1:5" x14ac:dyDescent="0.35">
      <c r="A1366" s="281"/>
      <c r="B1366" s="279"/>
      <c r="C1366" s="850"/>
      <c r="D1366" s="282"/>
      <c r="E1366" s="833"/>
    </row>
    <row r="1367" spans="1:5" x14ac:dyDescent="0.35">
      <c r="A1367" s="281"/>
      <c r="B1367" s="279"/>
      <c r="C1367" s="850"/>
      <c r="D1367" s="282"/>
      <c r="E1367" s="833"/>
    </row>
    <row r="1368" spans="1:5" x14ac:dyDescent="0.35">
      <c r="A1368" s="281"/>
      <c r="B1368" s="279"/>
      <c r="C1368" s="850"/>
      <c r="D1368" s="282"/>
      <c r="E1368" s="833"/>
    </row>
    <row r="1369" spans="1:5" x14ac:dyDescent="0.35">
      <c r="A1369" s="281"/>
      <c r="B1369" s="279"/>
      <c r="C1369" s="850"/>
      <c r="D1369" s="282"/>
      <c r="E1369" s="833"/>
    </row>
    <row r="1370" spans="1:5" x14ac:dyDescent="0.35">
      <c r="A1370" s="281"/>
      <c r="B1370" s="279"/>
      <c r="C1370" s="850"/>
      <c r="D1370" s="282"/>
      <c r="E1370" s="833"/>
    </row>
    <row r="1371" spans="1:5" x14ac:dyDescent="0.35">
      <c r="A1371" s="281"/>
      <c r="B1371" s="279"/>
      <c r="C1371" s="850"/>
      <c r="D1371" s="282"/>
      <c r="E1371" s="833"/>
    </row>
    <row r="1372" spans="1:5" x14ac:dyDescent="0.35">
      <c r="A1372" s="281"/>
      <c r="B1372" s="279"/>
      <c r="C1372" s="850"/>
      <c r="D1372" s="282"/>
      <c r="E1372" s="833"/>
    </row>
    <row r="1373" spans="1:5" x14ac:dyDescent="0.35">
      <c r="A1373" s="281"/>
      <c r="B1373" s="279"/>
      <c r="C1373" s="850"/>
      <c r="D1373" s="282"/>
      <c r="E1373" s="833"/>
    </row>
    <row r="1374" spans="1:5" x14ac:dyDescent="0.35">
      <c r="A1374" s="281"/>
      <c r="B1374" s="279"/>
      <c r="C1374" s="850"/>
      <c r="D1374" s="282"/>
      <c r="E1374" s="833"/>
    </row>
    <row r="1375" spans="1:5" x14ac:dyDescent="0.35">
      <c r="A1375" s="281"/>
      <c r="B1375" s="279"/>
      <c r="C1375" s="850"/>
      <c r="D1375" s="282"/>
      <c r="E1375" s="833"/>
    </row>
    <row r="1376" spans="1:5" x14ac:dyDescent="0.35">
      <c r="A1376" s="281"/>
      <c r="B1376" s="279"/>
      <c r="C1376" s="850"/>
      <c r="D1376" s="282"/>
      <c r="E1376" s="833"/>
    </row>
    <row r="1377" spans="1:5" x14ac:dyDescent="0.35">
      <c r="A1377" s="281"/>
      <c r="B1377" s="279"/>
      <c r="C1377" s="850"/>
      <c r="D1377" s="282"/>
      <c r="E1377" s="833"/>
    </row>
    <row r="1378" spans="1:5" x14ac:dyDescent="0.35">
      <c r="A1378" s="281"/>
      <c r="B1378" s="279"/>
      <c r="C1378" s="850"/>
      <c r="D1378" s="282"/>
      <c r="E1378" s="833"/>
    </row>
    <row r="1379" spans="1:5" x14ac:dyDescent="0.35">
      <c r="A1379" s="281"/>
      <c r="B1379" s="279"/>
      <c r="C1379" s="850"/>
      <c r="D1379" s="282"/>
      <c r="E1379" s="833"/>
    </row>
    <row r="1380" spans="1:5" x14ac:dyDescent="0.35">
      <c r="A1380" s="281"/>
      <c r="B1380" s="279"/>
      <c r="C1380" s="850"/>
      <c r="D1380" s="282"/>
      <c r="E1380" s="833"/>
    </row>
    <row r="1381" spans="1:5" x14ac:dyDescent="0.35">
      <c r="A1381" s="281"/>
      <c r="B1381" s="279"/>
      <c r="C1381" s="850"/>
      <c r="D1381" s="282"/>
      <c r="E1381" s="833"/>
    </row>
    <row r="1382" spans="1:5" x14ac:dyDescent="0.35">
      <c r="A1382" s="281"/>
      <c r="B1382" s="279"/>
      <c r="C1382" s="850"/>
      <c r="D1382" s="282"/>
      <c r="E1382" s="833"/>
    </row>
    <row r="1383" spans="1:5" x14ac:dyDescent="0.35">
      <c r="A1383" s="281"/>
      <c r="B1383" s="279"/>
      <c r="C1383" s="850"/>
      <c r="D1383" s="282"/>
      <c r="E1383" s="833"/>
    </row>
    <row r="1384" spans="1:5" x14ac:dyDescent="0.35">
      <c r="A1384" s="281"/>
      <c r="B1384" s="279"/>
      <c r="C1384" s="850"/>
      <c r="D1384" s="282"/>
      <c r="E1384" s="833"/>
    </row>
    <row r="1385" spans="1:5" x14ac:dyDescent="0.35">
      <c r="A1385" s="281"/>
      <c r="B1385" s="279"/>
      <c r="C1385" s="850"/>
      <c r="D1385" s="282"/>
      <c r="E1385" s="833"/>
    </row>
    <row r="1386" spans="1:5" x14ac:dyDescent="0.35">
      <c r="A1386" s="281"/>
      <c r="B1386" s="279"/>
      <c r="C1386" s="850"/>
      <c r="D1386" s="282"/>
      <c r="E1386" s="833"/>
    </row>
    <row r="1387" spans="1:5" x14ac:dyDescent="0.35">
      <c r="A1387" s="281"/>
      <c r="B1387" s="279"/>
      <c r="C1387" s="850"/>
      <c r="D1387" s="282"/>
      <c r="E1387" s="833"/>
    </row>
    <row r="1388" spans="1:5" x14ac:dyDescent="0.35">
      <c r="A1388" s="281"/>
      <c r="B1388" s="279"/>
      <c r="C1388" s="850"/>
      <c r="D1388" s="282"/>
      <c r="E1388" s="833"/>
    </row>
    <row r="1389" spans="1:5" x14ac:dyDescent="0.35">
      <c r="A1389" s="281"/>
      <c r="B1389" s="279"/>
      <c r="C1389" s="850"/>
      <c r="D1389" s="282"/>
      <c r="E1389" s="833"/>
    </row>
    <row r="1390" spans="1:5" x14ac:dyDescent="0.35">
      <c r="A1390" s="281"/>
      <c r="B1390" s="279"/>
      <c r="C1390" s="850"/>
      <c r="D1390" s="282"/>
      <c r="E1390" s="833"/>
    </row>
    <row r="1391" spans="1:5" x14ac:dyDescent="0.35">
      <c r="A1391" s="281"/>
      <c r="B1391" s="279"/>
      <c r="C1391" s="850"/>
      <c r="D1391" s="282"/>
      <c r="E1391" s="833"/>
    </row>
    <row r="1392" spans="1:5" x14ac:dyDescent="0.35">
      <c r="A1392" s="281"/>
      <c r="B1392" s="279"/>
      <c r="C1392" s="850"/>
      <c r="D1392" s="282"/>
      <c r="E1392" s="833"/>
    </row>
    <row r="1393" spans="1:5" x14ac:dyDescent="0.35">
      <c r="A1393" s="281"/>
      <c r="B1393" s="279"/>
      <c r="C1393" s="850"/>
      <c r="D1393" s="282"/>
      <c r="E1393" s="833"/>
    </row>
    <row r="1394" spans="1:5" x14ac:dyDescent="0.35">
      <c r="A1394" s="281"/>
      <c r="B1394" s="279"/>
      <c r="C1394" s="850"/>
      <c r="D1394" s="282"/>
      <c r="E1394" s="833"/>
    </row>
    <row r="1395" spans="1:5" x14ac:dyDescent="0.35">
      <c r="A1395" s="281"/>
      <c r="B1395" s="279"/>
      <c r="C1395" s="850"/>
      <c r="D1395" s="282"/>
      <c r="E1395" s="833"/>
    </row>
    <row r="1396" spans="1:5" x14ac:dyDescent="0.35">
      <c r="A1396" s="281"/>
      <c r="B1396" s="279"/>
      <c r="C1396" s="850"/>
      <c r="D1396" s="282"/>
      <c r="E1396" s="833"/>
    </row>
    <row r="1397" spans="1:5" x14ac:dyDescent="0.35">
      <c r="A1397" s="281"/>
      <c r="B1397" s="279"/>
      <c r="C1397" s="850"/>
      <c r="D1397" s="282"/>
      <c r="E1397" s="833"/>
    </row>
    <row r="1398" spans="1:5" x14ac:dyDescent="0.35">
      <c r="A1398" s="281"/>
      <c r="B1398" s="279"/>
      <c r="C1398" s="850"/>
      <c r="D1398" s="282"/>
      <c r="E1398" s="833"/>
    </row>
    <row r="1399" spans="1:5" x14ac:dyDescent="0.35">
      <c r="A1399" s="281"/>
      <c r="B1399" s="279"/>
      <c r="C1399" s="850"/>
      <c r="D1399" s="282"/>
      <c r="E1399" s="833"/>
    </row>
    <row r="1400" spans="1:5" x14ac:dyDescent="0.35">
      <c r="A1400" s="281"/>
      <c r="B1400" s="279"/>
      <c r="C1400" s="850"/>
      <c r="D1400" s="282"/>
      <c r="E1400" s="833"/>
    </row>
    <row r="1401" spans="1:5" x14ac:dyDescent="0.35">
      <c r="A1401" s="281"/>
      <c r="B1401" s="279"/>
      <c r="C1401" s="850"/>
      <c r="D1401" s="282"/>
      <c r="E1401" s="833"/>
    </row>
    <row r="1402" spans="1:5" x14ac:dyDescent="0.35">
      <c r="A1402" s="281"/>
      <c r="B1402" s="279"/>
      <c r="C1402" s="850"/>
      <c r="D1402" s="282"/>
      <c r="E1402" s="833"/>
    </row>
    <row r="1403" spans="1:5" x14ac:dyDescent="0.35">
      <c r="A1403" s="281"/>
      <c r="B1403" s="279"/>
      <c r="C1403" s="850"/>
      <c r="D1403" s="282"/>
      <c r="E1403" s="833"/>
    </row>
    <row r="1404" spans="1:5" x14ac:dyDescent="0.35">
      <c r="A1404" s="281"/>
      <c r="B1404" s="279"/>
      <c r="C1404" s="850"/>
      <c r="D1404" s="282"/>
      <c r="E1404" s="833"/>
    </row>
    <row r="1405" spans="1:5" x14ac:dyDescent="0.35">
      <c r="A1405" s="281"/>
      <c r="B1405" s="279"/>
      <c r="C1405" s="850"/>
      <c r="D1405" s="282"/>
      <c r="E1405" s="833"/>
    </row>
    <row r="1406" spans="1:5" x14ac:dyDescent="0.35">
      <c r="A1406" s="281"/>
      <c r="B1406" s="279"/>
      <c r="C1406" s="850"/>
      <c r="D1406" s="282"/>
      <c r="E1406" s="833"/>
    </row>
    <row r="1407" spans="1:5" x14ac:dyDescent="0.35">
      <c r="A1407" s="281"/>
      <c r="B1407" s="279"/>
      <c r="C1407" s="850"/>
      <c r="D1407" s="282"/>
      <c r="E1407" s="833"/>
    </row>
    <row r="1408" spans="1:5" x14ac:dyDescent="0.35">
      <c r="A1408" s="281"/>
      <c r="B1408" s="279"/>
      <c r="C1408" s="850"/>
      <c r="D1408" s="282"/>
      <c r="E1408" s="833"/>
    </row>
    <row r="1409" spans="1:5" x14ac:dyDescent="0.35">
      <c r="A1409" s="281"/>
      <c r="B1409" s="279"/>
      <c r="C1409" s="850"/>
      <c r="D1409" s="282"/>
      <c r="E1409" s="833"/>
    </row>
    <row r="1410" spans="1:5" x14ac:dyDescent="0.35">
      <c r="A1410" s="281"/>
      <c r="B1410" s="279"/>
      <c r="C1410" s="850"/>
      <c r="D1410" s="282"/>
      <c r="E1410" s="833"/>
    </row>
    <row r="1411" spans="1:5" x14ac:dyDescent="0.35">
      <c r="A1411" s="281"/>
      <c r="B1411" s="279"/>
      <c r="C1411" s="850"/>
      <c r="D1411" s="282"/>
      <c r="E1411" s="833"/>
    </row>
    <row r="1412" spans="1:5" x14ac:dyDescent="0.35">
      <c r="A1412" s="281"/>
      <c r="B1412" s="279"/>
      <c r="C1412" s="850"/>
      <c r="D1412" s="282"/>
      <c r="E1412" s="833"/>
    </row>
    <row r="1413" spans="1:5" x14ac:dyDescent="0.35">
      <c r="A1413" s="281"/>
      <c r="B1413" s="279"/>
      <c r="C1413" s="850"/>
      <c r="D1413" s="282"/>
      <c r="E1413" s="833"/>
    </row>
    <row r="1414" spans="1:5" x14ac:dyDescent="0.35">
      <c r="A1414" s="281"/>
      <c r="B1414" s="279"/>
      <c r="C1414" s="850"/>
      <c r="D1414" s="282"/>
      <c r="E1414" s="833"/>
    </row>
    <row r="1415" spans="1:5" x14ac:dyDescent="0.35">
      <c r="A1415" s="281"/>
      <c r="B1415" s="279"/>
      <c r="C1415" s="850"/>
      <c r="D1415" s="282"/>
      <c r="E1415" s="833"/>
    </row>
    <row r="1416" spans="1:5" x14ac:dyDescent="0.35">
      <c r="A1416" s="281"/>
      <c r="B1416" s="279"/>
      <c r="C1416" s="850"/>
      <c r="D1416" s="282"/>
      <c r="E1416" s="833"/>
    </row>
    <row r="1417" spans="1:5" x14ac:dyDescent="0.35">
      <c r="A1417" s="281"/>
      <c r="B1417" s="279"/>
      <c r="C1417" s="850"/>
      <c r="D1417" s="282"/>
      <c r="E1417" s="833"/>
    </row>
    <row r="1418" spans="1:5" x14ac:dyDescent="0.35">
      <c r="A1418" s="281"/>
      <c r="B1418" s="279"/>
      <c r="C1418" s="850"/>
      <c r="D1418" s="282"/>
      <c r="E1418" s="833"/>
    </row>
    <row r="1419" spans="1:5" x14ac:dyDescent="0.35">
      <c r="A1419" s="281"/>
      <c r="B1419" s="279"/>
      <c r="C1419" s="850"/>
      <c r="D1419" s="282"/>
      <c r="E1419" s="833"/>
    </row>
    <row r="1420" spans="1:5" x14ac:dyDescent="0.35">
      <c r="A1420" s="281"/>
      <c r="B1420" s="279"/>
      <c r="C1420" s="850"/>
      <c r="D1420" s="282"/>
      <c r="E1420" s="833"/>
    </row>
    <row r="1421" spans="1:5" x14ac:dyDescent="0.35">
      <c r="A1421" s="281"/>
      <c r="B1421" s="279"/>
      <c r="C1421" s="850"/>
      <c r="D1421" s="282"/>
      <c r="E1421" s="833"/>
    </row>
    <row r="1422" spans="1:5" x14ac:dyDescent="0.35">
      <c r="A1422" s="281"/>
      <c r="B1422" s="279"/>
      <c r="C1422" s="850"/>
      <c r="D1422" s="282"/>
      <c r="E1422" s="833"/>
    </row>
    <row r="1423" spans="1:5" x14ac:dyDescent="0.35">
      <c r="A1423" s="281"/>
      <c r="B1423" s="279"/>
      <c r="C1423" s="850"/>
      <c r="D1423" s="282"/>
      <c r="E1423" s="833"/>
    </row>
    <row r="1424" spans="1:5" x14ac:dyDescent="0.35">
      <c r="A1424" s="281"/>
      <c r="B1424" s="279"/>
      <c r="C1424" s="850"/>
      <c r="D1424" s="282"/>
      <c r="E1424" s="833"/>
    </row>
    <row r="1425" spans="1:5" x14ac:dyDescent="0.35">
      <c r="A1425" s="281"/>
      <c r="B1425" s="279"/>
      <c r="C1425" s="850"/>
      <c r="D1425" s="282"/>
      <c r="E1425" s="833"/>
    </row>
    <row r="1426" spans="1:5" x14ac:dyDescent="0.35">
      <c r="A1426" s="281"/>
      <c r="B1426" s="279"/>
      <c r="C1426" s="850"/>
      <c r="D1426" s="282"/>
      <c r="E1426" s="833"/>
    </row>
    <row r="1427" spans="1:5" x14ac:dyDescent="0.35">
      <c r="A1427" s="281"/>
      <c r="B1427" s="279"/>
      <c r="C1427" s="850"/>
      <c r="D1427" s="282"/>
      <c r="E1427" s="833"/>
    </row>
    <row r="1428" spans="1:5" x14ac:dyDescent="0.35">
      <c r="A1428" s="281"/>
      <c r="B1428" s="279"/>
      <c r="C1428" s="850"/>
      <c r="D1428" s="282"/>
      <c r="E1428" s="833"/>
    </row>
    <row r="1429" spans="1:5" x14ac:dyDescent="0.35">
      <c r="A1429" s="281"/>
      <c r="B1429" s="279"/>
      <c r="C1429" s="850"/>
      <c r="D1429" s="282"/>
      <c r="E1429" s="833"/>
    </row>
    <row r="1430" spans="1:5" x14ac:dyDescent="0.35">
      <c r="A1430" s="281"/>
      <c r="B1430" s="279"/>
      <c r="C1430" s="850"/>
      <c r="D1430" s="282"/>
      <c r="E1430" s="833"/>
    </row>
    <row r="1431" spans="1:5" x14ac:dyDescent="0.35">
      <c r="A1431" s="281"/>
      <c r="B1431" s="279"/>
      <c r="C1431" s="850"/>
      <c r="D1431" s="282"/>
      <c r="E1431" s="833"/>
    </row>
    <row r="1432" spans="1:5" x14ac:dyDescent="0.35">
      <c r="A1432" s="281"/>
      <c r="B1432" s="279"/>
      <c r="C1432" s="850"/>
      <c r="D1432" s="282"/>
      <c r="E1432" s="833"/>
    </row>
    <row r="1433" spans="1:5" x14ac:dyDescent="0.35">
      <c r="A1433" s="281"/>
      <c r="B1433" s="279"/>
      <c r="C1433" s="850"/>
      <c r="D1433" s="282"/>
      <c r="E1433" s="833"/>
    </row>
    <row r="1434" spans="1:5" x14ac:dyDescent="0.35">
      <c r="A1434" s="281"/>
      <c r="B1434" s="279"/>
      <c r="C1434" s="850"/>
      <c r="D1434" s="282"/>
      <c r="E1434" s="833"/>
    </row>
    <row r="1435" spans="1:5" x14ac:dyDescent="0.35">
      <c r="A1435" s="281"/>
      <c r="B1435" s="279"/>
      <c r="C1435" s="850"/>
      <c r="D1435" s="282"/>
      <c r="E1435" s="833"/>
    </row>
    <row r="1436" spans="1:5" x14ac:dyDescent="0.35">
      <c r="A1436" s="281"/>
      <c r="B1436" s="279"/>
      <c r="C1436" s="850"/>
      <c r="D1436" s="282"/>
      <c r="E1436" s="833"/>
    </row>
    <row r="1437" spans="1:5" x14ac:dyDescent="0.35">
      <c r="A1437" s="281"/>
      <c r="B1437" s="279"/>
      <c r="C1437" s="850"/>
      <c r="D1437" s="282"/>
      <c r="E1437" s="833"/>
    </row>
    <row r="1438" spans="1:5" x14ac:dyDescent="0.35">
      <c r="A1438" s="281"/>
      <c r="B1438" s="279"/>
      <c r="C1438" s="850"/>
      <c r="D1438" s="282"/>
      <c r="E1438" s="833"/>
    </row>
    <row r="1439" spans="1:5" x14ac:dyDescent="0.35">
      <c r="A1439" s="281"/>
      <c r="B1439" s="279"/>
      <c r="C1439" s="850"/>
      <c r="D1439" s="282"/>
      <c r="E1439" s="833"/>
    </row>
    <row r="1440" spans="1:5" x14ac:dyDescent="0.35">
      <c r="A1440" s="281"/>
      <c r="B1440" s="279"/>
      <c r="C1440" s="850"/>
      <c r="D1440" s="282"/>
      <c r="E1440" s="833"/>
    </row>
    <row r="1441" spans="1:5" x14ac:dyDescent="0.35">
      <c r="A1441" s="281"/>
      <c r="B1441" s="279"/>
      <c r="C1441" s="850"/>
      <c r="D1441" s="282"/>
      <c r="E1441" s="833"/>
    </row>
    <row r="1442" spans="1:5" x14ac:dyDescent="0.35">
      <c r="A1442" s="281"/>
      <c r="B1442" s="279"/>
      <c r="C1442" s="850"/>
      <c r="D1442" s="282"/>
      <c r="E1442" s="833"/>
    </row>
    <row r="1443" spans="1:5" x14ac:dyDescent="0.35">
      <c r="A1443" s="281"/>
      <c r="B1443" s="279"/>
      <c r="C1443" s="850"/>
      <c r="D1443" s="282"/>
      <c r="E1443" s="833"/>
    </row>
    <row r="1444" spans="1:5" x14ac:dyDescent="0.35">
      <c r="A1444" s="281"/>
      <c r="B1444" s="279"/>
      <c r="C1444" s="850"/>
      <c r="D1444" s="282"/>
      <c r="E1444" s="833"/>
    </row>
    <row r="1445" spans="1:5" x14ac:dyDescent="0.35">
      <c r="A1445" s="281"/>
      <c r="B1445" s="279"/>
      <c r="C1445" s="850"/>
      <c r="D1445" s="282"/>
      <c r="E1445" s="833"/>
    </row>
    <row r="1446" spans="1:5" x14ac:dyDescent="0.35">
      <c r="A1446" s="281"/>
      <c r="B1446" s="279"/>
      <c r="C1446" s="850"/>
      <c r="D1446" s="282"/>
      <c r="E1446" s="833"/>
    </row>
    <row r="1447" spans="1:5" x14ac:dyDescent="0.35">
      <c r="A1447" s="281"/>
      <c r="B1447" s="279"/>
      <c r="C1447" s="850"/>
      <c r="D1447" s="282"/>
      <c r="E1447" s="833"/>
    </row>
    <row r="1448" spans="1:5" x14ac:dyDescent="0.35">
      <c r="A1448" s="281"/>
      <c r="B1448" s="279"/>
      <c r="C1448" s="850"/>
      <c r="D1448" s="282"/>
      <c r="E1448" s="833"/>
    </row>
    <row r="1449" spans="1:5" x14ac:dyDescent="0.35">
      <c r="A1449" s="281"/>
      <c r="B1449" s="279"/>
      <c r="C1449" s="850"/>
      <c r="D1449" s="282"/>
      <c r="E1449" s="833"/>
    </row>
    <row r="1450" spans="1:5" x14ac:dyDescent="0.35">
      <c r="A1450" s="281"/>
      <c r="B1450" s="279"/>
      <c r="C1450" s="850"/>
      <c r="D1450" s="282"/>
      <c r="E1450" s="833"/>
    </row>
    <row r="1451" spans="1:5" x14ac:dyDescent="0.35">
      <c r="A1451" s="281"/>
      <c r="B1451" s="279"/>
      <c r="C1451" s="850"/>
      <c r="D1451" s="282"/>
      <c r="E1451" s="833"/>
    </row>
    <row r="1452" spans="1:5" x14ac:dyDescent="0.35">
      <c r="A1452" s="281"/>
      <c r="B1452" s="279"/>
      <c r="C1452" s="850"/>
      <c r="D1452" s="282"/>
      <c r="E1452" s="833"/>
    </row>
    <row r="1453" spans="1:5" x14ac:dyDescent="0.35">
      <c r="A1453" s="281"/>
      <c r="B1453" s="279"/>
      <c r="C1453" s="850"/>
      <c r="D1453" s="282"/>
      <c r="E1453" s="833"/>
    </row>
    <row r="1454" spans="1:5" x14ac:dyDescent="0.35">
      <c r="A1454" s="281"/>
      <c r="B1454" s="279"/>
      <c r="C1454" s="850"/>
      <c r="D1454" s="282"/>
      <c r="E1454" s="833"/>
    </row>
    <row r="1455" spans="1:5" x14ac:dyDescent="0.35">
      <c r="A1455" s="281"/>
      <c r="B1455" s="279"/>
      <c r="C1455" s="850"/>
      <c r="D1455" s="282"/>
      <c r="E1455" s="833"/>
    </row>
    <row r="1456" spans="1:5" x14ac:dyDescent="0.35">
      <c r="A1456" s="281"/>
      <c r="B1456" s="279"/>
      <c r="C1456" s="850"/>
      <c r="D1456" s="282"/>
      <c r="E1456" s="833"/>
    </row>
    <row r="1457" spans="1:5" x14ac:dyDescent="0.35">
      <c r="A1457" s="281"/>
      <c r="B1457" s="279"/>
      <c r="C1457" s="850"/>
      <c r="D1457" s="282"/>
      <c r="E1457" s="833"/>
    </row>
    <row r="1458" spans="1:5" x14ac:dyDescent="0.35">
      <c r="A1458" s="281"/>
      <c r="B1458" s="279"/>
      <c r="C1458" s="850"/>
      <c r="D1458" s="282"/>
      <c r="E1458" s="833"/>
    </row>
    <row r="1459" spans="1:5" x14ac:dyDescent="0.35">
      <c r="A1459" s="281"/>
      <c r="B1459" s="279"/>
      <c r="C1459" s="850"/>
      <c r="D1459" s="282"/>
      <c r="E1459" s="833"/>
    </row>
    <row r="1460" spans="1:5" x14ac:dyDescent="0.35">
      <c r="A1460" s="281"/>
      <c r="B1460" s="279"/>
      <c r="C1460" s="850"/>
      <c r="D1460" s="282"/>
      <c r="E1460" s="833"/>
    </row>
    <row r="1461" spans="1:5" x14ac:dyDescent="0.35">
      <c r="A1461" s="281"/>
      <c r="B1461" s="279"/>
      <c r="C1461" s="850"/>
      <c r="D1461" s="282"/>
      <c r="E1461" s="833"/>
    </row>
    <row r="1462" spans="1:5" x14ac:dyDescent="0.35">
      <c r="A1462" s="281"/>
      <c r="B1462" s="279"/>
      <c r="C1462" s="850"/>
      <c r="D1462" s="282"/>
      <c r="E1462" s="833"/>
    </row>
    <row r="1463" spans="1:5" x14ac:dyDescent="0.35">
      <c r="A1463" s="281"/>
      <c r="B1463" s="279"/>
      <c r="C1463" s="850"/>
      <c r="D1463" s="282"/>
      <c r="E1463" s="833"/>
    </row>
    <row r="1464" spans="1:5" x14ac:dyDescent="0.35">
      <c r="A1464" s="281"/>
      <c r="B1464" s="279"/>
      <c r="C1464" s="850"/>
      <c r="D1464" s="282"/>
      <c r="E1464" s="833"/>
    </row>
    <row r="1465" spans="1:5" x14ac:dyDescent="0.35">
      <c r="A1465" s="281"/>
      <c r="B1465" s="279"/>
      <c r="C1465" s="850"/>
      <c r="D1465" s="282"/>
      <c r="E1465" s="833"/>
    </row>
    <row r="1466" spans="1:5" x14ac:dyDescent="0.35">
      <c r="A1466" s="281"/>
      <c r="B1466" s="279"/>
      <c r="C1466" s="850"/>
      <c r="D1466" s="282"/>
      <c r="E1466" s="833"/>
    </row>
    <row r="1467" spans="1:5" x14ac:dyDescent="0.35">
      <c r="A1467" s="281"/>
      <c r="B1467" s="279"/>
      <c r="C1467" s="850"/>
      <c r="D1467" s="282"/>
      <c r="E1467" s="833"/>
    </row>
    <row r="1468" spans="1:5" x14ac:dyDescent="0.35">
      <c r="A1468" s="281"/>
      <c r="B1468" s="279"/>
      <c r="C1468" s="850"/>
      <c r="D1468" s="282"/>
      <c r="E1468" s="833"/>
    </row>
    <row r="1469" spans="1:5" x14ac:dyDescent="0.35">
      <c r="A1469" s="281"/>
      <c r="B1469" s="279"/>
      <c r="C1469" s="850"/>
      <c r="D1469" s="282"/>
      <c r="E1469" s="833"/>
    </row>
    <row r="1470" spans="1:5" x14ac:dyDescent="0.35">
      <c r="A1470" s="281"/>
      <c r="B1470" s="279"/>
      <c r="C1470" s="850"/>
      <c r="D1470" s="282"/>
      <c r="E1470" s="833"/>
    </row>
    <row r="1471" spans="1:5" x14ac:dyDescent="0.35">
      <c r="A1471" s="281"/>
      <c r="B1471" s="279"/>
      <c r="C1471" s="850"/>
      <c r="D1471" s="282"/>
      <c r="E1471" s="833"/>
    </row>
    <row r="1472" spans="1:5" x14ac:dyDescent="0.35">
      <c r="A1472" s="281"/>
      <c r="B1472" s="279"/>
      <c r="C1472" s="850"/>
      <c r="D1472" s="282"/>
      <c r="E1472" s="833"/>
    </row>
    <row r="1473" spans="1:5" x14ac:dyDescent="0.35">
      <c r="A1473" s="281"/>
      <c r="B1473" s="279"/>
      <c r="C1473" s="850"/>
      <c r="D1473" s="282"/>
      <c r="E1473" s="833"/>
    </row>
    <row r="1474" spans="1:5" x14ac:dyDescent="0.35">
      <c r="A1474" s="281"/>
      <c r="B1474" s="279"/>
      <c r="C1474" s="850"/>
      <c r="D1474" s="282"/>
      <c r="E1474" s="833"/>
    </row>
    <row r="1475" spans="1:5" x14ac:dyDescent="0.35">
      <c r="A1475" s="281"/>
      <c r="B1475" s="279"/>
      <c r="C1475" s="850"/>
      <c r="D1475" s="282"/>
      <c r="E1475" s="833"/>
    </row>
    <row r="1476" spans="1:5" x14ac:dyDescent="0.35">
      <c r="A1476" s="281"/>
      <c r="B1476" s="279"/>
      <c r="C1476" s="850"/>
      <c r="D1476" s="282"/>
      <c r="E1476" s="833"/>
    </row>
    <row r="1477" spans="1:5" x14ac:dyDescent="0.35">
      <c r="A1477" s="281"/>
      <c r="B1477" s="279"/>
      <c r="C1477" s="850"/>
      <c r="D1477" s="282"/>
      <c r="E1477" s="833"/>
    </row>
    <row r="1478" spans="1:5" x14ac:dyDescent="0.35">
      <c r="A1478" s="281"/>
      <c r="B1478" s="279"/>
      <c r="C1478" s="850"/>
      <c r="D1478" s="282"/>
      <c r="E1478" s="833"/>
    </row>
    <row r="1479" spans="1:5" x14ac:dyDescent="0.35">
      <c r="A1479" s="281"/>
      <c r="B1479" s="279"/>
      <c r="C1479" s="850"/>
      <c r="D1479" s="282"/>
      <c r="E1479" s="833"/>
    </row>
    <row r="1480" spans="1:5" x14ac:dyDescent="0.35">
      <c r="A1480" s="281"/>
      <c r="B1480" s="279"/>
      <c r="C1480" s="850"/>
      <c r="D1480" s="282"/>
      <c r="E1480" s="833"/>
    </row>
    <row r="1481" spans="1:5" x14ac:dyDescent="0.35">
      <c r="A1481" s="281"/>
      <c r="B1481" s="279"/>
      <c r="C1481" s="850"/>
      <c r="D1481" s="282"/>
      <c r="E1481" s="833"/>
    </row>
    <row r="1482" spans="1:5" x14ac:dyDescent="0.35">
      <c r="A1482" s="281"/>
      <c r="B1482" s="279"/>
      <c r="C1482" s="850"/>
      <c r="D1482" s="282"/>
      <c r="E1482" s="833"/>
    </row>
    <row r="1483" spans="1:5" x14ac:dyDescent="0.35">
      <c r="A1483" s="281"/>
      <c r="B1483" s="279"/>
      <c r="C1483" s="850"/>
      <c r="D1483" s="282"/>
      <c r="E1483" s="833"/>
    </row>
    <row r="1484" spans="1:5" x14ac:dyDescent="0.35">
      <c r="A1484" s="281"/>
      <c r="B1484" s="279"/>
      <c r="C1484" s="850"/>
      <c r="D1484" s="282"/>
      <c r="E1484" s="833"/>
    </row>
    <row r="1485" spans="1:5" x14ac:dyDescent="0.35">
      <c r="A1485" s="281"/>
      <c r="B1485" s="279"/>
      <c r="C1485" s="850"/>
      <c r="D1485" s="282"/>
      <c r="E1485" s="833"/>
    </row>
    <row r="1486" spans="1:5" x14ac:dyDescent="0.35">
      <c r="A1486" s="281"/>
      <c r="B1486" s="279"/>
      <c r="C1486" s="850"/>
      <c r="D1486" s="282"/>
      <c r="E1486" s="833"/>
    </row>
    <row r="1487" spans="1:5" x14ac:dyDescent="0.35">
      <c r="A1487" s="281"/>
      <c r="B1487" s="279"/>
      <c r="C1487" s="850"/>
      <c r="D1487" s="282"/>
      <c r="E1487" s="833"/>
    </row>
    <row r="1488" spans="1:5" x14ac:dyDescent="0.35">
      <c r="A1488" s="281"/>
      <c r="B1488" s="279"/>
      <c r="C1488" s="850"/>
      <c r="D1488" s="282"/>
      <c r="E1488" s="833"/>
    </row>
    <row r="1489" spans="1:5" x14ac:dyDescent="0.35">
      <c r="A1489" s="281"/>
      <c r="B1489" s="279"/>
      <c r="C1489" s="850"/>
      <c r="D1489" s="282"/>
      <c r="E1489" s="833"/>
    </row>
    <row r="1490" spans="1:5" x14ac:dyDescent="0.35">
      <c r="A1490" s="281"/>
      <c r="B1490" s="279"/>
      <c r="C1490" s="850"/>
      <c r="D1490" s="282"/>
      <c r="E1490" s="833"/>
    </row>
    <row r="1491" spans="1:5" x14ac:dyDescent="0.35">
      <c r="A1491" s="281"/>
      <c r="B1491" s="279"/>
      <c r="C1491" s="850"/>
      <c r="D1491" s="282"/>
      <c r="E1491" s="833"/>
    </row>
    <row r="1492" spans="1:5" x14ac:dyDescent="0.35">
      <c r="A1492" s="281"/>
      <c r="B1492" s="279"/>
      <c r="C1492" s="850"/>
      <c r="D1492" s="282"/>
      <c r="E1492" s="833"/>
    </row>
    <row r="1493" spans="1:5" x14ac:dyDescent="0.35">
      <c r="A1493" s="281"/>
      <c r="B1493" s="279"/>
      <c r="C1493" s="850"/>
      <c r="D1493" s="282"/>
      <c r="E1493" s="833"/>
    </row>
    <row r="1494" spans="1:5" x14ac:dyDescent="0.35">
      <c r="A1494" s="281"/>
      <c r="B1494" s="279"/>
      <c r="C1494" s="850"/>
      <c r="D1494" s="282"/>
      <c r="E1494" s="833"/>
    </row>
    <row r="1495" spans="1:5" x14ac:dyDescent="0.35">
      <c r="A1495" s="281"/>
      <c r="B1495" s="279"/>
      <c r="C1495" s="850"/>
      <c r="D1495" s="282"/>
      <c r="E1495" s="833"/>
    </row>
    <row r="1496" spans="1:5" x14ac:dyDescent="0.35">
      <c r="A1496" s="281"/>
      <c r="B1496" s="279"/>
      <c r="C1496" s="850"/>
      <c r="D1496" s="282"/>
      <c r="E1496" s="833"/>
    </row>
    <row r="1497" spans="1:5" x14ac:dyDescent="0.35">
      <c r="A1497" s="281"/>
      <c r="B1497" s="279"/>
      <c r="C1497" s="850"/>
      <c r="D1497" s="282"/>
      <c r="E1497" s="833"/>
    </row>
    <row r="1498" spans="1:5" x14ac:dyDescent="0.35">
      <c r="A1498" s="281"/>
      <c r="B1498" s="279"/>
      <c r="C1498" s="850"/>
      <c r="D1498" s="282"/>
      <c r="E1498" s="833"/>
    </row>
    <row r="1499" spans="1:5" x14ac:dyDescent="0.35">
      <c r="A1499" s="281"/>
      <c r="B1499" s="279"/>
      <c r="C1499" s="850"/>
      <c r="D1499" s="282"/>
      <c r="E1499" s="833"/>
    </row>
    <row r="1500" spans="1:5" x14ac:dyDescent="0.35">
      <c r="A1500" s="281"/>
      <c r="B1500" s="279"/>
      <c r="C1500" s="850"/>
      <c r="D1500" s="282"/>
      <c r="E1500" s="833"/>
    </row>
    <row r="1501" spans="1:5" x14ac:dyDescent="0.35">
      <c r="A1501" s="281"/>
      <c r="B1501" s="279"/>
      <c r="C1501" s="850"/>
      <c r="D1501" s="282"/>
      <c r="E1501" s="833"/>
    </row>
    <row r="1502" spans="1:5" x14ac:dyDescent="0.35">
      <c r="A1502" s="281"/>
      <c r="B1502" s="279"/>
      <c r="C1502" s="850"/>
      <c r="D1502" s="282"/>
      <c r="E1502" s="833"/>
    </row>
    <row r="1503" spans="1:5" x14ac:dyDescent="0.35">
      <c r="A1503" s="281"/>
      <c r="B1503" s="279"/>
      <c r="C1503" s="850"/>
      <c r="D1503" s="282"/>
      <c r="E1503" s="833"/>
    </row>
    <row r="1504" spans="1:5" x14ac:dyDescent="0.35">
      <c r="A1504" s="281"/>
      <c r="B1504" s="279"/>
      <c r="C1504" s="850"/>
      <c r="D1504" s="282"/>
      <c r="E1504" s="833"/>
    </row>
    <row r="1505" spans="1:5" x14ac:dyDescent="0.35">
      <c r="A1505" s="281"/>
      <c r="B1505" s="279"/>
      <c r="C1505" s="850"/>
      <c r="D1505" s="282"/>
      <c r="E1505" s="833"/>
    </row>
    <row r="1506" spans="1:5" x14ac:dyDescent="0.35">
      <c r="A1506" s="281"/>
      <c r="B1506" s="279"/>
      <c r="C1506" s="850"/>
      <c r="D1506" s="282"/>
      <c r="E1506" s="833"/>
    </row>
    <row r="1507" spans="1:5" x14ac:dyDescent="0.35">
      <c r="A1507" s="281"/>
      <c r="B1507" s="279"/>
      <c r="C1507" s="850"/>
      <c r="D1507" s="282"/>
      <c r="E1507" s="833"/>
    </row>
    <row r="1508" spans="1:5" x14ac:dyDescent="0.35">
      <c r="A1508" s="281"/>
      <c r="B1508" s="279"/>
      <c r="C1508" s="850"/>
      <c r="D1508" s="282"/>
      <c r="E1508" s="833"/>
    </row>
    <row r="1509" spans="1:5" x14ac:dyDescent="0.35">
      <c r="A1509" s="281"/>
      <c r="B1509" s="279"/>
      <c r="C1509" s="850"/>
      <c r="D1509" s="282"/>
      <c r="E1509" s="833"/>
    </row>
    <row r="1510" spans="1:5" x14ac:dyDescent="0.35">
      <c r="A1510" s="281"/>
      <c r="B1510" s="279"/>
      <c r="C1510" s="850"/>
      <c r="D1510" s="282"/>
      <c r="E1510" s="833"/>
    </row>
    <row r="1511" spans="1:5" x14ac:dyDescent="0.35">
      <c r="A1511" s="281"/>
      <c r="B1511" s="279"/>
      <c r="C1511" s="850"/>
      <c r="D1511" s="282"/>
      <c r="E1511" s="833"/>
    </row>
    <row r="1512" spans="1:5" x14ac:dyDescent="0.35">
      <c r="A1512" s="281"/>
      <c r="B1512" s="279"/>
      <c r="C1512" s="850"/>
      <c r="D1512" s="282"/>
      <c r="E1512" s="833"/>
    </row>
    <row r="1513" spans="1:5" x14ac:dyDescent="0.35">
      <c r="A1513" s="281"/>
      <c r="B1513" s="279"/>
      <c r="C1513" s="850"/>
      <c r="D1513" s="282"/>
      <c r="E1513" s="833"/>
    </row>
    <row r="1514" spans="1:5" x14ac:dyDescent="0.35">
      <c r="A1514" s="281"/>
      <c r="B1514" s="279"/>
      <c r="C1514" s="850"/>
      <c r="D1514" s="282"/>
      <c r="E1514" s="833"/>
    </row>
    <row r="1515" spans="1:5" x14ac:dyDescent="0.35">
      <c r="A1515" s="281"/>
      <c r="B1515" s="279"/>
      <c r="C1515" s="850"/>
      <c r="D1515" s="282"/>
      <c r="E1515" s="833"/>
    </row>
    <row r="1516" spans="1:5" x14ac:dyDescent="0.35">
      <c r="A1516" s="281"/>
      <c r="B1516" s="279"/>
      <c r="C1516" s="850"/>
      <c r="D1516" s="282"/>
      <c r="E1516" s="833"/>
    </row>
    <row r="1517" spans="1:5" x14ac:dyDescent="0.35">
      <c r="A1517" s="281"/>
      <c r="B1517" s="279"/>
      <c r="C1517" s="850"/>
      <c r="D1517" s="282"/>
      <c r="E1517" s="833"/>
    </row>
    <row r="1518" spans="1:5" x14ac:dyDescent="0.35">
      <c r="A1518" s="281"/>
      <c r="B1518" s="279"/>
      <c r="C1518" s="850"/>
      <c r="D1518" s="282"/>
      <c r="E1518" s="833"/>
    </row>
    <row r="1519" spans="1:5" x14ac:dyDescent="0.35">
      <c r="A1519" s="281"/>
      <c r="B1519" s="279"/>
      <c r="C1519" s="850"/>
      <c r="D1519" s="282"/>
      <c r="E1519" s="833"/>
    </row>
    <row r="1520" spans="1:5" x14ac:dyDescent="0.35">
      <c r="A1520" s="281"/>
      <c r="B1520" s="279"/>
      <c r="C1520" s="850"/>
      <c r="D1520" s="282"/>
      <c r="E1520" s="833"/>
    </row>
    <row r="1521" spans="1:5" x14ac:dyDescent="0.35">
      <c r="A1521" s="281"/>
      <c r="B1521" s="279"/>
      <c r="C1521" s="850"/>
      <c r="D1521" s="282"/>
      <c r="E1521" s="833"/>
    </row>
    <row r="1522" spans="1:5" x14ac:dyDescent="0.35">
      <c r="A1522" s="281"/>
      <c r="B1522" s="279"/>
      <c r="C1522" s="850"/>
      <c r="D1522" s="282"/>
      <c r="E1522" s="833"/>
    </row>
    <row r="1523" spans="1:5" x14ac:dyDescent="0.35">
      <c r="A1523" s="281"/>
      <c r="B1523" s="279"/>
      <c r="C1523" s="850"/>
      <c r="D1523" s="282"/>
      <c r="E1523" s="833"/>
    </row>
    <row r="1524" spans="1:5" x14ac:dyDescent="0.35">
      <c r="A1524" s="281"/>
      <c r="B1524" s="279"/>
      <c r="C1524" s="850"/>
      <c r="D1524" s="282"/>
      <c r="E1524" s="833"/>
    </row>
    <row r="1525" spans="1:5" x14ac:dyDescent="0.35">
      <c r="A1525" s="281"/>
      <c r="B1525" s="279"/>
      <c r="C1525" s="850"/>
      <c r="D1525" s="282"/>
      <c r="E1525" s="833"/>
    </row>
    <row r="1526" spans="1:5" x14ac:dyDescent="0.35">
      <c r="A1526" s="281"/>
      <c r="B1526" s="279"/>
      <c r="C1526" s="850"/>
      <c r="D1526" s="282"/>
      <c r="E1526" s="833"/>
    </row>
    <row r="1527" spans="1:5" x14ac:dyDescent="0.35">
      <c r="A1527" s="281"/>
      <c r="B1527" s="279"/>
      <c r="C1527" s="850"/>
      <c r="D1527" s="282"/>
      <c r="E1527" s="833"/>
    </row>
    <row r="1528" spans="1:5" x14ac:dyDescent="0.35">
      <c r="A1528" s="281"/>
      <c r="B1528" s="279"/>
      <c r="C1528" s="850"/>
      <c r="D1528" s="282"/>
      <c r="E1528" s="833"/>
    </row>
    <row r="1529" spans="1:5" x14ac:dyDescent="0.35">
      <c r="A1529" s="281"/>
      <c r="B1529" s="279"/>
      <c r="C1529" s="850"/>
      <c r="D1529" s="282"/>
      <c r="E1529" s="833"/>
    </row>
    <row r="1530" spans="1:5" x14ac:dyDescent="0.35">
      <c r="A1530" s="281"/>
      <c r="B1530" s="279"/>
      <c r="C1530" s="850"/>
      <c r="D1530" s="282"/>
      <c r="E1530" s="833"/>
    </row>
    <row r="1531" spans="1:5" x14ac:dyDescent="0.35">
      <c r="A1531" s="281"/>
      <c r="B1531" s="279"/>
      <c r="C1531" s="850"/>
      <c r="D1531" s="282"/>
      <c r="E1531" s="833"/>
    </row>
    <row r="1532" spans="1:5" x14ac:dyDescent="0.35">
      <c r="A1532" s="281"/>
      <c r="B1532" s="279"/>
      <c r="C1532" s="850"/>
      <c r="D1532" s="282"/>
      <c r="E1532" s="833"/>
    </row>
    <row r="1533" spans="1:5" x14ac:dyDescent="0.35">
      <c r="A1533" s="281"/>
      <c r="B1533" s="279"/>
      <c r="C1533" s="850"/>
      <c r="D1533" s="282"/>
      <c r="E1533" s="833"/>
    </row>
    <row r="1534" spans="1:5" x14ac:dyDescent="0.35">
      <c r="A1534" s="281"/>
      <c r="B1534" s="279"/>
      <c r="C1534" s="850"/>
      <c r="D1534" s="282"/>
      <c r="E1534" s="833"/>
    </row>
    <row r="1535" spans="1:5" x14ac:dyDescent="0.35">
      <c r="A1535" s="281"/>
      <c r="B1535" s="279"/>
      <c r="C1535" s="850"/>
      <c r="D1535" s="282"/>
      <c r="E1535" s="833"/>
    </row>
    <row r="1536" spans="1:5" x14ac:dyDescent="0.35">
      <c r="A1536" s="281"/>
      <c r="B1536" s="279"/>
      <c r="C1536" s="850"/>
      <c r="D1536" s="282"/>
      <c r="E1536" s="833"/>
    </row>
    <row r="1537" spans="1:5" x14ac:dyDescent="0.35">
      <c r="A1537" s="281"/>
      <c r="B1537" s="279"/>
      <c r="C1537" s="850"/>
      <c r="D1537" s="282"/>
      <c r="E1537" s="833"/>
    </row>
    <row r="1538" spans="1:5" x14ac:dyDescent="0.35">
      <c r="A1538" s="281"/>
      <c r="B1538" s="279"/>
      <c r="C1538" s="850"/>
      <c r="D1538" s="282"/>
      <c r="E1538" s="833"/>
    </row>
    <row r="1539" spans="1:5" x14ac:dyDescent="0.35">
      <c r="A1539" s="281"/>
      <c r="B1539" s="279"/>
      <c r="C1539" s="850"/>
      <c r="D1539" s="282"/>
      <c r="E1539" s="833"/>
    </row>
    <row r="1540" spans="1:5" x14ac:dyDescent="0.35">
      <c r="A1540" s="281"/>
      <c r="B1540" s="279"/>
      <c r="C1540" s="850"/>
      <c r="D1540" s="282"/>
      <c r="E1540" s="833"/>
    </row>
    <row r="1541" spans="1:5" x14ac:dyDescent="0.35">
      <c r="A1541" s="281"/>
      <c r="B1541" s="279"/>
      <c r="C1541" s="850"/>
      <c r="D1541" s="282"/>
      <c r="E1541" s="833"/>
    </row>
    <row r="1542" spans="1:5" x14ac:dyDescent="0.35">
      <c r="A1542" s="281"/>
      <c r="B1542" s="279"/>
      <c r="C1542" s="850"/>
      <c r="D1542" s="282"/>
      <c r="E1542" s="833"/>
    </row>
    <row r="1543" spans="1:5" x14ac:dyDescent="0.35">
      <c r="A1543" s="281"/>
      <c r="B1543" s="279"/>
      <c r="C1543" s="850"/>
      <c r="D1543" s="282"/>
      <c r="E1543" s="833"/>
    </row>
    <row r="1544" spans="1:5" x14ac:dyDescent="0.35">
      <c r="A1544" s="281"/>
      <c r="B1544" s="279"/>
      <c r="C1544" s="850"/>
      <c r="D1544" s="282"/>
      <c r="E1544" s="833"/>
    </row>
    <row r="1545" spans="1:5" x14ac:dyDescent="0.35">
      <c r="A1545" s="281"/>
      <c r="B1545" s="279"/>
      <c r="C1545" s="850"/>
      <c r="D1545" s="282"/>
      <c r="E1545" s="833"/>
    </row>
    <row r="1546" spans="1:5" x14ac:dyDescent="0.35">
      <c r="A1546" s="281"/>
      <c r="B1546" s="279"/>
      <c r="C1546" s="850"/>
      <c r="D1546" s="282"/>
      <c r="E1546" s="833"/>
    </row>
    <row r="1547" spans="1:5" x14ac:dyDescent="0.35">
      <c r="A1547" s="281"/>
      <c r="B1547" s="279"/>
      <c r="C1547" s="850"/>
      <c r="D1547" s="282"/>
      <c r="E1547" s="833"/>
    </row>
    <row r="1548" spans="1:5" x14ac:dyDescent="0.35">
      <c r="A1548" s="281"/>
      <c r="B1548" s="279"/>
      <c r="C1548" s="850"/>
      <c r="D1548" s="282"/>
      <c r="E1548" s="833"/>
    </row>
    <row r="1549" spans="1:5" x14ac:dyDescent="0.35">
      <c r="A1549" s="281"/>
      <c r="B1549" s="279"/>
      <c r="C1549" s="850"/>
      <c r="D1549" s="282"/>
      <c r="E1549" s="833"/>
    </row>
    <row r="1550" spans="1:5" x14ac:dyDescent="0.35">
      <c r="A1550" s="281"/>
      <c r="B1550" s="279"/>
      <c r="C1550" s="850"/>
      <c r="D1550" s="282"/>
      <c r="E1550" s="833"/>
    </row>
    <row r="1551" spans="1:5" x14ac:dyDescent="0.35">
      <c r="A1551" s="281"/>
      <c r="B1551" s="279"/>
      <c r="C1551" s="850"/>
      <c r="D1551" s="282"/>
      <c r="E1551" s="833"/>
    </row>
    <row r="1552" spans="1:5" x14ac:dyDescent="0.35">
      <c r="A1552" s="281"/>
      <c r="B1552" s="279"/>
      <c r="C1552" s="850"/>
      <c r="D1552" s="282"/>
      <c r="E1552" s="833"/>
    </row>
    <row r="1553" spans="1:5" x14ac:dyDescent="0.35">
      <c r="A1553" s="281"/>
      <c r="B1553" s="279"/>
      <c r="C1553" s="850"/>
      <c r="D1553" s="282"/>
      <c r="E1553" s="833"/>
    </row>
    <row r="1554" spans="1:5" x14ac:dyDescent="0.35">
      <c r="A1554" s="281"/>
      <c r="B1554" s="279"/>
      <c r="C1554" s="850"/>
      <c r="D1554" s="282"/>
      <c r="E1554" s="833"/>
    </row>
    <row r="1555" spans="1:5" x14ac:dyDescent="0.35">
      <c r="A1555" s="281"/>
      <c r="B1555" s="279"/>
      <c r="C1555" s="850"/>
      <c r="D1555" s="282"/>
      <c r="E1555" s="833"/>
    </row>
    <row r="1556" spans="1:5" x14ac:dyDescent="0.35">
      <c r="A1556" s="281"/>
      <c r="B1556" s="279"/>
      <c r="C1556" s="850"/>
      <c r="D1556" s="282"/>
      <c r="E1556" s="833"/>
    </row>
    <row r="1557" spans="1:5" x14ac:dyDescent="0.35">
      <c r="A1557" s="281"/>
      <c r="B1557" s="279"/>
      <c r="C1557" s="850"/>
      <c r="D1557" s="282"/>
      <c r="E1557" s="833"/>
    </row>
    <row r="1558" spans="1:5" x14ac:dyDescent="0.35">
      <c r="A1558" s="281"/>
      <c r="B1558" s="279"/>
      <c r="C1558" s="850"/>
      <c r="D1558" s="282"/>
      <c r="E1558" s="833"/>
    </row>
    <row r="1559" spans="1:5" x14ac:dyDescent="0.35">
      <c r="A1559" s="281"/>
      <c r="B1559" s="279"/>
      <c r="C1559" s="850"/>
      <c r="D1559" s="282"/>
      <c r="E1559" s="833"/>
    </row>
    <row r="1560" spans="1:5" x14ac:dyDescent="0.35">
      <c r="A1560" s="281"/>
      <c r="B1560" s="279"/>
      <c r="C1560" s="850"/>
      <c r="D1560" s="282"/>
      <c r="E1560" s="833"/>
    </row>
    <row r="1561" spans="1:5" x14ac:dyDescent="0.35">
      <c r="A1561" s="281"/>
      <c r="B1561" s="279"/>
      <c r="C1561" s="850"/>
      <c r="D1561" s="282"/>
      <c r="E1561" s="833"/>
    </row>
    <row r="1562" spans="1:5" x14ac:dyDescent="0.35">
      <c r="A1562" s="281"/>
      <c r="B1562" s="279"/>
      <c r="C1562" s="850"/>
      <c r="D1562" s="282"/>
      <c r="E1562" s="833"/>
    </row>
    <row r="1563" spans="1:5" x14ac:dyDescent="0.35">
      <c r="A1563" s="281"/>
      <c r="B1563" s="279"/>
      <c r="C1563" s="850"/>
      <c r="D1563" s="282"/>
      <c r="E1563" s="833"/>
    </row>
    <row r="1564" spans="1:5" x14ac:dyDescent="0.35">
      <c r="A1564" s="281"/>
      <c r="B1564" s="279"/>
      <c r="C1564" s="850"/>
      <c r="D1564" s="282"/>
      <c r="E1564" s="833"/>
    </row>
    <row r="1565" spans="1:5" x14ac:dyDescent="0.35">
      <c r="A1565" s="281"/>
      <c r="B1565" s="279"/>
      <c r="C1565" s="850"/>
      <c r="D1565" s="282"/>
      <c r="E1565" s="833"/>
    </row>
    <row r="1566" spans="1:5" x14ac:dyDescent="0.35">
      <c r="A1566" s="281"/>
      <c r="B1566" s="279"/>
      <c r="C1566" s="850"/>
      <c r="D1566" s="282"/>
      <c r="E1566" s="833"/>
    </row>
    <row r="1567" spans="1:5" x14ac:dyDescent="0.35">
      <c r="A1567" s="281"/>
      <c r="B1567" s="279"/>
      <c r="C1567" s="850"/>
      <c r="D1567" s="282"/>
      <c r="E1567" s="833"/>
    </row>
    <row r="1568" spans="1:5" x14ac:dyDescent="0.35">
      <c r="A1568" s="281"/>
      <c r="B1568" s="279"/>
      <c r="C1568" s="850"/>
      <c r="D1568" s="282"/>
      <c r="E1568" s="833"/>
    </row>
    <row r="1569" spans="1:5" x14ac:dyDescent="0.35">
      <c r="A1569" s="281"/>
      <c r="B1569" s="279"/>
      <c r="C1569" s="850"/>
      <c r="D1569" s="282"/>
      <c r="E1569" s="833"/>
    </row>
    <row r="1570" spans="1:5" x14ac:dyDescent="0.35">
      <c r="A1570" s="281"/>
      <c r="B1570" s="279"/>
      <c r="C1570" s="850"/>
      <c r="D1570" s="282"/>
      <c r="E1570" s="833"/>
    </row>
    <row r="1571" spans="1:5" x14ac:dyDescent="0.35">
      <c r="A1571" s="281"/>
      <c r="B1571" s="279"/>
      <c r="C1571" s="850"/>
      <c r="D1571" s="282"/>
      <c r="E1571" s="833"/>
    </row>
    <row r="1572" spans="1:5" x14ac:dyDescent="0.35">
      <c r="A1572" s="281"/>
      <c r="B1572" s="279"/>
      <c r="C1572" s="850"/>
      <c r="D1572" s="282"/>
      <c r="E1572" s="833"/>
    </row>
    <row r="1573" spans="1:5" x14ac:dyDescent="0.35">
      <c r="A1573" s="281"/>
      <c r="B1573" s="279"/>
      <c r="C1573" s="850"/>
      <c r="D1573" s="282"/>
      <c r="E1573" s="833"/>
    </row>
    <row r="1574" spans="1:5" x14ac:dyDescent="0.35">
      <c r="A1574" s="281"/>
      <c r="B1574" s="279"/>
      <c r="C1574" s="850"/>
      <c r="D1574" s="282"/>
      <c r="E1574" s="833"/>
    </row>
    <row r="1575" spans="1:5" x14ac:dyDescent="0.35">
      <c r="A1575" s="281"/>
      <c r="B1575" s="279"/>
      <c r="C1575" s="850"/>
      <c r="D1575" s="282"/>
      <c r="E1575" s="833"/>
    </row>
    <row r="1576" spans="1:5" x14ac:dyDescent="0.35">
      <c r="A1576" s="281"/>
      <c r="B1576" s="279"/>
      <c r="C1576" s="850"/>
      <c r="D1576" s="282"/>
      <c r="E1576" s="833"/>
    </row>
    <row r="1577" spans="1:5" x14ac:dyDescent="0.35">
      <c r="A1577" s="281"/>
      <c r="B1577" s="279"/>
      <c r="C1577" s="850"/>
      <c r="D1577" s="282"/>
      <c r="E1577" s="833"/>
    </row>
    <row r="1578" spans="1:5" x14ac:dyDescent="0.35">
      <c r="A1578" s="281"/>
      <c r="B1578" s="279"/>
      <c r="C1578" s="850"/>
      <c r="D1578" s="282"/>
      <c r="E1578" s="833"/>
    </row>
    <row r="1579" spans="1:5" x14ac:dyDescent="0.35">
      <c r="A1579" s="281"/>
      <c r="B1579" s="279"/>
      <c r="C1579" s="850"/>
      <c r="D1579" s="282"/>
      <c r="E1579" s="833"/>
    </row>
    <row r="1580" spans="1:5" x14ac:dyDescent="0.35">
      <c r="A1580" s="281"/>
      <c r="B1580" s="279"/>
      <c r="C1580" s="850"/>
      <c r="D1580" s="282"/>
      <c r="E1580" s="833"/>
    </row>
    <row r="1581" spans="1:5" x14ac:dyDescent="0.35">
      <c r="A1581" s="281"/>
      <c r="B1581" s="279"/>
      <c r="C1581" s="850"/>
      <c r="D1581" s="282"/>
      <c r="E1581" s="833"/>
    </row>
    <row r="1582" spans="1:5" x14ac:dyDescent="0.35">
      <c r="A1582" s="281"/>
      <c r="B1582" s="279"/>
      <c r="C1582" s="850"/>
      <c r="D1582" s="282"/>
      <c r="E1582" s="833"/>
    </row>
    <row r="1583" spans="1:5" x14ac:dyDescent="0.35">
      <c r="A1583" s="281"/>
      <c r="B1583" s="279"/>
      <c r="C1583" s="850"/>
      <c r="D1583" s="282"/>
      <c r="E1583" s="833"/>
    </row>
    <row r="1584" spans="1:5" x14ac:dyDescent="0.35">
      <c r="A1584" s="281"/>
      <c r="B1584" s="279"/>
      <c r="C1584" s="850"/>
      <c r="D1584" s="282"/>
      <c r="E1584" s="833"/>
    </row>
    <row r="1585" spans="1:5" x14ac:dyDescent="0.35">
      <c r="A1585" s="281"/>
      <c r="B1585" s="279"/>
      <c r="C1585" s="850"/>
      <c r="D1585" s="282"/>
      <c r="E1585" s="833"/>
    </row>
    <row r="1586" spans="1:5" x14ac:dyDescent="0.35">
      <c r="A1586" s="281"/>
      <c r="B1586" s="279"/>
      <c r="C1586" s="850"/>
      <c r="D1586" s="282"/>
      <c r="E1586" s="833"/>
    </row>
    <row r="1587" spans="1:5" x14ac:dyDescent="0.35">
      <c r="A1587" s="281"/>
      <c r="B1587" s="279"/>
      <c r="C1587" s="850"/>
      <c r="D1587" s="282"/>
      <c r="E1587" s="833"/>
    </row>
    <row r="1588" spans="1:5" x14ac:dyDescent="0.35">
      <c r="A1588" s="281"/>
      <c r="B1588" s="279"/>
      <c r="C1588" s="850"/>
      <c r="D1588" s="282"/>
      <c r="E1588" s="833"/>
    </row>
    <row r="1589" spans="1:5" x14ac:dyDescent="0.35">
      <c r="A1589" s="281"/>
      <c r="B1589" s="279"/>
      <c r="C1589" s="850"/>
      <c r="D1589" s="282"/>
      <c r="E1589" s="833"/>
    </row>
    <row r="1590" spans="1:5" x14ac:dyDescent="0.35">
      <c r="A1590" s="281"/>
      <c r="B1590" s="279"/>
      <c r="C1590" s="850"/>
      <c r="D1590" s="282"/>
      <c r="E1590" s="833"/>
    </row>
    <row r="1591" spans="1:5" x14ac:dyDescent="0.35">
      <c r="A1591" s="281"/>
      <c r="B1591" s="279"/>
      <c r="C1591" s="850"/>
      <c r="D1591" s="282"/>
      <c r="E1591" s="833"/>
    </row>
    <row r="1592" spans="1:5" x14ac:dyDescent="0.35">
      <c r="A1592" s="281"/>
      <c r="B1592" s="279"/>
      <c r="C1592" s="850"/>
      <c r="D1592" s="282"/>
      <c r="E1592" s="833"/>
    </row>
    <row r="1593" spans="1:5" x14ac:dyDescent="0.35">
      <c r="A1593" s="281"/>
      <c r="B1593" s="279"/>
      <c r="C1593" s="850"/>
      <c r="D1593" s="282"/>
      <c r="E1593" s="833"/>
    </row>
    <row r="1594" spans="1:5" x14ac:dyDescent="0.35">
      <c r="A1594" s="281"/>
      <c r="B1594" s="279"/>
      <c r="C1594" s="850"/>
      <c r="D1594" s="282"/>
      <c r="E1594" s="833"/>
    </row>
    <row r="1595" spans="1:5" x14ac:dyDescent="0.35">
      <c r="A1595" s="281"/>
      <c r="B1595" s="279"/>
      <c r="C1595" s="850"/>
      <c r="D1595" s="282"/>
      <c r="E1595" s="833"/>
    </row>
    <row r="1596" spans="1:5" x14ac:dyDescent="0.35">
      <c r="A1596" s="281"/>
      <c r="B1596" s="279"/>
      <c r="C1596" s="850"/>
      <c r="D1596" s="282"/>
      <c r="E1596" s="833"/>
    </row>
    <row r="1597" spans="1:5" x14ac:dyDescent="0.35">
      <c r="A1597" s="281"/>
      <c r="B1597" s="279"/>
      <c r="C1597" s="850"/>
      <c r="D1597" s="282"/>
      <c r="E1597" s="833"/>
    </row>
    <row r="1598" spans="1:5" x14ac:dyDescent="0.35">
      <c r="A1598" s="281"/>
      <c r="B1598" s="279"/>
      <c r="C1598" s="850"/>
      <c r="D1598" s="282"/>
      <c r="E1598" s="833"/>
    </row>
    <row r="1599" spans="1:5" x14ac:dyDescent="0.35">
      <c r="A1599" s="281"/>
      <c r="B1599" s="279"/>
      <c r="C1599" s="850"/>
      <c r="D1599" s="282"/>
      <c r="E1599" s="833"/>
    </row>
    <row r="1600" spans="1:5" x14ac:dyDescent="0.35">
      <c r="A1600" s="281"/>
      <c r="B1600" s="279"/>
      <c r="C1600" s="850"/>
      <c r="D1600" s="282"/>
      <c r="E1600" s="833"/>
    </row>
    <row r="1601" spans="1:5" x14ac:dyDescent="0.35">
      <c r="A1601" s="281"/>
      <c r="B1601" s="279"/>
      <c r="C1601" s="850"/>
      <c r="D1601" s="282"/>
      <c r="E1601" s="833"/>
    </row>
    <row r="1602" spans="1:5" x14ac:dyDescent="0.35">
      <c r="A1602" s="281"/>
      <c r="B1602" s="279"/>
      <c r="C1602" s="850"/>
      <c r="D1602" s="282"/>
      <c r="E1602" s="833"/>
    </row>
    <row r="1603" spans="1:5" x14ac:dyDescent="0.35">
      <c r="A1603" s="281"/>
      <c r="B1603" s="279"/>
      <c r="C1603" s="850"/>
      <c r="D1603" s="282"/>
      <c r="E1603" s="833"/>
    </row>
    <row r="1604" spans="1:5" x14ac:dyDescent="0.35">
      <c r="A1604" s="281"/>
      <c r="B1604" s="279"/>
      <c r="C1604" s="850"/>
      <c r="D1604" s="282"/>
      <c r="E1604" s="833"/>
    </row>
    <row r="1605" spans="1:5" x14ac:dyDescent="0.35">
      <c r="A1605" s="281"/>
      <c r="B1605" s="279"/>
      <c r="C1605" s="850"/>
      <c r="D1605" s="282"/>
      <c r="E1605" s="833"/>
    </row>
    <row r="1606" spans="1:5" x14ac:dyDescent="0.35">
      <c r="A1606" s="281"/>
      <c r="B1606" s="279"/>
      <c r="C1606" s="850"/>
      <c r="D1606" s="282"/>
      <c r="E1606" s="833"/>
    </row>
    <row r="1607" spans="1:5" x14ac:dyDescent="0.35">
      <c r="A1607" s="281"/>
      <c r="B1607" s="279"/>
      <c r="C1607" s="850"/>
      <c r="D1607" s="282"/>
      <c r="E1607" s="833"/>
    </row>
    <row r="1608" spans="1:5" x14ac:dyDescent="0.35">
      <c r="A1608" s="281"/>
      <c r="B1608" s="279"/>
      <c r="C1608" s="850"/>
      <c r="D1608" s="282"/>
      <c r="E1608" s="833"/>
    </row>
    <row r="1609" spans="1:5" x14ac:dyDescent="0.35">
      <c r="A1609" s="281"/>
      <c r="B1609" s="279"/>
      <c r="C1609" s="850"/>
      <c r="D1609" s="282"/>
      <c r="E1609" s="833"/>
    </row>
    <row r="1610" spans="1:5" x14ac:dyDescent="0.35">
      <c r="A1610" s="281"/>
      <c r="B1610" s="279"/>
      <c r="C1610" s="850"/>
      <c r="D1610" s="282"/>
      <c r="E1610" s="833"/>
    </row>
    <row r="1611" spans="1:5" x14ac:dyDescent="0.35">
      <c r="A1611" s="281"/>
      <c r="B1611" s="279"/>
      <c r="C1611" s="850"/>
      <c r="D1611" s="282"/>
      <c r="E1611" s="833"/>
    </row>
    <row r="1612" spans="1:5" x14ac:dyDescent="0.35">
      <c r="A1612" s="281"/>
      <c r="B1612" s="279"/>
      <c r="C1612" s="850"/>
      <c r="D1612" s="282"/>
      <c r="E1612" s="833"/>
    </row>
    <row r="1613" spans="1:5" x14ac:dyDescent="0.35">
      <c r="A1613" s="281"/>
      <c r="B1613" s="279"/>
      <c r="C1613" s="850"/>
      <c r="D1613" s="282"/>
      <c r="E1613" s="833"/>
    </row>
    <row r="1614" spans="1:5" x14ac:dyDescent="0.35">
      <c r="A1614" s="281"/>
      <c r="B1614" s="279"/>
      <c r="C1614" s="850"/>
      <c r="D1614" s="282"/>
      <c r="E1614" s="833"/>
    </row>
    <row r="1615" spans="1:5" x14ac:dyDescent="0.35">
      <c r="A1615" s="281"/>
      <c r="B1615" s="279"/>
      <c r="C1615" s="850"/>
      <c r="D1615" s="282"/>
      <c r="E1615" s="833"/>
    </row>
    <row r="1616" spans="1:5" x14ac:dyDescent="0.35">
      <c r="A1616" s="281"/>
      <c r="B1616" s="279"/>
      <c r="C1616" s="850"/>
      <c r="D1616" s="282"/>
      <c r="E1616" s="833"/>
    </row>
    <row r="1617" spans="1:5" x14ac:dyDescent="0.35">
      <c r="A1617" s="281"/>
      <c r="B1617" s="279"/>
      <c r="C1617" s="850"/>
      <c r="D1617" s="282"/>
      <c r="E1617" s="833"/>
    </row>
    <row r="1618" spans="1:5" x14ac:dyDescent="0.35">
      <c r="A1618" s="281"/>
      <c r="B1618" s="279"/>
      <c r="C1618" s="850"/>
      <c r="D1618" s="282"/>
      <c r="E1618" s="833"/>
    </row>
    <row r="1619" spans="1:5" x14ac:dyDescent="0.35">
      <c r="A1619" s="281"/>
      <c r="B1619" s="279"/>
      <c r="C1619" s="850"/>
      <c r="D1619" s="282"/>
      <c r="E1619" s="833"/>
    </row>
    <row r="1620" spans="1:5" x14ac:dyDescent="0.35">
      <c r="A1620" s="281"/>
      <c r="B1620" s="279"/>
      <c r="C1620" s="850"/>
      <c r="D1620" s="282"/>
      <c r="E1620" s="833"/>
    </row>
    <row r="1621" spans="1:5" x14ac:dyDescent="0.35">
      <c r="A1621" s="281"/>
      <c r="B1621" s="279"/>
      <c r="C1621" s="850"/>
      <c r="D1621" s="282"/>
      <c r="E1621" s="833"/>
    </row>
    <row r="1622" spans="1:5" x14ac:dyDescent="0.35">
      <c r="A1622" s="281"/>
      <c r="B1622" s="279"/>
      <c r="C1622" s="850"/>
      <c r="D1622" s="282"/>
      <c r="E1622" s="833"/>
    </row>
    <row r="1623" spans="1:5" x14ac:dyDescent="0.35">
      <c r="A1623" s="281"/>
      <c r="B1623" s="279"/>
      <c r="C1623" s="850"/>
      <c r="D1623" s="282"/>
      <c r="E1623" s="833"/>
    </row>
    <row r="1624" spans="1:5" x14ac:dyDescent="0.35">
      <c r="A1624" s="281"/>
      <c r="B1624" s="279"/>
      <c r="C1624" s="850"/>
      <c r="D1624" s="282"/>
      <c r="E1624" s="833"/>
    </row>
    <row r="1625" spans="1:5" x14ac:dyDescent="0.35">
      <c r="A1625" s="281"/>
      <c r="B1625" s="279"/>
      <c r="C1625" s="850"/>
      <c r="D1625" s="282"/>
      <c r="E1625" s="833"/>
    </row>
    <row r="1626" spans="1:5" x14ac:dyDescent="0.35">
      <c r="A1626" s="281"/>
      <c r="B1626" s="279"/>
      <c r="C1626" s="850"/>
      <c r="D1626" s="282"/>
      <c r="E1626" s="833"/>
    </row>
    <row r="1627" spans="1:5" x14ac:dyDescent="0.35">
      <c r="A1627" s="281"/>
      <c r="B1627" s="279"/>
      <c r="C1627" s="850"/>
      <c r="D1627" s="282"/>
      <c r="E1627" s="833"/>
    </row>
    <row r="1628" spans="1:5" x14ac:dyDescent="0.35">
      <c r="A1628" s="281"/>
      <c r="B1628" s="279"/>
      <c r="C1628" s="850"/>
      <c r="D1628" s="282"/>
      <c r="E1628" s="833"/>
    </row>
    <row r="1629" spans="1:5" x14ac:dyDescent="0.35">
      <c r="A1629" s="281"/>
      <c r="B1629" s="279"/>
      <c r="C1629" s="850"/>
      <c r="D1629" s="282"/>
      <c r="E1629" s="833"/>
    </row>
    <row r="1630" spans="1:5" x14ac:dyDescent="0.35">
      <c r="A1630" s="281"/>
      <c r="B1630" s="279"/>
      <c r="C1630" s="850"/>
      <c r="D1630" s="282"/>
      <c r="E1630" s="833"/>
    </row>
    <row r="1631" spans="1:5" x14ac:dyDescent="0.35">
      <c r="A1631" s="281"/>
      <c r="B1631" s="279"/>
      <c r="C1631" s="850"/>
      <c r="D1631" s="282"/>
      <c r="E1631" s="833"/>
    </row>
    <row r="1632" spans="1:5" x14ac:dyDescent="0.35">
      <c r="A1632" s="281"/>
      <c r="B1632" s="279"/>
      <c r="C1632" s="850"/>
      <c r="D1632" s="282"/>
      <c r="E1632" s="833"/>
    </row>
    <row r="1633" spans="1:5" x14ac:dyDescent="0.35">
      <c r="A1633" s="281"/>
      <c r="B1633" s="279"/>
      <c r="C1633" s="850"/>
      <c r="D1633" s="282"/>
      <c r="E1633" s="833"/>
    </row>
    <row r="1634" spans="1:5" x14ac:dyDescent="0.35">
      <c r="A1634" s="281"/>
      <c r="B1634" s="279"/>
      <c r="C1634" s="850"/>
      <c r="D1634" s="282"/>
      <c r="E1634" s="833"/>
    </row>
    <row r="1635" spans="1:5" x14ac:dyDescent="0.35">
      <c r="A1635" s="281"/>
      <c r="B1635" s="279"/>
      <c r="C1635" s="850"/>
      <c r="D1635" s="282"/>
      <c r="E1635" s="833"/>
    </row>
    <row r="1636" spans="1:5" x14ac:dyDescent="0.35">
      <c r="A1636" s="281"/>
      <c r="B1636" s="279"/>
      <c r="C1636" s="850"/>
      <c r="D1636" s="282"/>
      <c r="E1636" s="833"/>
    </row>
    <row r="1637" spans="1:5" x14ac:dyDescent="0.35">
      <c r="A1637" s="281"/>
      <c r="B1637" s="279"/>
      <c r="C1637" s="850"/>
      <c r="D1637" s="282"/>
      <c r="E1637" s="833"/>
    </row>
    <row r="1638" spans="1:5" x14ac:dyDescent="0.35">
      <c r="A1638" s="281"/>
      <c r="B1638" s="279"/>
      <c r="C1638" s="850"/>
      <c r="D1638" s="282"/>
      <c r="E1638" s="833"/>
    </row>
    <row r="1639" spans="1:5" x14ac:dyDescent="0.35">
      <c r="A1639" s="281"/>
      <c r="B1639" s="279"/>
      <c r="C1639" s="850"/>
      <c r="D1639" s="282"/>
      <c r="E1639" s="833"/>
    </row>
    <row r="1640" spans="1:5" x14ac:dyDescent="0.35">
      <c r="A1640" s="281"/>
      <c r="B1640" s="279"/>
      <c r="C1640" s="850"/>
      <c r="D1640" s="282"/>
      <c r="E1640" s="833"/>
    </row>
    <row r="1641" spans="1:5" x14ac:dyDescent="0.35">
      <c r="A1641" s="281"/>
      <c r="B1641" s="279"/>
      <c r="C1641" s="850"/>
      <c r="D1641" s="282"/>
      <c r="E1641" s="833"/>
    </row>
    <row r="1642" spans="1:5" x14ac:dyDescent="0.35">
      <c r="A1642" s="281"/>
      <c r="B1642" s="279"/>
      <c r="C1642" s="850"/>
      <c r="D1642" s="282"/>
      <c r="E1642" s="833"/>
    </row>
    <row r="1643" spans="1:5" x14ac:dyDescent="0.35">
      <c r="A1643" s="281"/>
      <c r="B1643" s="279"/>
      <c r="C1643" s="850"/>
      <c r="D1643" s="282"/>
      <c r="E1643" s="833"/>
    </row>
    <row r="1644" spans="1:5" x14ac:dyDescent="0.35">
      <c r="A1644" s="281"/>
      <c r="B1644" s="279"/>
      <c r="C1644" s="850"/>
      <c r="D1644" s="282"/>
      <c r="E1644" s="833"/>
    </row>
    <row r="1645" spans="1:5" x14ac:dyDescent="0.35">
      <c r="A1645" s="281"/>
      <c r="B1645" s="279"/>
      <c r="C1645" s="850"/>
      <c r="D1645" s="282"/>
      <c r="E1645" s="833"/>
    </row>
    <row r="1646" spans="1:5" x14ac:dyDescent="0.35">
      <c r="A1646" s="281"/>
      <c r="B1646" s="279"/>
      <c r="C1646" s="850"/>
      <c r="D1646" s="282"/>
      <c r="E1646" s="833"/>
    </row>
    <row r="1647" spans="1:5" x14ac:dyDescent="0.35">
      <c r="A1647" s="281"/>
      <c r="B1647" s="279"/>
      <c r="C1647" s="850"/>
      <c r="D1647" s="282"/>
      <c r="E1647" s="833"/>
    </row>
    <row r="1648" spans="1:5" x14ac:dyDescent="0.35">
      <c r="A1648" s="281"/>
      <c r="B1648" s="279"/>
      <c r="C1648" s="850"/>
      <c r="D1648" s="282"/>
      <c r="E1648" s="833"/>
    </row>
    <row r="1649" spans="1:5" x14ac:dyDescent="0.35">
      <c r="A1649" s="281"/>
      <c r="B1649" s="279"/>
      <c r="C1649" s="850"/>
      <c r="D1649" s="282"/>
      <c r="E1649" s="833"/>
    </row>
    <row r="1650" spans="1:5" x14ac:dyDescent="0.35">
      <c r="A1650" s="281"/>
      <c r="B1650" s="279"/>
      <c r="C1650" s="850"/>
      <c r="D1650" s="282"/>
      <c r="E1650" s="833"/>
    </row>
    <row r="1651" spans="1:5" x14ac:dyDescent="0.35">
      <c r="A1651" s="281"/>
      <c r="B1651" s="279"/>
      <c r="C1651" s="850"/>
      <c r="D1651" s="282"/>
      <c r="E1651" s="833"/>
    </row>
    <row r="1652" spans="1:5" x14ac:dyDescent="0.35">
      <c r="A1652" s="281"/>
      <c r="B1652" s="279"/>
      <c r="C1652" s="850"/>
      <c r="D1652" s="282"/>
      <c r="E1652" s="833"/>
    </row>
    <row r="1653" spans="1:5" x14ac:dyDescent="0.35">
      <c r="A1653" s="281"/>
      <c r="B1653" s="279"/>
      <c r="C1653" s="850"/>
      <c r="D1653" s="282"/>
      <c r="E1653" s="833"/>
    </row>
    <row r="1654" spans="1:5" x14ac:dyDescent="0.35">
      <c r="A1654" s="281"/>
      <c r="B1654" s="279"/>
      <c r="C1654" s="850"/>
      <c r="D1654" s="282"/>
      <c r="E1654" s="833"/>
    </row>
    <row r="1655" spans="1:5" x14ac:dyDescent="0.35">
      <c r="A1655" s="281"/>
      <c r="B1655" s="279"/>
      <c r="C1655" s="850"/>
      <c r="D1655" s="282"/>
      <c r="E1655" s="833"/>
    </row>
    <row r="1656" spans="1:5" x14ac:dyDescent="0.35">
      <c r="A1656" s="281"/>
      <c r="B1656" s="279"/>
      <c r="C1656" s="850"/>
      <c r="D1656" s="282"/>
      <c r="E1656" s="833"/>
    </row>
    <row r="1657" spans="1:5" x14ac:dyDescent="0.35">
      <c r="A1657" s="281"/>
      <c r="B1657" s="279"/>
      <c r="C1657" s="850"/>
      <c r="D1657" s="282"/>
      <c r="E1657" s="833"/>
    </row>
    <row r="1658" spans="1:5" x14ac:dyDescent="0.35">
      <c r="A1658" s="281"/>
      <c r="B1658" s="279"/>
      <c r="C1658" s="850"/>
      <c r="D1658" s="282"/>
      <c r="E1658" s="833"/>
    </row>
    <row r="1659" spans="1:5" x14ac:dyDescent="0.35">
      <c r="A1659" s="281"/>
      <c r="B1659" s="279"/>
      <c r="C1659" s="850"/>
      <c r="D1659" s="282"/>
      <c r="E1659" s="833"/>
    </row>
    <row r="1660" spans="1:5" x14ac:dyDescent="0.35">
      <c r="A1660" s="281"/>
      <c r="B1660" s="279"/>
      <c r="C1660" s="850"/>
      <c r="D1660" s="282"/>
      <c r="E1660" s="833"/>
    </row>
    <row r="1661" spans="1:5" x14ac:dyDescent="0.35">
      <c r="A1661" s="281"/>
      <c r="B1661" s="279"/>
      <c r="C1661" s="850"/>
      <c r="D1661" s="282"/>
      <c r="E1661" s="833"/>
    </row>
    <row r="1662" spans="1:5" x14ac:dyDescent="0.35">
      <c r="A1662" s="281"/>
      <c r="B1662" s="279"/>
      <c r="C1662" s="850"/>
      <c r="D1662" s="282"/>
      <c r="E1662" s="833"/>
    </row>
    <row r="1663" spans="1:5" x14ac:dyDescent="0.35">
      <c r="A1663" s="281"/>
      <c r="B1663" s="279"/>
      <c r="C1663" s="850"/>
      <c r="D1663" s="282"/>
      <c r="E1663" s="833"/>
    </row>
    <row r="1664" spans="1:5" x14ac:dyDescent="0.35">
      <c r="A1664" s="281"/>
      <c r="B1664" s="279"/>
      <c r="C1664" s="850"/>
      <c r="D1664" s="282"/>
      <c r="E1664" s="833"/>
    </row>
    <row r="1665" spans="1:5" x14ac:dyDescent="0.35">
      <c r="A1665" s="281"/>
      <c r="B1665" s="279"/>
      <c r="C1665" s="850"/>
      <c r="D1665" s="282"/>
      <c r="E1665" s="833"/>
    </row>
    <row r="1666" spans="1:5" x14ac:dyDescent="0.35">
      <c r="A1666" s="281"/>
      <c r="B1666" s="279"/>
      <c r="C1666" s="850"/>
      <c r="D1666" s="282"/>
      <c r="E1666" s="833"/>
    </row>
    <row r="1667" spans="1:5" x14ac:dyDescent="0.35">
      <c r="A1667" s="281"/>
      <c r="B1667" s="279"/>
      <c r="C1667" s="850"/>
      <c r="D1667" s="282"/>
      <c r="E1667" s="833"/>
    </row>
    <row r="1668" spans="1:5" x14ac:dyDescent="0.35">
      <c r="A1668" s="281"/>
      <c r="B1668" s="279"/>
      <c r="C1668" s="850"/>
      <c r="D1668" s="282"/>
      <c r="E1668" s="833"/>
    </row>
    <row r="1669" spans="1:5" x14ac:dyDescent="0.35">
      <c r="A1669" s="281"/>
      <c r="B1669" s="279"/>
      <c r="C1669" s="850"/>
      <c r="D1669" s="282"/>
      <c r="E1669" s="833"/>
    </row>
    <row r="1670" spans="1:5" x14ac:dyDescent="0.35">
      <c r="A1670" s="281"/>
      <c r="B1670" s="279"/>
      <c r="C1670" s="850"/>
      <c r="D1670" s="282"/>
      <c r="E1670" s="833"/>
    </row>
    <row r="1671" spans="1:5" x14ac:dyDescent="0.35">
      <c r="A1671" s="281"/>
      <c r="B1671" s="279"/>
      <c r="C1671" s="850"/>
      <c r="D1671" s="282"/>
      <c r="E1671" s="833"/>
    </row>
    <row r="1672" spans="1:5" x14ac:dyDescent="0.35">
      <c r="A1672" s="281"/>
      <c r="B1672" s="279"/>
      <c r="C1672" s="850"/>
      <c r="D1672" s="282"/>
      <c r="E1672" s="833"/>
    </row>
    <row r="1673" spans="1:5" x14ac:dyDescent="0.35">
      <c r="A1673" s="281"/>
      <c r="B1673" s="279"/>
      <c r="C1673" s="850"/>
      <c r="D1673" s="282"/>
      <c r="E1673" s="833"/>
    </row>
    <row r="1674" spans="1:5" x14ac:dyDescent="0.35">
      <c r="A1674" s="281"/>
      <c r="B1674" s="279"/>
      <c r="C1674" s="850"/>
      <c r="D1674" s="282"/>
      <c r="E1674" s="833"/>
    </row>
    <row r="1675" spans="1:5" x14ac:dyDescent="0.35">
      <c r="A1675" s="281"/>
      <c r="B1675" s="279"/>
      <c r="C1675" s="850"/>
      <c r="D1675" s="282"/>
      <c r="E1675" s="833"/>
    </row>
    <row r="1676" spans="1:5" x14ac:dyDescent="0.35">
      <c r="A1676" s="281"/>
      <c r="B1676" s="279"/>
      <c r="C1676" s="850"/>
      <c r="D1676" s="282"/>
      <c r="E1676" s="833"/>
    </row>
    <row r="1677" spans="1:5" x14ac:dyDescent="0.35">
      <c r="A1677" s="281"/>
      <c r="B1677" s="279"/>
      <c r="C1677" s="850"/>
      <c r="D1677" s="282"/>
      <c r="E1677" s="833"/>
    </row>
    <row r="1678" spans="1:5" x14ac:dyDescent="0.35">
      <c r="A1678" s="281"/>
      <c r="B1678" s="279"/>
      <c r="C1678" s="850"/>
      <c r="D1678" s="282"/>
      <c r="E1678" s="833"/>
    </row>
    <row r="1679" spans="1:5" x14ac:dyDescent="0.35">
      <c r="A1679" s="281"/>
      <c r="B1679" s="279"/>
      <c r="C1679" s="850"/>
      <c r="D1679" s="282"/>
      <c r="E1679" s="833"/>
    </row>
    <row r="1680" spans="1:5" x14ac:dyDescent="0.35">
      <c r="A1680" s="281"/>
      <c r="B1680" s="279"/>
      <c r="C1680" s="850"/>
      <c r="D1680" s="282"/>
      <c r="E1680" s="833"/>
    </row>
    <row r="1681" spans="1:5" x14ac:dyDescent="0.35">
      <c r="A1681" s="281"/>
      <c r="B1681" s="279"/>
      <c r="C1681" s="850"/>
      <c r="D1681" s="282"/>
      <c r="E1681" s="833"/>
    </row>
    <row r="1682" spans="1:5" x14ac:dyDescent="0.35">
      <c r="A1682" s="281"/>
      <c r="B1682" s="279"/>
      <c r="C1682" s="850"/>
      <c r="D1682" s="282"/>
      <c r="E1682" s="833"/>
    </row>
    <row r="1683" spans="1:5" x14ac:dyDescent="0.35">
      <c r="A1683" s="281"/>
      <c r="B1683" s="279"/>
      <c r="C1683" s="850"/>
      <c r="D1683" s="282"/>
      <c r="E1683" s="833"/>
    </row>
    <row r="1684" spans="1:5" x14ac:dyDescent="0.35">
      <c r="A1684" s="281"/>
      <c r="B1684" s="279"/>
      <c r="C1684" s="850"/>
      <c r="D1684" s="282"/>
      <c r="E1684" s="833"/>
    </row>
    <row r="1685" spans="1:5" x14ac:dyDescent="0.35">
      <c r="A1685" s="281"/>
      <c r="B1685" s="279"/>
      <c r="C1685" s="850"/>
      <c r="D1685" s="282"/>
      <c r="E1685" s="833"/>
    </row>
    <row r="1686" spans="1:5" x14ac:dyDescent="0.35">
      <c r="A1686" s="281"/>
      <c r="B1686" s="279"/>
      <c r="C1686" s="850"/>
      <c r="D1686" s="282"/>
      <c r="E1686" s="833"/>
    </row>
    <row r="1687" spans="1:5" x14ac:dyDescent="0.35">
      <c r="A1687" s="281"/>
      <c r="B1687" s="279"/>
      <c r="C1687" s="850"/>
      <c r="D1687" s="282"/>
      <c r="E1687" s="833"/>
    </row>
    <row r="1688" spans="1:5" x14ac:dyDescent="0.35">
      <c r="A1688" s="281"/>
      <c r="B1688" s="279"/>
      <c r="C1688" s="850"/>
      <c r="D1688" s="282"/>
      <c r="E1688" s="833"/>
    </row>
    <row r="1689" spans="1:5" x14ac:dyDescent="0.35">
      <c r="A1689" s="281"/>
      <c r="B1689" s="279"/>
      <c r="C1689" s="850"/>
      <c r="D1689" s="282"/>
      <c r="E1689" s="833"/>
    </row>
    <row r="1690" spans="1:5" x14ac:dyDescent="0.35">
      <c r="A1690" s="281"/>
      <c r="B1690" s="279"/>
      <c r="C1690" s="850"/>
      <c r="D1690" s="282"/>
      <c r="E1690" s="833"/>
    </row>
    <row r="1691" spans="1:5" x14ac:dyDescent="0.35">
      <c r="A1691" s="281"/>
      <c r="B1691" s="279"/>
      <c r="C1691" s="850"/>
      <c r="D1691" s="282"/>
      <c r="E1691" s="833"/>
    </row>
    <row r="1692" spans="1:5" x14ac:dyDescent="0.35">
      <c r="A1692" s="281"/>
      <c r="B1692" s="279"/>
      <c r="C1692" s="850"/>
      <c r="D1692" s="282"/>
      <c r="E1692" s="833"/>
    </row>
    <row r="1693" spans="1:5" x14ac:dyDescent="0.35">
      <c r="A1693" s="281"/>
      <c r="B1693" s="279"/>
      <c r="C1693" s="850"/>
      <c r="D1693" s="282"/>
      <c r="E1693" s="833"/>
    </row>
    <row r="1694" spans="1:5" x14ac:dyDescent="0.35">
      <c r="A1694" s="281"/>
      <c r="B1694" s="279"/>
      <c r="C1694" s="850"/>
      <c r="D1694" s="282"/>
      <c r="E1694" s="833"/>
    </row>
    <row r="1695" spans="1:5" x14ac:dyDescent="0.35">
      <c r="A1695" s="281"/>
      <c r="B1695" s="279"/>
      <c r="C1695" s="850"/>
      <c r="D1695" s="282"/>
      <c r="E1695" s="833"/>
    </row>
    <row r="1696" spans="1:5" x14ac:dyDescent="0.35">
      <c r="A1696" s="281"/>
      <c r="B1696" s="279"/>
      <c r="C1696" s="850"/>
      <c r="D1696" s="282"/>
      <c r="E1696" s="833"/>
    </row>
    <row r="1697" spans="1:5" x14ac:dyDescent="0.35">
      <c r="A1697" s="281"/>
      <c r="B1697" s="279"/>
      <c r="C1697" s="850"/>
      <c r="D1697" s="282"/>
      <c r="E1697" s="833"/>
    </row>
    <row r="1698" spans="1:5" x14ac:dyDescent="0.35">
      <c r="A1698" s="281"/>
      <c r="B1698" s="279"/>
      <c r="C1698" s="850"/>
      <c r="D1698" s="282"/>
      <c r="E1698" s="833"/>
    </row>
    <row r="1699" spans="1:5" x14ac:dyDescent="0.35">
      <c r="A1699" s="281"/>
      <c r="B1699" s="279"/>
      <c r="C1699" s="850"/>
      <c r="D1699" s="282"/>
      <c r="E1699" s="833"/>
    </row>
    <row r="1700" spans="1:5" x14ac:dyDescent="0.35">
      <c r="A1700" s="281"/>
      <c r="B1700" s="279"/>
      <c r="C1700" s="850"/>
      <c r="D1700" s="282"/>
      <c r="E1700" s="833"/>
    </row>
    <row r="1701" spans="1:5" x14ac:dyDescent="0.35">
      <c r="A1701" s="281"/>
      <c r="B1701" s="279"/>
      <c r="C1701" s="850"/>
      <c r="D1701" s="282"/>
      <c r="E1701" s="833"/>
    </row>
    <row r="1702" spans="1:5" x14ac:dyDescent="0.35">
      <c r="A1702" s="281"/>
      <c r="B1702" s="279"/>
      <c r="C1702" s="850"/>
      <c r="D1702" s="282"/>
      <c r="E1702" s="833"/>
    </row>
    <row r="1703" spans="1:5" x14ac:dyDescent="0.35">
      <c r="A1703" s="281"/>
      <c r="B1703" s="279"/>
      <c r="C1703" s="850"/>
      <c r="D1703" s="282"/>
      <c r="E1703" s="833"/>
    </row>
    <row r="1704" spans="1:5" x14ac:dyDescent="0.35">
      <c r="A1704" s="281"/>
      <c r="B1704" s="279"/>
      <c r="C1704" s="850"/>
      <c r="D1704" s="282"/>
      <c r="E1704" s="833"/>
    </row>
    <row r="1705" spans="1:5" x14ac:dyDescent="0.35">
      <c r="A1705" s="281"/>
      <c r="B1705" s="279"/>
      <c r="C1705" s="850"/>
      <c r="D1705" s="282"/>
      <c r="E1705" s="833"/>
    </row>
    <row r="1706" spans="1:5" x14ac:dyDescent="0.35">
      <c r="A1706" s="281"/>
      <c r="B1706" s="279"/>
      <c r="C1706" s="850"/>
      <c r="D1706" s="282"/>
      <c r="E1706" s="833"/>
    </row>
    <row r="1707" spans="1:5" x14ac:dyDescent="0.35">
      <c r="A1707" s="281"/>
      <c r="B1707" s="279"/>
      <c r="C1707" s="850"/>
      <c r="D1707" s="282"/>
      <c r="E1707" s="833"/>
    </row>
    <row r="1708" spans="1:5" x14ac:dyDescent="0.35">
      <c r="A1708" s="281"/>
      <c r="B1708" s="279"/>
      <c r="C1708" s="850"/>
      <c r="D1708" s="282"/>
      <c r="E1708" s="833"/>
    </row>
    <row r="1709" spans="1:5" x14ac:dyDescent="0.35">
      <c r="A1709" s="281"/>
      <c r="B1709" s="279"/>
      <c r="C1709" s="850"/>
      <c r="D1709" s="282"/>
      <c r="E1709" s="833"/>
    </row>
    <row r="1710" spans="1:5" x14ac:dyDescent="0.35">
      <c r="A1710" s="281"/>
      <c r="B1710" s="279"/>
      <c r="C1710" s="850"/>
      <c r="D1710" s="282"/>
      <c r="E1710" s="833"/>
    </row>
    <row r="1711" spans="1:5" x14ac:dyDescent="0.35">
      <c r="A1711" s="281"/>
      <c r="B1711" s="279"/>
      <c r="C1711" s="850"/>
      <c r="D1711" s="282"/>
      <c r="E1711" s="833"/>
    </row>
    <row r="1712" spans="1:5" x14ac:dyDescent="0.35">
      <c r="A1712" s="281"/>
      <c r="B1712" s="279"/>
      <c r="C1712" s="850"/>
      <c r="D1712" s="282"/>
      <c r="E1712" s="833"/>
    </row>
    <row r="1713" spans="1:5" x14ac:dyDescent="0.35">
      <c r="A1713" s="281"/>
      <c r="B1713" s="279"/>
      <c r="C1713" s="850"/>
      <c r="D1713" s="282"/>
      <c r="E1713" s="833"/>
    </row>
    <row r="1714" spans="1:5" x14ac:dyDescent="0.35">
      <c r="A1714" s="281"/>
      <c r="B1714" s="279"/>
      <c r="C1714" s="850"/>
      <c r="D1714" s="282"/>
      <c r="E1714" s="833"/>
    </row>
    <row r="1715" spans="1:5" x14ac:dyDescent="0.35">
      <c r="A1715" s="281"/>
      <c r="B1715" s="279"/>
      <c r="C1715" s="850"/>
      <c r="D1715" s="282"/>
      <c r="E1715" s="833"/>
    </row>
    <row r="1716" spans="1:5" x14ac:dyDescent="0.35">
      <c r="A1716" s="281"/>
      <c r="B1716" s="279"/>
      <c r="C1716" s="850"/>
      <c r="D1716" s="282"/>
      <c r="E1716" s="833"/>
    </row>
    <row r="1717" spans="1:5" x14ac:dyDescent="0.35">
      <c r="A1717" s="281"/>
      <c r="B1717" s="279"/>
      <c r="C1717" s="850"/>
      <c r="D1717" s="282"/>
      <c r="E1717" s="833"/>
    </row>
    <row r="1718" spans="1:5" x14ac:dyDescent="0.35">
      <c r="A1718" s="281"/>
      <c r="B1718" s="279"/>
      <c r="C1718" s="850"/>
      <c r="D1718" s="282"/>
      <c r="E1718" s="833"/>
    </row>
    <row r="1719" spans="1:5" x14ac:dyDescent="0.35">
      <c r="A1719" s="281"/>
      <c r="B1719" s="279"/>
      <c r="C1719" s="850"/>
      <c r="D1719" s="282"/>
      <c r="E1719" s="833"/>
    </row>
    <row r="1720" spans="1:5" x14ac:dyDescent="0.35">
      <c r="A1720" s="281"/>
      <c r="B1720" s="279"/>
      <c r="C1720" s="850"/>
      <c r="D1720" s="282"/>
      <c r="E1720" s="833"/>
    </row>
    <row r="1721" spans="1:5" x14ac:dyDescent="0.35">
      <c r="A1721" s="281"/>
      <c r="B1721" s="279"/>
      <c r="C1721" s="850"/>
      <c r="D1721" s="282"/>
      <c r="E1721" s="833"/>
    </row>
    <row r="1722" spans="1:5" x14ac:dyDescent="0.35">
      <c r="A1722" s="281"/>
      <c r="B1722" s="279"/>
      <c r="C1722" s="850"/>
      <c r="D1722" s="282"/>
      <c r="E1722" s="833"/>
    </row>
    <row r="1723" spans="1:5" x14ac:dyDescent="0.35">
      <c r="A1723" s="281"/>
      <c r="B1723" s="279"/>
      <c r="C1723" s="850"/>
      <c r="D1723" s="282"/>
      <c r="E1723" s="833"/>
    </row>
    <row r="1724" spans="1:5" x14ac:dyDescent="0.35">
      <c r="A1724" s="281"/>
      <c r="B1724" s="279"/>
      <c r="C1724" s="850"/>
      <c r="D1724" s="282"/>
      <c r="E1724" s="833"/>
    </row>
    <row r="1725" spans="1:5" x14ac:dyDescent="0.35">
      <c r="A1725" s="281"/>
      <c r="B1725" s="279"/>
      <c r="C1725" s="850"/>
      <c r="D1725" s="282"/>
      <c r="E1725" s="833"/>
    </row>
    <row r="1726" spans="1:5" x14ac:dyDescent="0.35">
      <c r="A1726" s="281"/>
      <c r="B1726" s="279"/>
      <c r="C1726" s="850"/>
      <c r="D1726" s="282"/>
      <c r="E1726" s="833"/>
    </row>
    <row r="1727" spans="1:5" x14ac:dyDescent="0.35">
      <c r="A1727" s="281"/>
      <c r="B1727" s="279"/>
      <c r="C1727" s="850"/>
      <c r="D1727" s="282"/>
      <c r="E1727" s="833"/>
    </row>
    <row r="1728" spans="1:5" x14ac:dyDescent="0.35">
      <c r="A1728" s="281"/>
      <c r="B1728" s="279"/>
      <c r="C1728" s="850"/>
      <c r="D1728" s="282"/>
      <c r="E1728" s="833"/>
    </row>
    <row r="1729" spans="1:5" x14ac:dyDescent="0.35">
      <c r="A1729" s="281"/>
      <c r="B1729" s="279"/>
      <c r="C1729" s="850"/>
      <c r="D1729" s="282"/>
      <c r="E1729" s="833"/>
    </row>
    <row r="1730" spans="1:5" x14ac:dyDescent="0.35">
      <c r="A1730" s="281"/>
      <c r="B1730" s="279"/>
      <c r="C1730" s="850"/>
      <c r="D1730" s="282"/>
      <c r="E1730" s="833"/>
    </row>
    <row r="1731" spans="1:5" x14ac:dyDescent="0.35">
      <c r="A1731" s="281"/>
      <c r="B1731" s="279"/>
      <c r="C1731" s="850"/>
      <c r="D1731" s="282"/>
      <c r="E1731" s="833"/>
    </row>
    <row r="1732" spans="1:5" x14ac:dyDescent="0.35">
      <c r="A1732" s="281"/>
      <c r="B1732" s="279"/>
      <c r="C1732" s="850"/>
      <c r="D1732" s="282"/>
      <c r="E1732" s="833"/>
    </row>
    <row r="1733" spans="1:5" x14ac:dyDescent="0.35">
      <c r="A1733" s="281"/>
      <c r="B1733" s="279"/>
      <c r="C1733" s="850"/>
      <c r="D1733" s="282"/>
      <c r="E1733" s="833"/>
    </row>
    <row r="1734" spans="1:5" x14ac:dyDescent="0.35">
      <c r="A1734" s="281"/>
      <c r="B1734" s="279"/>
      <c r="C1734" s="850"/>
      <c r="D1734" s="282"/>
      <c r="E1734" s="833"/>
    </row>
    <row r="1735" spans="1:5" x14ac:dyDescent="0.35">
      <c r="A1735" s="281"/>
      <c r="B1735" s="279"/>
      <c r="C1735" s="850"/>
      <c r="D1735" s="282"/>
      <c r="E1735" s="833"/>
    </row>
    <row r="1736" spans="1:5" x14ac:dyDescent="0.35">
      <c r="A1736" s="281"/>
      <c r="B1736" s="279"/>
      <c r="C1736" s="850"/>
      <c r="D1736" s="282"/>
      <c r="E1736" s="833"/>
    </row>
    <row r="1737" spans="1:5" x14ac:dyDescent="0.35">
      <c r="A1737" s="281"/>
      <c r="B1737" s="279"/>
      <c r="C1737" s="850"/>
      <c r="D1737" s="282"/>
      <c r="E1737" s="833"/>
    </row>
    <row r="1738" spans="1:5" x14ac:dyDescent="0.35">
      <c r="A1738" s="281"/>
      <c r="B1738" s="279"/>
      <c r="C1738" s="850"/>
      <c r="D1738" s="282"/>
      <c r="E1738" s="833"/>
    </row>
    <row r="1739" spans="1:5" x14ac:dyDescent="0.35">
      <c r="A1739" s="281"/>
      <c r="B1739" s="279"/>
      <c r="C1739" s="850"/>
      <c r="D1739" s="282"/>
      <c r="E1739" s="833"/>
    </row>
    <row r="1740" spans="1:5" x14ac:dyDescent="0.35">
      <c r="A1740" s="281"/>
      <c r="B1740" s="279"/>
      <c r="C1740" s="850"/>
      <c r="D1740" s="282"/>
      <c r="E1740" s="833"/>
    </row>
    <row r="1741" spans="1:5" x14ac:dyDescent="0.35">
      <c r="A1741" s="281"/>
      <c r="B1741" s="279"/>
      <c r="C1741" s="850"/>
      <c r="D1741" s="282"/>
      <c r="E1741" s="833"/>
    </row>
    <row r="1742" spans="1:5" x14ac:dyDescent="0.35">
      <c r="A1742" s="281"/>
      <c r="B1742" s="279"/>
      <c r="C1742" s="850"/>
      <c r="D1742" s="282"/>
      <c r="E1742" s="833"/>
    </row>
    <row r="1743" spans="1:5" x14ac:dyDescent="0.35">
      <c r="A1743" s="281"/>
      <c r="B1743" s="279"/>
      <c r="C1743" s="850"/>
      <c r="D1743" s="282"/>
      <c r="E1743" s="833"/>
    </row>
    <row r="1744" spans="1:5" x14ac:dyDescent="0.35">
      <c r="A1744" s="281"/>
      <c r="B1744" s="279"/>
      <c r="C1744" s="850"/>
      <c r="D1744" s="282"/>
      <c r="E1744" s="833"/>
    </row>
    <row r="1745" spans="1:5" x14ac:dyDescent="0.35">
      <c r="A1745" s="281"/>
      <c r="B1745" s="279"/>
      <c r="C1745" s="850"/>
      <c r="D1745" s="282"/>
      <c r="E1745" s="833"/>
    </row>
    <row r="1746" spans="1:5" x14ac:dyDescent="0.35">
      <c r="A1746" s="281"/>
      <c r="B1746" s="279"/>
      <c r="C1746" s="850"/>
      <c r="D1746" s="282"/>
      <c r="E1746" s="833"/>
    </row>
    <row r="1747" spans="1:5" x14ac:dyDescent="0.35">
      <c r="A1747" s="281"/>
      <c r="B1747" s="279"/>
      <c r="C1747" s="850"/>
      <c r="D1747" s="282"/>
      <c r="E1747" s="833"/>
    </row>
    <row r="1748" spans="1:5" x14ac:dyDescent="0.35">
      <c r="A1748" s="281"/>
      <c r="B1748" s="279"/>
      <c r="C1748" s="850"/>
      <c r="D1748" s="282"/>
      <c r="E1748" s="833"/>
    </row>
    <row r="1749" spans="1:5" x14ac:dyDescent="0.35">
      <c r="A1749" s="281"/>
      <c r="B1749" s="279"/>
      <c r="C1749" s="850"/>
      <c r="D1749" s="282"/>
      <c r="E1749" s="833"/>
    </row>
    <row r="1750" spans="1:5" x14ac:dyDescent="0.35">
      <c r="A1750" s="281"/>
      <c r="B1750" s="279"/>
      <c r="C1750" s="850"/>
      <c r="D1750" s="282"/>
      <c r="E1750" s="833"/>
    </row>
    <row r="1751" spans="1:5" x14ac:dyDescent="0.35">
      <c r="A1751" s="281"/>
      <c r="B1751" s="279"/>
      <c r="C1751" s="850"/>
      <c r="D1751" s="282"/>
      <c r="E1751" s="833"/>
    </row>
    <row r="1752" spans="1:5" x14ac:dyDescent="0.35">
      <c r="A1752" s="281"/>
      <c r="B1752" s="279"/>
      <c r="C1752" s="850"/>
      <c r="D1752" s="282"/>
      <c r="E1752" s="833"/>
    </row>
    <row r="1753" spans="1:5" x14ac:dyDescent="0.35">
      <c r="A1753" s="281"/>
      <c r="B1753" s="279"/>
      <c r="C1753" s="850"/>
      <c r="D1753" s="282"/>
      <c r="E1753" s="833"/>
    </row>
    <row r="1754" spans="1:5" x14ac:dyDescent="0.35">
      <c r="A1754" s="281"/>
      <c r="B1754" s="279"/>
      <c r="C1754" s="850"/>
      <c r="D1754" s="282"/>
      <c r="E1754" s="833"/>
    </row>
    <row r="1755" spans="1:5" x14ac:dyDescent="0.35">
      <c r="A1755" s="281"/>
      <c r="B1755" s="279"/>
      <c r="C1755" s="850"/>
      <c r="D1755" s="282"/>
      <c r="E1755" s="833"/>
    </row>
    <row r="1756" spans="1:5" x14ac:dyDescent="0.35">
      <c r="A1756" s="281"/>
      <c r="B1756" s="279"/>
      <c r="C1756" s="850"/>
      <c r="D1756" s="282"/>
      <c r="E1756" s="833"/>
    </row>
    <row r="1757" spans="1:5" x14ac:dyDescent="0.35">
      <c r="A1757" s="281"/>
      <c r="B1757" s="279"/>
      <c r="C1757" s="850"/>
      <c r="D1757" s="282"/>
      <c r="E1757" s="833"/>
    </row>
    <row r="1758" spans="1:5" x14ac:dyDescent="0.35">
      <c r="A1758" s="281"/>
      <c r="B1758" s="279"/>
      <c r="C1758" s="850"/>
      <c r="D1758" s="282"/>
      <c r="E1758" s="833"/>
    </row>
    <row r="1759" spans="1:5" x14ac:dyDescent="0.35">
      <c r="A1759" s="281"/>
      <c r="B1759" s="279"/>
      <c r="C1759" s="850"/>
      <c r="D1759" s="282"/>
      <c r="E1759" s="833"/>
    </row>
    <row r="1760" spans="1:5" x14ac:dyDescent="0.35">
      <c r="A1760" s="281"/>
      <c r="B1760" s="279"/>
      <c r="C1760" s="850"/>
      <c r="D1760" s="282"/>
      <c r="E1760" s="833"/>
    </row>
    <row r="1761" spans="1:5" x14ac:dyDescent="0.35">
      <c r="A1761" s="281"/>
      <c r="B1761" s="279"/>
      <c r="C1761" s="850"/>
      <c r="D1761" s="282"/>
      <c r="E1761" s="833"/>
    </row>
    <row r="1762" spans="1:5" x14ac:dyDescent="0.35">
      <c r="A1762" s="281"/>
      <c r="B1762" s="279"/>
      <c r="C1762" s="850"/>
      <c r="D1762" s="282"/>
      <c r="E1762" s="833"/>
    </row>
    <row r="1763" spans="1:5" x14ac:dyDescent="0.35">
      <c r="A1763" s="281"/>
      <c r="B1763" s="279"/>
      <c r="C1763" s="850"/>
      <c r="D1763" s="282"/>
      <c r="E1763" s="833"/>
    </row>
    <row r="1764" spans="1:5" x14ac:dyDescent="0.35">
      <c r="A1764" s="281"/>
      <c r="B1764" s="279"/>
      <c r="C1764" s="850"/>
      <c r="D1764" s="282"/>
      <c r="E1764" s="833"/>
    </row>
    <row r="1765" spans="1:5" x14ac:dyDescent="0.35">
      <c r="A1765" s="281"/>
      <c r="B1765" s="279"/>
      <c r="C1765" s="850"/>
      <c r="D1765" s="282"/>
      <c r="E1765" s="833"/>
    </row>
    <row r="1766" spans="1:5" x14ac:dyDescent="0.35">
      <c r="A1766" s="281"/>
      <c r="B1766" s="279"/>
      <c r="C1766" s="850"/>
      <c r="D1766" s="282"/>
      <c r="E1766" s="833"/>
    </row>
    <row r="1767" spans="1:5" x14ac:dyDescent="0.35">
      <c r="A1767" s="281"/>
      <c r="B1767" s="279"/>
      <c r="C1767" s="850"/>
      <c r="D1767" s="282"/>
      <c r="E1767" s="833"/>
    </row>
    <row r="1768" spans="1:5" x14ac:dyDescent="0.35">
      <c r="A1768" s="281"/>
      <c r="B1768" s="279"/>
      <c r="C1768" s="850"/>
      <c r="D1768" s="282"/>
      <c r="E1768" s="833"/>
    </row>
    <row r="1769" spans="1:5" x14ac:dyDescent="0.35">
      <c r="A1769" s="281"/>
      <c r="B1769" s="279"/>
      <c r="C1769" s="850"/>
      <c r="D1769" s="282"/>
      <c r="E1769" s="833"/>
    </row>
    <row r="1770" spans="1:5" x14ac:dyDescent="0.35">
      <c r="A1770" s="281"/>
      <c r="B1770" s="279"/>
      <c r="C1770" s="850"/>
      <c r="D1770" s="282"/>
      <c r="E1770" s="833"/>
    </row>
    <row r="1771" spans="1:5" x14ac:dyDescent="0.35">
      <c r="A1771" s="281"/>
      <c r="B1771" s="279"/>
      <c r="C1771" s="850"/>
      <c r="D1771" s="282"/>
      <c r="E1771" s="833"/>
    </row>
    <row r="1772" spans="1:5" x14ac:dyDescent="0.35">
      <c r="A1772" s="281"/>
      <c r="B1772" s="279"/>
      <c r="C1772" s="850"/>
      <c r="D1772" s="282"/>
      <c r="E1772" s="833"/>
    </row>
    <row r="1773" spans="1:5" x14ac:dyDescent="0.35">
      <c r="A1773" s="281"/>
      <c r="B1773" s="279"/>
      <c r="C1773" s="850"/>
      <c r="D1773" s="282"/>
      <c r="E1773" s="833"/>
    </row>
    <row r="1774" spans="1:5" x14ac:dyDescent="0.35">
      <c r="A1774" s="281"/>
      <c r="B1774" s="279"/>
      <c r="C1774" s="850"/>
      <c r="D1774" s="282"/>
      <c r="E1774" s="833"/>
    </row>
    <row r="1775" spans="1:5" x14ac:dyDescent="0.35">
      <c r="A1775" s="281"/>
      <c r="B1775" s="279"/>
      <c r="C1775" s="850"/>
      <c r="D1775" s="282"/>
      <c r="E1775" s="833"/>
    </row>
    <row r="1776" spans="1:5" x14ac:dyDescent="0.35">
      <c r="A1776" s="281"/>
      <c r="B1776" s="279"/>
      <c r="C1776" s="850"/>
      <c r="D1776" s="282"/>
      <c r="E1776" s="833"/>
    </row>
    <row r="1777" spans="1:5" x14ac:dyDescent="0.35">
      <c r="A1777" s="281"/>
      <c r="B1777" s="279"/>
      <c r="C1777" s="850"/>
      <c r="D1777" s="282"/>
      <c r="E1777" s="833"/>
    </row>
    <row r="1778" spans="1:5" x14ac:dyDescent="0.35">
      <c r="A1778" s="281"/>
      <c r="B1778" s="279"/>
      <c r="C1778" s="850"/>
      <c r="D1778" s="282"/>
      <c r="E1778" s="833"/>
    </row>
    <row r="1779" spans="1:5" x14ac:dyDescent="0.35">
      <c r="A1779" s="281"/>
      <c r="B1779" s="279"/>
      <c r="C1779" s="850"/>
      <c r="D1779" s="282"/>
      <c r="E1779" s="833"/>
    </row>
    <row r="1780" spans="1:5" x14ac:dyDescent="0.35">
      <c r="A1780" s="281"/>
      <c r="B1780" s="279"/>
      <c r="C1780" s="850"/>
      <c r="D1780" s="282"/>
      <c r="E1780" s="833"/>
    </row>
    <row r="1781" spans="1:5" x14ac:dyDescent="0.35">
      <c r="A1781" s="281"/>
      <c r="B1781" s="279"/>
      <c r="C1781" s="850"/>
      <c r="D1781" s="282"/>
      <c r="E1781" s="833"/>
    </row>
    <row r="1782" spans="1:5" x14ac:dyDescent="0.35">
      <c r="A1782" s="281"/>
      <c r="B1782" s="279"/>
      <c r="C1782" s="850"/>
      <c r="D1782" s="282"/>
      <c r="E1782" s="833"/>
    </row>
    <row r="1783" spans="1:5" x14ac:dyDescent="0.35">
      <c r="A1783" s="281"/>
      <c r="B1783" s="279"/>
      <c r="C1783" s="850"/>
      <c r="D1783" s="282"/>
      <c r="E1783" s="833"/>
    </row>
    <row r="1784" spans="1:5" x14ac:dyDescent="0.35">
      <c r="A1784" s="281"/>
      <c r="B1784" s="279"/>
      <c r="C1784" s="850"/>
      <c r="D1784" s="282"/>
      <c r="E1784" s="833"/>
    </row>
    <row r="1785" spans="1:5" x14ac:dyDescent="0.35">
      <c r="A1785" s="281"/>
      <c r="B1785" s="279"/>
      <c r="C1785" s="850"/>
      <c r="D1785" s="282"/>
      <c r="E1785" s="833"/>
    </row>
    <row r="1786" spans="1:5" x14ac:dyDescent="0.35">
      <c r="A1786" s="281"/>
      <c r="B1786" s="279"/>
      <c r="C1786" s="850"/>
      <c r="D1786" s="282"/>
      <c r="E1786" s="833"/>
    </row>
    <row r="1787" spans="1:5" x14ac:dyDescent="0.35">
      <c r="A1787" s="281"/>
      <c r="B1787" s="279"/>
      <c r="C1787" s="850"/>
      <c r="D1787" s="282"/>
      <c r="E1787" s="833"/>
    </row>
    <row r="1788" spans="1:5" x14ac:dyDescent="0.35">
      <c r="A1788" s="281"/>
      <c r="B1788" s="279"/>
      <c r="C1788" s="850"/>
      <c r="D1788" s="282"/>
      <c r="E1788" s="833"/>
    </row>
    <row r="1789" spans="1:5" x14ac:dyDescent="0.35">
      <c r="A1789" s="281"/>
      <c r="B1789" s="279"/>
      <c r="C1789" s="850"/>
      <c r="D1789" s="282"/>
      <c r="E1789" s="833"/>
    </row>
    <row r="1790" spans="1:5" x14ac:dyDescent="0.35">
      <c r="A1790" s="281"/>
      <c r="B1790" s="279"/>
      <c r="C1790" s="850"/>
      <c r="D1790" s="282"/>
      <c r="E1790" s="833"/>
    </row>
    <row r="1791" spans="1:5" x14ac:dyDescent="0.35">
      <c r="A1791" s="281"/>
      <c r="B1791" s="279"/>
      <c r="C1791" s="850"/>
      <c r="D1791" s="282"/>
      <c r="E1791" s="833"/>
    </row>
    <row r="1792" spans="1:5" x14ac:dyDescent="0.35">
      <c r="A1792" s="281"/>
      <c r="B1792" s="279"/>
      <c r="C1792" s="850"/>
      <c r="D1792" s="282"/>
      <c r="E1792" s="833"/>
    </row>
    <row r="1793" spans="1:5" x14ac:dyDescent="0.35">
      <c r="A1793" s="281"/>
      <c r="B1793" s="279"/>
      <c r="C1793" s="850"/>
      <c r="D1793" s="282"/>
      <c r="E1793" s="833"/>
    </row>
    <row r="1794" spans="1:5" x14ac:dyDescent="0.35">
      <c r="A1794" s="281"/>
      <c r="B1794" s="279"/>
      <c r="C1794" s="850"/>
      <c r="D1794" s="282"/>
      <c r="E1794" s="833"/>
    </row>
    <row r="1795" spans="1:5" x14ac:dyDescent="0.35">
      <c r="A1795" s="281"/>
      <c r="B1795" s="279"/>
      <c r="C1795" s="850"/>
      <c r="D1795" s="282"/>
      <c r="E1795" s="833"/>
    </row>
    <row r="1796" spans="1:5" x14ac:dyDescent="0.35">
      <c r="A1796" s="281"/>
      <c r="B1796" s="279"/>
      <c r="C1796" s="850"/>
      <c r="D1796" s="282"/>
      <c r="E1796" s="833"/>
    </row>
    <row r="1797" spans="1:5" x14ac:dyDescent="0.35">
      <c r="A1797" s="281"/>
      <c r="B1797" s="279"/>
      <c r="C1797" s="850"/>
      <c r="D1797" s="282"/>
      <c r="E1797" s="833"/>
    </row>
    <row r="1798" spans="1:5" x14ac:dyDescent="0.35">
      <c r="A1798" s="281"/>
      <c r="B1798" s="279"/>
      <c r="C1798" s="850"/>
      <c r="D1798" s="282"/>
      <c r="E1798" s="833"/>
    </row>
    <row r="1799" spans="1:5" x14ac:dyDescent="0.35">
      <c r="A1799" s="281"/>
      <c r="B1799" s="279"/>
      <c r="C1799" s="850"/>
      <c r="D1799" s="282"/>
      <c r="E1799" s="833"/>
    </row>
    <row r="1800" spans="1:5" x14ac:dyDescent="0.35">
      <c r="A1800" s="281"/>
      <c r="B1800" s="279"/>
      <c r="C1800" s="850"/>
      <c r="D1800" s="282"/>
      <c r="E1800" s="833"/>
    </row>
    <row r="1801" spans="1:5" x14ac:dyDescent="0.35">
      <c r="A1801" s="281"/>
      <c r="B1801" s="279"/>
      <c r="C1801" s="850"/>
      <c r="D1801" s="282"/>
      <c r="E1801" s="833"/>
    </row>
    <row r="1802" spans="1:5" x14ac:dyDescent="0.35">
      <c r="A1802" s="281"/>
      <c r="B1802" s="279"/>
      <c r="C1802" s="850"/>
      <c r="D1802" s="282"/>
      <c r="E1802" s="833"/>
    </row>
    <row r="1803" spans="1:5" x14ac:dyDescent="0.35">
      <c r="A1803" s="281"/>
      <c r="B1803" s="279"/>
      <c r="C1803" s="850"/>
      <c r="D1803" s="282"/>
      <c r="E1803" s="833"/>
    </row>
    <row r="1804" spans="1:5" x14ac:dyDescent="0.35">
      <c r="A1804" s="281"/>
      <c r="B1804" s="279"/>
      <c r="C1804" s="850"/>
      <c r="D1804" s="282"/>
      <c r="E1804" s="833"/>
    </row>
    <row r="1805" spans="1:5" x14ac:dyDescent="0.35">
      <c r="A1805" s="281"/>
      <c r="B1805" s="279"/>
      <c r="C1805" s="850"/>
      <c r="D1805" s="282"/>
      <c r="E1805" s="833"/>
    </row>
    <row r="1806" spans="1:5" x14ac:dyDescent="0.35">
      <c r="A1806" s="281"/>
      <c r="B1806" s="279"/>
      <c r="C1806" s="850"/>
      <c r="D1806" s="282"/>
      <c r="E1806" s="833"/>
    </row>
    <row r="1807" spans="1:5" x14ac:dyDescent="0.35">
      <c r="A1807" s="281"/>
      <c r="B1807" s="279"/>
      <c r="C1807" s="850"/>
      <c r="D1807" s="282"/>
      <c r="E1807" s="833"/>
    </row>
    <row r="1808" spans="1:5" x14ac:dyDescent="0.35">
      <c r="A1808" s="281"/>
      <c r="B1808" s="279"/>
      <c r="C1808" s="850"/>
      <c r="D1808" s="282"/>
      <c r="E1808" s="833"/>
    </row>
    <row r="1809" spans="1:5" x14ac:dyDescent="0.35">
      <c r="A1809" s="281"/>
      <c r="B1809" s="279"/>
      <c r="C1809" s="850"/>
      <c r="D1809" s="282"/>
      <c r="E1809" s="833"/>
    </row>
    <row r="1810" spans="1:5" x14ac:dyDescent="0.35">
      <c r="A1810" s="281"/>
      <c r="B1810" s="279"/>
      <c r="C1810" s="850"/>
      <c r="D1810" s="282"/>
      <c r="E1810" s="833"/>
    </row>
    <row r="1811" spans="1:5" x14ac:dyDescent="0.35">
      <c r="A1811" s="281"/>
      <c r="B1811" s="279"/>
      <c r="C1811" s="850"/>
      <c r="D1811" s="282"/>
      <c r="E1811" s="833"/>
    </row>
    <row r="1812" spans="1:5" x14ac:dyDescent="0.35">
      <c r="A1812" s="281"/>
      <c r="B1812" s="279"/>
      <c r="C1812" s="850"/>
      <c r="D1812" s="282"/>
      <c r="E1812" s="833"/>
    </row>
    <row r="1813" spans="1:5" x14ac:dyDescent="0.35">
      <c r="A1813" s="281"/>
      <c r="B1813" s="279"/>
      <c r="C1813" s="850"/>
      <c r="D1813" s="282"/>
      <c r="E1813" s="833"/>
    </row>
    <row r="1814" spans="1:5" x14ac:dyDescent="0.35">
      <c r="A1814" s="281"/>
      <c r="B1814" s="279"/>
      <c r="C1814" s="850"/>
      <c r="D1814" s="282"/>
      <c r="E1814" s="833"/>
    </row>
    <row r="1815" spans="1:5" x14ac:dyDescent="0.35">
      <c r="A1815" s="281"/>
      <c r="B1815" s="279"/>
      <c r="C1815" s="850"/>
      <c r="D1815" s="282"/>
      <c r="E1815" s="833"/>
    </row>
    <row r="1816" spans="1:5" x14ac:dyDescent="0.35">
      <c r="A1816" s="281"/>
      <c r="B1816" s="279"/>
      <c r="C1816" s="850"/>
      <c r="D1816" s="282"/>
      <c r="E1816" s="833"/>
    </row>
    <row r="1817" spans="1:5" x14ac:dyDescent="0.35">
      <c r="A1817" s="281"/>
      <c r="B1817" s="279"/>
      <c r="C1817" s="850"/>
      <c r="D1817" s="282"/>
      <c r="E1817" s="833"/>
    </row>
    <row r="1818" spans="1:5" x14ac:dyDescent="0.35">
      <c r="A1818" s="281"/>
      <c r="B1818" s="279"/>
      <c r="C1818" s="850"/>
      <c r="D1818" s="282"/>
      <c r="E1818" s="833"/>
    </row>
    <row r="1819" spans="1:5" x14ac:dyDescent="0.35">
      <c r="A1819" s="281"/>
      <c r="B1819" s="279"/>
      <c r="C1819" s="850"/>
      <c r="D1819" s="282"/>
      <c r="E1819" s="833"/>
    </row>
    <row r="1820" spans="1:5" x14ac:dyDescent="0.35">
      <c r="A1820" s="281"/>
      <c r="B1820" s="279"/>
      <c r="C1820" s="850"/>
      <c r="D1820" s="282"/>
      <c r="E1820" s="833"/>
    </row>
    <row r="1821" spans="1:5" x14ac:dyDescent="0.35">
      <c r="A1821" s="281"/>
      <c r="B1821" s="279"/>
      <c r="C1821" s="850"/>
      <c r="D1821" s="282"/>
      <c r="E1821" s="833"/>
    </row>
    <row r="1822" spans="1:5" x14ac:dyDescent="0.35">
      <c r="A1822" s="281"/>
      <c r="B1822" s="279"/>
      <c r="C1822" s="850"/>
      <c r="D1822" s="282"/>
      <c r="E1822" s="833"/>
    </row>
    <row r="1823" spans="1:5" x14ac:dyDescent="0.35">
      <c r="A1823" s="281"/>
      <c r="B1823" s="279"/>
      <c r="C1823" s="850"/>
      <c r="D1823" s="282"/>
      <c r="E1823" s="833"/>
    </row>
    <row r="1824" spans="1:5" x14ac:dyDescent="0.35">
      <c r="A1824" s="281"/>
      <c r="B1824" s="279"/>
      <c r="C1824" s="850"/>
      <c r="D1824" s="282"/>
      <c r="E1824" s="833"/>
    </row>
    <row r="1825" spans="1:5" x14ac:dyDescent="0.35">
      <c r="A1825" s="281"/>
      <c r="B1825" s="279"/>
      <c r="C1825" s="850"/>
      <c r="D1825" s="282"/>
      <c r="E1825" s="833"/>
    </row>
    <row r="1826" spans="1:5" x14ac:dyDescent="0.35">
      <c r="A1826" s="281"/>
      <c r="B1826" s="279"/>
      <c r="C1826" s="850"/>
      <c r="D1826" s="282"/>
      <c r="E1826" s="833"/>
    </row>
    <row r="1827" spans="1:5" x14ac:dyDescent="0.35">
      <c r="A1827" s="281"/>
      <c r="B1827" s="279"/>
      <c r="C1827" s="850"/>
      <c r="D1827" s="282"/>
      <c r="E1827" s="833"/>
    </row>
    <row r="1828" spans="1:5" x14ac:dyDescent="0.35">
      <c r="A1828" s="281"/>
      <c r="B1828" s="279"/>
      <c r="C1828" s="850"/>
      <c r="D1828" s="282"/>
      <c r="E1828" s="833"/>
    </row>
    <row r="1829" spans="1:5" x14ac:dyDescent="0.35">
      <c r="A1829" s="281"/>
      <c r="B1829" s="279"/>
      <c r="C1829" s="850"/>
      <c r="D1829" s="282"/>
      <c r="E1829" s="833"/>
    </row>
    <row r="1830" spans="1:5" x14ac:dyDescent="0.35">
      <c r="A1830" s="281"/>
      <c r="B1830" s="279"/>
      <c r="C1830" s="850"/>
      <c r="D1830" s="282"/>
      <c r="E1830" s="833"/>
    </row>
    <row r="1831" spans="1:5" x14ac:dyDescent="0.35">
      <c r="A1831" s="281"/>
      <c r="B1831" s="279"/>
      <c r="C1831" s="850"/>
      <c r="D1831" s="282"/>
      <c r="E1831" s="833"/>
    </row>
    <row r="1832" spans="1:5" x14ac:dyDescent="0.35">
      <c r="A1832" s="281"/>
      <c r="B1832" s="279"/>
      <c r="C1832" s="850"/>
      <c r="D1832" s="282"/>
      <c r="E1832" s="833"/>
    </row>
    <row r="1833" spans="1:5" x14ac:dyDescent="0.35">
      <c r="A1833" s="281"/>
      <c r="B1833" s="279"/>
      <c r="C1833" s="850"/>
      <c r="D1833" s="282"/>
      <c r="E1833" s="833"/>
    </row>
    <row r="1834" spans="1:5" x14ac:dyDescent="0.35">
      <c r="A1834" s="281"/>
      <c r="B1834" s="279"/>
      <c r="C1834" s="850"/>
      <c r="D1834" s="282"/>
      <c r="E1834" s="833"/>
    </row>
    <row r="1835" spans="1:5" x14ac:dyDescent="0.35">
      <c r="A1835" s="281"/>
      <c r="B1835" s="279"/>
      <c r="C1835" s="850"/>
      <c r="D1835" s="282"/>
      <c r="E1835" s="833"/>
    </row>
    <row r="1836" spans="1:5" x14ac:dyDescent="0.35">
      <c r="A1836" s="281"/>
      <c r="B1836" s="279"/>
      <c r="C1836" s="850"/>
      <c r="D1836" s="282"/>
      <c r="E1836" s="833"/>
    </row>
    <row r="1837" spans="1:5" x14ac:dyDescent="0.35">
      <c r="A1837" s="281"/>
      <c r="B1837" s="279"/>
      <c r="C1837" s="850"/>
      <c r="D1837" s="282"/>
      <c r="E1837" s="833"/>
    </row>
    <row r="1838" spans="1:5" x14ac:dyDescent="0.35">
      <c r="A1838" s="281"/>
      <c r="B1838" s="279"/>
      <c r="C1838" s="850"/>
      <c r="D1838" s="282"/>
      <c r="E1838" s="833"/>
    </row>
    <row r="1839" spans="1:5" x14ac:dyDescent="0.35">
      <c r="A1839" s="281"/>
      <c r="B1839" s="279"/>
      <c r="C1839" s="850"/>
      <c r="D1839" s="282"/>
      <c r="E1839" s="833"/>
    </row>
    <row r="1840" spans="1:5" x14ac:dyDescent="0.35">
      <c r="A1840" s="281"/>
      <c r="B1840" s="279"/>
      <c r="C1840" s="850"/>
      <c r="D1840" s="282"/>
      <c r="E1840" s="833"/>
    </row>
    <row r="1841" spans="1:5" x14ac:dyDescent="0.35">
      <c r="A1841" s="281"/>
      <c r="B1841" s="279"/>
      <c r="C1841" s="850"/>
      <c r="D1841" s="282"/>
      <c r="E1841" s="833"/>
    </row>
    <row r="1842" spans="1:5" x14ac:dyDescent="0.35">
      <c r="A1842" s="281"/>
      <c r="B1842" s="279"/>
      <c r="C1842" s="850"/>
      <c r="D1842" s="282"/>
      <c r="E1842" s="833"/>
    </row>
    <row r="1843" spans="1:5" x14ac:dyDescent="0.35">
      <c r="A1843" s="281"/>
      <c r="B1843" s="279"/>
      <c r="C1843" s="850"/>
      <c r="D1843" s="282"/>
      <c r="E1843" s="833"/>
    </row>
    <row r="1844" spans="1:5" x14ac:dyDescent="0.35">
      <c r="A1844" s="281"/>
      <c r="B1844" s="279"/>
      <c r="C1844" s="850"/>
      <c r="D1844" s="282"/>
      <c r="E1844" s="833"/>
    </row>
    <row r="1845" spans="1:5" x14ac:dyDescent="0.35">
      <c r="A1845" s="281"/>
      <c r="B1845" s="279"/>
      <c r="C1845" s="850"/>
      <c r="D1845" s="282"/>
      <c r="E1845" s="833"/>
    </row>
    <row r="1846" spans="1:5" x14ac:dyDescent="0.35">
      <c r="A1846" s="281"/>
      <c r="B1846" s="279"/>
      <c r="C1846" s="850"/>
      <c r="D1846" s="282"/>
      <c r="E1846" s="833"/>
    </row>
    <row r="1847" spans="1:5" x14ac:dyDescent="0.35">
      <c r="A1847" s="281"/>
      <c r="B1847" s="279"/>
      <c r="C1847" s="850"/>
      <c r="D1847" s="282"/>
      <c r="E1847" s="833"/>
    </row>
    <row r="1848" spans="1:5" x14ac:dyDescent="0.35">
      <c r="A1848" s="281"/>
      <c r="B1848" s="279"/>
      <c r="C1848" s="850"/>
      <c r="D1848" s="282"/>
      <c r="E1848" s="833"/>
    </row>
    <row r="1849" spans="1:5" x14ac:dyDescent="0.35">
      <c r="A1849" s="281"/>
      <c r="B1849" s="279"/>
      <c r="C1849" s="850"/>
      <c r="D1849" s="282"/>
      <c r="E1849" s="833"/>
    </row>
    <row r="1850" spans="1:5" x14ac:dyDescent="0.35">
      <c r="A1850" s="281"/>
      <c r="B1850" s="279"/>
      <c r="C1850" s="850"/>
      <c r="D1850" s="282"/>
      <c r="E1850" s="833"/>
    </row>
    <row r="1851" spans="1:5" x14ac:dyDescent="0.35">
      <c r="A1851" s="281"/>
      <c r="B1851" s="279"/>
      <c r="C1851" s="850"/>
      <c r="D1851" s="282"/>
      <c r="E1851" s="833"/>
    </row>
    <row r="1852" spans="1:5" x14ac:dyDescent="0.35">
      <c r="A1852" s="281"/>
      <c r="B1852" s="279"/>
      <c r="C1852" s="850"/>
      <c r="D1852" s="282"/>
      <c r="E1852" s="833"/>
    </row>
    <row r="1853" spans="1:5" x14ac:dyDescent="0.35">
      <c r="A1853" s="281"/>
      <c r="B1853" s="279"/>
      <c r="C1853" s="850"/>
      <c r="D1853" s="282"/>
      <c r="E1853" s="833"/>
    </row>
    <row r="1854" spans="1:5" x14ac:dyDescent="0.35">
      <c r="A1854" s="281"/>
      <c r="B1854" s="279"/>
      <c r="C1854" s="850"/>
      <c r="D1854" s="282"/>
      <c r="E1854" s="833"/>
    </row>
    <row r="1855" spans="1:5" x14ac:dyDescent="0.35">
      <c r="A1855" s="281"/>
      <c r="B1855" s="279"/>
      <c r="C1855" s="850"/>
      <c r="D1855" s="282"/>
      <c r="E1855" s="833"/>
    </row>
    <row r="1856" spans="1:5" x14ac:dyDescent="0.35">
      <c r="A1856" s="281"/>
      <c r="B1856" s="279"/>
      <c r="C1856" s="850"/>
      <c r="D1856" s="282"/>
      <c r="E1856" s="833"/>
    </row>
    <row r="1857" spans="1:5" x14ac:dyDescent="0.35">
      <c r="A1857" s="281"/>
      <c r="B1857" s="279"/>
      <c r="C1857" s="850"/>
      <c r="D1857" s="282"/>
      <c r="E1857" s="833"/>
    </row>
    <row r="1858" spans="1:5" x14ac:dyDescent="0.35">
      <c r="A1858" s="281"/>
      <c r="B1858" s="279"/>
      <c r="C1858" s="850"/>
      <c r="D1858" s="282"/>
      <c r="E1858" s="833"/>
    </row>
    <row r="1859" spans="1:5" x14ac:dyDescent="0.35">
      <c r="A1859" s="281"/>
      <c r="B1859" s="279"/>
      <c r="C1859" s="850"/>
      <c r="D1859" s="282"/>
      <c r="E1859" s="833"/>
    </row>
    <row r="1860" spans="1:5" x14ac:dyDescent="0.35">
      <c r="A1860" s="281"/>
      <c r="B1860" s="279"/>
      <c r="C1860" s="850"/>
      <c r="D1860" s="282"/>
      <c r="E1860" s="833"/>
    </row>
    <row r="1861" spans="1:5" x14ac:dyDescent="0.35">
      <c r="A1861" s="281"/>
      <c r="B1861" s="279"/>
      <c r="C1861" s="850"/>
      <c r="D1861" s="282"/>
      <c r="E1861" s="833"/>
    </row>
    <row r="1862" spans="1:5" x14ac:dyDescent="0.35">
      <c r="A1862" s="281"/>
      <c r="B1862" s="279"/>
      <c r="C1862" s="850"/>
      <c r="D1862" s="282"/>
      <c r="E1862" s="833"/>
    </row>
    <row r="1863" spans="1:5" x14ac:dyDescent="0.35">
      <c r="A1863" s="281"/>
      <c r="B1863" s="279"/>
      <c r="C1863" s="850"/>
      <c r="D1863" s="282"/>
      <c r="E1863" s="833"/>
    </row>
    <row r="1864" spans="1:5" x14ac:dyDescent="0.35">
      <c r="A1864" s="281"/>
      <c r="B1864" s="279"/>
      <c r="C1864" s="850"/>
      <c r="D1864" s="282"/>
      <c r="E1864" s="833"/>
    </row>
    <row r="1865" spans="1:5" x14ac:dyDescent="0.35">
      <c r="A1865" s="281"/>
      <c r="B1865" s="279"/>
      <c r="C1865" s="850"/>
      <c r="D1865" s="282"/>
      <c r="E1865" s="833"/>
    </row>
    <row r="1866" spans="1:5" x14ac:dyDescent="0.35">
      <c r="A1866" s="281"/>
      <c r="B1866" s="279"/>
      <c r="C1866" s="850"/>
      <c r="D1866" s="282"/>
      <c r="E1866" s="833"/>
    </row>
    <row r="1867" spans="1:5" x14ac:dyDescent="0.35">
      <c r="A1867" s="281"/>
      <c r="B1867" s="279"/>
      <c r="C1867" s="850"/>
      <c r="D1867" s="282"/>
      <c r="E1867" s="833"/>
    </row>
    <row r="1868" spans="1:5" x14ac:dyDescent="0.35">
      <c r="A1868" s="281"/>
      <c r="B1868" s="279"/>
      <c r="C1868" s="850"/>
      <c r="D1868" s="282"/>
      <c r="E1868" s="833"/>
    </row>
    <row r="1869" spans="1:5" x14ac:dyDescent="0.35">
      <c r="A1869" s="281"/>
      <c r="B1869" s="279"/>
      <c r="C1869" s="850"/>
      <c r="D1869" s="282"/>
      <c r="E1869" s="833"/>
    </row>
    <row r="1870" spans="1:5" x14ac:dyDescent="0.35">
      <c r="A1870" s="281"/>
      <c r="B1870" s="279"/>
      <c r="C1870" s="850"/>
      <c r="D1870" s="282"/>
      <c r="E1870" s="833"/>
    </row>
    <row r="1871" spans="1:5" x14ac:dyDescent="0.35">
      <c r="A1871" s="281"/>
      <c r="B1871" s="279"/>
      <c r="C1871" s="850"/>
      <c r="D1871" s="282"/>
      <c r="E1871" s="833"/>
    </row>
    <row r="1872" spans="1:5" x14ac:dyDescent="0.35">
      <c r="A1872" s="281"/>
      <c r="B1872" s="279"/>
      <c r="C1872" s="850"/>
      <c r="D1872" s="282"/>
      <c r="E1872" s="833"/>
    </row>
    <row r="1873" spans="1:5" x14ac:dyDescent="0.35">
      <c r="A1873" s="281"/>
      <c r="B1873" s="279"/>
      <c r="C1873" s="850"/>
      <c r="D1873" s="282"/>
      <c r="E1873" s="833"/>
    </row>
    <row r="1874" spans="1:5" x14ac:dyDescent="0.35">
      <c r="A1874" s="281"/>
      <c r="B1874" s="279"/>
      <c r="C1874" s="850"/>
      <c r="D1874" s="282"/>
      <c r="E1874" s="833"/>
    </row>
    <row r="1875" spans="1:5" x14ac:dyDescent="0.35">
      <c r="A1875" s="281"/>
      <c r="B1875" s="279"/>
      <c r="C1875" s="850"/>
      <c r="D1875" s="282"/>
      <c r="E1875" s="833"/>
    </row>
    <row r="1876" spans="1:5" x14ac:dyDescent="0.35">
      <c r="A1876" s="281"/>
      <c r="B1876" s="279"/>
      <c r="C1876" s="850"/>
      <c r="D1876" s="282"/>
      <c r="E1876" s="833"/>
    </row>
    <row r="1877" spans="1:5" x14ac:dyDescent="0.35">
      <c r="A1877" s="281"/>
      <c r="B1877" s="279"/>
      <c r="C1877" s="850"/>
      <c r="D1877" s="282"/>
      <c r="E1877" s="833"/>
    </row>
    <row r="1878" spans="1:5" x14ac:dyDescent="0.35">
      <c r="A1878" s="281"/>
      <c r="B1878" s="279"/>
      <c r="C1878" s="850"/>
      <c r="D1878" s="282"/>
      <c r="E1878" s="833"/>
    </row>
    <row r="1879" spans="1:5" x14ac:dyDescent="0.35">
      <c r="A1879" s="281"/>
      <c r="B1879" s="279"/>
      <c r="C1879" s="850"/>
      <c r="D1879" s="282"/>
      <c r="E1879" s="833"/>
    </row>
    <row r="1880" spans="1:5" x14ac:dyDescent="0.35">
      <c r="A1880" s="281"/>
      <c r="B1880" s="279"/>
      <c r="C1880" s="850"/>
      <c r="D1880" s="282"/>
      <c r="E1880" s="833"/>
    </row>
    <row r="1881" spans="1:5" x14ac:dyDescent="0.35">
      <c r="A1881" s="281"/>
      <c r="B1881" s="279"/>
      <c r="C1881" s="850"/>
      <c r="D1881" s="282"/>
      <c r="E1881" s="833"/>
    </row>
    <row r="1882" spans="1:5" x14ac:dyDescent="0.35">
      <c r="A1882" s="281"/>
      <c r="B1882" s="279"/>
      <c r="C1882" s="850"/>
      <c r="D1882" s="282"/>
      <c r="E1882" s="833"/>
    </row>
    <row r="1883" spans="1:5" x14ac:dyDescent="0.35">
      <c r="A1883" s="281"/>
      <c r="B1883" s="279"/>
      <c r="C1883" s="850"/>
      <c r="D1883" s="282"/>
      <c r="E1883" s="833"/>
    </row>
    <row r="1884" spans="1:5" x14ac:dyDescent="0.35">
      <c r="A1884" s="281"/>
      <c r="B1884" s="279"/>
      <c r="C1884" s="850"/>
      <c r="D1884" s="282"/>
      <c r="E1884" s="833"/>
    </row>
    <row r="1885" spans="1:5" x14ac:dyDescent="0.35">
      <c r="A1885" s="281"/>
      <c r="B1885" s="279"/>
      <c r="C1885" s="850"/>
      <c r="D1885" s="282"/>
      <c r="E1885" s="833"/>
    </row>
    <row r="1886" spans="1:5" x14ac:dyDescent="0.35">
      <c r="A1886" s="281"/>
      <c r="B1886" s="279"/>
      <c r="C1886" s="850"/>
      <c r="D1886" s="282"/>
      <c r="E1886" s="833"/>
    </row>
    <row r="1887" spans="1:5" x14ac:dyDescent="0.35">
      <c r="A1887" s="281"/>
      <c r="B1887" s="279"/>
      <c r="C1887" s="850"/>
      <c r="D1887" s="282"/>
      <c r="E1887" s="833"/>
    </row>
    <row r="1888" spans="1:5" x14ac:dyDescent="0.35">
      <c r="A1888" s="281"/>
      <c r="B1888" s="279"/>
      <c r="C1888" s="850"/>
      <c r="D1888" s="282"/>
      <c r="E1888" s="833"/>
    </row>
    <row r="1889" spans="1:5" x14ac:dyDescent="0.35">
      <c r="A1889" s="281"/>
      <c r="B1889" s="279"/>
      <c r="C1889" s="850"/>
      <c r="D1889" s="282"/>
      <c r="E1889" s="833"/>
    </row>
    <row r="1890" spans="1:5" x14ac:dyDescent="0.35">
      <c r="A1890" s="281"/>
      <c r="B1890" s="279"/>
      <c r="C1890" s="850"/>
      <c r="D1890" s="282"/>
      <c r="E1890" s="833"/>
    </row>
    <row r="1891" spans="1:5" x14ac:dyDescent="0.35">
      <c r="A1891" s="281"/>
      <c r="B1891" s="279"/>
      <c r="C1891" s="850"/>
      <c r="D1891" s="282"/>
      <c r="E1891" s="833"/>
    </row>
    <row r="1892" spans="1:5" x14ac:dyDescent="0.35">
      <c r="A1892" s="281"/>
      <c r="B1892" s="279"/>
      <c r="C1892" s="850"/>
      <c r="D1892" s="282"/>
      <c r="E1892" s="833"/>
    </row>
    <row r="1893" spans="1:5" x14ac:dyDescent="0.35">
      <c r="A1893" s="281"/>
      <c r="B1893" s="279"/>
      <c r="C1893" s="850"/>
      <c r="D1893" s="282"/>
      <c r="E1893" s="833"/>
    </row>
    <row r="1894" spans="1:5" x14ac:dyDescent="0.35">
      <c r="A1894" s="281"/>
      <c r="B1894" s="279"/>
      <c r="C1894" s="850"/>
      <c r="D1894" s="282"/>
      <c r="E1894" s="833"/>
    </row>
    <row r="1895" spans="1:5" x14ac:dyDescent="0.35">
      <c r="A1895" s="281"/>
      <c r="B1895" s="279"/>
      <c r="C1895" s="850"/>
      <c r="D1895" s="282"/>
      <c r="E1895" s="833"/>
    </row>
    <row r="1896" spans="1:5" x14ac:dyDescent="0.35">
      <c r="A1896" s="281"/>
      <c r="B1896" s="279"/>
      <c r="C1896" s="850"/>
      <c r="D1896" s="282"/>
      <c r="E1896" s="833"/>
    </row>
    <row r="1897" spans="1:5" x14ac:dyDescent="0.35">
      <c r="A1897" s="281"/>
      <c r="B1897" s="279"/>
      <c r="C1897" s="850"/>
      <c r="D1897" s="282"/>
      <c r="E1897" s="833"/>
    </row>
    <row r="1898" spans="1:5" x14ac:dyDescent="0.35">
      <c r="A1898" s="281"/>
      <c r="B1898" s="279"/>
      <c r="C1898" s="850"/>
      <c r="D1898" s="282"/>
      <c r="E1898" s="833"/>
    </row>
    <row r="1899" spans="1:5" x14ac:dyDescent="0.35">
      <c r="A1899" s="281"/>
      <c r="B1899" s="279"/>
      <c r="C1899" s="850"/>
      <c r="D1899" s="282"/>
      <c r="E1899" s="833"/>
    </row>
    <row r="1900" spans="1:5" x14ac:dyDescent="0.35">
      <c r="A1900" s="281"/>
      <c r="B1900" s="279"/>
      <c r="C1900" s="850"/>
      <c r="D1900" s="282"/>
      <c r="E1900" s="833"/>
    </row>
    <row r="1901" spans="1:5" x14ac:dyDescent="0.35">
      <c r="A1901" s="281"/>
      <c r="B1901" s="279"/>
      <c r="C1901" s="850"/>
      <c r="D1901" s="282"/>
      <c r="E1901" s="833"/>
    </row>
    <row r="1902" spans="1:5" x14ac:dyDescent="0.35">
      <c r="A1902" s="281"/>
      <c r="B1902" s="279"/>
      <c r="C1902" s="850"/>
      <c r="D1902" s="282"/>
      <c r="E1902" s="833"/>
    </row>
    <row r="1903" spans="1:5" x14ac:dyDescent="0.35">
      <c r="A1903" s="281"/>
      <c r="B1903" s="279"/>
      <c r="C1903" s="850"/>
      <c r="D1903" s="282"/>
      <c r="E1903" s="833"/>
    </row>
    <row r="1904" spans="1:5" x14ac:dyDescent="0.35">
      <c r="A1904" s="281"/>
      <c r="B1904" s="279"/>
      <c r="C1904" s="850"/>
      <c r="D1904" s="282"/>
      <c r="E1904" s="833"/>
    </row>
    <row r="1905" spans="1:5" x14ac:dyDescent="0.35">
      <c r="A1905" s="281"/>
      <c r="B1905" s="279"/>
      <c r="C1905" s="850"/>
      <c r="D1905" s="282"/>
      <c r="E1905" s="833"/>
    </row>
    <row r="1906" spans="1:5" x14ac:dyDescent="0.35">
      <c r="A1906" s="281"/>
      <c r="B1906" s="279"/>
      <c r="C1906" s="850"/>
      <c r="D1906" s="282"/>
      <c r="E1906" s="833"/>
    </row>
    <row r="1907" spans="1:5" x14ac:dyDescent="0.35">
      <c r="A1907" s="281"/>
      <c r="B1907" s="279"/>
      <c r="C1907" s="850"/>
      <c r="D1907" s="282"/>
      <c r="E1907" s="833"/>
    </row>
    <row r="1908" spans="1:5" x14ac:dyDescent="0.35">
      <c r="A1908" s="281"/>
      <c r="B1908" s="279"/>
      <c r="C1908" s="850"/>
      <c r="D1908" s="282"/>
      <c r="E1908" s="833"/>
    </row>
    <row r="1909" spans="1:5" x14ac:dyDescent="0.35">
      <c r="A1909" s="281"/>
      <c r="B1909" s="279"/>
      <c r="C1909" s="850"/>
      <c r="D1909" s="282"/>
      <c r="E1909" s="833"/>
    </row>
    <row r="1910" spans="1:5" x14ac:dyDescent="0.35">
      <c r="A1910" s="281"/>
      <c r="B1910" s="279"/>
      <c r="C1910" s="850"/>
      <c r="D1910" s="282"/>
      <c r="E1910" s="833"/>
    </row>
    <row r="1911" spans="1:5" x14ac:dyDescent="0.35">
      <c r="A1911" s="281"/>
      <c r="B1911" s="279"/>
      <c r="C1911" s="850"/>
      <c r="D1911" s="282"/>
      <c r="E1911" s="833"/>
    </row>
    <row r="1912" spans="1:5" x14ac:dyDescent="0.35">
      <c r="A1912" s="281"/>
      <c r="B1912" s="279"/>
      <c r="C1912" s="850"/>
      <c r="D1912" s="282"/>
      <c r="E1912" s="833"/>
    </row>
    <row r="1913" spans="1:5" x14ac:dyDescent="0.35">
      <c r="A1913" s="281"/>
      <c r="B1913" s="279"/>
      <c r="C1913" s="850"/>
      <c r="D1913" s="282"/>
      <c r="E1913" s="833"/>
    </row>
    <row r="1914" spans="1:5" x14ac:dyDescent="0.35">
      <c r="A1914" s="281"/>
      <c r="B1914" s="279"/>
      <c r="C1914" s="850"/>
      <c r="D1914" s="282"/>
      <c r="E1914" s="833"/>
    </row>
    <row r="1915" spans="1:5" x14ac:dyDescent="0.35">
      <c r="A1915" s="281"/>
      <c r="B1915" s="279"/>
      <c r="C1915" s="850"/>
      <c r="D1915" s="282"/>
      <c r="E1915" s="833"/>
    </row>
    <row r="1916" spans="1:5" x14ac:dyDescent="0.35">
      <c r="A1916" s="281"/>
      <c r="B1916" s="279"/>
      <c r="C1916" s="850"/>
      <c r="D1916" s="282"/>
      <c r="E1916" s="833"/>
    </row>
    <row r="1917" spans="1:5" x14ac:dyDescent="0.35">
      <c r="A1917" s="281"/>
      <c r="B1917" s="279"/>
      <c r="C1917" s="850"/>
      <c r="D1917" s="282"/>
      <c r="E1917" s="833"/>
    </row>
    <row r="1918" spans="1:5" x14ac:dyDescent="0.35">
      <c r="A1918" s="281"/>
      <c r="B1918" s="279"/>
      <c r="C1918" s="850"/>
      <c r="D1918" s="282"/>
      <c r="E1918" s="833"/>
    </row>
    <row r="1919" spans="1:5" x14ac:dyDescent="0.35">
      <c r="A1919" s="281"/>
      <c r="B1919" s="279"/>
      <c r="C1919" s="850"/>
      <c r="D1919" s="282"/>
      <c r="E1919" s="833"/>
    </row>
    <row r="1920" spans="1:5" x14ac:dyDescent="0.35">
      <c r="A1920" s="281"/>
      <c r="B1920" s="279"/>
      <c r="C1920" s="850"/>
      <c r="D1920" s="282"/>
      <c r="E1920" s="833"/>
    </row>
    <row r="1921" spans="1:5" x14ac:dyDescent="0.35">
      <c r="A1921" s="281"/>
      <c r="B1921" s="279"/>
      <c r="C1921" s="850"/>
      <c r="D1921" s="282"/>
      <c r="E1921" s="833"/>
    </row>
    <row r="1922" spans="1:5" x14ac:dyDescent="0.35">
      <c r="A1922" s="281"/>
      <c r="B1922" s="279"/>
      <c r="C1922" s="850"/>
      <c r="D1922" s="282"/>
      <c r="E1922" s="833"/>
    </row>
    <row r="1923" spans="1:5" x14ac:dyDescent="0.35">
      <c r="A1923" s="281"/>
      <c r="B1923" s="279"/>
      <c r="C1923" s="850"/>
      <c r="D1923" s="282"/>
      <c r="E1923" s="833"/>
    </row>
    <row r="1924" spans="1:5" x14ac:dyDescent="0.35">
      <c r="A1924" s="281"/>
      <c r="B1924" s="279"/>
      <c r="C1924" s="850"/>
      <c r="D1924" s="282"/>
      <c r="E1924" s="833"/>
    </row>
    <row r="1925" spans="1:5" x14ac:dyDescent="0.35">
      <c r="A1925" s="281"/>
      <c r="B1925" s="279"/>
      <c r="C1925" s="850"/>
      <c r="D1925" s="282"/>
      <c r="E1925" s="833"/>
    </row>
    <row r="1926" spans="1:5" x14ac:dyDescent="0.35">
      <c r="A1926" s="281"/>
      <c r="B1926" s="279"/>
      <c r="C1926" s="850"/>
      <c r="D1926" s="282"/>
      <c r="E1926" s="833"/>
    </row>
    <row r="1927" spans="1:5" x14ac:dyDescent="0.35">
      <c r="A1927" s="281"/>
      <c r="B1927" s="279"/>
      <c r="C1927" s="850"/>
      <c r="D1927" s="282"/>
      <c r="E1927" s="833"/>
    </row>
    <row r="1928" spans="1:5" x14ac:dyDescent="0.35">
      <c r="A1928" s="281"/>
      <c r="B1928" s="279"/>
      <c r="C1928" s="850"/>
      <c r="D1928" s="282"/>
      <c r="E1928" s="833"/>
    </row>
    <row r="1929" spans="1:5" x14ac:dyDescent="0.35">
      <c r="A1929" s="281"/>
      <c r="B1929" s="279"/>
      <c r="C1929" s="850"/>
      <c r="D1929" s="282"/>
      <c r="E1929" s="833"/>
    </row>
    <row r="1930" spans="1:5" x14ac:dyDescent="0.35">
      <c r="A1930" s="281"/>
      <c r="B1930" s="279"/>
      <c r="C1930" s="850"/>
      <c r="D1930" s="282"/>
      <c r="E1930" s="833"/>
    </row>
    <row r="1931" spans="1:5" x14ac:dyDescent="0.35">
      <c r="A1931" s="281"/>
      <c r="B1931" s="279"/>
      <c r="C1931" s="850"/>
      <c r="D1931" s="282"/>
      <c r="E1931" s="833"/>
    </row>
    <row r="1932" spans="1:5" x14ac:dyDescent="0.35">
      <c r="A1932" s="281"/>
      <c r="B1932" s="279"/>
      <c r="C1932" s="850"/>
      <c r="D1932" s="282"/>
      <c r="E1932" s="833"/>
    </row>
    <row r="1933" spans="1:5" x14ac:dyDescent="0.35">
      <c r="A1933" s="281"/>
      <c r="B1933" s="279"/>
      <c r="C1933" s="850"/>
      <c r="D1933" s="282"/>
      <c r="E1933" s="833"/>
    </row>
    <row r="1934" spans="1:5" x14ac:dyDescent="0.35">
      <c r="A1934" s="281"/>
      <c r="B1934" s="279"/>
      <c r="C1934" s="850"/>
      <c r="D1934" s="282"/>
      <c r="E1934" s="833"/>
    </row>
    <row r="1935" spans="1:5" x14ac:dyDescent="0.35">
      <c r="A1935" s="281"/>
      <c r="B1935" s="279"/>
      <c r="C1935" s="850"/>
      <c r="D1935" s="282"/>
      <c r="E1935" s="833"/>
    </row>
    <row r="1936" spans="1:5" x14ac:dyDescent="0.35">
      <c r="A1936" s="281"/>
      <c r="B1936" s="279"/>
      <c r="C1936" s="850"/>
      <c r="D1936" s="282"/>
      <c r="E1936" s="833"/>
    </row>
    <row r="1937" spans="1:5" x14ac:dyDescent="0.35">
      <c r="A1937" s="281"/>
      <c r="B1937" s="279"/>
      <c r="C1937" s="850"/>
      <c r="D1937" s="282"/>
      <c r="E1937" s="833"/>
    </row>
    <row r="1938" spans="1:5" x14ac:dyDescent="0.35">
      <c r="A1938" s="281"/>
      <c r="B1938" s="279"/>
      <c r="C1938" s="850"/>
      <c r="D1938" s="282"/>
      <c r="E1938" s="833"/>
    </row>
    <row r="1939" spans="1:5" x14ac:dyDescent="0.35">
      <c r="A1939" s="281"/>
      <c r="B1939" s="279"/>
      <c r="C1939" s="850"/>
      <c r="D1939" s="282"/>
      <c r="E1939" s="833"/>
    </row>
    <row r="1940" spans="1:5" x14ac:dyDescent="0.35">
      <c r="A1940" s="281"/>
      <c r="B1940" s="279"/>
      <c r="C1940" s="850"/>
      <c r="D1940" s="282"/>
      <c r="E1940" s="833"/>
    </row>
    <row r="1941" spans="1:5" x14ac:dyDescent="0.35">
      <c r="A1941" s="281"/>
      <c r="B1941" s="279"/>
      <c r="C1941" s="850"/>
      <c r="D1941" s="282"/>
      <c r="E1941" s="833"/>
    </row>
    <row r="1942" spans="1:5" x14ac:dyDescent="0.35">
      <c r="A1942" s="281"/>
      <c r="B1942" s="279"/>
      <c r="C1942" s="850"/>
      <c r="D1942" s="282"/>
      <c r="E1942" s="833"/>
    </row>
    <row r="1943" spans="1:5" x14ac:dyDescent="0.35">
      <c r="A1943" s="281"/>
      <c r="B1943" s="279"/>
      <c r="C1943" s="850"/>
      <c r="D1943" s="282"/>
      <c r="E1943" s="833"/>
    </row>
    <row r="1944" spans="1:5" x14ac:dyDescent="0.35">
      <c r="A1944" s="281"/>
      <c r="B1944" s="279"/>
      <c r="C1944" s="850"/>
      <c r="D1944" s="282"/>
      <c r="E1944" s="833"/>
    </row>
    <row r="1945" spans="1:5" x14ac:dyDescent="0.35">
      <c r="A1945" s="281"/>
      <c r="B1945" s="279"/>
      <c r="C1945" s="850"/>
      <c r="D1945" s="282"/>
      <c r="E1945" s="833"/>
    </row>
    <row r="1946" spans="1:5" x14ac:dyDescent="0.35">
      <c r="A1946" s="281"/>
      <c r="B1946" s="279"/>
      <c r="C1946" s="850"/>
      <c r="D1946" s="282"/>
      <c r="E1946" s="833"/>
    </row>
    <row r="1947" spans="1:5" x14ac:dyDescent="0.35">
      <c r="A1947" s="281"/>
      <c r="B1947" s="279"/>
      <c r="C1947" s="850"/>
      <c r="D1947" s="282"/>
      <c r="E1947" s="833"/>
    </row>
    <row r="1948" spans="1:5" x14ac:dyDescent="0.35">
      <c r="A1948" s="281"/>
      <c r="B1948" s="279"/>
      <c r="C1948" s="850"/>
      <c r="D1948" s="282"/>
      <c r="E1948" s="833"/>
    </row>
    <row r="1949" spans="1:5" x14ac:dyDescent="0.35">
      <c r="A1949" s="281"/>
      <c r="B1949" s="279"/>
      <c r="C1949" s="850"/>
      <c r="D1949" s="282"/>
      <c r="E1949" s="833"/>
    </row>
    <row r="1950" spans="1:5" x14ac:dyDescent="0.35">
      <c r="A1950" s="281"/>
      <c r="B1950" s="279"/>
      <c r="C1950" s="850"/>
      <c r="D1950" s="282"/>
      <c r="E1950" s="833"/>
    </row>
    <row r="1951" spans="1:5" x14ac:dyDescent="0.35">
      <c r="A1951" s="281"/>
      <c r="B1951" s="279"/>
      <c r="C1951" s="850"/>
      <c r="D1951" s="282"/>
      <c r="E1951" s="833"/>
    </row>
    <row r="1952" spans="1:5" x14ac:dyDescent="0.35">
      <c r="A1952" s="281"/>
      <c r="B1952" s="279"/>
      <c r="C1952" s="850"/>
      <c r="D1952" s="282"/>
      <c r="E1952" s="833"/>
    </row>
    <row r="1953" spans="1:5" x14ac:dyDescent="0.35">
      <c r="A1953" s="281"/>
      <c r="B1953" s="279"/>
      <c r="C1953" s="850"/>
      <c r="D1953" s="282"/>
      <c r="E1953" s="833"/>
    </row>
    <row r="1954" spans="1:5" x14ac:dyDescent="0.35">
      <c r="A1954" s="281"/>
      <c r="B1954" s="279"/>
      <c r="C1954" s="850"/>
      <c r="D1954" s="282"/>
      <c r="E1954" s="833"/>
    </row>
    <row r="1955" spans="1:5" x14ac:dyDescent="0.35">
      <c r="A1955" s="281"/>
      <c r="B1955" s="279"/>
      <c r="C1955" s="850"/>
      <c r="D1955" s="282"/>
      <c r="E1955" s="833"/>
    </row>
    <row r="1956" spans="1:5" x14ac:dyDescent="0.35">
      <c r="A1956" s="281"/>
      <c r="B1956" s="279"/>
      <c r="C1956" s="850"/>
      <c r="D1956" s="282"/>
      <c r="E1956" s="833"/>
    </row>
    <row r="1957" spans="1:5" x14ac:dyDescent="0.35">
      <c r="A1957" s="281"/>
      <c r="B1957" s="279"/>
      <c r="C1957" s="850"/>
      <c r="D1957" s="282"/>
      <c r="E1957" s="833"/>
    </row>
    <row r="1958" spans="1:5" x14ac:dyDescent="0.35">
      <c r="A1958" s="281"/>
      <c r="B1958" s="279"/>
      <c r="C1958" s="850"/>
      <c r="D1958" s="282"/>
      <c r="E1958" s="833"/>
    </row>
    <row r="1959" spans="1:5" x14ac:dyDescent="0.35">
      <c r="A1959" s="281"/>
      <c r="B1959" s="279"/>
      <c r="C1959" s="850"/>
      <c r="D1959" s="282"/>
      <c r="E1959" s="833"/>
    </row>
    <row r="1960" spans="1:5" x14ac:dyDescent="0.35">
      <c r="A1960" s="281"/>
      <c r="B1960" s="279"/>
      <c r="C1960" s="850"/>
      <c r="D1960" s="282"/>
      <c r="E1960" s="833"/>
    </row>
    <row r="1961" spans="1:5" x14ac:dyDescent="0.35">
      <c r="A1961" s="281"/>
      <c r="B1961" s="279"/>
      <c r="C1961" s="850"/>
      <c r="D1961" s="282"/>
      <c r="E1961" s="833"/>
    </row>
    <row r="1962" spans="1:5" x14ac:dyDescent="0.35">
      <c r="A1962" s="281"/>
      <c r="B1962" s="279"/>
      <c r="C1962" s="850"/>
      <c r="D1962" s="282"/>
      <c r="E1962" s="833"/>
    </row>
    <row r="1963" spans="1:5" x14ac:dyDescent="0.35">
      <c r="A1963" s="281"/>
      <c r="B1963" s="279"/>
      <c r="C1963" s="850"/>
      <c r="D1963" s="282"/>
      <c r="E1963" s="833"/>
    </row>
    <row r="1964" spans="1:5" x14ac:dyDescent="0.35">
      <c r="A1964" s="281"/>
      <c r="B1964" s="279"/>
      <c r="C1964" s="850"/>
      <c r="D1964" s="282"/>
      <c r="E1964" s="833"/>
    </row>
    <row r="1965" spans="1:5" x14ac:dyDescent="0.35">
      <c r="A1965" s="281"/>
      <c r="B1965" s="279"/>
      <c r="C1965" s="850"/>
      <c r="D1965" s="282"/>
      <c r="E1965" s="833"/>
    </row>
    <row r="1966" spans="1:5" x14ac:dyDescent="0.35">
      <c r="A1966" s="281"/>
      <c r="B1966" s="279"/>
      <c r="C1966" s="850"/>
      <c r="D1966" s="282"/>
      <c r="E1966" s="833"/>
    </row>
    <row r="1967" spans="1:5" x14ac:dyDescent="0.35">
      <c r="A1967" s="281"/>
      <c r="B1967" s="279"/>
      <c r="C1967" s="850"/>
      <c r="D1967" s="282"/>
      <c r="E1967" s="833"/>
    </row>
    <row r="1968" spans="1:5" x14ac:dyDescent="0.35">
      <c r="A1968" s="281"/>
      <c r="B1968" s="279"/>
      <c r="C1968" s="850"/>
      <c r="D1968" s="282"/>
      <c r="E1968" s="833"/>
    </row>
    <row r="1969" spans="1:5" x14ac:dyDescent="0.35">
      <c r="A1969" s="281"/>
      <c r="B1969" s="279"/>
      <c r="C1969" s="850"/>
      <c r="D1969" s="282"/>
      <c r="E1969" s="833"/>
    </row>
    <row r="1970" spans="1:5" x14ac:dyDescent="0.35">
      <c r="A1970" s="281"/>
      <c r="B1970" s="279"/>
      <c r="C1970" s="850"/>
      <c r="D1970" s="282"/>
      <c r="E1970" s="833"/>
    </row>
    <row r="1971" spans="1:5" x14ac:dyDescent="0.35">
      <c r="A1971" s="281"/>
      <c r="B1971" s="279"/>
      <c r="C1971" s="850"/>
      <c r="D1971" s="282"/>
      <c r="E1971" s="833"/>
    </row>
    <row r="1972" spans="1:5" x14ac:dyDescent="0.35">
      <c r="A1972" s="281"/>
      <c r="B1972" s="279"/>
      <c r="C1972" s="850"/>
      <c r="D1972" s="282"/>
      <c r="E1972" s="833"/>
    </row>
    <row r="1973" spans="1:5" x14ac:dyDescent="0.35">
      <c r="A1973" s="281"/>
      <c r="B1973" s="279"/>
      <c r="C1973" s="850"/>
      <c r="D1973" s="282"/>
      <c r="E1973" s="833"/>
    </row>
    <row r="1974" spans="1:5" x14ac:dyDescent="0.35">
      <c r="A1974" s="281"/>
      <c r="B1974" s="279"/>
      <c r="C1974" s="850"/>
      <c r="D1974" s="282"/>
      <c r="E1974" s="833"/>
    </row>
    <row r="1975" spans="1:5" x14ac:dyDescent="0.35">
      <c r="A1975" s="281"/>
      <c r="B1975" s="279"/>
      <c r="C1975" s="850"/>
      <c r="D1975" s="282"/>
      <c r="E1975" s="833"/>
    </row>
    <row r="1976" spans="1:5" x14ac:dyDescent="0.35">
      <c r="A1976" s="281"/>
      <c r="B1976" s="279"/>
      <c r="C1976" s="850"/>
      <c r="D1976" s="282"/>
      <c r="E1976" s="833"/>
    </row>
    <row r="1977" spans="1:5" x14ac:dyDescent="0.35">
      <c r="A1977" s="281"/>
      <c r="B1977" s="279"/>
      <c r="C1977" s="850"/>
      <c r="D1977" s="282"/>
      <c r="E1977" s="833"/>
    </row>
    <row r="1978" spans="1:5" x14ac:dyDescent="0.35">
      <c r="A1978" s="281"/>
      <c r="B1978" s="279"/>
      <c r="C1978" s="850"/>
      <c r="D1978" s="282"/>
      <c r="E1978" s="833"/>
    </row>
    <row r="1979" spans="1:5" x14ac:dyDescent="0.35">
      <c r="A1979" s="281"/>
      <c r="B1979" s="279"/>
      <c r="C1979" s="850"/>
      <c r="D1979" s="282"/>
      <c r="E1979" s="833"/>
    </row>
    <row r="1980" spans="1:5" x14ac:dyDescent="0.35">
      <c r="A1980" s="281"/>
      <c r="B1980" s="279"/>
      <c r="C1980" s="850"/>
      <c r="D1980" s="282"/>
      <c r="E1980" s="833"/>
    </row>
    <row r="1981" spans="1:5" x14ac:dyDescent="0.35">
      <c r="A1981" s="281"/>
      <c r="B1981" s="279"/>
      <c r="C1981" s="850"/>
      <c r="D1981" s="282"/>
      <c r="E1981" s="833"/>
    </row>
    <row r="1982" spans="1:5" x14ac:dyDescent="0.35">
      <c r="A1982" s="281"/>
      <c r="B1982" s="279"/>
      <c r="C1982" s="850"/>
      <c r="D1982" s="282"/>
      <c r="E1982" s="833"/>
    </row>
    <row r="1983" spans="1:5" x14ac:dyDescent="0.35">
      <c r="A1983" s="281"/>
      <c r="B1983" s="279"/>
      <c r="C1983" s="850"/>
      <c r="D1983" s="282"/>
      <c r="E1983" s="833"/>
    </row>
    <row r="1984" spans="1:5" x14ac:dyDescent="0.35">
      <c r="A1984" s="281"/>
      <c r="B1984" s="279"/>
      <c r="C1984" s="850"/>
      <c r="D1984" s="282"/>
      <c r="E1984" s="833"/>
    </row>
    <row r="1985" spans="1:5" x14ac:dyDescent="0.35">
      <c r="A1985" s="281"/>
      <c r="B1985" s="279"/>
      <c r="C1985" s="850"/>
      <c r="D1985" s="282"/>
      <c r="E1985" s="833"/>
    </row>
    <row r="1986" spans="1:5" x14ac:dyDescent="0.35">
      <c r="A1986" s="281"/>
      <c r="B1986" s="279"/>
      <c r="C1986" s="850"/>
      <c r="D1986" s="282"/>
      <c r="E1986" s="833"/>
    </row>
    <row r="1987" spans="1:5" x14ac:dyDescent="0.35">
      <c r="A1987" s="281"/>
      <c r="B1987" s="279"/>
      <c r="C1987" s="850"/>
      <c r="D1987" s="282"/>
      <c r="E1987" s="833"/>
    </row>
    <row r="1988" spans="1:5" x14ac:dyDescent="0.35">
      <c r="A1988" s="281"/>
      <c r="B1988" s="279"/>
      <c r="C1988" s="850"/>
      <c r="D1988" s="282"/>
      <c r="E1988" s="833"/>
    </row>
    <row r="1989" spans="1:5" x14ac:dyDescent="0.35">
      <c r="A1989" s="281"/>
      <c r="B1989" s="279"/>
      <c r="C1989" s="850"/>
      <c r="D1989" s="282"/>
      <c r="E1989" s="833"/>
    </row>
    <row r="1990" spans="1:5" x14ac:dyDescent="0.35">
      <c r="A1990" s="281"/>
      <c r="B1990" s="279"/>
      <c r="C1990" s="850"/>
      <c r="D1990" s="282"/>
      <c r="E1990" s="833"/>
    </row>
    <row r="1991" spans="1:5" x14ac:dyDescent="0.35">
      <c r="A1991" s="281"/>
      <c r="B1991" s="279"/>
      <c r="C1991" s="850"/>
      <c r="D1991" s="282"/>
      <c r="E1991" s="833"/>
    </row>
    <row r="1992" spans="1:5" x14ac:dyDescent="0.35">
      <c r="A1992" s="281"/>
      <c r="B1992" s="279"/>
      <c r="C1992" s="850"/>
      <c r="D1992" s="282"/>
      <c r="E1992" s="833"/>
    </row>
    <row r="1993" spans="1:5" x14ac:dyDescent="0.35">
      <c r="A1993" s="281"/>
      <c r="B1993" s="279"/>
      <c r="C1993" s="850"/>
      <c r="D1993" s="282"/>
      <c r="E1993" s="833"/>
    </row>
    <row r="1994" spans="1:5" x14ac:dyDescent="0.35">
      <c r="A1994" s="281"/>
      <c r="B1994" s="279"/>
      <c r="C1994" s="850"/>
      <c r="D1994" s="282"/>
      <c r="E1994" s="833"/>
    </row>
    <row r="1995" spans="1:5" x14ac:dyDescent="0.35">
      <c r="A1995" s="281"/>
      <c r="B1995" s="279"/>
      <c r="C1995" s="850"/>
      <c r="D1995" s="282"/>
      <c r="E1995" s="833"/>
    </row>
    <row r="1996" spans="1:5" x14ac:dyDescent="0.35">
      <c r="A1996" s="281"/>
      <c r="B1996" s="279"/>
      <c r="C1996" s="850"/>
      <c r="D1996" s="282"/>
      <c r="E1996" s="833"/>
    </row>
    <row r="1997" spans="1:5" x14ac:dyDescent="0.35">
      <c r="A1997" s="281"/>
      <c r="B1997" s="279"/>
      <c r="C1997" s="850"/>
      <c r="D1997" s="282"/>
      <c r="E1997" s="833"/>
    </row>
    <row r="1998" spans="1:5" x14ac:dyDescent="0.35">
      <c r="A1998" s="281"/>
      <c r="B1998" s="279"/>
      <c r="C1998" s="850"/>
      <c r="D1998" s="282"/>
      <c r="E1998" s="833"/>
    </row>
    <row r="1999" spans="1:5" x14ac:dyDescent="0.35">
      <c r="A1999" s="281"/>
      <c r="B1999" s="279"/>
      <c r="C1999" s="850"/>
      <c r="D1999" s="282"/>
      <c r="E1999" s="833"/>
    </row>
    <row r="2000" spans="1:5" x14ac:dyDescent="0.35">
      <c r="A2000" s="281"/>
      <c r="B2000" s="279"/>
      <c r="C2000" s="850"/>
      <c r="D2000" s="282"/>
      <c r="E2000" s="833"/>
    </row>
    <row r="2001" spans="1:5" x14ac:dyDescent="0.35">
      <c r="A2001" s="281"/>
      <c r="B2001" s="279"/>
      <c r="C2001" s="850"/>
      <c r="D2001" s="282"/>
      <c r="E2001" s="833"/>
    </row>
    <row r="2002" spans="1:5" x14ac:dyDescent="0.35">
      <c r="A2002" s="281"/>
      <c r="B2002" s="279"/>
      <c r="C2002" s="850"/>
      <c r="D2002" s="282"/>
      <c r="E2002" s="833"/>
    </row>
    <row r="2003" spans="1:5" x14ac:dyDescent="0.35">
      <c r="A2003" s="281"/>
      <c r="B2003" s="279"/>
      <c r="C2003" s="850"/>
      <c r="D2003" s="282"/>
      <c r="E2003" s="833"/>
    </row>
    <row r="2004" spans="1:5" x14ac:dyDescent="0.35">
      <c r="A2004" s="281"/>
      <c r="B2004" s="279"/>
      <c r="C2004" s="850"/>
      <c r="D2004" s="282"/>
      <c r="E2004" s="833"/>
    </row>
    <row r="2005" spans="1:5" x14ac:dyDescent="0.35">
      <c r="A2005" s="281"/>
      <c r="B2005" s="279"/>
      <c r="C2005" s="850"/>
      <c r="D2005" s="282"/>
      <c r="E2005" s="833"/>
    </row>
    <row r="2006" spans="1:5" x14ac:dyDescent="0.35">
      <c r="A2006" s="281"/>
      <c r="B2006" s="279"/>
      <c r="C2006" s="850"/>
      <c r="D2006" s="282"/>
      <c r="E2006" s="833"/>
    </row>
    <row r="2007" spans="1:5" x14ac:dyDescent="0.35">
      <c r="A2007" s="281"/>
      <c r="B2007" s="279"/>
      <c r="C2007" s="850"/>
      <c r="D2007" s="282"/>
      <c r="E2007" s="833"/>
    </row>
    <row r="2008" spans="1:5" x14ac:dyDescent="0.35">
      <c r="A2008" s="281"/>
      <c r="B2008" s="279"/>
      <c r="C2008" s="850"/>
      <c r="D2008" s="282"/>
      <c r="E2008" s="833"/>
    </row>
    <row r="2009" spans="1:5" x14ac:dyDescent="0.35">
      <c r="A2009" s="281"/>
      <c r="B2009" s="279"/>
      <c r="C2009" s="850"/>
      <c r="D2009" s="282"/>
      <c r="E2009" s="833"/>
    </row>
    <row r="2010" spans="1:5" x14ac:dyDescent="0.35">
      <c r="A2010" s="281"/>
      <c r="B2010" s="279"/>
      <c r="C2010" s="850"/>
      <c r="D2010" s="282"/>
      <c r="E2010" s="833"/>
    </row>
    <row r="2011" spans="1:5" x14ac:dyDescent="0.35">
      <c r="A2011" s="281"/>
      <c r="B2011" s="279"/>
      <c r="C2011" s="850"/>
      <c r="D2011" s="282"/>
      <c r="E2011" s="833"/>
    </row>
    <row r="2012" spans="1:5" x14ac:dyDescent="0.35">
      <c r="A2012" s="281"/>
      <c r="B2012" s="279"/>
      <c r="C2012" s="850"/>
      <c r="D2012" s="282"/>
      <c r="E2012" s="833"/>
    </row>
    <row r="2013" spans="1:5" x14ac:dyDescent="0.35">
      <c r="A2013" s="281"/>
      <c r="B2013" s="279"/>
      <c r="C2013" s="850"/>
      <c r="D2013" s="282"/>
      <c r="E2013" s="833"/>
    </row>
    <row r="2014" spans="1:5" x14ac:dyDescent="0.35">
      <c r="A2014" s="281"/>
      <c r="B2014" s="279"/>
      <c r="C2014" s="850"/>
      <c r="D2014" s="282"/>
      <c r="E2014" s="833"/>
    </row>
    <row r="2015" spans="1:5" x14ac:dyDescent="0.35">
      <c r="A2015" s="281"/>
      <c r="B2015" s="279"/>
      <c r="C2015" s="850"/>
      <c r="D2015" s="282"/>
      <c r="E2015" s="833"/>
    </row>
    <row r="2016" spans="1:5" x14ac:dyDescent="0.35">
      <c r="A2016" s="281"/>
      <c r="B2016" s="279"/>
      <c r="C2016" s="850"/>
      <c r="D2016" s="282"/>
      <c r="E2016" s="833"/>
    </row>
    <row r="2017" spans="1:5" x14ac:dyDescent="0.35">
      <c r="A2017" s="281"/>
      <c r="B2017" s="279"/>
      <c r="C2017" s="850"/>
      <c r="D2017" s="282"/>
      <c r="E2017" s="833"/>
    </row>
    <row r="2018" spans="1:5" x14ac:dyDescent="0.35">
      <c r="A2018" s="281"/>
      <c r="B2018" s="279"/>
      <c r="C2018" s="850"/>
      <c r="D2018" s="282"/>
      <c r="E2018" s="833"/>
    </row>
    <row r="2019" spans="1:5" x14ac:dyDescent="0.35">
      <c r="A2019" s="281"/>
      <c r="B2019" s="279"/>
      <c r="C2019" s="850"/>
      <c r="D2019" s="282"/>
      <c r="E2019" s="833"/>
    </row>
    <row r="2020" spans="1:5" x14ac:dyDescent="0.35">
      <c r="A2020" s="281"/>
      <c r="B2020" s="279"/>
      <c r="C2020" s="850"/>
      <c r="D2020" s="282"/>
      <c r="E2020" s="833"/>
    </row>
    <row r="2021" spans="1:5" x14ac:dyDescent="0.35">
      <c r="A2021" s="281"/>
      <c r="B2021" s="279"/>
      <c r="C2021" s="850"/>
      <c r="D2021" s="282"/>
      <c r="E2021" s="833"/>
    </row>
    <row r="2022" spans="1:5" x14ac:dyDescent="0.35">
      <c r="A2022" s="281"/>
      <c r="B2022" s="279"/>
      <c r="C2022" s="850"/>
      <c r="D2022" s="282"/>
      <c r="E2022" s="833"/>
    </row>
    <row r="2023" spans="1:5" x14ac:dyDescent="0.35">
      <c r="A2023" s="281"/>
      <c r="B2023" s="279"/>
      <c r="C2023" s="850"/>
      <c r="D2023" s="282"/>
      <c r="E2023" s="833"/>
    </row>
    <row r="2024" spans="1:5" x14ac:dyDescent="0.35">
      <c r="A2024" s="281"/>
      <c r="B2024" s="279"/>
      <c r="C2024" s="850"/>
      <c r="D2024" s="282"/>
      <c r="E2024" s="833"/>
    </row>
    <row r="2025" spans="1:5" x14ac:dyDescent="0.35">
      <c r="A2025" s="281"/>
      <c r="B2025" s="279"/>
      <c r="C2025" s="850"/>
      <c r="D2025" s="282"/>
      <c r="E2025" s="833"/>
    </row>
    <row r="2026" spans="1:5" x14ac:dyDescent="0.35">
      <c r="A2026" s="281"/>
      <c r="B2026" s="279"/>
      <c r="C2026" s="850"/>
      <c r="D2026" s="282"/>
      <c r="E2026" s="833"/>
    </row>
    <row r="2027" spans="1:5" x14ac:dyDescent="0.35">
      <c r="A2027" s="281"/>
      <c r="B2027" s="279"/>
      <c r="C2027" s="850"/>
      <c r="D2027" s="282"/>
      <c r="E2027" s="833"/>
    </row>
    <row r="2028" spans="1:5" x14ac:dyDescent="0.35">
      <c r="A2028" s="281"/>
      <c r="B2028" s="279"/>
      <c r="C2028" s="850"/>
      <c r="D2028" s="282"/>
      <c r="E2028" s="833"/>
    </row>
    <row r="2029" spans="1:5" x14ac:dyDescent="0.35">
      <c r="A2029" s="281"/>
      <c r="B2029" s="279"/>
      <c r="C2029" s="850"/>
      <c r="D2029" s="282"/>
      <c r="E2029" s="833"/>
    </row>
    <row r="2030" spans="1:5" x14ac:dyDescent="0.35">
      <c r="A2030" s="281"/>
      <c r="B2030" s="279"/>
      <c r="C2030" s="850"/>
      <c r="D2030" s="282"/>
      <c r="E2030" s="833"/>
    </row>
    <row r="2031" spans="1:5" x14ac:dyDescent="0.35">
      <c r="A2031" s="281"/>
      <c r="B2031" s="279"/>
      <c r="C2031" s="850"/>
      <c r="D2031" s="282"/>
      <c r="E2031" s="833"/>
    </row>
    <row r="2032" spans="1:5" x14ac:dyDescent="0.35">
      <c r="A2032" s="281"/>
      <c r="B2032" s="279"/>
      <c r="C2032" s="850"/>
      <c r="D2032" s="282"/>
      <c r="E2032" s="833"/>
    </row>
    <row r="2033" spans="1:5" x14ac:dyDescent="0.35">
      <c r="A2033" s="281"/>
      <c r="B2033" s="279"/>
      <c r="C2033" s="850"/>
      <c r="D2033" s="282"/>
      <c r="E2033" s="833"/>
    </row>
    <row r="2034" spans="1:5" x14ac:dyDescent="0.35">
      <c r="A2034" s="281"/>
      <c r="B2034" s="279"/>
      <c r="C2034" s="850"/>
      <c r="D2034" s="282"/>
      <c r="E2034" s="833"/>
    </row>
    <row r="2035" spans="1:5" x14ac:dyDescent="0.35">
      <c r="A2035" s="281"/>
      <c r="B2035" s="279"/>
      <c r="C2035" s="850"/>
      <c r="D2035" s="282"/>
      <c r="E2035" s="833"/>
    </row>
    <row r="2036" spans="1:5" x14ac:dyDescent="0.35">
      <c r="A2036" s="281"/>
      <c r="B2036" s="279"/>
      <c r="C2036" s="850"/>
      <c r="D2036" s="282"/>
      <c r="E2036" s="833"/>
    </row>
    <row r="2037" spans="1:5" x14ac:dyDescent="0.35">
      <c r="A2037" s="281"/>
      <c r="B2037" s="279"/>
      <c r="C2037" s="850"/>
      <c r="D2037" s="282"/>
      <c r="E2037" s="833"/>
    </row>
    <row r="2038" spans="1:5" x14ac:dyDescent="0.35">
      <c r="A2038" s="281"/>
      <c r="B2038" s="279"/>
      <c r="C2038" s="850"/>
      <c r="D2038" s="282"/>
      <c r="E2038" s="833"/>
    </row>
    <row r="2039" spans="1:5" x14ac:dyDescent="0.35">
      <c r="A2039" s="281"/>
      <c r="B2039" s="279"/>
      <c r="C2039" s="850"/>
      <c r="D2039" s="282"/>
      <c r="E2039" s="833"/>
    </row>
    <row r="2040" spans="1:5" x14ac:dyDescent="0.35">
      <c r="A2040" s="281"/>
      <c r="B2040" s="279"/>
      <c r="C2040" s="850"/>
      <c r="D2040" s="282"/>
      <c r="E2040" s="833"/>
    </row>
    <row r="2041" spans="1:5" x14ac:dyDescent="0.35">
      <c r="A2041" s="281"/>
      <c r="B2041" s="279"/>
      <c r="C2041" s="850"/>
      <c r="D2041" s="282"/>
      <c r="E2041" s="833"/>
    </row>
    <row r="2042" spans="1:5" x14ac:dyDescent="0.35">
      <c r="A2042" s="281"/>
      <c r="B2042" s="279"/>
      <c r="C2042" s="850"/>
      <c r="D2042" s="282"/>
      <c r="E2042" s="833"/>
    </row>
    <row r="2043" spans="1:5" x14ac:dyDescent="0.35">
      <c r="A2043" s="281"/>
      <c r="B2043" s="279"/>
      <c r="C2043" s="850"/>
      <c r="D2043" s="282"/>
      <c r="E2043" s="833"/>
    </row>
    <row r="2044" spans="1:5" x14ac:dyDescent="0.35">
      <c r="A2044" s="281"/>
      <c r="B2044" s="279"/>
      <c r="C2044" s="850"/>
      <c r="D2044" s="282"/>
      <c r="E2044" s="833"/>
    </row>
    <row r="2045" spans="1:5" x14ac:dyDescent="0.35">
      <c r="A2045" s="281"/>
      <c r="B2045" s="279"/>
      <c r="C2045" s="850"/>
      <c r="D2045" s="282"/>
      <c r="E2045" s="833"/>
    </row>
    <row r="2046" spans="1:5" x14ac:dyDescent="0.35">
      <c r="A2046" s="281"/>
      <c r="B2046" s="279"/>
      <c r="C2046" s="850"/>
      <c r="D2046" s="282"/>
      <c r="E2046" s="833"/>
    </row>
    <row r="2047" spans="1:5" x14ac:dyDescent="0.35">
      <c r="A2047" s="281"/>
      <c r="B2047" s="279"/>
      <c r="C2047" s="850"/>
      <c r="D2047" s="282"/>
      <c r="E2047" s="833"/>
    </row>
    <row r="2048" spans="1:5" x14ac:dyDescent="0.35">
      <c r="A2048" s="281"/>
      <c r="B2048" s="279"/>
      <c r="C2048" s="850"/>
      <c r="D2048" s="282"/>
      <c r="E2048" s="833"/>
    </row>
    <row r="2049" spans="1:5" x14ac:dyDescent="0.35">
      <c r="A2049" s="281"/>
      <c r="B2049" s="279"/>
      <c r="C2049" s="850"/>
      <c r="D2049" s="282"/>
      <c r="E2049" s="833"/>
    </row>
    <row r="2050" spans="1:5" x14ac:dyDescent="0.35">
      <c r="A2050" s="281"/>
      <c r="B2050" s="279"/>
      <c r="C2050" s="850"/>
      <c r="D2050" s="282"/>
      <c r="E2050" s="833"/>
    </row>
    <row r="2051" spans="1:5" x14ac:dyDescent="0.35">
      <c r="A2051" s="281"/>
      <c r="B2051" s="279"/>
      <c r="C2051" s="850"/>
      <c r="D2051" s="282"/>
      <c r="E2051" s="833"/>
    </row>
    <row r="2052" spans="1:5" x14ac:dyDescent="0.35">
      <c r="A2052" s="281"/>
      <c r="B2052" s="279"/>
      <c r="C2052" s="850"/>
      <c r="D2052" s="282"/>
      <c r="E2052" s="833"/>
    </row>
    <row r="2053" spans="1:5" x14ac:dyDescent="0.35">
      <c r="A2053" s="281"/>
      <c r="B2053" s="279"/>
      <c r="C2053" s="850"/>
      <c r="D2053" s="282"/>
      <c r="E2053" s="833"/>
    </row>
    <row r="2054" spans="1:5" x14ac:dyDescent="0.35">
      <c r="A2054" s="281"/>
      <c r="B2054" s="279"/>
      <c r="C2054" s="850"/>
      <c r="D2054" s="282"/>
      <c r="E2054" s="833"/>
    </row>
    <row r="2055" spans="1:5" x14ac:dyDescent="0.35">
      <c r="A2055" s="281"/>
      <c r="B2055" s="279"/>
      <c r="C2055" s="850"/>
      <c r="D2055" s="282"/>
      <c r="E2055" s="833"/>
    </row>
    <row r="2056" spans="1:5" x14ac:dyDescent="0.35">
      <c r="A2056" s="281"/>
      <c r="B2056" s="279"/>
      <c r="C2056" s="850"/>
      <c r="D2056" s="282"/>
      <c r="E2056" s="833"/>
    </row>
    <row r="2057" spans="1:5" x14ac:dyDescent="0.35">
      <c r="A2057" s="281"/>
      <c r="B2057" s="279"/>
      <c r="C2057" s="850"/>
      <c r="D2057" s="282"/>
      <c r="E2057" s="833"/>
    </row>
    <row r="2058" spans="1:5" x14ac:dyDescent="0.35">
      <c r="A2058" s="281"/>
      <c r="B2058" s="279"/>
      <c r="C2058" s="850"/>
      <c r="D2058" s="282"/>
      <c r="E2058" s="833"/>
    </row>
    <row r="2059" spans="1:5" x14ac:dyDescent="0.35">
      <c r="A2059" s="281"/>
      <c r="B2059" s="279"/>
      <c r="C2059" s="850"/>
      <c r="D2059" s="282"/>
      <c r="E2059" s="833"/>
    </row>
    <row r="2060" spans="1:5" x14ac:dyDescent="0.35">
      <c r="A2060" s="281"/>
      <c r="B2060" s="279"/>
      <c r="C2060" s="850"/>
      <c r="D2060" s="282"/>
      <c r="E2060" s="833"/>
    </row>
    <row r="2061" spans="1:5" x14ac:dyDescent="0.35">
      <c r="A2061" s="281"/>
      <c r="B2061" s="279"/>
      <c r="C2061" s="850"/>
      <c r="D2061" s="282"/>
      <c r="E2061" s="833"/>
    </row>
    <row r="2062" spans="1:5" x14ac:dyDescent="0.35">
      <c r="A2062" s="281"/>
      <c r="B2062" s="279"/>
      <c r="C2062" s="850"/>
      <c r="D2062" s="282"/>
      <c r="E2062" s="833"/>
    </row>
    <row r="2063" spans="1:5" x14ac:dyDescent="0.35">
      <c r="A2063" s="281"/>
      <c r="B2063" s="279"/>
      <c r="C2063" s="850"/>
      <c r="D2063" s="282"/>
      <c r="E2063" s="833"/>
    </row>
    <row r="2064" spans="1:5" x14ac:dyDescent="0.35">
      <c r="A2064" s="281"/>
      <c r="B2064" s="279"/>
      <c r="C2064" s="850"/>
      <c r="D2064" s="282"/>
      <c r="E2064" s="833"/>
    </row>
    <row r="2065" spans="1:5" x14ac:dyDescent="0.35">
      <c r="A2065" s="281"/>
      <c r="B2065" s="279"/>
      <c r="C2065" s="850"/>
      <c r="D2065" s="282"/>
      <c r="E2065" s="833"/>
    </row>
    <row r="2066" spans="1:5" x14ac:dyDescent="0.35">
      <c r="A2066" s="281"/>
      <c r="B2066" s="279"/>
      <c r="C2066" s="850"/>
      <c r="D2066" s="282"/>
      <c r="E2066" s="833"/>
    </row>
    <row r="2067" spans="1:5" x14ac:dyDescent="0.35">
      <c r="A2067" s="281"/>
      <c r="B2067" s="279"/>
      <c r="C2067" s="850"/>
      <c r="D2067" s="282"/>
      <c r="E2067" s="833"/>
    </row>
    <row r="2068" spans="1:5" x14ac:dyDescent="0.35">
      <c r="A2068" s="281"/>
      <c r="B2068" s="279"/>
      <c r="C2068" s="850"/>
      <c r="D2068" s="282"/>
      <c r="E2068" s="833"/>
    </row>
    <row r="2069" spans="1:5" x14ac:dyDescent="0.35">
      <c r="A2069" s="281"/>
      <c r="B2069" s="279"/>
      <c r="C2069" s="850"/>
      <c r="D2069" s="282"/>
      <c r="E2069" s="833"/>
    </row>
    <row r="2070" spans="1:5" x14ac:dyDescent="0.35">
      <c r="A2070" s="281"/>
      <c r="B2070" s="279"/>
      <c r="C2070" s="850"/>
      <c r="D2070" s="282"/>
      <c r="E2070" s="833"/>
    </row>
    <row r="2071" spans="1:5" x14ac:dyDescent="0.35">
      <c r="A2071" s="281"/>
      <c r="B2071" s="279"/>
      <c r="C2071" s="850"/>
      <c r="D2071" s="282"/>
      <c r="E2071" s="833"/>
    </row>
    <row r="2072" spans="1:5" x14ac:dyDescent="0.35">
      <c r="A2072" s="281"/>
      <c r="B2072" s="279"/>
      <c r="C2072" s="850"/>
      <c r="D2072" s="282"/>
      <c r="E2072" s="833"/>
    </row>
    <row r="2073" spans="1:5" x14ac:dyDescent="0.35">
      <c r="A2073" s="281"/>
      <c r="B2073" s="279"/>
      <c r="C2073" s="850"/>
      <c r="D2073" s="282"/>
      <c r="E2073" s="833"/>
    </row>
    <row r="2074" spans="1:5" x14ac:dyDescent="0.35">
      <c r="A2074" s="281"/>
      <c r="B2074" s="279"/>
      <c r="C2074" s="850"/>
      <c r="D2074" s="282"/>
      <c r="E2074" s="833"/>
    </row>
    <row r="2075" spans="1:5" x14ac:dyDescent="0.35">
      <c r="A2075" s="281"/>
      <c r="B2075" s="279"/>
      <c r="C2075" s="850"/>
      <c r="D2075" s="282"/>
      <c r="E2075" s="833"/>
    </row>
    <row r="2076" spans="1:5" x14ac:dyDescent="0.35">
      <c r="A2076" s="281"/>
      <c r="B2076" s="279"/>
      <c r="C2076" s="850"/>
      <c r="D2076" s="282"/>
      <c r="E2076" s="833"/>
    </row>
    <row r="2077" spans="1:5" x14ac:dyDescent="0.35">
      <c r="A2077" s="281"/>
      <c r="B2077" s="279"/>
      <c r="C2077" s="850"/>
      <c r="D2077" s="282"/>
      <c r="E2077" s="833"/>
    </row>
    <row r="2078" spans="1:5" x14ac:dyDescent="0.35">
      <c r="A2078" s="281"/>
      <c r="B2078" s="279"/>
      <c r="C2078" s="850"/>
      <c r="D2078" s="282"/>
      <c r="E2078" s="833"/>
    </row>
    <row r="2079" spans="1:5" x14ac:dyDescent="0.35">
      <c r="A2079" s="281"/>
      <c r="B2079" s="279"/>
      <c r="C2079" s="850"/>
      <c r="D2079" s="282"/>
      <c r="E2079" s="833"/>
    </row>
    <row r="2080" spans="1:5" x14ac:dyDescent="0.35">
      <c r="A2080" s="281"/>
      <c r="B2080" s="279"/>
      <c r="C2080" s="850"/>
      <c r="D2080" s="282"/>
      <c r="E2080" s="833"/>
    </row>
    <row r="2081" spans="1:5" x14ac:dyDescent="0.35">
      <c r="A2081" s="281"/>
      <c r="B2081" s="279"/>
      <c r="C2081" s="850"/>
      <c r="D2081" s="282"/>
      <c r="E2081" s="833"/>
    </row>
    <row r="2082" spans="1:5" x14ac:dyDescent="0.35">
      <c r="A2082" s="281"/>
      <c r="B2082" s="279"/>
      <c r="C2082" s="850"/>
      <c r="D2082" s="282"/>
      <c r="E2082" s="833"/>
    </row>
    <row r="2083" spans="1:5" x14ac:dyDescent="0.35">
      <c r="A2083" s="281"/>
      <c r="B2083" s="279"/>
      <c r="C2083" s="850"/>
      <c r="D2083" s="282"/>
      <c r="E2083" s="833"/>
    </row>
    <row r="2084" spans="1:5" x14ac:dyDescent="0.35">
      <c r="A2084" s="281"/>
      <c r="B2084" s="279"/>
      <c r="C2084" s="850"/>
      <c r="D2084" s="282"/>
      <c r="E2084" s="833"/>
    </row>
    <row r="2085" spans="1:5" x14ac:dyDescent="0.35">
      <c r="A2085" s="281"/>
      <c r="B2085" s="279"/>
      <c r="C2085" s="850"/>
      <c r="D2085" s="282"/>
      <c r="E2085" s="833"/>
    </row>
    <row r="2086" spans="1:5" x14ac:dyDescent="0.35">
      <c r="A2086" s="281"/>
      <c r="B2086" s="279"/>
      <c r="C2086" s="850"/>
      <c r="D2086" s="282"/>
      <c r="E2086" s="833"/>
    </row>
    <row r="2087" spans="1:5" x14ac:dyDescent="0.35">
      <c r="A2087" s="281"/>
      <c r="B2087" s="279"/>
      <c r="C2087" s="850"/>
      <c r="D2087" s="282"/>
      <c r="E2087" s="833"/>
    </row>
    <row r="2088" spans="1:5" x14ac:dyDescent="0.35">
      <c r="A2088" s="281"/>
      <c r="B2088" s="279"/>
      <c r="C2088" s="850"/>
      <c r="D2088" s="282"/>
      <c r="E2088" s="833"/>
    </row>
    <row r="2089" spans="1:5" x14ac:dyDescent="0.35">
      <c r="A2089" s="281"/>
      <c r="B2089" s="279"/>
      <c r="C2089" s="850"/>
      <c r="D2089" s="282"/>
      <c r="E2089" s="833"/>
    </row>
    <row r="2090" spans="1:5" x14ac:dyDescent="0.35">
      <c r="A2090" s="281"/>
      <c r="B2090" s="279"/>
      <c r="C2090" s="850"/>
      <c r="D2090" s="282"/>
      <c r="E2090" s="833"/>
    </row>
    <row r="2091" spans="1:5" x14ac:dyDescent="0.35">
      <c r="A2091" s="281"/>
      <c r="B2091" s="279"/>
      <c r="C2091" s="850"/>
      <c r="D2091" s="282"/>
      <c r="E2091" s="833"/>
    </row>
    <row r="2092" spans="1:5" x14ac:dyDescent="0.35">
      <c r="A2092" s="281"/>
      <c r="B2092" s="279"/>
      <c r="C2092" s="850"/>
      <c r="D2092" s="282"/>
      <c r="E2092" s="833"/>
    </row>
    <row r="2093" spans="1:5" x14ac:dyDescent="0.35">
      <c r="A2093" s="281"/>
      <c r="B2093" s="279"/>
      <c r="C2093" s="850"/>
      <c r="D2093" s="282"/>
      <c r="E2093" s="833"/>
    </row>
    <row r="2094" spans="1:5" x14ac:dyDescent="0.35">
      <c r="A2094" s="281"/>
      <c r="B2094" s="279"/>
      <c r="C2094" s="850"/>
      <c r="D2094" s="282"/>
      <c r="E2094" s="833"/>
    </row>
    <row r="2095" spans="1:5" x14ac:dyDescent="0.35">
      <c r="A2095" s="281"/>
      <c r="B2095" s="279"/>
      <c r="C2095" s="850"/>
      <c r="D2095" s="282"/>
      <c r="E2095" s="833"/>
    </row>
    <row r="2096" spans="1:5" x14ac:dyDescent="0.35">
      <c r="A2096" s="281"/>
      <c r="B2096" s="279"/>
      <c r="C2096" s="850"/>
      <c r="D2096" s="282"/>
      <c r="E2096" s="833"/>
    </row>
    <row r="2097" spans="1:5" x14ac:dyDescent="0.35">
      <c r="A2097" s="281"/>
      <c r="B2097" s="279"/>
      <c r="C2097" s="850"/>
      <c r="D2097" s="282"/>
      <c r="E2097" s="833"/>
    </row>
    <row r="2098" spans="1:5" x14ac:dyDescent="0.35">
      <c r="A2098" s="281"/>
      <c r="B2098" s="279"/>
      <c r="C2098" s="850"/>
      <c r="D2098" s="282"/>
      <c r="E2098" s="833"/>
    </row>
    <row r="2099" spans="1:5" x14ac:dyDescent="0.35">
      <c r="A2099" s="281"/>
      <c r="B2099" s="279"/>
      <c r="C2099" s="850"/>
      <c r="D2099" s="282"/>
      <c r="E2099" s="833"/>
    </row>
    <row r="2100" spans="1:5" x14ac:dyDescent="0.35">
      <c r="A2100" s="281"/>
      <c r="B2100" s="279"/>
      <c r="C2100" s="850"/>
      <c r="D2100" s="282"/>
      <c r="E2100" s="833"/>
    </row>
    <row r="2101" spans="1:5" x14ac:dyDescent="0.35">
      <c r="A2101" s="281"/>
      <c r="B2101" s="279"/>
      <c r="C2101" s="850"/>
      <c r="D2101" s="282"/>
      <c r="E2101" s="833"/>
    </row>
    <row r="2102" spans="1:5" x14ac:dyDescent="0.35">
      <c r="A2102" s="281"/>
      <c r="B2102" s="279"/>
      <c r="C2102" s="850"/>
      <c r="D2102" s="282"/>
      <c r="E2102" s="833"/>
    </row>
    <row r="2103" spans="1:5" x14ac:dyDescent="0.35">
      <c r="A2103" s="281"/>
      <c r="B2103" s="279"/>
      <c r="C2103" s="850"/>
      <c r="D2103" s="282"/>
      <c r="E2103" s="833"/>
    </row>
    <row r="2104" spans="1:5" x14ac:dyDescent="0.35">
      <c r="A2104" s="281"/>
      <c r="B2104" s="279"/>
      <c r="C2104" s="850"/>
      <c r="D2104" s="282"/>
      <c r="E2104" s="833"/>
    </row>
    <row r="2105" spans="1:5" x14ac:dyDescent="0.35">
      <c r="A2105" s="281"/>
      <c r="B2105" s="279"/>
      <c r="C2105" s="850"/>
      <c r="D2105" s="282"/>
      <c r="E2105" s="833"/>
    </row>
    <row r="2106" spans="1:5" x14ac:dyDescent="0.35">
      <c r="A2106" s="281"/>
      <c r="B2106" s="279"/>
      <c r="C2106" s="850"/>
      <c r="D2106" s="282"/>
      <c r="E2106" s="833"/>
    </row>
    <row r="2107" spans="1:5" x14ac:dyDescent="0.35">
      <c r="A2107" s="281"/>
      <c r="B2107" s="279"/>
      <c r="C2107" s="850"/>
      <c r="D2107" s="282"/>
      <c r="E2107" s="833"/>
    </row>
    <row r="2108" spans="1:5" x14ac:dyDescent="0.35">
      <c r="A2108" s="281"/>
      <c r="B2108" s="279"/>
      <c r="C2108" s="850"/>
      <c r="D2108" s="282"/>
      <c r="E2108" s="833"/>
    </row>
    <row r="2109" spans="1:5" x14ac:dyDescent="0.35">
      <c r="A2109" s="281"/>
      <c r="B2109" s="279"/>
      <c r="C2109" s="850"/>
      <c r="D2109" s="282"/>
      <c r="E2109" s="833"/>
    </row>
    <row r="2110" spans="1:5" x14ac:dyDescent="0.35">
      <c r="A2110" s="281"/>
      <c r="B2110" s="279"/>
      <c r="C2110" s="850"/>
      <c r="D2110" s="282"/>
      <c r="E2110" s="833"/>
    </row>
    <row r="2111" spans="1:5" x14ac:dyDescent="0.35">
      <c r="A2111" s="281"/>
      <c r="B2111" s="279"/>
      <c r="C2111" s="850"/>
      <c r="D2111" s="282"/>
      <c r="E2111" s="833"/>
    </row>
    <row r="2112" spans="1:5" x14ac:dyDescent="0.35">
      <c r="A2112" s="281"/>
      <c r="B2112" s="279"/>
      <c r="C2112" s="850"/>
      <c r="D2112" s="282"/>
      <c r="E2112" s="833"/>
    </row>
    <row r="2113" spans="1:5" x14ac:dyDescent="0.35">
      <c r="A2113" s="281"/>
      <c r="B2113" s="279"/>
      <c r="C2113" s="850"/>
      <c r="D2113" s="282"/>
      <c r="E2113" s="833"/>
    </row>
    <row r="2114" spans="1:5" x14ac:dyDescent="0.35">
      <c r="A2114" s="281"/>
      <c r="B2114" s="279"/>
      <c r="C2114" s="850"/>
      <c r="D2114" s="282"/>
      <c r="E2114" s="833"/>
    </row>
    <row r="2115" spans="1:5" x14ac:dyDescent="0.35">
      <c r="A2115" s="281"/>
      <c r="B2115" s="279"/>
      <c r="C2115" s="850"/>
      <c r="D2115" s="282"/>
      <c r="E2115" s="833"/>
    </row>
    <row r="2116" spans="1:5" x14ac:dyDescent="0.35">
      <c r="A2116" s="281"/>
      <c r="B2116" s="279"/>
      <c r="C2116" s="850"/>
      <c r="D2116" s="282"/>
      <c r="E2116" s="833"/>
    </row>
    <row r="2117" spans="1:5" x14ac:dyDescent="0.35">
      <c r="A2117" s="281"/>
      <c r="B2117" s="279"/>
      <c r="C2117" s="850"/>
      <c r="D2117" s="282"/>
      <c r="E2117" s="833"/>
    </row>
    <row r="2118" spans="1:5" x14ac:dyDescent="0.35">
      <c r="A2118" s="281"/>
      <c r="B2118" s="279"/>
      <c r="C2118" s="850"/>
      <c r="D2118" s="282"/>
      <c r="E2118" s="833"/>
    </row>
    <row r="2119" spans="1:5" x14ac:dyDescent="0.35">
      <c r="A2119" s="281"/>
      <c r="B2119" s="279"/>
      <c r="C2119" s="850"/>
      <c r="D2119" s="282"/>
      <c r="E2119" s="833"/>
    </row>
    <row r="2120" spans="1:5" x14ac:dyDescent="0.35">
      <c r="A2120" s="281"/>
      <c r="B2120" s="279"/>
      <c r="C2120" s="850"/>
      <c r="D2120" s="282"/>
      <c r="E2120" s="833"/>
    </row>
    <row r="2121" spans="1:5" x14ac:dyDescent="0.35">
      <c r="A2121" s="281"/>
      <c r="B2121" s="279"/>
      <c r="C2121" s="850"/>
      <c r="D2121" s="282"/>
      <c r="E2121" s="833"/>
    </row>
    <row r="2122" spans="1:5" x14ac:dyDescent="0.35">
      <c r="A2122" s="281"/>
      <c r="B2122" s="279"/>
      <c r="C2122" s="850"/>
      <c r="D2122" s="282"/>
      <c r="E2122" s="833"/>
    </row>
    <row r="2123" spans="1:5" x14ac:dyDescent="0.35">
      <c r="A2123" s="281"/>
      <c r="B2123" s="279"/>
      <c r="C2123" s="850"/>
      <c r="D2123" s="282"/>
      <c r="E2123" s="833"/>
    </row>
    <row r="2124" spans="1:5" x14ac:dyDescent="0.35">
      <c r="A2124" s="281"/>
      <c r="B2124" s="279"/>
      <c r="C2124" s="850"/>
      <c r="D2124" s="282"/>
      <c r="E2124" s="833"/>
    </row>
    <row r="2125" spans="1:5" x14ac:dyDescent="0.35">
      <c r="A2125" s="281"/>
      <c r="B2125" s="279"/>
      <c r="C2125" s="850"/>
      <c r="D2125" s="282"/>
      <c r="E2125" s="833"/>
    </row>
    <row r="2126" spans="1:5" x14ac:dyDescent="0.35">
      <c r="A2126" s="281"/>
      <c r="B2126" s="279"/>
      <c r="C2126" s="850"/>
      <c r="D2126" s="282"/>
      <c r="E2126" s="833"/>
    </row>
    <row r="2127" spans="1:5" x14ac:dyDescent="0.35">
      <c r="A2127" s="281"/>
      <c r="B2127" s="279"/>
      <c r="C2127" s="850"/>
      <c r="D2127" s="282"/>
      <c r="E2127" s="833"/>
    </row>
    <row r="2128" spans="1:5" x14ac:dyDescent="0.35">
      <c r="A2128" s="281"/>
      <c r="B2128" s="279"/>
      <c r="C2128" s="850"/>
      <c r="D2128" s="282"/>
      <c r="E2128" s="833"/>
    </row>
    <row r="2129" spans="1:5" x14ac:dyDescent="0.35">
      <c r="A2129" s="281"/>
      <c r="B2129" s="279"/>
      <c r="C2129" s="850"/>
      <c r="D2129" s="282"/>
      <c r="E2129" s="833"/>
    </row>
    <row r="2130" spans="1:5" x14ac:dyDescent="0.35">
      <c r="A2130" s="281"/>
      <c r="B2130" s="279"/>
      <c r="C2130" s="850"/>
      <c r="D2130" s="282"/>
      <c r="E2130" s="833"/>
    </row>
    <row r="2131" spans="1:5" x14ac:dyDescent="0.35">
      <c r="A2131" s="281"/>
      <c r="B2131" s="279"/>
      <c r="C2131" s="850"/>
      <c r="D2131" s="282"/>
      <c r="E2131" s="833"/>
    </row>
    <row r="2132" spans="1:5" x14ac:dyDescent="0.35">
      <c r="A2132" s="281"/>
      <c r="B2132" s="279"/>
      <c r="C2132" s="850"/>
      <c r="D2132" s="282"/>
      <c r="E2132" s="833"/>
    </row>
    <row r="2133" spans="1:5" x14ac:dyDescent="0.35">
      <c r="A2133" s="281"/>
      <c r="B2133" s="279"/>
      <c r="C2133" s="850"/>
      <c r="D2133" s="282"/>
      <c r="E2133" s="833"/>
    </row>
    <row r="2134" spans="1:5" x14ac:dyDescent="0.35">
      <c r="A2134" s="281"/>
      <c r="B2134" s="279"/>
      <c r="C2134" s="850"/>
      <c r="D2134" s="282"/>
      <c r="E2134" s="833"/>
    </row>
    <row r="2135" spans="1:5" x14ac:dyDescent="0.35">
      <c r="A2135" s="281"/>
      <c r="B2135" s="279"/>
      <c r="C2135" s="850"/>
      <c r="D2135" s="282"/>
      <c r="E2135" s="833"/>
    </row>
    <row r="2136" spans="1:5" x14ac:dyDescent="0.35">
      <c r="A2136" s="281"/>
      <c r="B2136" s="279"/>
      <c r="C2136" s="850"/>
      <c r="D2136" s="282"/>
      <c r="E2136" s="833"/>
    </row>
    <row r="2137" spans="1:5" x14ac:dyDescent="0.35">
      <c r="A2137" s="281"/>
      <c r="B2137" s="279"/>
      <c r="C2137" s="850"/>
      <c r="D2137" s="282"/>
      <c r="E2137" s="833"/>
    </row>
    <row r="2138" spans="1:5" x14ac:dyDescent="0.35">
      <c r="A2138" s="281"/>
      <c r="B2138" s="279"/>
      <c r="C2138" s="850"/>
      <c r="D2138" s="282"/>
      <c r="E2138" s="833"/>
    </row>
    <row r="2139" spans="1:5" x14ac:dyDescent="0.35">
      <c r="A2139" s="281"/>
      <c r="B2139" s="279"/>
      <c r="C2139" s="850"/>
      <c r="D2139" s="282"/>
      <c r="E2139" s="833"/>
    </row>
    <row r="2140" spans="1:5" x14ac:dyDescent="0.35">
      <c r="A2140" s="281"/>
      <c r="B2140" s="279"/>
      <c r="C2140" s="850"/>
      <c r="D2140" s="282"/>
      <c r="E2140" s="833"/>
    </row>
    <row r="2141" spans="1:5" x14ac:dyDescent="0.35">
      <c r="A2141" s="281"/>
      <c r="B2141" s="279"/>
      <c r="C2141" s="850"/>
      <c r="D2141" s="282"/>
      <c r="E2141" s="833"/>
    </row>
    <row r="2142" spans="1:5" x14ac:dyDescent="0.35">
      <c r="A2142" s="281"/>
      <c r="B2142" s="279"/>
      <c r="C2142" s="850"/>
      <c r="D2142" s="282"/>
      <c r="E2142" s="833"/>
    </row>
    <row r="2143" spans="1:5" x14ac:dyDescent="0.35">
      <c r="A2143" s="281"/>
      <c r="B2143" s="279"/>
      <c r="C2143" s="850"/>
      <c r="D2143" s="282"/>
      <c r="E2143" s="833"/>
    </row>
    <row r="2144" spans="1:5" x14ac:dyDescent="0.35">
      <c r="A2144" s="281"/>
      <c r="B2144" s="279"/>
      <c r="C2144" s="850"/>
      <c r="D2144" s="282"/>
      <c r="E2144" s="833"/>
    </row>
    <row r="2145" spans="1:5" x14ac:dyDescent="0.35">
      <c r="A2145" s="281"/>
      <c r="B2145" s="279"/>
      <c r="C2145" s="850"/>
      <c r="D2145" s="282"/>
      <c r="E2145" s="833"/>
    </row>
    <row r="2146" spans="1:5" x14ac:dyDescent="0.35">
      <c r="A2146" s="281"/>
      <c r="B2146" s="279"/>
      <c r="C2146" s="850"/>
      <c r="D2146" s="282"/>
      <c r="E2146" s="833"/>
    </row>
    <row r="2147" spans="1:5" x14ac:dyDescent="0.35">
      <c r="A2147" s="281"/>
      <c r="B2147" s="279"/>
      <c r="C2147" s="850"/>
      <c r="D2147" s="282"/>
      <c r="E2147" s="833"/>
    </row>
    <row r="2148" spans="1:5" x14ac:dyDescent="0.35">
      <c r="A2148" s="281"/>
      <c r="B2148" s="279"/>
      <c r="C2148" s="850"/>
      <c r="D2148" s="282"/>
      <c r="E2148" s="833"/>
    </row>
    <row r="2149" spans="1:5" x14ac:dyDescent="0.35">
      <c r="A2149" s="281"/>
      <c r="B2149" s="279"/>
      <c r="C2149" s="850"/>
      <c r="D2149" s="282"/>
      <c r="E2149" s="833"/>
    </row>
    <row r="2150" spans="1:5" x14ac:dyDescent="0.35">
      <c r="A2150" s="281"/>
      <c r="B2150" s="279"/>
      <c r="C2150" s="850"/>
      <c r="D2150" s="282"/>
      <c r="E2150" s="833"/>
    </row>
    <row r="2151" spans="1:5" x14ac:dyDescent="0.35">
      <c r="A2151" s="281"/>
      <c r="B2151" s="279"/>
      <c r="C2151" s="850"/>
      <c r="D2151" s="282"/>
      <c r="E2151" s="833"/>
    </row>
    <row r="2152" spans="1:5" x14ac:dyDescent="0.35">
      <c r="A2152" s="281"/>
      <c r="B2152" s="279"/>
      <c r="C2152" s="850"/>
      <c r="D2152" s="282"/>
      <c r="E2152" s="833"/>
    </row>
    <row r="2153" spans="1:5" x14ac:dyDescent="0.35">
      <c r="A2153" s="281"/>
      <c r="B2153" s="279"/>
      <c r="C2153" s="850"/>
      <c r="D2153" s="282"/>
      <c r="E2153" s="833"/>
    </row>
    <row r="2154" spans="1:5" x14ac:dyDescent="0.35">
      <c r="A2154" s="281"/>
      <c r="B2154" s="279"/>
      <c r="C2154" s="850"/>
      <c r="D2154" s="282"/>
      <c r="E2154" s="833"/>
    </row>
    <row r="2155" spans="1:5" x14ac:dyDescent="0.35">
      <c r="A2155" s="281"/>
      <c r="B2155" s="279"/>
      <c r="C2155" s="850"/>
      <c r="D2155" s="282"/>
      <c r="E2155" s="833"/>
    </row>
    <row r="2156" spans="1:5" x14ac:dyDescent="0.35">
      <c r="A2156" s="281"/>
      <c r="B2156" s="279"/>
      <c r="C2156" s="850"/>
      <c r="D2156" s="282"/>
      <c r="E2156" s="833"/>
    </row>
    <row r="2157" spans="1:5" x14ac:dyDescent="0.35">
      <c r="A2157" s="281"/>
      <c r="B2157" s="279"/>
      <c r="C2157" s="850"/>
      <c r="D2157" s="282"/>
      <c r="E2157" s="833"/>
    </row>
    <row r="2158" spans="1:5" x14ac:dyDescent="0.35">
      <c r="A2158" s="281"/>
      <c r="B2158" s="279"/>
      <c r="C2158" s="850"/>
      <c r="D2158" s="282"/>
      <c r="E2158" s="833"/>
    </row>
    <row r="2159" spans="1:5" x14ac:dyDescent="0.35">
      <c r="A2159" s="281"/>
      <c r="B2159" s="279"/>
      <c r="C2159" s="850"/>
      <c r="D2159" s="282"/>
      <c r="E2159" s="833"/>
    </row>
    <row r="2160" spans="1:5" x14ac:dyDescent="0.35">
      <c r="A2160" s="281"/>
      <c r="B2160" s="279"/>
      <c r="C2160" s="850"/>
      <c r="D2160" s="282"/>
      <c r="E2160" s="833"/>
    </row>
    <row r="2161" spans="1:5" x14ac:dyDescent="0.35">
      <c r="A2161" s="281"/>
      <c r="B2161" s="279"/>
      <c r="C2161" s="850"/>
      <c r="D2161" s="282"/>
      <c r="E2161" s="833"/>
    </row>
    <row r="2162" spans="1:5" x14ac:dyDescent="0.35">
      <c r="A2162" s="281"/>
      <c r="B2162" s="279"/>
      <c r="C2162" s="850"/>
      <c r="D2162" s="282"/>
      <c r="E2162" s="833"/>
    </row>
    <row r="2163" spans="1:5" x14ac:dyDescent="0.35">
      <c r="A2163" s="281"/>
      <c r="B2163" s="279"/>
      <c r="C2163" s="850"/>
      <c r="D2163" s="282"/>
      <c r="E2163" s="833"/>
    </row>
    <row r="2164" spans="1:5" x14ac:dyDescent="0.35">
      <c r="A2164" s="281"/>
      <c r="B2164" s="279"/>
      <c r="C2164" s="850"/>
      <c r="D2164" s="282"/>
      <c r="E2164" s="833"/>
    </row>
    <row r="2165" spans="1:5" x14ac:dyDescent="0.35">
      <c r="A2165" s="281"/>
      <c r="B2165" s="279"/>
      <c r="C2165" s="850"/>
      <c r="D2165" s="282"/>
      <c r="E2165" s="833"/>
    </row>
    <row r="2166" spans="1:5" x14ac:dyDescent="0.35">
      <c r="A2166" s="281"/>
      <c r="B2166" s="279"/>
      <c r="C2166" s="850"/>
      <c r="D2166" s="282"/>
      <c r="E2166" s="833"/>
    </row>
    <row r="2167" spans="1:5" x14ac:dyDescent="0.35">
      <c r="A2167" s="281"/>
      <c r="B2167" s="279"/>
      <c r="C2167" s="850"/>
      <c r="D2167" s="282"/>
      <c r="E2167" s="833"/>
    </row>
    <row r="2168" spans="1:5" x14ac:dyDescent="0.35">
      <c r="A2168" s="281"/>
      <c r="B2168" s="279"/>
      <c r="C2168" s="850"/>
      <c r="D2168" s="282"/>
      <c r="E2168" s="833"/>
    </row>
    <row r="2169" spans="1:5" x14ac:dyDescent="0.35">
      <c r="A2169" s="281"/>
      <c r="B2169" s="279"/>
      <c r="C2169" s="850"/>
      <c r="D2169" s="282"/>
      <c r="E2169" s="833"/>
    </row>
    <row r="2170" spans="1:5" x14ac:dyDescent="0.35">
      <c r="A2170" s="281"/>
      <c r="B2170" s="279"/>
      <c r="C2170" s="850"/>
      <c r="D2170" s="282"/>
      <c r="E2170" s="833"/>
    </row>
    <row r="2171" spans="1:5" x14ac:dyDescent="0.35">
      <c r="A2171" s="281"/>
      <c r="B2171" s="279"/>
      <c r="C2171" s="850"/>
      <c r="D2171" s="282"/>
      <c r="E2171" s="833"/>
    </row>
    <row r="2172" spans="1:5" x14ac:dyDescent="0.35">
      <c r="A2172" s="281"/>
      <c r="B2172" s="279"/>
      <c r="C2172" s="850"/>
      <c r="D2172" s="282"/>
      <c r="E2172" s="833"/>
    </row>
    <row r="2173" spans="1:5" x14ac:dyDescent="0.35">
      <c r="A2173" s="281"/>
      <c r="B2173" s="279"/>
      <c r="C2173" s="850"/>
      <c r="D2173" s="282"/>
      <c r="E2173" s="833"/>
    </row>
    <row r="2174" spans="1:5" x14ac:dyDescent="0.35">
      <c r="A2174" s="281"/>
      <c r="B2174" s="279"/>
      <c r="C2174" s="850"/>
      <c r="D2174" s="282"/>
      <c r="E2174" s="833"/>
    </row>
    <row r="2175" spans="1:5" x14ac:dyDescent="0.35">
      <c r="A2175" s="281"/>
      <c r="B2175" s="279"/>
      <c r="C2175" s="850"/>
      <c r="D2175" s="282"/>
      <c r="E2175" s="833"/>
    </row>
    <row r="2176" spans="1:5" x14ac:dyDescent="0.35">
      <c r="A2176" s="281"/>
      <c r="B2176" s="279"/>
      <c r="C2176" s="850"/>
      <c r="D2176" s="282"/>
      <c r="E2176" s="833"/>
    </row>
    <row r="2177" spans="1:5" x14ac:dyDescent="0.35">
      <c r="A2177" s="281"/>
      <c r="B2177" s="279"/>
      <c r="C2177" s="850"/>
      <c r="D2177" s="282"/>
      <c r="E2177" s="833"/>
    </row>
    <row r="2178" spans="1:5" x14ac:dyDescent="0.35">
      <c r="A2178" s="281"/>
      <c r="B2178" s="279"/>
      <c r="C2178" s="850"/>
      <c r="D2178" s="282"/>
      <c r="E2178" s="833"/>
    </row>
    <row r="2179" spans="1:5" x14ac:dyDescent="0.35">
      <c r="A2179" s="281"/>
      <c r="B2179" s="279"/>
      <c r="C2179" s="850"/>
      <c r="D2179" s="282"/>
      <c r="E2179" s="833"/>
    </row>
    <row r="2180" spans="1:5" x14ac:dyDescent="0.35">
      <c r="A2180" s="281"/>
      <c r="B2180" s="279"/>
      <c r="C2180" s="850"/>
      <c r="D2180" s="282"/>
      <c r="E2180" s="833"/>
    </row>
    <row r="2181" spans="1:5" x14ac:dyDescent="0.35">
      <c r="A2181" s="281"/>
      <c r="B2181" s="279"/>
      <c r="C2181" s="850"/>
      <c r="D2181" s="282"/>
      <c r="E2181" s="833"/>
    </row>
    <row r="2182" spans="1:5" x14ac:dyDescent="0.35">
      <c r="A2182" s="281"/>
      <c r="B2182" s="279"/>
      <c r="C2182" s="850"/>
      <c r="D2182" s="282"/>
      <c r="E2182" s="833"/>
    </row>
    <row r="2183" spans="1:5" x14ac:dyDescent="0.35">
      <c r="A2183" s="281"/>
      <c r="B2183" s="279"/>
      <c r="C2183" s="850"/>
      <c r="D2183" s="282"/>
      <c r="E2183" s="833"/>
    </row>
    <row r="2184" spans="1:5" x14ac:dyDescent="0.35">
      <c r="A2184" s="281"/>
      <c r="B2184" s="279"/>
      <c r="C2184" s="850"/>
      <c r="D2184" s="282"/>
      <c r="E2184" s="833"/>
    </row>
    <row r="2185" spans="1:5" x14ac:dyDescent="0.35">
      <c r="A2185" s="281"/>
      <c r="B2185" s="279"/>
      <c r="C2185" s="850"/>
      <c r="D2185" s="282"/>
      <c r="E2185" s="833"/>
    </row>
    <row r="2186" spans="1:5" x14ac:dyDescent="0.35">
      <c r="A2186" s="281"/>
      <c r="B2186" s="279"/>
      <c r="C2186" s="850"/>
      <c r="D2186" s="282"/>
      <c r="E2186" s="833"/>
    </row>
    <row r="2187" spans="1:5" x14ac:dyDescent="0.35">
      <c r="A2187" s="281"/>
      <c r="B2187" s="279"/>
      <c r="C2187" s="850"/>
      <c r="D2187" s="282"/>
      <c r="E2187" s="833"/>
    </row>
    <row r="2188" spans="1:5" x14ac:dyDescent="0.35">
      <c r="A2188" s="281"/>
      <c r="B2188" s="279"/>
      <c r="C2188" s="850"/>
      <c r="D2188" s="282"/>
      <c r="E2188" s="833"/>
    </row>
    <row r="2189" spans="1:5" x14ac:dyDescent="0.35">
      <c r="A2189" s="281"/>
      <c r="B2189" s="279"/>
      <c r="C2189" s="850"/>
      <c r="D2189" s="282"/>
      <c r="E2189" s="833"/>
    </row>
    <row r="2190" spans="1:5" x14ac:dyDescent="0.35">
      <c r="A2190" s="281"/>
      <c r="B2190" s="279"/>
      <c r="C2190" s="850"/>
      <c r="D2190" s="282"/>
      <c r="E2190" s="833"/>
    </row>
    <row r="2191" spans="1:5" x14ac:dyDescent="0.35">
      <c r="A2191" s="281"/>
      <c r="B2191" s="279"/>
      <c r="C2191" s="850"/>
      <c r="D2191" s="282"/>
      <c r="E2191" s="833"/>
    </row>
    <row r="2192" spans="1:5" x14ac:dyDescent="0.35">
      <c r="A2192" s="281"/>
      <c r="B2192" s="279"/>
      <c r="C2192" s="850"/>
      <c r="D2192" s="282"/>
      <c r="E2192" s="833"/>
    </row>
    <row r="2193" spans="1:5" x14ac:dyDescent="0.35">
      <c r="A2193" s="281"/>
      <c r="B2193" s="279"/>
      <c r="C2193" s="850"/>
      <c r="D2193" s="282"/>
      <c r="E2193" s="833"/>
    </row>
    <row r="2194" spans="1:5" x14ac:dyDescent="0.35">
      <c r="A2194" s="281"/>
      <c r="B2194" s="279"/>
      <c r="C2194" s="850"/>
      <c r="D2194" s="282"/>
      <c r="E2194" s="833"/>
    </row>
    <row r="2195" spans="1:5" x14ac:dyDescent="0.35">
      <c r="A2195" s="281"/>
      <c r="B2195" s="279"/>
      <c r="C2195" s="850"/>
      <c r="D2195" s="282"/>
      <c r="E2195" s="833"/>
    </row>
    <row r="2196" spans="1:5" x14ac:dyDescent="0.35">
      <c r="A2196" s="281"/>
      <c r="B2196" s="279"/>
      <c r="C2196" s="850"/>
      <c r="D2196" s="282"/>
      <c r="E2196" s="833"/>
    </row>
    <row r="2197" spans="1:5" x14ac:dyDescent="0.35">
      <c r="A2197" s="281"/>
      <c r="B2197" s="279"/>
      <c r="C2197" s="850"/>
      <c r="D2197" s="282"/>
      <c r="E2197" s="833"/>
    </row>
    <row r="2198" spans="1:5" x14ac:dyDescent="0.35">
      <c r="A2198" s="281"/>
      <c r="B2198" s="279"/>
      <c r="C2198" s="850"/>
      <c r="D2198" s="282"/>
      <c r="E2198" s="833"/>
    </row>
    <row r="2199" spans="1:5" x14ac:dyDescent="0.35">
      <c r="A2199" s="281"/>
      <c r="B2199" s="279"/>
      <c r="C2199" s="850"/>
      <c r="D2199" s="282"/>
      <c r="E2199" s="833"/>
    </row>
    <row r="2200" spans="1:5" x14ac:dyDescent="0.35">
      <c r="A2200" s="281"/>
      <c r="B2200" s="279"/>
      <c r="C2200" s="850"/>
      <c r="D2200" s="282"/>
      <c r="E2200" s="833"/>
    </row>
    <row r="2201" spans="1:5" x14ac:dyDescent="0.35">
      <c r="A2201" s="281"/>
      <c r="B2201" s="279"/>
      <c r="C2201" s="850"/>
      <c r="D2201" s="282"/>
      <c r="E2201" s="833"/>
    </row>
    <row r="2202" spans="1:5" x14ac:dyDescent="0.35">
      <c r="A2202" s="281"/>
      <c r="B2202" s="279"/>
      <c r="C2202" s="850"/>
      <c r="D2202" s="282"/>
      <c r="E2202" s="833"/>
    </row>
    <row r="2203" spans="1:5" x14ac:dyDescent="0.35">
      <c r="A2203" s="281"/>
      <c r="B2203" s="279"/>
      <c r="C2203" s="850"/>
      <c r="D2203" s="282"/>
      <c r="E2203" s="833"/>
    </row>
    <row r="2204" spans="1:5" x14ac:dyDescent="0.35">
      <c r="A2204" s="281"/>
      <c r="B2204" s="279"/>
      <c r="C2204" s="850"/>
      <c r="D2204" s="282"/>
      <c r="E2204" s="833"/>
    </row>
    <row r="2205" spans="1:5" x14ac:dyDescent="0.35">
      <c r="A2205" s="281"/>
      <c r="B2205" s="279"/>
      <c r="C2205" s="850"/>
      <c r="D2205" s="282"/>
      <c r="E2205" s="833"/>
    </row>
    <row r="2206" spans="1:5" x14ac:dyDescent="0.35">
      <c r="A2206" s="281"/>
      <c r="B2206" s="279"/>
      <c r="C2206" s="850"/>
      <c r="D2206" s="282"/>
      <c r="E2206" s="833"/>
    </row>
    <row r="2207" spans="1:5" x14ac:dyDescent="0.35">
      <c r="A2207" s="281"/>
      <c r="B2207" s="279"/>
      <c r="C2207" s="850"/>
      <c r="D2207" s="282"/>
      <c r="E2207" s="833"/>
    </row>
    <row r="2208" spans="1:5" x14ac:dyDescent="0.35">
      <c r="A2208" s="281"/>
      <c r="B2208" s="279"/>
      <c r="C2208" s="850"/>
      <c r="D2208" s="282"/>
      <c r="E2208" s="833"/>
    </row>
    <row r="2209" spans="1:5" x14ac:dyDescent="0.35">
      <c r="A2209" s="281"/>
      <c r="B2209" s="279"/>
      <c r="C2209" s="850"/>
      <c r="D2209" s="282"/>
      <c r="E2209" s="833"/>
    </row>
    <row r="2210" spans="1:5" x14ac:dyDescent="0.35">
      <c r="A2210" s="281"/>
      <c r="B2210" s="279"/>
      <c r="C2210" s="850"/>
      <c r="D2210" s="282"/>
      <c r="E2210" s="833"/>
    </row>
    <row r="2211" spans="1:5" x14ac:dyDescent="0.35">
      <c r="A2211" s="281"/>
      <c r="B2211" s="279"/>
      <c r="C2211" s="850"/>
      <c r="D2211" s="282"/>
      <c r="E2211" s="833"/>
    </row>
    <row r="2212" spans="1:5" x14ac:dyDescent="0.35">
      <c r="A2212" s="281"/>
      <c r="B2212" s="279"/>
      <c r="C2212" s="850"/>
      <c r="D2212" s="282"/>
      <c r="E2212" s="833"/>
    </row>
    <row r="2213" spans="1:5" x14ac:dyDescent="0.35">
      <c r="A2213" s="281"/>
      <c r="B2213" s="279"/>
      <c r="C2213" s="850"/>
      <c r="D2213" s="282"/>
      <c r="E2213" s="833"/>
    </row>
    <row r="2214" spans="1:5" x14ac:dyDescent="0.35">
      <c r="A2214" s="281"/>
      <c r="B2214" s="279"/>
      <c r="C2214" s="850"/>
      <c r="D2214" s="282"/>
      <c r="E2214" s="833"/>
    </row>
    <row r="2215" spans="1:5" x14ac:dyDescent="0.35">
      <c r="A2215" s="281"/>
      <c r="B2215" s="279"/>
      <c r="C2215" s="850"/>
      <c r="D2215" s="282"/>
      <c r="E2215" s="833"/>
    </row>
    <row r="2216" spans="1:5" x14ac:dyDescent="0.35">
      <c r="A2216" s="281"/>
      <c r="B2216" s="279"/>
      <c r="C2216" s="850"/>
      <c r="D2216" s="282"/>
      <c r="E2216" s="833"/>
    </row>
    <row r="2217" spans="1:5" x14ac:dyDescent="0.35">
      <c r="A2217" s="281"/>
      <c r="B2217" s="279"/>
      <c r="C2217" s="850"/>
      <c r="D2217" s="282"/>
      <c r="E2217" s="833"/>
    </row>
    <row r="2218" spans="1:5" x14ac:dyDescent="0.35">
      <c r="A2218" s="281"/>
      <c r="B2218" s="279"/>
      <c r="C2218" s="850"/>
      <c r="D2218" s="282"/>
      <c r="E2218" s="833"/>
    </row>
    <row r="2219" spans="1:5" x14ac:dyDescent="0.35">
      <c r="A2219" s="281"/>
      <c r="B2219" s="279"/>
      <c r="C2219" s="850"/>
      <c r="D2219" s="282"/>
      <c r="E2219" s="833"/>
    </row>
    <row r="2220" spans="1:5" x14ac:dyDescent="0.35">
      <c r="A2220" s="281"/>
      <c r="B2220" s="279"/>
      <c r="C2220" s="850"/>
      <c r="D2220" s="282"/>
      <c r="E2220" s="833"/>
    </row>
    <row r="2221" spans="1:5" x14ac:dyDescent="0.35">
      <c r="A2221" s="281"/>
      <c r="B2221" s="279"/>
      <c r="C2221" s="850"/>
      <c r="D2221" s="282"/>
      <c r="E2221" s="833"/>
    </row>
    <row r="2222" spans="1:5" x14ac:dyDescent="0.35">
      <c r="A2222" s="281"/>
      <c r="B2222" s="279"/>
      <c r="C2222" s="850"/>
      <c r="D2222" s="282"/>
      <c r="E2222" s="833"/>
    </row>
    <row r="2223" spans="1:5" x14ac:dyDescent="0.35">
      <c r="A2223" s="281"/>
      <c r="B2223" s="279"/>
      <c r="C2223" s="850"/>
      <c r="D2223" s="282"/>
      <c r="E2223" s="833"/>
    </row>
    <row r="2224" spans="1:5" x14ac:dyDescent="0.35">
      <c r="A2224" s="281"/>
      <c r="B2224" s="279"/>
      <c r="C2224" s="850"/>
      <c r="D2224" s="282"/>
      <c r="E2224" s="833"/>
    </row>
    <row r="2225" spans="1:5" x14ac:dyDescent="0.35">
      <c r="A2225" s="281"/>
      <c r="B2225" s="279"/>
      <c r="C2225" s="850"/>
      <c r="D2225" s="282"/>
      <c r="E2225" s="833"/>
    </row>
    <row r="2226" spans="1:5" x14ac:dyDescent="0.35">
      <c r="A2226" s="281"/>
      <c r="B2226" s="279"/>
      <c r="C2226" s="850"/>
      <c r="D2226" s="282"/>
      <c r="E2226" s="833"/>
    </row>
    <row r="2227" spans="1:5" x14ac:dyDescent="0.35">
      <c r="A2227" s="281"/>
      <c r="B2227" s="279"/>
      <c r="C2227" s="850"/>
      <c r="D2227" s="282"/>
      <c r="E2227" s="833"/>
    </row>
    <row r="2228" spans="1:5" x14ac:dyDescent="0.35">
      <c r="A2228" s="281"/>
      <c r="B2228" s="279"/>
      <c r="C2228" s="850"/>
      <c r="D2228" s="282"/>
      <c r="E2228" s="833"/>
    </row>
    <row r="2229" spans="1:5" x14ac:dyDescent="0.35">
      <c r="A2229" s="281"/>
      <c r="B2229" s="279"/>
      <c r="C2229" s="850"/>
      <c r="D2229" s="282"/>
      <c r="E2229" s="833"/>
    </row>
    <row r="2230" spans="1:5" x14ac:dyDescent="0.35">
      <c r="A2230" s="281"/>
      <c r="B2230" s="279"/>
      <c r="C2230" s="850"/>
      <c r="D2230" s="282"/>
      <c r="E2230" s="833"/>
    </row>
    <row r="2231" spans="1:5" x14ac:dyDescent="0.35">
      <c r="A2231" s="281"/>
      <c r="B2231" s="279"/>
      <c r="C2231" s="850"/>
      <c r="D2231" s="282"/>
      <c r="E2231" s="833"/>
    </row>
    <row r="2232" spans="1:5" x14ac:dyDescent="0.35">
      <c r="A2232" s="281"/>
      <c r="B2232" s="279"/>
      <c r="C2232" s="850"/>
      <c r="D2232" s="282"/>
      <c r="E2232" s="833"/>
    </row>
    <row r="2233" spans="1:5" x14ac:dyDescent="0.35">
      <c r="A2233" s="281"/>
      <c r="B2233" s="279"/>
      <c r="C2233" s="850"/>
      <c r="D2233" s="282"/>
      <c r="E2233" s="833"/>
    </row>
    <row r="2234" spans="1:5" x14ac:dyDescent="0.35">
      <c r="A2234" s="281"/>
      <c r="B2234" s="279"/>
      <c r="C2234" s="850"/>
      <c r="D2234" s="282"/>
      <c r="E2234" s="833"/>
    </row>
    <row r="2235" spans="1:5" x14ac:dyDescent="0.35">
      <c r="A2235" s="281"/>
      <c r="B2235" s="279"/>
      <c r="C2235" s="850"/>
      <c r="D2235" s="282"/>
      <c r="E2235" s="833"/>
    </row>
    <row r="2236" spans="1:5" x14ac:dyDescent="0.35">
      <c r="A2236" s="281"/>
      <c r="B2236" s="279"/>
      <c r="C2236" s="850"/>
      <c r="D2236" s="282"/>
      <c r="E2236" s="833"/>
    </row>
    <row r="2237" spans="1:5" x14ac:dyDescent="0.35">
      <c r="A2237" s="281"/>
      <c r="B2237" s="279"/>
      <c r="C2237" s="850"/>
      <c r="D2237" s="282"/>
      <c r="E2237" s="833"/>
    </row>
    <row r="2238" spans="1:5" x14ac:dyDescent="0.35">
      <c r="A2238" s="281"/>
      <c r="B2238" s="279"/>
      <c r="C2238" s="850"/>
      <c r="D2238" s="282"/>
      <c r="E2238" s="833"/>
    </row>
    <row r="2239" spans="1:5" x14ac:dyDescent="0.35">
      <c r="A2239" s="281"/>
      <c r="B2239" s="279"/>
      <c r="C2239" s="850"/>
      <c r="D2239" s="282"/>
      <c r="E2239" s="833"/>
    </row>
    <row r="2240" spans="1:5" x14ac:dyDescent="0.35">
      <c r="A2240" s="281"/>
      <c r="B2240" s="279"/>
      <c r="C2240" s="850"/>
      <c r="D2240" s="282"/>
      <c r="E2240" s="833"/>
    </row>
    <row r="2241" spans="1:5" x14ac:dyDescent="0.35">
      <c r="A2241" s="281"/>
      <c r="B2241" s="279"/>
      <c r="C2241" s="850"/>
      <c r="D2241" s="282"/>
      <c r="E2241" s="833"/>
    </row>
    <row r="2242" spans="1:5" x14ac:dyDescent="0.35">
      <c r="A2242" s="281"/>
      <c r="B2242" s="279"/>
      <c r="C2242" s="850"/>
      <c r="D2242" s="282"/>
      <c r="E2242" s="833"/>
    </row>
    <row r="2243" spans="1:5" x14ac:dyDescent="0.35">
      <c r="A2243" s="281"/>
      <c r="B2243" s="279"/>
      <c r="C2243" s="850"/>
      <c r="D2243" s="282"/>
      <c r="E2243" s="833"/>
    </row>
    <row r="2244" spans="1:5" x14ac:dyDescent="0.35">
      <c r="A2244" s="281"/>
      <c r="B2244" s="279"/>
      <c r="C2244" s="850"/>
      <c r="D2244" s="282"/>
      <c r="E2244" s="833"/>
    </row>
    <row r="2245" spans="1:5" x14ac:dyDescent="0.35">
      <c r="A2245" s="281"/>
      <c r="B2245" s="279"/>
      <c r="C2245" s="850"/>
      <c r="D2245" s="282"/>
      <c r="E2245" s="833"/>
    </row>
    <row r="2246" spans="1:5" x14ac:dyDescent="0.35">
      <c r="A2246" s="281"/>
      <c r="B2246" s="279"/>
      <c r="C2246" s="850"/>
      <c r="D2246" s="282"/>
      <c r="E2246" s="833"/>
    </row>
    <row r="2247" spans="1:5" x14ac:dyDescent="0.35">
      <c r="A2247" s="281"/>
      <c r="B2247" s="279"/>
      <c r="C2247" s="850"/>
      <c r="D2247" s="282"/>
      <c r="E2247" s="833"/>
    </row>
    <row r="2248" spans="1:5" x14ac:dyDescent="0.35">
      <c r="A2248" s="281"/>
      <c r="B2248" s="279"/>
      <c r="C2248" s="850"/>
      <c r="D2248" s="282"/>
      <c r="E2248" s="833"/>
    </row>
    <row r="2249" spans="1:5" x14ac:dyDescent="0.35">
      <c r="A2249" s="281"/>
      <c r="B2249" s="279"/>
      <c r="C2249" s="850"/>
      <c r="D2249" s="282"/>
      <c r="E2249" s="833"/>
    </row>
    <row r="2250" spans="1:5" x14ac:dyDescent="0.35">
      <c r="A2250" s="281"/>
      <c r="B2250" s="279"/>
      <c r="C2250" s="850"/>
      <c r="D2250" s="282"/>
      <c r="E2250" s="833"/>
    </row>
    <row r="2251" spans="1:5" x14ac:dyDescent="0.35">
      <c r="A2251" s="281"/>
      <c r="B2251" s="279"/>
      <c r="C2251" s="850"/>
      <c r="D2251" s="282"/>
      <c r="E2251" s="833"/>
    </row>
    <row r="2252" spans="1:5" x14ac:dyDescent="0.35">
      <c r="A2252" s="281"/>
      <c r="B2252" s="279"/>
      <c r="C2252" s="850"/>
      <c r="D2252" s="282"/>
      <c r="E2252" s="833"/>
    </row>
    <row r="2253" spans="1:5" x14ac:dyDescent="0.35">
      <c r="A2253" s="281"/>
      <c r="B2253" s="279"/>
      <c r="C2253" s="850"/>
      <c r="D2253" s="282"/>
      <c r="E2253" s="833"/>
    </row>
    <row r="2254" spans="1:5" x14ac:dyDescent="0.35">
      <c r="A2254" s="281"/>
      <c r="B2254" s="279"/>
      <c r="C2254" s="850"/>
      <c r="D2254" s="282"/>
      <c r="E2254" s="833"/>
    </row>
    <row r="2255" spans="1:5" x14ac:dyDescent="0.35">
      <c r="A2255" s="281"/>
      <c r="B2255" s="279"/>
      <c r="C2255" s="850"/>
      <c r="D2255" s="282"/>
      <c r="E2255" s="833"/>
    </row>
    <row r="2256" spans="1:5" x14ac:dyDescent="0.35">
      <c r="A2256" s="281"/>
      <c r="B2256" s="279"/>
      <c r="C2256" s="850"/>
      <c r="D2256" s="282"/>
      <c r="E2256" s="833"/>
    </row>
    <row r="2257" spans="1:5" x14ac:dyDescent="0.35">
      <c r="A2257" s="281"/>
      <c r="B2257" s="279"/>
      <c r="C2257" s="850"/>
      <c r="D2257" s="282"/>
      <c r="E2257" s="833"/>
    </row>
    <row r="2258" spans="1:5" x14ac:dyDescent="0.35">
      <c r="A2258" s="281"/>
      <c r="B2258" s="279"/>
      <c r="C2258" s="850"/>
      <c r="D2258" s="282"/>
      <c r="E2258" s="833"/>
    </row>
    <row r="2259" spans="1:5" x14ac:dyDescent="0.35">
      <c r="A2259" s="281"/>
      <c r="B2259" s="279"/>
      <c r="C2259" s="850"/>
      <c r="D2259" s="282"/>
      <c r="E2259" s="833"/>
    </row>
    <row r="2260" spans="1:5" x14ac:dyDescent="0.35">
      <c r="A2260" s="281"/>
      <c r="B2260" s="279"/>
      <c r="C2260" s="850"/>
      <c r="D2260" s="282"/>
      <c r="E2260" s="833"/>
    </row>
    <row r="2261" spans="1:5" x14ac:dyDescent="0.35">
      <c r="A2261" s="281"/>
      <c r="B2261" s="279"/>
      <c r="C2261" s="850"/>
      <c r="D2261" s="282"/>
      <c r="E2261" s="833"/>
    </row>
    <row r="2262" spans="1:5" x14ac:dyDescent="0.35">
      <c r="A2262" s="281"/>
      <c r="B2262" s="279"/>
      <c r="C2262" s="850"/>
      <c r="D2262" s="282"/>
      <c r="E2262" s="833"/>
    </row>
    <row r="2263" spans="1:5" x14ac:dyDescent="0.35">
      <c r="A2263" s="281"/>
      <c r="B2263" s="279"/>
      <c r="C2263" s="850"/>
      <c r="D2263" s="282"/>
      <c r="E2263" s="833"/>
    </row>
    <row r="2264" spans="1:5" x14ac:dyDescent="0.35">
      <c r="A2264" s="281"/>
      <c r="B2264" s="279"/>
      <c r="C2264" s="850"/>
      <c r="D2264" s="282"/>
      <c r="E2264" s="833"/>
    </row>
    <row r="2265" spans="1:5" x14ac:dyDescent="0.35">
      <c r="A2265" s="281"/>
      <c r="B2265" s="279"/>
      <c r="C2265" s="850"/>
      <c r="D2265" s="282"/>
      <c r="E2265" s="833"/>
    </row>
    <row r="2266" spans="1:5" x14ac:dyDescent="0.35">
      <c r="A2266" s="281"/>
      <c r="B2266" s="279"/>
      <c r="C2266" s="850"/>
      <c r="D2266" s="282"/>
      <c r="E2266" s="833"/>
    </row>
    <row r="2267" spans="1:5" x14ac:dyDescent="0.35">
      <c r="A2267" s="281"/>
      <c r="B2267" s="279"/>
      <c r="C2267" s="850"/>
      <c r="D2267" s="282"/>
      <c r="E2267" s="833"/>
    </row>
    <row r="2268" spans="1:5" x14ac:dyDescent="0.35">
      <c r="A2268" s="281"/>
      <c r="B2268" s="279"/>
      <c r="C2268" s="850"/>
      <c r="D2268" s="282"/>
      <c r="E2268" s="833"/>
    </row>
    <row r="2269" spans="1:5" x14ac:dyDescent="0.35">
      <c r="A2269" s="281"/>
      <c r="B2269" s="279"/>
      <c r="C2269" s="850"/>
      <c r="D2269" s="282"/>
      <c r="E2269" s="833"/>
    </row>
    <row r="2270" spans="1:5" x14ac:dyDescent="0.35">
      <c r="A2270" s="281"/>
      <c r="B2270" s="279"/>
      <c r="C2270" s="850"/>
      <c r="D2270" s="282"/>
      <c r="E2270" s="833"/>
    </row>
    <row r="2271" spans="1:5" x14ac:dyDescent="0.35">
      <c r="A2271" s="281"/>
      <c r="B2271" s="279"/>
      <c r="C2271" s="850"/>
      <c r="D2271" s="282"/>
      <c r="E2271" s="833"/>
    </row>
    <row r="2272" spans="1:5" x14ac:dyDescent="0.35">
      <c r="A2272" s="281"/>
      <c r="B2272" s="279"/>
      <c r="C2272" s="850"/>
      <c r="D2272" s="282"/>
      <c r="E2272" s="833"/>
    </row>
    <row r="2273" spans="1:5" x14ac:dyDescent="0.35">
      <c r="A2273" s="281"/>
      <c r="B2273" s="279"/>
      <c r="C2273" s="850"/>
      <c r="D2273" s="282"/>
      <c r="E2273" s="833"/>
    </row>
    <row r="2274" spans="1:5" x14ac:dyDescent="0.35">
      <c r="A2274" s="281"/>
      <c r="B2274" s="279"/>
      <c r="C2274" s="850"/>
      <c r="D2274" s="282"/>
      <c r="E2274" s="833"/>
    </row>
    <row r="2275" spans="1:5" x14ac:dyDescent="0.35">
      <c r="A2275" s="281"/>
      <c r="B2275" s="279"/>
      <c r="C2275" s="850"/>
      <c r="D2275" s="282"/>
      <c r="E2275" s="833"/>
    </row>
    <row r="2276" spans="1:5" x14ac:dyDescent="0.35">
      <c r="A2276" s="281"/>
      <c r="B2276" s="279"/>
      <c r="C2276" s="850"/>
      <c r="D2276" s="282"/>
      <c r="E2276" s="833"/>
    </row>
    <row r="2277" spans="1:5" x14ac:dyDescent="0.35">
      <c r="A2277" s="281"/>
      <c r="B2277" s="279"/>
      <c r="C2277" s="850"/>
      <c r="D2277" s="282"/>
      <c r="E2277" s="833"/>
    </row>
    <row r="2278" spans="1:5" x14ac:dyDescent="0.35">
      <c r="A2278" s="281"/>
      <c r="B2278" s="279"/>
      <c r="C2278" s="850"/>
      <c r="D2278" s="282"/>
      <c r="E2278" s="833"/>
    </row>
    <row r="2279" spans="1:5" x14ac:dyDescent="0.35">
      <c r="A2279" s="281"/>
      <c r="B2279" s="279"/>
      <c r="C2279" s="850"/>
      <c r="D2279" s="282"/>
      <c r="E2279" s="833"/>
    </row>
    <row r="2280" spans="1:5" x14ac:dyDescent="0.35">
      <c r="A2280" s="281"/>
      <c r="B2280" s="279"/>
      <c r="C2280" s="850"/>
      <c r="D2280" s="282"/>
      <c r="E2280" s="833"/>
    </row>
    <row r="2281" spans="1:5" x14ac:dyDescent="0.35">
      <c r="A2281" s="281"/>
      <c r="B2281" s="279"/>
      <c r="C2281" s="850"/>
      <c r="D2281" s="282"/>
      <c r="E2281" s="833"/>
    </row>
    <row r="2282" spans="1:5" x14ac:dyDescent="0.35">
      <c r="A2282" s="281"/>
      <c r="B2282" s="279"/>
      <c r="C2282" s="850"/>
      <c r="D2282" s="282"/>
      <c r="E2282" s="833"/>
    </row>
    <row r="2283" spans="1:5" x14ac:dyDescent="0.35">
      <c r="A2283" s="281"/>
      <c r="B2283" s="279"/>
      <c r="C2283" s="850"/>
      <c r="D2283" s="282"/>
      <c r="E2283" s="833"/>
    </row>
    <row r="2284" spans="1:5" x14ac:dyDescent="0.35">
      <c r="A2284" s="281"/>
      <c r="B2284" s="279"/>
      <c r="C2284" s="850"/>
      <c r="D2284" s="282"/>
      <c r="E2284" s="833"/>
    </row>
    <row r="2285" spans="1:5" x14ac:dyDescent="0.35">
      <c r="A2285" s="281"/>
      <c r="B2285" s="279"/>
      <c r="C2285" s="850"/>
      <c r="D2285" s="282"/>
      <c r="E2285" s="833"/>
    </row>
    <row r="2286" spans="1:5" x14ac:dyDescent="0.35">
      <c r="A2286" s="281"/>
      <c r="B2286" s="279"/>
      <c r="C2286" s="850"/>
      <c r="D2286" s="282"/>
      <c r="E2286" s="833"/>
    </row>
    <row r="2287" spans="1:5" x14ac:dyDescent="0.35">
      <c r="A2287" s="281"/>
      <c r="B2287" s="279"/>
      <c r="C2287" s="850"/>
      <c r="D2287" s="282"/>
      <c r="E2287" s="833"/>
    </row>
    <row r="2288" spans="1:5" x14ac:dyDescent="0.35">
      <c r="A2288" s="281"/>
      <c r="B2288" s="279"/>
      <c r="C2288" s="850"/>
      <c r="D2288" s="282"/>
      <c r="E2288" s="833"/>
    </row>
    <row r="2289" spans="1:5" x14ac:dyDescent="0.35">
      <c r="A2289" s="281"/>
      <c r="B2289" s="279"/>
      <c r="C2289" s="850"/>
      <c r="D2289" s="282"/>
      <c r="E2289" s="833"/>
    </row>
    <row r="2290" spans="1:5" x14ac:dyDescent="0.35">
      <c r="A2290" s="281"/>
      <c r="B2290" s="279"/>
      <c r="C2290" s="850"/>
      <c r="D2290" s="282"/>
      <c r="E2290" s="833"/>
    </row>
    <row r="2291" spans="1:5" x14ac:dyDescent="0.35">
      <c r="A2291" s="281"/>
      <c r="B2291" s="279"/>
      <c r="C2291" s="850"/>
      <c r="D2291" s="282"/>
      <c r="E2291" s="833"/>
    </row>
    <row r="2292" spans="1:5" x14ac:dyDescent="0.35">
      <c r="A2292" s="281"/>
      <c r="B2292" s="279"/>
      <c r="C2292" s="850"/>
      <c r="D2292" s="282"/>
      <c r="E2292" s="833"/>
    </row>
    <row r="2293" spans="1:5" x14ac:dyDescent="0.35">
      <c r="A2293" s="281"/>
      <c r="B2293" s="279"/>
      <c r="C2293" s="850"/>
      <c r="D2293" s="282"/>
      <c r="E2293" s="833"/>
    </row>
    <row r="2294" spans="1:5" x14ac:dyDescent="0.35">
      <c r="A2294" s="281"/>
      <c r="B2294" s="279"/>
      <c r="C2294" s="850"/>
      <c r="D2294" s="282"/>
      <c r="E2294" s="833"/>
    </row>
    <row r="2295" spans="1:5" x14ac:dyDescent="0.35">
      <c r="A2295" s="281"/>
      <c r="B2295" s="279"/>
      <c r="C2295" s="850"/>
      <c r="D2295" s="282"/>
      <c r="E2295" s="833"/>
    </row>
    <row r="2296" spans="1:5" x14ac:dyDescent="0.35">
      <c r="A2296" s="281"/>
      <c r="B2296" s="279"/>
      <c r="C2296" s="850"/>
      <c r="D2296" s="282"/>
      <c r="E2296" s="833"/>
    </row>
    <row r="2297" spans="1:5" x14ac:dyDescent="0.35">
      <c r="A2297" s="281"/>
      <c r="B2297" s="279"/>
      <c r="C2297" s="850"/>
      <c r="D2297" s="282"/>
      <c r="E2297" s="833"/>
    </row>
    <row r="2298" spans="1:5" x14ac:dyDescent="0.35">
      <c r="A2298" s="281"/>
      <c r="B2298" s="279"/>
      <c r="C2298" s="850"/>
      <c r="D2298" s="282"/>
      <c r="E2298" s="833"/>
    </row>
    <row r="2299" spans="1:5" x14ac:dyDescent="0.35">
      <c r="A2299" s="281"/>
      <c r="B2299" s="279"/>
      <c r="C2299" s="850"/>
      <c r="D2299" s="282"/>
      <c r="E2299" s="833"/>
    </row>
    <row r="2300" spans="1:5" x14ac:dyDescent="0.35">
      <c r="A2300" s="281"/>
      <c r="B2300" s="279"/>
      <c r="C2300" s="850"/>
      <c r="D2300" s="282"/>
      <c r="E2300" s="833"/>
    </row>
    <row r="2301" spans="1:5" x14ac:dyDescent="0.35">
      <c r="A2301" s="281"/>
      <c r="B2301" s="279"/>
      <c r="C2301" s="850"/>
      <c r="D2301" s="282"/>
      <c r="E2301" s="833"/>
    </row>
    <row r="2302" spans="1:5" x14ac:dyDescent="0.35">
      <c r="A2302" s="281"/>
      <c r="B2302" s="279"/>
      <c r="C2302" s="850"/>
      <c r="D2302" s="282"/>
      <c r="E2302" s="833"/>
    </row>
    <row r="2303" spans="1:5" x14ac:dyDescent="0.35">
      <c r="A2303" s="281"/>
      <c r="B2303" s="279"/>
      <c r="C2303" s="850"/>
      <c r="D2303" s="282"/>
      <c r="E2303" s="833"/>
    </row>
    <row r="2304" spans="1:5" x14ac:dyDescent="0.35">
      <c r="A2304" s="281"/>
      <c r="B2304" s="279"/>
      <c r="C2304" s="850"/>
      <c r="D2304" s="282"/>
      <c r="E2304" s="833"/>
    </row>
    <row r="2305" spans="1:5" x14ac:dyDescent="0.35">
      <c r="A2305" s="281"/>
      <c r="B2305" s="279"/>
      <c r="C2305" s="850"/>
      <c r="D2305" s="282"/>
      <c r="E2305" s="833"/>
    </row>
    <row r="2306" spans="1:5" x14ac:dyDescent="0.35">
      <c r="A2306" s="281"/>
      <c r="B2306" s="279"/>
      <c r="C2306" s="850"/>
      <c r="D2306" s="282"/>
      <c r="E2306" s="833"/>
    </row>
    <row r="2307" spans="1:5" x14ac:dyDescent="0.35">
      <c r="A2307" s="281"/>
      <c r="B2307" s="279"/>
      <c r="C2307" s="850"/>
      <c r="D2307" s="282"/>
      <c r="E2307" s="833"/>
    </row>
    <row r="2308" spans="1:5" x14ac:dyDescent="0.35">
      <c r="A2308" s="281"/>
      <c r="B2308" s="279"/>
      <c r="C2308" s="850"/>
      <c r="D2308" s="282"/>
      <c r="E2308" s="833"/>
    </row>
    <row r="2309" spans="1:5" x14ac:dyDescent="0.35">
      <c r="A2309" s="281"/>
      <c r="B2309" s="279"/>
      <c r="C2309" s="850"/>
      <c r="D2309" s="282"/>
      <c r="E2309" s="833"/>
    </row>
    <row r="2310" spans="1:5" x14ac:dyDescent="0.35">
      <c r="A2310" s="281"/>
      <c r="B2310" s="279"/>
      <c r="C2310" s="850"/>
      <c r="D2310" s="282"/>
      <c r="E2310" s="833"/>
    </row>
    <row r="2311" spans="1:5" x14ac:dyDescent="0.35">
      <c r="A2311" s="281"/>
      <c r="B2311" s="279"/>
      <c r="C2311" s="850"/>
      <c r="D2311" s="282"/>
      <c r="E2311" s="833"/>
    </row>
    <row r="2312" spans="1:5" x14ac:dyDescent="0.35">
      <c r="A2312" s="281"/>
      <c r="B2312" s="279"/>
      <c r="C2312" s="850"/>
      <c r="D2312" s="282"/>
      <c r="E2312" s="833"/>
    </row>
    <row r="2313" spans="1:5" x14ac:dyDescent="0.35">
      <c r="A2313" s="281"/>
      <c r="B2313" s="279"/>
      <c r="C2313" s="850"/>
      <c r="D2313" s="282"/>
      <c r="E2313" s="833"/>
    </row>
    <row r="2314" spans="1:5" x14ac:dyDescent="0.35">
      <c r="A2314" s="281"/>
      <c r="B2314" s="279"/>
      <c r="C2314" s="850"/>
      <c r="D2314" s="282"/>
      <c r="E2314" s="833"/>
    </row>
    <row r="2315" spans="1:5" x14ac:dyDescent="0.35">
      <c r="A2315" s="281"/>
      <c r="B2315" s="279"/>
      <c r="C2315" s="850"/>
      <c r="D2315" s="282"/>
      <c r="E2315" s="833"/>
    </row>
    <row r="2316" spans="1:5" x14ac:dyDescent="0.35">
      <c r="A2316" s="281"/>
      <c r="B2316" s="279"/>
      <c r="C2316" s="850"/>
      <c r="D2316" s="282"/>
      <c r="E2316" s="833"/>
    </row>
    <row r="2317" spans="1:5" x14ac:dyDescent="0.35">
      <c r="A2317" s="281"/>
      <c r="B2317" s="279"/>
      <c r="C2317" s="850"/>
      <c r="D2317" s="282"/>
      <c r="E2317" s="833"/>
    </row>
    <row r="2318" spans="1:5" x14ac:dyDescent="0.35">
      <c r="A2318" s="281"/>
      <c r="B2318" s="279"/>
      <c r="C2318" s="850"/>
      <c r="D2318" s="282"/>
      <c r="E2318" s="833"/>
    </row>
    <row r="2319" spans="1:5" x14ac:dyDescent="0.35">
      <c r="A2319" s="281"/>
      <c r="B2319" s="279"/>
      <c r="C2319" s="850"/>
      <c r="D2319" s="282"/>
      <c r="E2319" s="833"/>
    </row>
    <row r="2320" spans="1:5" x14ac:dyDescent="0.35">
      <c r="A2320" s="281"/>
      <c r="B2320" s="279"/>
      <c r="C2320" s="850"/>
      <c r="D2320" s="282"/>
      <c r="E2320" s="833"/>
    </row>
    <row r="2321" spans="1:5" x14ac:dyDescent="0.35">
      <c r="A2321" s="281"/>
      <c r="B2321" s="279"/>
      <c r="C2321" s="850"/>
      <c r="D2321" s="282"/>
      <c r="E2321" s="833"/>
    </row>
    <row r="2322" spans="1:5" x14ac:dyDescent="0.35">
      <c r="A2322" s="281"/>
      <c r="B2322" s="279"/>
      <c r="C2322" s="850"/>
      <c r="D2322" s="282"/>
      <c r="E2322" s="833"/>
    </row>
    <row r="2323" spans="1:5" x14ac:dyDescent="0.35">
      <c r="A2323" s="281"/>
      <c r="B2323" s="279"/>
      <c r="C2323" s="850"/>
      <c r="D2323" s="282"/>
      <c r="E2323" s="833"/>
    </row>
    <row r="2324" spans="1:5" x14ac:dyDescent="0.35">
      <c r="A2324" s="281"/>
      <c r="B2324" s="279"/>
      <c r="C2324" s="850"/>
      <c r="D2324" s="282"/>
      <c r="E2324" s="833"/>
    </row>
    <row r="2325" spans="1:5" x14ac:dyDescent="0.35">
      <c r="A2325" s="281"/>
      <c r="B2325" s="279"/>
      <c r="C2325" s="850"/>
      <c r="D2325" s="282"/>
      <c r="E2325" s="833"/>
    </row>
    <row r="2326" spans="1:5" x14ac:dyDescent="0.35">
      <c r="A2326" s="281"/>
      <c r="B2326" s="279"/>
      <c r="C2326" s="850"/>
      <c r="D2326" s="282"/>
      <c r="E2326" s="833"/>
    </row>
    <row r="2327" spans="1:5" x14ac:dyDescent="0.35">
      <c r="A2327" s="281"/>
      <c r="B2327" s="279"/>
      <c r="C2327" s="850"/>
      <c r="D2327" s="282"/>
      <c r="E2327" s="833"/>
    </row>
    <row r="2328" spans="1:5" x14ac:dyDescent="0.35">
      <c r="A2328" s="281"/>
      <c r="B2328" s="279"/>
      <c r="C2328" s="850"/>
      <c r="D2328" s="282"/>
      <c r="E2328" s="833"/>
    </row>
    <row r="2329" spans="1:5" x14ac:dyDescent="0.35">
      <c r="A2329" s="281"/>
      <c r="B2329" s="279"/>
      <c r="C2329" s="850"/>
      <c r="D2329" s="282"/>
      <c r="E2329" s="833"/>
    </row>
    <row r="2330" spans="1:5" x14ac:dyDescent="0.35">
      <c r="A2330" s="281"/>
      <c r="B2330" s="279"/>
      <c r="C2330" s="850"/>
      <c r="D2330" s="282"/>
      <c r="E2330" s="833"/>
    </row>
    <row r="2331" spans="1:5" x14ac:dyDescent="0.35">
      <c r="A2331" s="281"/>
      <c r="B2331" s="279"/>
      <c r="C2331" s="850"/>
      <c r="D2331" s="282"/>
      <c r="E2331" s="833"/>
    </row>
    <row r="2332" spans="1:5" x14ac:dyDescent="0.35">
      <c r="A2332" s="281"/>
      <c r="B2332" s="279"/>
      <c r="C2332" s="850"/>
      <c r="D2332" s="282"/>
      <c r="E2332" s="833"/>
    </row>
    <row r="2333" spans="1:5" x14ac:dyDescent="0.35">
      <c r="A2333" s="281"/>
      <c r="B2333" s="279"/>
      <c r="C2333" s="850"/>
      <c r="D2333" s="282"/>
      <c r="E2333" s="833"/>
    </row>
    <row r="2334" spans="1:5" x14ac:dyDescent="0.35">
      <c r="A2334" s="281"/>
      <c r="B2334" s="279"/>
      <c r="C2334" s="850"/>
      <c r="D2334" s="282"/>
      <c r="E2334" s="833"/>
    </row>
    <row r="2335" spans="1:5" x14ac:dyDescent="0.35">
      <c r="A2335" s="281"/>
      <c r="B2335" s="279"/>
      <c r="C2335" s="850"/>
      <c r="D2335" s="282"/>
      <c r="E2335" s="833"/>
    </row>
    <row r="2336" spans="1:5" x14ac:dyDescent="0.35">
      <c r="A2336" s="281"/>
      <c r="B2336" s="279"/>
      <c r="C2336" s="850"/>
      <c r="D2336" s="282"/>
      <c r="E2336" s="833"/>
    </row>
    <row r="2337" spans="1:5" x14ac:dyDescent="0.35">
      <c r="A2337" s="281"/>
      <c r="B2337" s="279"/>
      <c r="C2337" s="850"/>
      <c r="D2337" s="282"/>
      <c r="E2337" s="833"/>
    </row>
    <row r="2338" spans="1:5" x14ac:dyDescent="0.35">
      <c r="A2338" s="281"/>
      <c r="B2338" s="279"/>
      <c r="C2338" s="850"/>
      <c r="D2338" s="282"/>
      <c r="E2338" s="833"/>
    </row>
    <row r="2339" spans="1:5" x14ac:dyDescent="0.35">
      <c r="A2339" s="281"/>
      <c r="B2339" s="279"/>
      <c r="C2339" s="850"/>
      <c r="D2339" s="282"/>
      <c r="E2339" s="833"/>
    </row>
    <row r="2340" spans="1:5" x14ac:dyDescent="0.35">
      <c r="A2340" s="281"/>
      <c r="B2340" s="279"/>
      <c r="C2340" s="850"/>
      <c r="D2340" s="282"/>
      <c r="E2340" s="833"/>
    </row>
    <row r="2341" spans="1:5" x14ac:dyDescent="0.35">
      <c r="A2341" s="281"/>
      <c r="B2341" s="279"/>
      <c r="C2341" s="850"/>
      <c r="D2341" s="282"/>
      <c r="E2341" s="833"/>
    </row>
    <row r="2342" spans="1:5" x14ac:dyDescent="0.35">
      <c r="A2342" s="281"/>
      <c r="B2342" s="279"/>
      <c r="C2342" s="850"/>
      <c r="D2342" s="282"/>
      <c r="E2342" s="833"/>
    </row>
    <row r="2343" spans="1:5" x14ac:dyDescent="0.35">
      <c r="A2343" s="281"/>
      <c r="B2343" s="279"/>
      <c r="C2343" s="850"/>
      <c r="D2343" s="282"/>
      <c r="E2343" s="833"/>
    </row>
    <row r="2344" spans="1:5" x14ac:dyDescent="0.35">
      <c r="A2344" s="281"/>
      <c r="B2344" s="279"/>
      <c r="C2344" s="850"/>
      <c r="D2344" s="282"/>
      <c r="E2344" s="833"/>
    </row>
    <row r="2345" spans="1:5" x14ac:dyDescent="0.35">
      <c r="A2345" s="281"/>
      <c r="B2345" s="279"/>
      <c r="C2345" s="850"/>
      <c r="D2345" s="282"/>
      <c r="E2345" s="833"/>
    </row>
    <row r="2346" spans="1:5" x14ac:dyDescent="0.35">
      <c r="A2346" s="281"/>
      <c r="B2346" s="279"/>
      <c r="C2346" s="850"/>
      <c r="D2346" s="282"/>
      <c r="E2346" s="833"/>
    </row>
    <row r="2347" spans="1:5" x14ac:dyDescent="0.35">
      <c r="A2347" s="281"/>
      <c r="B2347" s="279"/>
      <c r="C2347" s="850"/>
      <c r="D2347" s="282"/>
      <c r="E2347" s="833"/>
    </row>
    <row r="2348" spans="1:5" x14ac:dyDescent="0.35">
      <c r="A2348" s="281"/>
      <c r="B2348" s="279"/>
      <c r="C2348" s="850"/>
      <c r="D2348" s="282"/>
      <c r="E2348" s="833"/>
    </row>
    <row r="2349" spans="1:5" x14ac:dyDescent="0.35">
      <c r="A2349" s="281"/>
      <c r="B2349" s="279"/>
      <c r="C2349" s="850"/>
      <c r="D2349" s="282"/>
      <c r="E2349" s="833"/>
    </row>
    <row r="2350" spans="1:5" x14ac:dyDescent="0.35">
      <c r="A2350" s="281"/>
      <c r="B2350" s="279"/>
      <c r="C2350" s="850"/>
      <c r="D2350" s="282"/>
      <c r="E2350" s="833"/>
    </row>
    <row r="2351" spans="1:5" x14ac:dyDescent="0.35">
      <c r="A2351" s="281"/>
      <c r="B2351" s="279"/>
      <c r="C2351" s="850"/>
      <c r="D2351" s="282"/>
      <c r="E2351" s="833"/>
    </row>
    <row r="2352" spans="1:5" x14ac:dyDescent="0.35">
      <c r="A2352" s="281"/>
      <c r="B2352" s="279"/>
      <c r="C2352" s="850"/>
      <c r="D2352" s="282"/>
      <c r="E2352" s="833"/>
    </row>
    <row r="2353" spans="1:5" x14ac:dyDescent="0.35">
      <c r="A2353" s="281"/>
      <c r="B2353" s="279"/>
      <c r="C2353" s="850"/>
      <c r="D2353" s="282"/>
      <c r="E2353" s="833"/>
    </row>
    <row r="2354" spans="1:5" x14ac:dyDescent="0.35">
      <c r="A2354" s="281"/>
      <c r="B2354" s="279"/>
      <c r="C2354" s="850"/>
      <c r="D2354" s="282"/>
      <c r="E2354" s="833"/>
    </row>
    <row r="2355" spans="1:5" x14ac:dyDescent="0.35">
      <c r="A2355" s="281"/>
      <c r="B2355" s="279"/>
      <c r="C2355" s="850"/>
      <c r="D2355" s="282"/>
      <c r="E2355" s="833"/>
    </row>
    <row r="2356" spans="1:5" x14ac:dyDescent="0.35">
      <c r="A2356" s="281"/>
      <c r="B2356" s="279"/>
      <c r="C2356" s="850"/>
      <c r="D2356" s="282"/>
      <c r="E2356" s="833"/>
    </row>
    <row r="2357" spans="1:5" x14ac:dyDescent="0.35">
      <c r="A2357" s="281"/>
      <c r="B2357" s="279"/>
      <c r="C2357" s="850"/>
      <c r="D2357" s="282"/>
      <c r="E2357" s="833"/>
    </row>
    <row r="2358" spans="1:5" x14ac:dyDescent="0.35">
      <c r="A2358" s="281"/>
      <c r="B2358" s="279"/>
      <c r="C2358" s="850"/>
      <c r="D2358" s="282"/>
      <c r="E2358" s="833"/>
    </row>
    <row r="2359" spans="1:5" x14ac:dyDescent="0.35">
      <c r="A2359" s="281"/>
      <c r="B2359" s="279"/>
      <c r="C2359" s="850"/>
      <c r="D2359" s="282"/>
      <c r="E2359" s="833"/>
    </row>
    <row r="2360" spans="1:5" x14ac:dyDescent="0.35">
      <c r="A2360" s="281"/>
      <c r="B2360" s="279"/>
      <c r="C2360" s="850"/>
      <c r="D2360" s="282"/>
      <c r="E2360" s="833"/>
    </row>
    <row r="2361" spans="1:5" x14ac:dyDescent="0.35">
      <c r="A2361" s="281"/>
      <c r="B2361" s="279"/>
      <c r="C2361" s="850"/>
      <c r="D2361" s="282"/>
      <c r="E2361" s="833"/>
    </row>
    <row r="2362" spans="1:5" x14ac:dyDescent="0.35">
      <c r="A2362" s="281"/>
      <c r="B2362" s="279"/>
      <c r="C2362" s="850"/>
      <c r="D2362" s="282"/>
      <c r="E2362" s="833"/>
    </row>
    <row r="2363" spans="1:5" x14ac:dyDescent="0.35">
      <c r="A2363" s="281"/>
      <c r="B2363" s="279"/>
      <c r="C2363" s="850"/>
      <c r="D2363" s="282"/>
      <c r="E2363" s="833"/>
    </row>
    <row r="2364" spans="1:5" x14ac:dyDescent="0.35">
      <c r="A2364" s="281"/>
      <c r="B2364" s="279"/>
      <c r="C2364" s="850"/>
      <c r="D2364" s="282"/>
      <c r="E2364" s="833"/>
    </row>
    <row r="2365" spans="1:5" x14ac:dyDescent="0.35">
      <c r="A2365" s="281"/>
      <c r="B2365" s="279"/>
      <c r="C2365" s="850"/>
      <c r="D2365" s="282"/>
      <c r="E2365" s="833"/>
    </row>
    <row r="2366" spans="1:5" x14ac:dyDescent="0.35">
      <c r="A2366" s="281"/>
      <c r="B2366" s="279"/>
      <c r="C2366" s="850"/>
      <c r="D2366" s="282"/>
      <c r="E2366" s="833"/>
    </row>
    <row r="2367" spans="1:5" x14ac:dyDescent="0.35">
      <c r="A2367" s="281"/>
      <c r="B2367" s="279"/>
      <c r="C2367" s="850"/>
      <c r="D2367" s="282"/>
      <c r="E2367" s="833"/>
    </row>
    <row r="2368" spans="1:5" x14ac:dyDescent="0.35">
      <c r="A2368" s="281"/>
      <c r="B2368" s="279"/>
      <c r="C2368" s="850"/>
      <c r="D2368" s="282"/>
      <c r="E2368" s="833"/>
    </row>
    <row r="2369" spans="1:5" x14ac:dyDescent="0.35">
      <c r="A2369" s="281"/>
      <c r="B2369" s="279"/>
      <c r="C2369" s="850"/>
      <c r="D2369" s="282"/>
      <c r="E2369" s="833"/>
    </row>
    <row r="2370" spans="1:5" x14ac:dyDescent="0.35">
      <c r="A2370" s="281"/>
      <c r="B2370" s="279"/>
      <c r="C2370" s="850"/>
      <c r="D2370" s="282"/>
      <c r="E2370" s="833"/>
    </row>
    <row r="2371" spans="1:5" x14ac:dyDescent="0.35">
      <c r="A2371" s="281"/>
      <c r="B2371" s="279"/>
      <c r="C2371" s="850"/>
      <c r="D2371" s="282"/>
      <c r="E2371" s="833"/>
    </row>
    <row r="2372" spans="1:5" x14ac:dyDescent="0.35">
      <c r="A2372" s="281"/>
      <c r="B2372" s="279"/>
      <c r="C2372" s="850"/>
      <c r="D2372" s="282"/>
      <c r="E2372" s="833"/>
    </row>
    <row r="2373" spans="1:5" x14ac:dyDescent="0.35">
      <c r="A2373" s="281"/>
      <c r="B2373" s="279"/>
      <c r="C2373" s="850"/>
      <c r="D2373" s="282"/>
      <c r="E2373" s="833"/>
    </row>
    <row r="2374" spans="1:5" x14ac:dyDescent="0.35">
      <c r="A2374" s="281"/>
      <c r="B2374" s="279"/>
      <c r="C2374" s="850"/>
      <c r="D2374" s="282"/>
      <c r="E2374" s="833"/>
    </row>
    <row r="2375" spans="1:5" x14ac:dyDescent="0.35">
      <c r="A2375" s="281"/>
      <c r="B2375" s="279"/>
      <c r="C2375" s="850"/>
      <c r="D2375" s="282"/>
      <c r="E2375" s="833"/>
    </row>
    <row r="2376" spans="1:5" x14ac:dyDescent="0.35">
      <c r="A2376" s="281"/>
      <c r="B2376" s="279"/>
      <c r="C2376" s="850"/>
      <c r="D2376" s="282"/>
      <c r="E2376" s="833"/>
    </row>
    <row r="2377" spans="1:5" x14ac:dyDescent="0.35">
      <c r="A2377" s="281"/>
      <c r="B2377" s="279"/>
      <c r="C2377" s="850"/>
      <c r="D2377" s="282"/>
      <c r="E2377" s="833"/>
    </row>
    <row r="2378" spans="1:5" x14ac:dyDescent="0.35">
      <c r="A2378" s="281"/>
      <c r="B2378" s="279"/>
      <c r="C2378" s="850"/>
      <c r="D2378" s="282"/>
      <c r="E2378" s="833"/>
    </row>
    <row r="2379" spans="1:5" x14ac:dyDescent="0.35">
      <c r="A2379" s="281"/>
      <c r="B2379" s="279"/>
      <c r="C2379" s="850"/>
      <c r="D2379" s="282"/>
      <c r="E2379" s="833"/>
    </row>
    <row r="2380" spans="1:5" x14ac:dyDescent="0.35">
      <c r="A2380" s="281"/>
      <c r="B2380" s="279"/>
      <c r="C2380" s="850"/>
      <c r="D2380" s="282"/>
      <c r="E2380" s="833"/>
    </row>
    <row r="2381" spans="1:5" x14ac:dyDescent="0.35">
      <c r="A2381" s="281"/>
      <c r="B2381" s="279"/>
      <c r="C2381" s="850"/>
      <c r="D2381" s="282"/>
      <c r="E2381" s="833"/>
    </row>
    <row r="2382" spans="1:5" x14ac:dyDescent="0.35">
      <c r="A2382" s="281"/>
      <c r="B2382" s="279"/>
      <c r="C2382" s="850"/>
      <c r="D2382" s="282"/>
      <c r="E2382" s="833"/>
    </row>
    <row r="2383" spans="1:5" x14ac:dyDescent="0.35">
      <c r="A2383" s="281"/>
      <c r="B2383" s="279"/>
      <c r="C2383" s="850"/>
      <c r="D2383" s="282"/>
      <c r="E2383" s="833"/>
    </row>
    <row r="2384" spans="1:5" x14ac:dyDescent="0.35">
      <c r="A2384" s="281"/>
      <c r="B2384" s="279"/>
      <c r="C2384" s="850"/>
      <c r="D2384" s="282"/>
      <c r="E2384" s="833"/>
    </row>
    <row r="2385" spans="1:5" x14ac:dyDescent="0.35">
      <c r="A2385" s="281"/>
      <c r="B2385" s="279"/>
      <c r="C2385" s="850"/>
      <c r="D2385" s="282"/>
      <c r="E2385" s="833"/>
    </row>
    <row r="2386" spans="1:5" x14ac:dyDescent="0.35">
      <c r="A2386" s="281"/>
      <c r="B2386" s="279"/>
      <c r="C2386" s="850"/>
      <c r="D2386" s="282"/>
      <c r="E2386" s="833"/>
    </row>
    <row r="2387" spans="1:5" x14ac:dyDescent="0.35">
      <c r="A2387" s="281"/>
      <c r="B2387" s="279"/>
      <c r="C2387" s="850"/>
      <c r="D2387" s="282"/>
      <c r="E2387" s="833"/>
    </row>
    <row r="2388" spans="1:5" x14ac:dyDescent="0.35">
      <c r="A2388" s="281"/>
      <c r="B2388" s="279"/>
      <c r="C2388" s="850"/>
      <c r="D2388" s="282"/>
      <c r="E2388" s="833"/>
    </row>
    <row r="2389" spans="1:5" x14ac:dyDescent="0.35">
      <c r="A2389" s="281"/>
      <c r="B2389" s="279"/>
      <c r="C2389" s="850"/>
      <c r="D2389" s="282"/>
      <c r="E2389" s="833"/>
    </row>
    <row r="2390" spans="1:5" x14ac:dyDescent="0.35">
      <c r="A2390" s="281"/>
      <c r="B2390" s="279"/>
      <c r="C2390" s="850"/>
      <c r="D2390" s="282"/>
      <c r="E2390" s="833"/>
    </row>
    <row r="2391" spans="1:5" x14ac:dyDescent="0.35">
      <c r="A2391" s="281"/>
      <c r="B2391" s="279"/>
      <c r="C2391" s="850"/>
      <c r="D2391" s="282"/>
      <c r="E2391" s="833"/>
    </row>
    <row r="2392" spans="1:5" x14ac:dyDescent="0.35">
      <c r="A2392" s="281"/>
      <c r="B2392" s="279"/>
      <c r="C2392" s="850"/>
      <c r="D2392" s="282"/>
      <c r="E2392" s="833"/>
    </row>
    <row r="2393" spans="1:5" x14ac:dyDescent="0.35">
      <c r="A2393" s="281"/>
      <c r="B2393" s="279"/>
      <c r="C2393" s="850"/>
      <c r="D2393" s="282"/>
      <c r="E2393" s="833"/>
    </row>
    <row r="2394" spans="1:5" x14ac:dyDescent="0.35">
      <c r="A2394" s="281"/>
      <c r="B2394" s="279"/>
      <c r="C2394" s="850"/>
      <c r="D2394" s="282"/>
      <c r="E2394" s="833"/>
    </row>
    <row r="2395" spans="1:5" x14ac:dyDescent="0.35">
      <c r="A2395" s="281"/>
      <c r="B2395" s="279"/>
      <c r="C2395" s="850"/>
      <c r="D2395" s="282"/>
      <c r="E2395" s="833"/>
    </row>
    <row r="2396" spans="1:5" x14ac:dyDescent="0.35">
      <c r="A2396" s="281"/>
      <c r="B2396" s="279"/>
      <c r="C2396" s="850"/>
      <c r="D2396" s="282"/>
      <c r="E2396" s="833"/>
    </row>
    <row r="2397" spans="1:5" x14ac:dyDescent="0.35">
      <c r="A2397" s="281"/>
      <c r="B2397" s="279"/>
      <c r="C2397" s="850"/>
      <c r="D2397" s="282"/>
      <c r="E2397" s="833"/>
    </row>
    <row r="2398" spans="1:5" x14ac:dyDescent="0.35">
      <c r="A2398" s="281"/>
      <c r="B2398" s="279"/>
      <c r="C2398" s="850"/>
      <c r="D2398" s="282"/>
      <c r="E2398" s="833"/>
    </row>
    <row r="2399" spans="1:5" x14ac:dyDescent="0.35">
      <c r="A2399" s="281"/>
      <c r="B2399" s="279"/>
      <c r="C2399" s="850"/>
      <c r="D2399" s="282"/>
      <c r="E2399" s="833"/>
    </row>
    <row r="2400" spans="1:5" x14ac:dyDescent="0.35">
      <c r="A2400" s="281"/>
      <c r="B2400" s="279"/>
      <c r="C2400" s="850"/>
      <c r="D2400" s="282"/>
      <c r="E2400" s="833"/>
    </row>
    <row r="2401" spans="1:5" x14ac:dyDescent="0.35">
      <c r="A2401" s="281"/>
      <c r="B2401" s="279"/>
      <c r="C2401" s="850"/>
      <c r="D2401" s="282"/>
      <c r="E2401" s="833"/>
    </row>
    <row r="2402" spans="1:5" x14ac:dyDescent="0.35">
      <c r="A2402" s="281"/>
      <c r="B2402" s="279"/>
      <c r="C2402" s="850"/>
      <c r="D2402" s="282"/>
      <c r="E2402" s="833"/>
    </row>
    <row r="2403" spans="1:5" x14ac:dyDescent="0.35">
      <c r="A2403" s="281"/>
      <c r="B2403" s="279"/>
      <c r="C2403" s="850"/>
      <c r="D2403" s="282"/>
      <c r="E2403" s="833"/>
    </row>
    <row r="2404" spans="1:5" x14ac:dyDescent="0.35">
      <c r="A2404" s="281"/>
      <c r="B2404" s="279"/>
      <c r="C2404" s="850"/>
      <c r="D2404" s="282"/>
      <c r="E2404" s="833"/>
    </row>
    <row r="2405" spans="1:5" x14ac:dyDescent="0.35">
      <c r="A2405" s="281"/>
      <c r="B2405" s="279"/>
      <c r="C2405" s="850"/>
      <c r="D2405" s="282"/>
      <c r="E2405" s="833"/>
    </row>
    <row r="2406" spans="1:5" x14ac:dyDescent="0.35">
      <c r="A2406" s="281"/>
      <c r="B2406" s="279"/>
      <c r="C2406" s="850"/>
      <c r="D2406" s="282"/>
      <c r="E2406" s="833"/>
    </row>
    <row r="2407" spans="1:5" x14ac:dyDescent="0.35">
      <c r="A2407" s="281"/>
      <c r="B2407" s="279"/>
      <c r="C2407" s="850"/>
      <c r="D2407" s="282"/>
      <c r="E2407" s="833"/>
    </row>
    <row r="2408" spans="1:5" x14ac:dyDescent="0.35">
      <c r="A2408" s="281"/>
      <c r="B2408" s="279"/>
      <c r="C2408" s="850"/>
      <c r="D2408" s="282"/>
      <c r="E2408" s="833"/>
    </row>
    <row r="2409" spans="1:5" x14ac:dyDescent="0.35">
      <c r="A2409" s="281"/>
      <c r="B2409" s="279"/>
      <c r="C2409" s="850"/>
      <c r="D2409" s="282"/>
      <c r="E2409" s="833"/>
    </row>
    <row r="2410" spans="1:5" x14ac:dyDescent="0.35">
      <c r="A2410" s="281"/>
      <c r="B2410" s="279"/>
      <c r="C2410" s="850"/>
      <c r="D2410" s="282"/>
      <c r="E2410" s="833"/>
    </row>
    <row r="2411" spans="1:5" x14ac:dyDescent="0.35">
      <c r="A2411" s="281"/>
      <c r="B2411" s="279"/>
      <c r="C2411" s="850"/>
      <c r="D2411" s="282"/>
      <c r="E2411" s="833"/>
    </row>
    <row r="2412" spans="1:5" x14ac:dyDescent="0.35">
      <c r="A2412" s="281"/>
      <c r="B2412" s="279"/>
      <c r="C2412" s="850"/>
      <c r="D2412" s="282"/>
      <c r="E2412" s="833"/>
    </row>
    <row r="2413" spans="1:5" x14ac:dyDescent="0.35">
      <c r="A2413" s="281"/>
      <c r="B2413" s="279"/>
      <c r="C2413" s="850"/>
      <c r="D2413" s="282"/>
      <c r="E2413" s="833"/>
    </row>
    <row r="2414" spans="1:5" x14ac:dyDescent="0.35">
      <c r="A2414" s="281"/>
      <c r="B2414" s="279"/>
      <c r="C2414" s="850"/>
      <c r="D2414" s="282"/>
      <c r="E2414" s="833"/>
    </row>
    <row r="2415" spans="1:5" x14ac:dyDescent="0.35">
      <c r="A2415" s="281"/>
      <c r="B2415" s="279"/>
      <c r="C2415" s="850"/>
      <c r="D2415" s="282"/>
      <c r="E2415" s="833"/>
    </row>
    <row r="2416" spans="1:5" x14ac:dyDescent="0.35">
      <c r="A2416" s="281"/>
      <c r="B2416" s="279"/>
      <c r="C2416" s="850"/>
      <c r="D2416" s="282"/>
      <c r="E2416" s="833"/>
    </row>
    <row r="2417" spans="1:5" x14ac:dyDescent="0.35">
      <c r="A2417" s="281"/>
      <c r="B2417" s="279"/>
      <c r="C2417" s="850"/>
      <c r="D2417" s="282"/>
      <c r="E2417" s="833"/>
    </row>
    <row r="2418" spans="1:5" x14ac:dyDescent="0.35">
      <c r="A2418" s="281"/>
      <c r="B2418" s="279"/>
      <c r="C2418" s="850"/>
      <c r="D2418" s="282"/>
      <c r="E2418" s="833"/>
    </row>
    <row r="2419" spans="1:5" x14ac:dyDescent="0.35">
      <c r="A2419" s="281"/>
      <c r="B2419" s="279"/>
      <c r="C2419" s="850"/>
      <c r="D2419" s="282"/>
      <c r="E2419" s="833"/>
    </row>
    <row r="2420" spans="1:5" x14ac:dyDescent="0.35">
      <c r="A2420" s="281"/>
      <c r="B2420" s="279"/>
      <c r="C2420" s="850"/>
      <c r="D2420" s="282"/>
      <c r="E2420" s="833"/>
    </row>
    <row r="2421" spans="1:5" x14ac:dyDescent="0.35">
      <c r="A2421" s="281"/>
      <c r="B2421" s="279"/>
      <c r="C2421" s="850"/>
      <c r="D2421" s="282"/>
      <c r="E2421" s="833"/>
    </row>
    <row r="2422" spans="1:5" x14ac:dyDescent="0.35">
      <c r="A2422" s="281"/>
      <c r="B2422" s="279"/>
      <c r="C2422" s="850"/>
      <c r="D2422" s="282"/>
      <c r="E2422" s="833"/>
    </row>
    <row r="2423" spans="1:5" x14ac:dyDescent="0.35">
      <c r="A2423" s="281"/>
      <c r="B2423" s="279"/>
      <c r="C2423" s="850"/>
      <c r="D2423" s="282"/>
      <c r="E2423" s="833"/>
    </row>
    <row r="2424" spans="1:5" x14ac:dyDescent="0.35">
      <c r="A2424" s="281"/>
      <c r="B2424" s="279"/>
      <c r="C2424" s="850"/>
      <c r="D2424" s="282"/>
      <c r="E2424" s="833"/>
    </row>
    <row r="2425" spans="1:5" x14ac:dyDescent="0.35">
      <c r="A2425" s="281"/>
      <c r="B2425" s="279"/>
      <c r="C2425" s="850"/>
      <c r="D2425" s="282"/>
      <c r="E2425" s="833"/>
    </row>
    <row r="2426" spans="1:5" x14ac:dyDescent="0.35">
      <c r="A2426" s="281"/>
      <c r="B2426" s="279"/>
      <c r="C2426" s="850"/>
      <c r="D2426" s="282"/>
      <c r="E2426" s="833"/>
    </row>
    <row r="2427" spans="1:5" x14ac:dyDescent="0.35">
      <c r="A2427" s="281"/>
      <c r="B2427" s="279"/>
      <c r="C2427" s="850"/>
      <c r="D2427" s="282"/>
      <c r="E2427" s="833"/>
    </row>
    <row r="2428" spans="1:5" x14ac:dyDescent="0.35">
      <c r="A2428" s="281"/>
      <c r="B2428" s="279"/>
      <c r="C2428" s="850"/>
      <c r="D2428" s="282"/>
      <c r="E2428" s="833"/>
    </row>
    <row r="2429" spans="1:5" x14ac:dyDescent="0.35">
      <c r="A2429" s="281"/>
      <c r="B2429" s="279"/>
      <c r="C2429" s="850"/>
      <c r="D2429" s="282"/>
      <c r="E2429" s="833"/>
    </row>
    <row r="2430" spans="1:5" x14ac:dyDescent="0.35">
      <c r="A2430" s="281"/>
      <c r="B2430" s="279"/>
      <c r="C2430" s="850"/>
      <c r="D2430" s="282"/>
      <c r="E2430" s="833"/>
    </row>
    <row r="2431" spans="1:5" x14ac:dyDescent="0.35">
      <c r="A2431" s="281"/>
      <c r="B2431" s="279"/>
      <c r="C2431" s="850"/>
      <c r="D2431" s="282"/>
      <c r="E2431" s="833"/>
    </row>
    <row r="2432" spans="1:5" x14ac:dyDescent="0.35">
      <c r="A2432" s="281"/>
      <c r="B2432" s="279"/>
      <c r="C2432" s="850"/>
      <c r="D2432" s="282"/>
      <c r="E2432" s="833"/>
    </row>
    <row r="2433" spans="1:5" x14ac:dyDescent="0.35">
      <c r="A2433" s="281"/>
      <c r="B2433" s="279"/>
      <c r="C2433" s="850"/>
      <c r="D2433" s="282"/>
      <c r="E2433" s="833"/>
    </row>
    <row r="2434" spans="1:5" x14ac:dyDescent="0.35">
      <c r="A2434" s="281"/>
      <c r="B2434" s="279"/>
      <c r="C2434" s="850"/>
      <c r="D2434" s="282"/>
      <c r="E2434" s="833"/>
    </row>
    <row r="2435" spans="1:5" x14ac:dyDescent="0.35">
      <c r="A2435" s="281"/>
      <c r="B2435" s="279"/>
      <c r="C2435" s="850"/>
      <c r="D2435" s="282"/>
      <c r="E2435" s="833"/>
    </row>
    <row r="2436" spans="1:5" x14ac:dyDescent="0.35">
      <c r="A2436" s="281"/>
      <c r="B2436" s="279"/>
      <c r="C2436" s="850"/>
      <c r="D2436" s="282"/>
      <c r="E2436" s="833"/>
    </row>
    <row r="2437" spans="1:5" x14ac:dyDescent="0.35">
      <c r="A2437" s="281"/>
      <c r="B2437" s="279"/>
      <c r="C2437" s="850"/>
      <c r="D2437" s="282"/>
      <c r="E2437" s="833"/>
    </row>
    <row r="2438" spans="1:5" x14ac:dyDescent="0.35">
      <c r="A2438" s="281"/>
      <c r="B2438" s="279"/>
      <c r="C2438" s="850"/>
      <c r="D2438" s="282"/>
      <c r="E2438" s="833"/>
    </row>
    <row r="2439" spans="1:5" x14ac:dyDescent="0.35">
      <c r="A2439" s="281"/>
      <c r="B2439" s="279"/>
      <c r="C2439" s="850"/>
      <c r="D2439" s="282"/>
      <c r="E2439" s="833"/>
    </row>
    <row r="2440" spans="1:5" x14ac:dyDescent="0.35">
      <c r="A2440" s="281"/>
      <c r="B2440" s="279"/>
      <c r="C2440" s="850"/>
      <c r="D2440" s="282"/>
      <c r="E2440" s="833"/>
    </row>
    <row r="2441" spans="1:5" x14ac:dyDescent="0.35">
      <c r="A2441" s="281"/>
      <c r="B2441" s="279"/>
      <c r="C2441" s="850"/>
      <c r="D2441" s="282"/>
      <c r="E2441" s="833"/>
    </row>
    <row r="2442" spans="1:5" x14ac:dyDescent="0.35">
      <c r="A2442" s="281"/>
      <c r="B2442" s="279"/>
      <c r="C2442" s="850"/>
      <c r="D2442" s="282"/>
      <c r="E2442" s="833"/>
    </row>
    <row r="2443" spans="1:5" x14ac:dyDescent="0.35">
      <c r="A2443" s="281"/>
      <c r="B2443" s="279"/>
      <c r="C2443" s="850"/>
      <c r="D2443" s="282"/>
      <c r="E2443" s="833"/>
    </row>
    <row r="2444" spans="1:5" x14ac:dyDescent="0.35">
      <c r="A2444" s="281"/>
      <c r="B2444" s="279"/>
      <c r="C2444" s="850"/>
      <c r="D2444" s="282"/>
      <c r="E2444" s="833"/>
    </row>
    <row r="2445" spans="1:5" x14ac:dyDescent="0.35">
      <c r="A2445" s="281"/>
      <c r="B2445" s="279"/>
      <c r="C2445" s="850"/>
      <c r="D2445" s="282"/>
      <c r="E2445" s="833"/>
    </row>
    <row r="2446" spans="1:5" x14ac:dyDescent="0.35">
      <c r="A2446" s="281"/>
      <c r="B2446" s="279"/>
      <c r="C2446" s="850"/>
      <c r="D2446" s="282"/>
      <c r="E2446" s="833"/>
    </row>
    <row r="2447" spans="1:5" x14ac:dyDescent="0.35">
      <c r="A2447" s="281"/>
      <c r="B2447" s="279"/>
      <c r="C2447" s="850"/>
      <c r="D2447" s="282"/>
      <c r="E2447" s="833"/>
    </row>
    <row r="2448" spans="1:5" x14ac:dyDescent="0.35">
      <c r="A2448" s="281"/>
      <c r="B2448" s="279"/>
      <c r="C2448" s="850"/>
      <c r="D2448" s="282"/>
      <c r="E2448" s="833"/>
    </row>
    <row r="2449" spans="1:5" x14ac:dyDescent="0.35">
      <c r="A2449" s="281"/>
      <c r="B2449" s="279"/>
      <c r="C2449" s="850"/>
      <c r="D2449" s="282"/>
      <c r="E2449" s="833"/>
    </row>
    <row r="2450" spans="1:5" x14ac:dyDescent="0.35">
      <c r="A2450" s="281"/>
      <c r="B2450" s="279"/>
      <c r="C2450" s="850"/>
      <c r="D2450" s="282"/>
      <c r="E2450" s="833"/>
    </row>
    <row r="2451" spans="1:5" x14ac:dyDescent="0.35">
      <c r="A2451" s="281"/>
      <c r="B2451" s="279"/>
      <c r="C2451" s="850"/>
      <c r="D2451" s="282"/>
      <c r="E2451" s="833"/>
    </row>
    <row r="2452" spans="1:5" x14ac:dyDescent="0.35">
      <c r="A2452" s="281"/>
      <c r="B2452" s="279"/>
      <c r="C2452" s="850"/>
      <c r="D2452" s="282"/>
      <c r="E2452" s="833"/>
    </row>
    <row r="2453" spans="1:5" x14ac:dyDescent="0.35">
      <c r="A2453" s="281"/>
      <c r="B2453" s="279"/>
      <c r="C2453" s="850"/>
      <c r="D2453" s="282"/>
      <c r="E2453" s="833"/>
    </row>
    <row r="2454" spans="1:5" x14ac:dyDescent="0.35">
      <c r="A2454" s="281"/>
      <c r="B2454" s="279"/>
      <c r="C2454" s="850"/>
      <c r="D2454" s="282"/>
      <c r="E2454" s="833"/>
    </row>
    <row r="2455" spans="1:5" x14ac:dyDescent="0.35">
      <c r="A2455" s="281"/>
      <c r="B2455" s="279"/>
      <c r="C2455" s="850"/>
      <c r="D2455" s="282"/>
      <c r="E2455" s="833"/>
    </row>
    <row r="2456" spans="1:5" x14ac:dyDescent="0.35">
      <c r="A2456" s="281"/>
      <c r="B2456" s="279"/>
      <c r="C2456" s="850"/>
      <c r="D2456" s="282"/>
      <c r="E2456" s="833"/>
    </row>
    <row r="2457" spans="1:5" x14ac:dyDescent="0.35">
      <c r="A2457" s="281"/>
      <c r="B2457" s="279"/>
      <c r="C2457" s="850"/>
      <c r="D2457" s="282"/>
      <c r="E2457" s="833"/>
    </row>
    <row r="2458" spans="1:5" x14ac:dyDescent="0.35">
      <c r="A2458" s="281"/>
      <c r="B2458" s="279"/>
      <c r="C2458" s="850"/>
      <c r="D2458" s="282"/>
      <c r="E2458" s="833"/>
    </row>
    <row r="2459" spans="1:5" x14ac:dyDescent="0.35">
      <c r="A2459" s="281"/>
      <c r="B2459" s="279"/>
      <c r="C2459" s="850"/>
      <c r="D2459" s="282"/>
      <c r="E2459" s="833"/>
    </row>
    <row r="2460" spans="1:5" x14ac:dyDescent="0.35">
      <c r="A2460" s="281"/>
      <c r="B2460" s="279"/>
      <c r="C2460" s="850"/>
      <c r="D2460" s="282"/>
      <c r="E2460" s="833"/>
    </row>
    <row r="2461" spans="1:5" x14ac:dyDescent="0.35">
      <c r="A2461" s="281"/>
      <c r="B2461" s="279"/>
      <c r="C2461" s="850"/>
      <c r="D2461" s="282"/>
      <c r="E2461" s="833"/>
    </row>
    <row r="2462" spans="1:5" x14ac:dyDescent="0.35">
      <c r="A2462" s="281"/>
      <c r="B2462" s="279"/>
      <c r="C2462" s="850"/>
      <c r="D2462" s="282"/>
      <c r="E2462" s="833"/>
    </row>
    <row r="2463" spans="1:5" x14ac:dyDescent="0.35">
      <c r="A2463" s="281"/>
      <c r="B2463" s="279"/>
      <c r="C2463" s="850"/>
      <c r="D2463" s="282"/>
      <c r="E2463" s="833"/>
    </row>
    <row r="2464" spans="1:5" x14ac:dyDescent="0.35">
      <c r="A2464" s="281"/>
      <c r="B2464" s="279"/>
      <c r="C2464" s="850"/>
      <c r="D2464" s="282"/>
      <c r="E2464" s="833"/>
    </row>
    <row r="2465" spans="1:5" x14ac:dyDescent="0.35">
      <c r="A2465" s="281"/>
      <c r="B2465" s="279"/>
      <c r="C2465" s="850"/>
      <c r="D2465" s="282"/>
      <c r="E2465" s="833"/>
    </row>
    <row r="2466" spans="1:5" x14ac:dyDescent="0.35">
      <c r="A2466" s="281"/>
      <c r="B2466" s="279"/>
      <c r="C2466" s="850"/>
      <c r="D2466" s="282"/>
      <c r="E2466" s="833"/>
    </row>
    <row r="2467" spans="1:5" x14ac:dyDescent="0.35">
      <c r="A2467" s="281"/>
      <c r="B2467" s="279"/>
      <c r="C2467" s="850"/>
      <c r="D2467" s="282"/>
      <c r="E2467" s="833"/>
    </row>
    <row r="2468" spans="1:5" x14ac:dyDescent="0.35">
      <c r="A2468" s="281"/>
      <c r="B2468" s="279"/>
      <c r="C2468" s="850"/>
      <c r="D2468" s="282"/>
      <c r="E2468" s="833"/>
    </row>
    <row r="2469" spans="1:5" x14ac:dyDescent="0.35">
      <c r="A2469" s="281"/>
      <c r="B2469" s="279"/>
      <c r="C2469" s="850"/>
      <c r="D2469" s="282"/>
      <c r="E2469" s="833"/>
    </row>
    <row r="2470" spans="1:5" x14ac:dyDescent="0.35">
      <c r="A2470" s="281"/>
      <c r="B2470" s="279"/>
      <c r="C2470" s="850"/>
      <c r="D2470" s="282"/>
      <c r="E2470" s="833"/>
    </row>
    <row r="2471" spans="1:5" x14ac:dyDescent="0.35">
      <c r="A2471" s="281"/>
      <c r="B2471" s="279"/>
      <c r="C2471" s="850"/>
      <c r="D2471" s="282"/>
      <c r="E2471" s="833"/>
    </row>
    <row r="2472" spans="1:5" x14ac:dyDescent="0.35">
      <c r="A2472" s="281"/>
      <c r="B2472" s="279"/>
      <c r="C2472" s="850"/>
      <c r="D2472" s="282"/>
      <c r="E2472" s="833"/>
    </row>
    <row r="2473" spans="1:5" x14ac:dyDescent="0.35">
      <c r="A2473" s="281"/>
      <c r="B2473" s="279"/>
      <c r="C2473" s="850"/>
      <c r="D2473" s="282"/>
      <c r="E2473" s="833"/>
    </row>
    <row r="2474" spans="1:5" x14ac:dyDescent="0.35">
      <c r="A2474" s="281"/>
      <c r="B2474" s="279"/>
      <c r="C2474" s="850"/>
      <c r="D2474" s="282"/>
      <c r="E2474" s="833"/>
    </row>
    <row r="2475" spans="1:5" x14ac:dyDescent="0.35">
      <c r="A2475" s="281"/>
      <c r="B2475" s="279"/>
      <c r="C2475" s="850"/>
      <c r="D2475" s="282"/>
      <c r="E2475" s="833"/>
    </row>
    <row r="2476" spans="1:5" x14ac:dyDescent="0.35">
      <c r="A2476" s="281"/>
      <c r="B2476" s="279"/>
      <c r="C2476" s="850"/>
      <c r="D2476" s="282"/>
      <c r="E2476" s="833"/>
    </row>
    <row r="2477" spans="1:5" x14ac:dyDescent="0.35">
      <c r="A2477" s="281"/>
      <c r="B2477" s="279"/>
      <c r="C2477" s="850"/>
      <c r="D2477" s="282"/>
      <c r="E2477" s="833"/>
    </row>
    <row r="2478" spans="1:5" x14ac:dyDescent="0.35">
      <c r="A2478" s="281"/>
      <c r="B2478" s="279"/>
      <c r="C2478" s="850"/>
      <c r="D2478" s="282"/>
      <c r="E2478" s="833"/>
    </row>
    <row r="2479" spans="1:5" x14ac:dyDescent="0.35">
      <c r="A2479" s="281"/>
      <c r="B2479" s="279"/>
      <c r="C2479" s="850"/>
      <c r="D2479" s="282"/>
      <c r="E2479" s="833"/>
    </row>
    <row r="2480" spans="1:5" x14ac:dyDescent="0.35">
      <c r="A2480" s="281"/>
      <c r="B2480" s="279"/>
      <c r="C2480" s="850"/>
      <c r="D2480" s="282"/>
      <c r="E2480" s="833"/>
    </row>
    <row r="2481" spans="1:5" x14ac:dyDescent="0.35">
      <c r="A2481" s="281"/>
      <c r="B2481" s="279"/>
      <c r="C2481" s="850"/>
      <c r="D2481" s="282"/>
      <c r="E2481" s="833"/>
    </row>
    <row r="2482" spans="1:5" x14ac:dyDescent="0.35">
      <c r="A2482" s="281"/>
      <c r="B2482" s="279"/>
      <c r="C2482" s="850"/>
      <c r="D2482" s="282"/>
      <c r="E2482" s="833"/>
    </row>
    <row r="2483" spans="1:5" x14ac:dyDescent="0.35">
      <c r="A2483" s="281"/>
      <c r="B2483" s="279"/>
      <c r="C2483" s="850"/>
      <c r="D2483" s="282"/>
      <c r="E2483" s="833"/>
    </row>
    <row r="2484" spans="1:5" x14ac:dyDescent="0.35">
      <c r="A2484" s="281"/>
      <c r="B2484" s="279"/>
      <c r="C2484" s="850"/>
      <c r="D2484" s="282"/>
      <c r="E2484" s="833"/>
    </row>
    <row r="2485" spans="1:5" x14ac:dyDescent="0.35">
      <c r="A2485" s="281"/>
      <c r="B2485" s="279"/>
      <c r="C2485" s="850"/>
      <c r="D2485" s="282"/>
      <c r="E2485" s="833"/>
    </row>
    <row r="2486" spans="1:5" x14ac:dyDescent="0.35">
      <c r="A2486" s="281"/>
      <c r="B2486" s="279"/>
      <c r="C2486" s="850"/>
      <c r="D2486" s="282"/>
      <c r="E2486" s="833"/>
    </row>
    <row r="2487" spans="1:5" x14ac:dyDescent="0.35">
      <c r="A2487" s="281"/>
      <c r="B2487" s="279"/>
      <c r="C2487" s="850"/>
      <c r="D2487" s="282"/>
      <c r="E2487" s="833"/>
    </row>
    <row r="2488" spans="1:5" x14ac:dyDescent="0.35">
      <c r="A2488" s="281"/>
      <c r="B2488" s="279"/>
      <c r="C2488" s="850"/>
      <c r="D2488" s="282"/>
      <c r="E2488" s="833"/>
    </row>
    <row r="2489" spans="1:5" x14ac:dyDescent="0.35">
      <c r="A2489" s="281"/>
      <c r="B2489" s="279"/>
      <c r="C2489" s="850"/>
      <c r="D2489" s="282"/>
      <c r="E2489" s="833"/>
    </row>
    <row r="2490" spans="1:5" x14ac:dyDescent="0.35">
      <c r="A2490" s="281"/>
      <c r="B2490" s="279"/>
      <c r="C2490" s="850"/>
      <c r="D2490" s="282"/>
      <c r="E2490" s="833"/>
    </row>
    <row r="2491" spans="1:5" x14ac:dyDescent="0.35">
      <c r="A2491" s="281"/>
      <c r="B2491" s="279"/>
      <c r="C2491" s="850"/>
      <c r="D2491" s="282"/>
      <c r="E2491" s="833"/>
    </row>
    <row r="2492" spans="1:5" x14ac:dyDescent="0.35">
      <c r="A2492" s="281"/>
      <c r="B2492" s="279"/>
      <c r="C2492" s="850"/>
      <c r="D2492" s="282"/>
      <c r="E2492" s="833"/>
    </row>
    <row r="2493" spans="1:5" x14ac:dyDescent="0.35">
      <c r="A2493" s="281"/>
      <c r="B2493" s="279"/>
      <c r="C2493" s="850"/>
      <c r="D2493" s="282"/>
      <c r="E2493" s="833"/>
    </row>
    <row r="2494" spans="1:5" x14ac:dyDescent="0.35">
      <c r="A2494" s="281"/>
      <c r="B2494" s="279"/>
      <c r="C2494" s="850"/>
      <c r="D2494" s="282"/>
      <c r="E2494" s="833"/>
    </row>
    <row r="2495" spans="1:5" x14ac:dyDescent="0.35">
      <c r="A2495" s="281"/>
      <c r="B2495" s="279"/>
      <c r="C2495" s="850"/>
      <c r="D2495" s="282"/>
      <c r="E2495" s="833"/>
    </row>
    <row r="2496" spans="1:5" x14ac:dyDescent="0.35">
      <c r="A2496" s="281"/>
      <c r="B2496" s="279"/>
      <c r="C2496" s="850"/>
      <c r="D2496" s="282"/>
      <c r="E2496" s="833"/>
    </row>
    <row r="2497" spans="1:5" x14ac:dyDescent="0.35">
      <c r="A2497" s="281"/>
      <c r="B2497" s="279"/>
      <c r="C2497" s="850"/>
      <c r="D2497" s="282"/>
      <c r="E2497" s="833"/>
    </row>
    <row r="2498" spans="1:5" x14ac:dyDescent="0.35">
      <c r="A2498" s="281"/>
      <c r="B2498" s="279"/>
      <c r="C2498" s="850"/>
      <c r="D2498" s="282"/>
      <c r="E2498" s="833"/>
    </row>
    <row r="2499" spans="1:5" x14ac:dyDescent="0.35">
      <c r="A2499" s="281"/>
      <c r="B2499" s="279"/>
      <c r="C2499" s="850"/>
      <c r="D2499" s="282"/>
      <c r="E2499" s="833"/>
    </row>
    <row r="2500" spans="1:5" x14ac:dyDescent="0.35">
      <c r="A2500" s="281"/>
      <c r="B2500" s="279"/>
      <c r="C2500" s="850"/>
      <c r="D2500" s="282"/>
      <c r="E2500" s="833"/>
    </row>
    <row r="2501" spans="1:5" x14ac:dyDescent="0.35">
      <c r="A2501" s="281"/>
      <c r="B2501" s="279"/>
      <c r="C2501" s="850"/>
      <c r="D2501" s="282"/>
      <c r="E2501" s="833"/>
    </row>
    <row r="2502" spans="1:5" x14ac:dyDescent="0.35">
      <c r="A2502" s="281"/>
      <c r="B2502" s="279"/>
      <c r="C2502" s="850"/>
      <c r="D2502" s="282"/>
      <c r="E2502" s="833"/>
    </row>
    <row r="2503" spans="1:5" x14ac:dyDescent="0.35">
      <c r="A2503" s="281"/>
      <c r="B2503" s="279"/>
      <c r="C2503" s="850"/>
      <c r="D2503" s="282"/>
      <c r="E2503" s="833"/>
    </row>
    <row r="2504" spans="1:5" x14ac:dyDescent="0.35">
      <c r="A2504" s="281"/>
      <c r="B2504" s="279"/>
      <c r="C2504" s="850"/>
      <c r="D2504" s="282"/>
      <c r="E2504" s="833"/>
    </row>
    <row r="2505" spans="1:5" x14ac:dyDescent="0.35">
      <c r="A2505" s="281"/>
      <c r="B2505" s="279"/>
      <c r="C2505" s="850"/>
      <c r="D2505" s="282"/>
      <c r="E2505" s="833"/>
    </row>
    <row r="2506" spans="1:5" x14ac:dyDescent="0.35">
      <c r="A2506" s="281"/>
      <c r="B2506" s="279"/>
      <c r="C2506" s="850"/>
      <c r="D2506" s="282"/>
      <c r="E2506" s="833"/>
    </row>
    <row r="2507" spans="1:5" x14ac:dyDescent="0.35">
      <c r="A2507" s="281"/>
      <c r="B2507" s="279"/>
      <c r="C2507" s="850"/>
      <c r="D2507" s="282"/>
      <c r="E2507" s="833"/>
    </row>
    <row r="2508" spans="1:5" x14ac:dyDescent="0.35">
      <c r="A2508" s="281"/>
      <c r="B2508" s="279"/>
      <c r="C2508" s="850"/>
      <c r="D2508" s="282"/>
      <c r="E2508" s="833"/>
    </row>
    <row r="2509" spans="1:5" x14ac:dyDescent="0.35">
      <c r="A2509" s="281"/>
      <c r="B2509" s="279"/>
      <c r="C2509" s="850"/>
      <c r="D2509" s="282"/>
      <c r="E2509" s="833"/>
    </row>
    <row r="2510" spans="1:5" x14ac:dyDescent="0.35">
      <c r="A2510" s="281"/>
      <c r="B2510" s="279"/>
      <c r="C2510" s="850"/>
      <c r="D2510" s="282"/>
      <c r="E2510" s="833"/>
    </row>
    <row r="2511" spans="1:5" x14ac:dyDescent="0.35">
      <c r="A2511" s="281"/>
      <c r="B2511" s="279"/>
      <c r="C2511" s="850"/>
      <c r="D2511" s="282"/>
      <c r="E2511" s="833"/>
    </row>
    <row r="2512" spans="1:5" x14ac:dyDescent="0.35">
      <c r="A2512" s="281"/>
      <c r="B2512" s="279"/>
      <c r="C2512" s="850"/>
      <c r="D2512" s="282"/>
      <c r="E2512" s="833"/>
    </row>
    <row r="2513" spans="1:5" x14ac:dyDescent="0.35">
      <c r="A2513" s="281"/>
      <c r="B2513" s="279"/>
      <c r="C2513" s="850"/>
      <c r="D2513" s="282"/>
      <c r="E2513" s="833"/>
    </row>
    <row r="2514" spans="1:5" x14ac:dyDescent="0.35">
      <c r="A2514" s="281"/>
      <c r="B2514" s="279"/>
      <c r="C2514" s="850"/>
      <c r="D2514" s="282"/>
      <c r="E2514" s="833"/>
    </row>
    <row r="2515" spans="1:5" x14ac:dyDescent="0.35">
      <c r="A2515" s="281"/>
      <c r="B2515" s="279"/>
      <c r="C2515" s="850"/>
      <c r="D2515" s="282"/>
      <c r="E2515" s="833"/>
    </row>
    <row r="2516" spans="1:5" x14ac:dyDescent="0.35">
      <c r="A2516" s="281"/>
      <c r="B2516" s="279"/>
      <c r="C2516" s="850"/>
      <c r="D2516" s="282"/>
      <c r="E2516" s="833"/>
    </row>
    <row r="2517" spans="1:5" x14ac:dyDescent="0.35">
      <c r="A2517" s="281"/>
      <c r="B2517" s="279"/>
      <c r="C2517" s="850"/>
      <c r="D2517" s="282"/>
      <c r="E2517" s="833"/>
    </row>
    <row r="2518" spans="1:5" x14ac:dyDescent="0.35">
      <c r="A2518" s="281"/>
      <c r="B2518" s="279"/>
      <c r="C2518" s="850"/>
      <c r="D2518" s="282"/>
      <c r="E2518" s="833"/>
    </row>
    <row r="2519" spans="1:5" x14ac:dyDescent="0.35">
      <c r="A2519" s="281"/>
      <c r="B2519" s="279"/>
      <c r="C2519" s="850"/>
      <c r="D2519" s="282"/>
      <c r="E2519" s="833"/>
    </row>
    <row r="2520" spans="1:5" x14ac:dyDescent="0.35">
      <c r="A2520" s="281"/>
      <c r="B2520" s="279"/>
      <c r="C2520" s="850"/>
      <c r="D2520" s="282"/>
      <c r="E2520" s="833"/>
    </row>
    <row r="2521" spans="1:5" x14ac:dyDescent="0.35">
      <c r="A2521" s="281"/>
      <c r="B2521" s="279"/>
      <c r="C2521" s="850"/>
      <c r="D2521" s="282"/>
      <c r="E2521" s="833"/>
    </row>
    <row r="2522" spans="1:5" x14ac:dyDescent="0.35">
      <c r="A2522" s="281"/>
      <c r="B2522" s="279"/>
      <c r="C2522" s="850"/>
      <c r="D2522" s="282"/>
      <c r="E2522" s="833"/>
    </row>
    <row r="2523" spans="1:5" x14ac:dyDescent="0.35">
      <c r="A2523" s="281"/>
      <c r="B2523" s="279"/>
      <c r="C2523" s="850"/>
      <c r="D2523" s="282"/>
      <c r="E2523" s="833"/>
    </row>
    <row r="2524" spans="1:5" x14ac:dyDescent="0.35">
      <c r="A2524" s="281"/>
      <c r="B2524" s="279"/>
      <c r="C2524" s="850"/>
      <c r="D2524" s="282"/>
      <c r="E2524" s="833"/>
    </row>
    <row r="2525" spans="1:5" x14ac:dyDescent="0.35">
      <c r="A2525" s="281"/>
      <c r="B2525" s="279"/>
      <c r="C2525" s="850"/>
      <c r="D2525" s="282"/>
      <c r="E2525" s="833"/>
    </row>
    <row r="2526" spans="1:5" x14ac:dyDescent="0.35">
      <c r="A2526" s="281"/>
      <c r="B2526" s="279"/>
      <c r="C2526" s="850"/>
      <c r="D2526" s="282"/>
      <c r="E2526" s="833"/>
    </row>
    <row r="2527" spans="1:5" x14ac:dyDescent="0.35">
      <c r="A2527" s="281"/>
      <c r="B2527" s="279"/>
      <c r="C2527" s="850"/>
      <c r="D2527" s="282"/>
      <c r="E2527" s="833"/>
    </row>
    <row r="2528" spans="1:5" x14ac:dyDescent="0.35">
      <c r="A2528" s="281"/>
      <c r="B2528" s="279"/>
      <c r="C2528" s="850"/>
      <c r="D2528" s="282"/>
      <c r="E2528" s="833"/>
    </row>
    <row r="2529" spans="1:5" x14ac:dyDescent="0.35">
      <c r="A2529" s="281"/>
      <c r="B2529" s="279"/>
      <c r="C2529" s="850"/>
      <c r="D2529" s="282"/>
      <c r="E2529" s="833"/>
    </row>
    <row r="2530" spans="1:5" x14ac:dyDescent="0.35">
      <c r="A2530" s="281"/>
      <c r="B2530" s="279"/>
      <c r="C2530" s="850"/>
      <c r="D2530" s="282"/>
      <c r="E2530" s="833"/>
    </row>
    <row r="2531" spans="1:5" x14ac:dyDescent="0.35">
      <c r="A2531" s="281"/>
      <c r="B2531" s="279"/>
      <c r="C2531" s="850"/>
      <c r="D2531" s="282"/>
      <c r="E2531" s="833"/>
    </row>
    <row r="2532" spans="1:5" x14ac:dyDescent="0.35">
      <c r="A2532" s="281"/>
      <c r="B2532" s="279"/>
      <c r="C2532" s="850"/>
      <c r="D2532" s="282"/>
      <c r="E2532" s="833"/>
    </row>
    <row r="2533" spans="1:5" x14ac:dyDescent="0.35">
      <c r="A2533" s="281"/>
      <c r="B2533" s="279"/>
      <c r="C2533" s="850"/>
      <c r="D2533" s="282"/>
      <c r="E2533" s="833"/>
    </row>
    <row r="2534" spans="1:5" x14ac:dyDescent="0.35">
      <c r="A2534" s="281"/>
      <c r="B2534" s="279"/>
      <c r="C2534" s="850"/>
      <c r="D2534" s="282"/>
      <c r="E2534" s="833"/>
    </row>
    <row r="2535" spans="1:5" x14ac:dyDescent="0.35">
      <c r="A2535" s="281"/>
      <c r="B2535" s="279"/>
      <c r="C2535" s="850"/>
      <c r="D2535" s="282"/>
      <c r="E2535" s="833"/>
    </row>
    <row r="2536" spans="1:5" x14ac:dyDescent="0.35">
      <c r="A2536" s="281"/>
      <c r="B2536" s="279"/>
      <c r="C2536" s="850"/>
      <c r="D2536" s="282"/>
      <c r="E2536" s="833"/>
    </row>
    <row r="2537" spans="1:5" x14ac:dyDescent="0.35">
      <c r="A2537" s="281"/>
      <c r="B2537" s="279"/>
      <c r="C2537" s="850"/>
      <c r="D2537" s="282"/>
      <c r="E2537" s="833"/>
    </row>
    <row r="2538" spans="1:5" x14ac:dyDescent="0.35">
      <c r="A2538" s="281"/>
      <c r="B2538" s="279"/>
      <c r="C2538" s="850"/>
      <c r="D2538" s="282"/>
      <c r="E2538" s="833"/>
    </row>
    <row r="2539" spans="1:5" x14ac:dyDescent="0.35">
      <c r="A2539" s="281"/>
      <c r="B2539" s="279"/>
      <c r="C2539" s="850"/>
      <c r="D2539" s="282"/>
      <c r="E2539" s="833"/>
    </row>
    <row r="2540" spans="1:5" x14ac:dyDescent="0.35">
      <c r="A2540" s="281"/>
      <c r="B2540" s="279"/>
      <c r="C2540" s="850"/>
      <c r="D2540" s="282"/>
      <c r="E2540" s="833"/>
    </row>
    <row r="2541" spans="1:5" x14ac:dyDescent="0.35">
      <c r="A2541" s="281"/>
      <c r="B2541" s="279"/>
      <c r="C2541" s="850"/>
      <c r="D2541" s="282"/>
      <c r="E2541" s="833"/>
    </row>
    <row r="2542" spans="1:5" x14ac:dyDescent="0.35">
      <c r="A2542" s="281"/>
      <c r="B2542" s="279"/>
      <c r="C2542" s="850"/>
      <c r="D2542" s="282"/>
      <c r="E2542" s="833"/>
    </row>
    <row r="2543" spans="1:5" x14ac:dyDescent="0.35">
      <c r="A2543" s="281"/>
      <c r="B2543" s="279"/>
      <c r="C2543" s="850"/>
      <c r="D2543" s="282"/>
      <c r="E2543" s="833"/>
    </row>
    <row r="2544" spans="1:5" x14ac:dyDescent="0.35">
      <c r="A2544" s="281"/>
      <c r="B2544" s="279"/>
      <c r="C2544" s="850"/>
      <c r="D2544" s="282"/>
      <c r="E2544" s="833"/>
    </row>
    <row r="2545" spans="1:5" x14ac:dyDescent="0.35">
      <c r="A2545" s="281"/>
      <c r="B2545" s="279"/>
      <c r="C2545" s="850"/>
      <c r="D2545" s="282"/>
      <c r="E2545" s="833"/>
    </row>
    <row r="2546" spans="1:5" x14ac:dyDescent="0.35">
      <c r="A2546" s="281"/>
      <c r="B2546" s="279"/>
      <c r="C2546" s="850"/>
      <c r="D2546" s="282"/>
      <c r="E2546" s="833"/>
    </row>
    <row r="2547" spans="1:5" x14ac:dyDescent="0.35">
      <c r="A2547" s="281"/>
      <c r="B2547" s="279"/>
      <c r="C2547" s="850"/>
      <c r="D2547" s="282"/>
      <c r="E2547" s="833"/>
    </row>
    <row r="2548" spans="1:5" x14ac:dyDescent="0.35">
      <c r="A2548" s="281"/>
      <c r="B2548" s="279"/>
      <c r="C2548" s="850"/>
      <c r="D2548" s="282"/>
      <c r="E2548" s="833"/>
    </row>
    <row r="2549" spans="1:5" x14ac:dyDescent="0.35">
      <c r="A2549" s="281"/>
      <c r="B2549" s="279"/>
      <c r="C2549" s="850"/>
      <c r="D2549" s="282"/>
      <c r="E2549" s="833"/>
    </row>
    <row r="2550" spans="1:5" x14ac:dyDescent="0.35">
      <c r="A2550" s="281"/>
      <c r="B2550" s="279"/>
      <c r="C2550" s="850"/>
      <c r="D2550" s="282"/>
      <c r="E2550" s="833"/>
    </row>
    <row r="2551" spans="1:5" x14ac:dyDescent="0.35">
      <c r="A2551" s="281"/>
      <c r="B2551" s="279"/>
      <c r="C2551" s="850"/>
      <c r="D2551" s="282"/>
      <c r="E2551" s="833"/>
    </row>
    <row r="2552" spans="1:5" x14ac:dyDescent="0.35">
      <c r="A2552" s="281"/>
      <c r="B2552" s="279"/>
      <c r="C2552" s="850"/>
      <c r="D2552" s="282"/>
      <c r="E2552" s="833"/>
    </row>
    <row r="2553" spans="1:5" x14ac:dyDescent="0.35">
      <c r="A2553" s="281"/>
      <c r="B2553" s="279"/>
      <c r="C2553" s="850"/>
      <c r="D2553" s="282"/>
      <c r="E2553" s="833"/>
    </row>
    <row r="2554" spans="1:5" x14ac:dyDescent="0.35">
      <c r="A2554" s="281"/>
      <c r="B2554" s="279"/>
      <c r="C2554" s="850"/>
      <c r="D2554" s="282"/>
      <c r="E2554" s="833"/>
    </row>
    <row r="2555" spans="1:5" x14ac:dyDescent="0.35">
      <c r="A2555" s="281"/>
      <c r="B2555" s="279"/>
      <c r="C2555" s="850"/>
      <c r="D2555" s="282"/>
      <c r="E2555" s="833"/>
    </row>
    <row r="2556" spans="1:5" x14ac:dyDescent="0.35">
      <c r="A2556" s="281"/>
      <c r="B2556" s="279"/>
      <c r="C2556" s="850"/>
      <c r="D2556" s="282"/>
      <c r="E2556" s="833"/>
    </row>
    <row r="2557" spans="1:5" x14ac:dyDescent="0.35">
      <c r="A2557" s="281"/>
      <c r="B2557" s="279"/>
      <c r="C2557" s="850"/>
      <c r="D2557" s="282"/>
      <c r="E2557" s="833"/>
    </row>
    <row r="2558" spans="1:5" x14ac:dyDescent="0.35">
      <c r="A2558" s="281"/>
      <c r="B2558" s="279"/>
      <c r="C2558" s="850"/>
      <c r="D2558" s="282"/>
      <c r="E2558" s="833"/>
    </row>
    <row r="2559" spans="1:5" x14ac:dyDescent="0.35">
      <c r="A2559" s="281"/>
      <c r="B2559" s="279"/>
      <c r="C2559" s="850"/>
      <c r="D2559" s="282"/>
      <c r="E2559" s="833"/>
    </row>
    <row r="2560" spans="1:5" x14ac:dyDescent="0.35">
      <c r="A2560" s="281"/>
      <c r="B2560" s="279"/>
      <c r="C2560" s="850"/>
      <c r="D2560" s="282"/>
      <c r="E2560" s="833"/>
    </row>
    <row r="2561" spans="1:5" x14ac:dyDescent="0.35">
      <c r="A2561" s="281"/>
      <c r="B2561" s="279"/>
      <c r="C2561" s="850"/>
      <c r="D2561" s="282"/>
      <c r="E2561" s="833"/>
    </row>
    <row r="2562" spans="1:5" x14ac:dyDescent="0.35">
      <c r="A2562" s="281"/>
      <c r="B2562" s="279"/>
      <c r="C2562" s="850"/>
      <c r="D2562" s="282"/>
      <c r="E2562" s="833"/>
    </row>
    <row r="2563" spans="1:5" x14ac:dyDescent="0.35">
      <c r="A2563" s="281"/>
      <c r="B2563" s="279"/>
      <c r="C2563" s="850"/>
      <c r="D2563" s="282"/>
      <c r="E2563" s="833"/>
    </row>
    <row r="2564" spans="1:5" x14ac:dyDescent="0.35">
      <c r="A2564" s="281"/>
      <c r="B2564" s="279"/>
      <c r="C2564" s="850"/>
      <c r="D2564" s="282"/>
      <c r="E2564" s="833"/>
    </row>
    <row r="2565" spans="1:5" x14ac:dyDescent="0.35">
      <c r="A2565" s="281"/>
      <c r="B2565" s="279"/>
      <c r="C2565" s="850"/>
      <c r="D2565" s="282"/>
      <c r="E2565" s="833"/>
    </row>
    <row r="2566" spans="1:5" x14ac:dyDescent="0.35">
      <c r="A2566" s="281"/>
      <c r="B2566" s="279"/>
      <c r="C2566" s="850"/>
      <c r="D2566" s="282"/>
      <c r="E2566" s="833"/>
    </row>
    <row r="2567" spans="1:5" x14ac:dyDescent="0.35">
      <c r="A2567" s="281"/>
      <c r="B2567" s="279"/>
      <c r="C2567" s="850"/>
      <c r="D2567" s="282"/>
      <c r="E2567" s="833"/>
    </row>
    <row r="2568" spans="1:5" x14ac:dyDescent="0.35">
      <c r="A2568" s="281"/>
      <c r="B2568" s="279"/>
      <c r="C2568" s="850"/>
      <c r="D2568" s="282"/>
      <c r="E2568" s="833"/>
    </row>
    <row r="2569" spans="1:5" x14ac:dyDescent="0.35">
      <c r="A2569" s="281"/>
      <c r="B2569" s="279"/>
      <c r="C2569" s="850"/>
      <c r="D2569" s="282"/>
      <c r="E2569" s="833"/>
    </row>
    <row r="2570" spans="1:5" x14ac:dyDescent="0.35">
      <c r="A2570" s="281"/>
      <c r="B2570" s="279"/>
      <c r="C2570" s="850"/>
      <c r="D2570" s="282"/>
      <c r="E2570" s="833"/>
    </row>
    <row r="2571" spans="1:5" x14ac:dyDescent="0.35">
      <c r="A2571" s="281"/>
      <c r="B2571" s="279"/>
      <c r="C2571" s="850"/>
      <c r="D2571" s="282"/>
      <c r="E2571" s="833"/>
    </row>
    <row r="2572" spans="1:5" x14ac:dyDescent="0.35">
      <c r="A2572" s="281"/>
      <c r="B2572" s="279"/>
      <c r="C2572" s="850"/>
      <c r="D2572" s="282"/>
      <c r="E2572" s="833"/>
    </row>
    <row r="2573" spans="1:5" x14ac:dyDescent="0.35">
      <c r="A2573" s="281"/>
      <c r="B2573" s="279"/>
      <c r="C2573" s="850"/>
      <c r="D2573" s="282"/>
      <c r="E2573" s="833"/>
    </row>
    <row r="2574" spans="1:5" x14ac:dyDescent="0.35">
      <c r="A2574" s="281"/>
      <c r="B2574" s="279"/>
      <c r="C2574" s="850"/>
      <c r="D2574" s="282"/>
      <c r="E2574" s="833"/>
    </row>
    <row r="2575" spans="1:5" x14ac:dyDescent="0.35">
      <c r="A2575" s="281"/>
      <c r="B2575" s="279"/>
      <c r="C2575" s="850"/>
      <c r="D2575" s="282"/>
      <c r="E2575" s="833"/>
    </row>
    <row r="2576" spans="1:5" x14ac:dyDescent="0.35">
      <c r="A2576" s="281"/>
      <c r="B2576" s="279"/>
      <c r="C2576" s="850"/>
      <c r="D2576" s="282"/>
      <c r="E2576" s="833"/>
    </row>
    <row r="2577" spans="1:5" x14ac:dyDescent="0.35">
      <c r="A2577" s="281"/>
      <c r="B2577" s="279"/>
      <c r="C2577" s="850"/>
      <c r="D2577" s="282"/>
      <c r="E2577" s="833"/>
    </row>
    <row r="2578" spans="1:5" x14ac:dyDescent="0.35">
      <c r="A2578" s="281"/>
      <c r="B2578" s="279"/>
      <c r="C2578" s="850"/>
      <c r="D2578" s="282"/>
      <c r="E2578" s="833"/>
    </row>
    <row r="2579" spans="1:5" x14ac:dyDescent="0.35">
      <c r="A2579" s="281"/>
      <c r="B2579" s="279"/>
      <c r="C2579" s="850"/>
      <c r="D2579" s="282"/>
      <c r="E2579" s="833"/>
    </row>
    <row r="2580" spans="1:5" x14ac:dyDescent="0.35">
      <c r="A2580" s="281"/>
      <c r="B2580" s="279"/>
      <c r="C2580" s="850"/>
      <c r="D2580" s="282"/>
      <c r="E2580" s="833"/>
    </row>
    <row r="2581" spans="1:5" x14ac:dyDescent="0.35">
      <c r="A2581" s="281"/>
      <c r="B2581" s="279"/>
      <c r="C2581" s="850"/>
      <c r="D2581" s="282"/>
      <c r="E2581" s="833"/>
    </row>
    <row r="2582" spans="1:5" x14ac:dyDescent="0.35">
      <c r="A2582" s="281"/>
      <c r="B2582" s="279"/>
      <c r="C2582" s="850"/>
      <c r="D2582" s="282"/>
      <c r="E2582" s="833"/>
    </row>
    <row r="2583" spans="1:5" x14ac:dyDescent="0.35">
      <c r="A2583" s="281"/>
      <c r="B2583" s="279"/>
      <c r="C2583" s="850"/>
      <c r="D2583" s="282"/>
      <c r="E2583" s="833"/>
    </row>
    <row r="2584" spans="1:5" x14ac:dyDescent="0.35">
      <c r="A2584" s="281"/>
      <c r="B2584" s="279"/>
      <c r="C2584" s="850"/>
      <c r="D2584" s="282"/>
      <c r="E2584" s="833"/>
    </row>
    <row r="2585" spans="1:5" x14ac:dyDescent="0.35">
      <c r="A2585" s="281"/>
      <c r="B2585" s="279"/>
      <c r="C2585" s="850"/>
      <c r="D2585" s="282"/>
      <c r="E2585" s="833"/>
    </row>
    <row r="2586" spans="1:5" x14ac:dyDescent="0.35">
      <c r="A2586" s="281"/>
      <c r="B2586" s="279"/>
      <c r="C2586" s="850"/>
      <c r="D2586" s="282"/>
      <c r="E2586" s="833"/>
    </row>
    <row r="2587" spans="1:5" x14ac:dyDescent="0.35">
      <c r="A2587" s="281"/>
      <c r="B2587" s="279"/>
      <c r="C2587" s="850"/>
      <c r="D2587" s="282"/>
      <c r="E2587" s="833"/>
    </row>
    <row r="2588" spans="1:5" x14ac:dyDescent="0.35">
      <c r="A2588" s="281"/>
      <c r="B2588" s="279"/>
      <c r="C2588" s="850"/>
      <c r="D2588" s="282"/>
      <c r="E2588" s="833"/>
    </row>
    <row r="2589" spans="1:5" x14ac:dyDescent="0.35">
      <c r="A2589" s="281"/>
      <c r="B2589" s="279"/>
      <c r="C2589" s="850"/>
      <c r="D2589" s="282"/>
      <c r="E2589" s="833"/>
    </row>
    <row r="2590" spans="1:5" x14ac:dyDescent="0.35">
      <c r="A2590" s="281"/>
      <c r="B2590" s="279"/>
      <c r="C2590" s="850"/>
      <c r="D2590" s="282"/>
      <c r="E2590" s="833"/>
    </row>
    <row r="2591" spans="1:5" x14ac:dyDescent="0.35">
      <c r="A2591" s="281"/>
      <c r="B2591" s="279"/>
      <c r="C2591" s="850"/>
      <c r="D2591" s="282"/>
      <c r="E2591" s="833"/>
    </row>
    <row r="2592" spans="1:5" x14ac:dyDescent="0.35">
      <c r="A2592" s="281"/>
      <c r="B2592" s="279"/>
      <c r="C2592" s="850"/>
      <c r="D2592" s="282"/>
      <c r="E2592" s="833"/>
    </row>
    <row r="2593" spans="1:5" x14ac:dyDescent="0.35">
      <c r="A2593" s="281"/>
      <c r="B2593" s="279"/>
      <c r="C2593" s="850"/>
      <c r="D2593" s="282"/>
      <c r="E2593" s="833"/>
    </row>
    <row r="2594" spans="1:5" x14ac:dyDescent="0.35">
      <c r="A2594" s="281"/>
      <c r="B2594" s="279"/>
      <c r="C2594" s="850"/>
      <c r="D2594" s="282"/>
      <c r="E2594" s="833"/>
    </row>
    <row r="2595" spans="1:5" x14ac:dyDescent="0.35">
      <c r="A2595" s="281"/>
      <c r="B2595" s="279"/>
      <c r="C2595" s="850"/>
      <c r="D2595" s="282"/>
      <c r="E2595" s="833"/>
    </row>
    <row r="2596" spans="1:5" x14ac:dyDescent="0.35">
      <c r="A2596" s="281"/>
      <c r="B2596" s="279"/>
      <c r="C2596" s="850"/>
      <c r="D2596" s="282"/>
      <c r="E2596" s="833"/>
    </row>
    <row r="2597" spans="1:5" x14ac:dyDescent="0.35">
      <c r="A2597" s="281"/>
      <c r="B2597" s="279"/>
      <c r="C2597" s="850"/>
      <c r="D2597" s="282"/>
      <c r="E2597" s="833"/>
    </row>
    <row r="2598" spans="1:5" x14ac:dyDescent="0.35">
      <c r="A2598" s="281"/>
      <c r="B2598" s="279"/>
      <c r="C2598" s="850"/>
      <c r="D2598" s="282"/>
      <c r="E2598" s="833"/>
    </row>
    <row r="2599" spans="1:5" x14ac:dyDescent="0.35">
      <c r="A2599" s="281"/>
      <c r="B2599" s="279"/>
      <c r="C2599" s="850"/>
      <c r="D2599" s="282"/>
      <c r="E2599" s="833"/>
    </row>
    <row r="2600" spans="1:5" x14ac:dyDescent="0.35">
      <c r="A2600" s="281"/>
      <c r="B2600" s="279"/>
      <c r="C2600" s="850"/>
      <c r="D2600" s="282"/>
      <c r="E2600" s="833"/>
    </row>
    <row r="2601" spans="1:5" x14ac:dyDescent="0.35">
      <c r="A2601" s="281"/>
      <c r="B2601" s="279"/>
      <c r="C2601" s="850"/>
      <c r="D2601" s="282"/>
      <c r="E2601" s="833"/>
    </row>
    <row r="2602" spans="1:5" x14ac:dyDescent="0.35">
      <c r="A2602" s="281"/>
      <c r="B2602" s="279"/>
      <c r="C2602" s="850"/>
      <c r="D2602" s="282"/>
      <c r="E2602" s="833"/>
    </row>
    <row r="2603" spans="1:5" x14ac:dyDescent="0.35">
      <c r="A2603" s="281"/>
      <c r="B2603" s="279"/>
      <c r="C2603" s="850"/>
      <c r="D2603" s="282"/>
      <c r="E2603" s="833"/>
    </row>
    <row r="2604" spans="1:5" x14ac:dyDescent="0.35">
      <c r="A2604" s="281"/>
      <c r="B2604" s="279"/>
      <c r="C2604" s="850"/>
      <c r="D2604" s="282"/>
      <c r="E2604" s="833"/>
    </row>
    <row r="2605" spans="1:5" x14ac:dyDescent="0.35">
      <c r="A2605" s="281"/>
      <c r="B2605" s="279"/>
      <c r="C2605" s="850"/>
      <c r="D2605" s="282"/>
      <c r="E2605" s="833"/>
    </row>
    <row r="2606" spans="1:5" x14ac:dyDescent="0.35">
      <c r="A2606" s="281"/>
      <c r="B2606" s="279"/>
      <c r="C2606" s="850"/>
      <c r="D2606" s="282"/>
      <c r="E2606" s="833"/>
    </row>
    <row r="2607" spans="1:5" x14ac:dyDescent="0.35">
      <c r="A2607" s="281"/>
      <c r="B2607" s="279"/>
      <c r="C2607" s="850"/>
      <c r="D2607" s="282"/>
      <c r="E2607" s="833"/>
    </row>
    <row r="2608" spans="1:5" x14ac:dyDescent="0.35">
      <c r="A2608" s="281"/>
      <c r="B2608" s="279"/>
      <c r="C2608" s="850"/>
      <c r="D2608" s="282"/>
      <c r="E2608" s="833"/>
    </row>
    <row r="2609" spans="1:5" x14ac:dyDescent="0.35">
      <c r="A2609" s="281"/>
      <c r="B2609" s="279"/>
      <c r="C2609" s="850"/>
      <c r="D2609" s="282"/>
      <c r="E2609" s="833"/>
    </row>
    <row r="2610" spans="1:5" x14ac:dyDescent="0.35">
      <c r="A2610" s="281"/>
      <c r="B2610" s="279"/>
      <c r="C2610" s="850"/>
      <c r="D2610" s="282"/>
      <c r="E2610" s="833"/>
    </row>
    <row r="2611" spans="1:5" x14ac:dyDescent="0.35">
      <c r="A2611" s="281"/>
      <c r="B2611" s="279"/>
      <c r="C2611" s="850"/>
      <c r="D2611" s="282"/>
      <c r="E2611" s="833"/>
    </row>
    <row r="2612" spans="1:5" x14ac:dyDescent="0.35">
      <c r="A2612" s="281"/>
      <c r="B2612" s="279"/>
      <c r="C2612" s="850"/>
      <c r="D2612" s="282"/>
      <c r="E2612" s="833"/>
    </row>
    <row r="2613" spans="1:5" x14ac:dyDescent="0.35">
      <c r="A2613" s="281"/>
      <c r="B2613" s="279"/>
      <c r="C2613" s="850"/>
      <c r="D2613" s="282"/>
      <c r="E2613" s="833"/>
    </row>
    <row r="2614" spans="1:5" x14ac:dyDescent="0.35">
      <c r="A2614" s="281"/>
      <c r="B2614" s="279"/>
      <c r="C2614" s="850"/>
      <c r="D2614" s="282"/>
      <c r="E2614" s="833"/>
    </row>
    <row r="2615" spans="1:5" x14ac:dyDescent="0.35">
      <c r="A2615" s="281"/>
      <c r="B2615" s="279"/>
      <c r="C2615" s="850"/>
      <c r="D2615" s="282"/>
      <c r="E2615" s="833"/>
    </row>
    <row r="2616" spans="1:5" x14ac:dyDescent="0.35">
      <c r="A2616" s="281"/>
      <c r="B2616" s="279"/>
      <c r="C2616" s="850"/>
      <c r="D2616" s="282"/>
      <c r="E2616" s="833"/>
    </row>
    <row r="2617" spans="1:5" x14ac:dyDescent="0.35">
      <c r="A2617" s="281"/>
      <c r="B2617" s="279"/>
      <c r="C2617" s="850"/>
      <c r="D2617" s="282"/>
      <c r="E2617" s="833"/>
    </row>
    <row r="2618" spans="1:5" x14ac:dyDescent="0.35">
      <c r="A2618" s="281"/>
      <c r="B2618" s="279"/>
      <c r="C2618" s="850"/>
      <c r="D2618" s="282"/>
      <c r="E2618" s="833"/>
    </row>
    <row r="2619" spans="1:5" x14ac:dyDescent="0.35">
      <c r="A2619" s="281"/>
      <c r="B2619" s="279"/>
      <c r="C2619" s="850"/>
      <c r="D2619" s="282"/>
      <c r="E2619" s="833"/>
    </row>
    <row r="2620" spans="1:5" x14ac:dyDescent="0.35">
      <c r="A2620" s="281"/>
      <c r="B2620" s="279"/>
      <c r="C2620" s="850"/>
      <c r="D2620" s="282"/>
      <c r="E2620" s="833"/>
    </row>
    <row r="2621" spans="1:5" x14ac:dyDescent="0.35">
      <c r="A2621" s="281"/>
      <c r="B2621" s="279"/>
      <c r="C2621" s="850"/>
      <c r="D2621" s="282"/>
      <c r="E2621" s="833"/>
    </row>
    <row r="2622" spans="1:5" x14ac:dyDescent="0.35">
      <c r="A2622" s="281"/>
      <c r="B2622" s="279"/>
      <c r="C2622" s="850"/>
      <c r="D2622" s="282"/>
      <c r="E2622" s="833"/>
    </row>
    <row r="2623" spans="1:5" x14ac:dyDescent="0.35">
      <c r="A2623" s="281"/>
      <c r="B2623" s="279"/>
      <c r="C2623" s="850"/>
      <c r="D2623" s="282"/>
      <c r="E2623" s="833"/>
    </row>
    <row r="2624" spans="1:5" x14ac:dyDescent="0.35">
      <c r="A2624" s="281"/>
      <c r="B2624" s="279"/>
      <c r="C2624" s="850"/>
      <c r="D2624" s="282"/>
      <c r="E2624" s="833"/>
    </row>
    <row r="2625" spans="1:5" x14ac:dyDescent="0.35">
      <c r="A2625" s="281"/>
      <c r="B2625" s="279"/>
      <c r="C2625" s="850"/>
      <c r="D2625" s="282"/>
      <c r="E2625" s="833"/>
    </row>
    <row r="2626" spans="1:5" x14ac:dyDescent="0.35">
      <c r="A2626" s="281"/>
      <c r="B2626" s="279"/>
      <c r="C2626" s="850"/>
      <c r="D2626" s="282"/>
      <c r="E2626" s="833"/>
    </row>
    <row r="2627" spans="1:5" x14ac:dyDescent="0.35">
      <c r="A2627" s="281"/>
      <c r="B2627" s="279"/>
      <c r="C2627" s="850"/>
      <c r="D2627" s="282"/>
      <c r="E2627" s="833"/>
    </row>
    <row r="2628" spans="1:5" x14ac:dyDescent="0.35">
      <c r="A2628" s="281"/>
      <c r="B2628" s="279"/>
      <c r="C2628" s="850"/>
      <c r="D2628" s="282"/>
      <c r="E2628" s="833"/>
    </row>
    <row r="2629" spans="1:5" x14ac:dyDescent="0.35">
      <c r="A2629" s="281"/>
      <c r="B2629" s="279"/>
      <c r="C2629" s="850"/>
      <c r="D2629" s="282"/>
      <c r="E2629" s="833"/>
    </row>
    <row r="2630" spans="1:5" x14ac:dyDescent="0.35">
      <c r="A2630" s="281"/>
      <c r="B2630" s="279"/>
      <c r="C2630" s="850"/>
      <c r="D2630" s="282"/>
      <c r="E2630" s="833"/>
    </row>
    <row r="2631" spans="1:5" x14ac:dyDescent="0.35">
      <c r="A2631" s="281"/>
      <c r="B2631" s="279"/>
      <c r="C2631" s="850"/>
      <c r="D2631" s="282"/>
      <c r="E2631" s="833"/>
    </row>
    <row r="2632" spans="1:5" x14ac:dyDescent="0.35">
      <c r="A2632" s="281"/>
      <c r="B2632" s="279"/>
      <c r="C2632" s="850"/>
      <c r="D2632" s="282"/>
      <c r="E2632" s="833"/>
    </row>
    <row r="2633" spans="1:5" x14ac:dyDescent="0.35">
      <c r="A2633" s="281"/>
      <c r="B2633" s="279"/>
      <c r="C2633" s="850"/>
      <c r="D2633" s="282"/>
      <c r="E2633" s="833"/>
    </row>
    <row r="2634" spans="1:5" x14ac:dyDescent="0.35">
      <c r="A2634" s="281"/>
      <c r="B2634" s="279"/>
      <c r="C2634" s="850"/>
      <c r="D2634" s="282"/>
      <c r="E2634" s="833"/>
    </row>
    <row r="2635" spans="1:5" x14ac:dyDescent="0.35">
      <c r="A2635" s="281"/>
      <c r="B2635" s="279"/>
      <c r="C2635" s="850"/>
      <c r="D2635" s="282"/>
      <c r="E2635" s="833"/>
    </row>
    <row r="2636" spans="1:5" x14ac:dyDescent="0.35">
      <c r="A2636" s="281"/>
      <c r="B2636" s="279"/>
      <c r="C2636" s="850"/>
      <c r="D2636" s="282"/>
      <c r="E2636" s="833"/>
    </row>
    <row r="2637" spans="1:5" x14ac:dyDescent="0.35">
      <c r="A2637" s="281"/>
      <c r="B2637" s="279"/>
      <c r="C2637" s="850"/>
      <c r="D2637" s="282"/>
      <c r="E2637" s="833"/>
    </row>
    <row r="2638" spans="1:5" x14ac:dyDescent="0.35">
      <c r="A2638" s="281"/>
      <c r="B2638" s="279"/>
      <c r="C2638" s="850"/>
      <c r="D2638" s="282"/>
      <c r="E2638" s="833"/>
    </row>
    <row r="2639" spans="1:5" x14ac:dyDescent="0.35">
      <c r="A2639" s="281"/>
      <c r="B2639" s="279"/>
      <c r="C2639" s="850"/>
      <c r="D2639" s="282"/>
      <c r="E2639" s="833"/>
    </row>
    <row r="2640" spans="1:5" x14ac:dyDescent="0.35">
      <c r="A2640" s="281"/>
      <c r="B2640" s="279"/>
      <c r="C2640" s="850"/>
      <c r="D2640" s="282"/>
      <c r="E2640" s="833"/>
    </row>
    <row r="2641" spans="1:5" x14ac:dyDescent="0.35">
      <c r="A2641" s="281"/>
      <c r="B2641" s="279"/>
      <c r="C2641" s="850"/>
      <c r="D2641" s="282"/>
      <c r="E2641" s="833"/>
    </row>
    <row r="2642" spans="1:5" x14ac:dyDescent="0.35">
      <c r="A2642" s="281"/>
      <c r="B2642" s="279"/>
      <c r="C2642" s="850"/>
      <c r="D2642" s="282"/>
      <c r="E2642" s="833"/>
    </row>
    <row r="2643" spans="1:5" x14ac:dyDescent="0.35">
      <c r="A2643" s="281"/>
      <c r="B2643" s="279"/>
      <c r="C2643" s="850"/>
      <c r="D2643" s="282"/>
      <c r="E2643" s="833"/>
    </row>
    <row r="2644" spans="1:5" x14ac:dyDescent="0.35">
      <c r="A2644" s="281"/>
      <c r="B2644" s="279"/>
      <c r="C2644" s="850"/>
      <c r="D2644" s="282"/>
      <c r="E2644" s="833"/>
    </row>
    <row r="2645" spans="1:5" x14ac:dyDescent="0.35">
      <c r="A2645" s="281"/>
      <c r="B2645" s="279"/>
      <c r="C2645" s="850"/>
      <c r="D2645" s="282"/>
      <c r="E2645" s="833"/>
    </row>
    <row r="2646" spans="1:5" x14ac:dyDescent="0.35">
      <c r="A2646" s="281"/>
      <c r="B2646" s="279"/>
      <c r="C2646" s="850"/>
      <c r="D2646" s="282"/>
      <c r="E2646" s="833"/>
    </row>
    <row r="2647" spans="1:5" x14ac:dyDescent="0.35">
      <c r="A2647" s="281"/>
      <c r="B2647" s="279"/>
      <c r="C2647" s="850"/>
      <c r="D2647" s="282"/>
      <c r="E2647" s="833"/>
    </row>
    <row r="2648" spans="1:5" x14ac:dyDescent="0.35">
      <c r="A2648" s="281"/>
      <c r="B2648" s="279"/>
      <c r="C2648" s="850"/>
      <c r="D2648" s="282"/>
      <c r="E2648" s="833"/>
    </row>
    <row r="2649" spans="1:5" x14ac:dyDescent="0.35">
      <c r="A2649" s="281"/>
      <c r="B2649" s="279"/>
      <c r="C2649" s="850"/>
      <c r="D2649" s="282"/>
      <c r="E2649" s="833"/>
    </row>
    <row r="2650" spans="1:5" x14ac:dyDescent="0.35">
      <c r="A2650" s="281"/>
      <c r="B2650" s="279"/>
      <c r="C2650" s="850"/>
      <c r="D2650" s="282"/>
      <c r="E2650" s="833"/>
    </row>
    <row r="2651" spans="1:5" x14ac:dyDescent="0.35">
      <c r="A2651" s="281"/>
      <c r="B2651" s="279"/>
      <c r="C2651" s="850"/>
      <c r="D2651" s="282"/>
      <c r="E2651" s="833"/>
    </row>
    <row r="2652" spans="1:5" x14ac:dyDescent="0.35">
      <c r="A2652" s="281"/>
      <c r="B2652" s="279"/>
      <c r="C2652" s="850"/>
      <c r="D2652" s="282"/>
      <c r="E2652" s="833"/>
    </row>
    <row r="2653" spans="1:5" x14ac:dyDescent="0.35">
      <c r="A2653" s="281"/>
      <c r="B2653" s="279"/>
      <c r="C2653" s="850"/>
      <c r="D2653" s="282"/>
      <c r="E2653" s="833"/>
    </row>
    <row r="2654" spans="1:5" x14ac:dyDescent="0.35">
      <c r="A2654" s="281"/>
      <c r="B2654" s="279"/>
      <c r="C2654" s="850"/>
      <c r="D2654" s="282"/>
      <c r="E2654" s="833"/>
    </row>
    <row r="2655" spans="1:5" x14ac:dyDescent="0.35">
      <c r="A2655" s="281"/>
      <c r="B2655" s="279"/>
      <c r="C2655" s="850"/>
      <c r="D2655" s="282"/>
      <c r="E2655" s="833"/>
    </row>
    <row r="2656" spans="1:5" x14ac:dyDescent="0.35">
      <c r="A2656" s="281"/>
      <c r="B2656" s="279"/>
      <c r="C2656" s="850"/>
      <c r="D2656" s="282"/>
      <c r="E2656" s="833"/>
    </row>
    <row r="2657" spans="1:5" x14ac:dyDescent="0.35">
      <c r="A2657" s="281"/>
      <c r="B2657" s="279"/>
      <c r="C2657" s="850"/>
      <c r="D2657" s="282"/>
      <c r="E2657" s="833"/>
    </row>
    <row r="2658" spans="1:5" x14ac:dyDescent="0.35">
      <c r="A2658" s="281"/>
      <c r="B2658" s="279"/>
      <c r="C2658" s="850"/>
      <c r="D2658" s="282"/>
      <c r="E2658" s="833"/>
    </row>
    <row r="2659" spans="1:5" x14ac:dyDescent="0.35">
      <c r="A2659" s="281"/>
      <c r="B2659" s="279"/>
      <c r="C2659" s="850"/>
      <c r="D2659" s="282"/>
      <c r="E2659" s="833"/>
    </row>
    <row r="2660" spans="1:5" x14ac:dyDescent="0.35">
      <c r="A2660" s="281"/>
      <c r="B2660" s="279"/>
      <c r="C2660" s="850"/>
      <c r="D2660" s="282"/>
      <c r="E2660" s="833"/>
    </row>
    <row r="2661" spans="1:5" x14ac:dyDescent="0.35">
      <c r="A2661" s="281"/>
      <c r="B2661" s="279"/>
      <c r="C2661" s="850"/>
      <c r="D2661" s="282"/>
      <c r="E2661" s="833"/>
    </row>
    <row r="2662" spans="1:5" x14ac:dyDescent="0.35">
      <c r="A2662" s="281"/>
      <c r="B2662" s="279"/>
      <c r="C2662" s="850"/>
      <c r="D2662" s="282"/>
      <c r="E2662" s="833"/>
    </row>
    <row r="2663" spans="1:5" x14ac:dyDescent="0.35">
      <c r="A2663" s="281"/>
      <c r="B2663" s="279"/>
      <c r="C2663" s="850"/>
      <c r="D2663" s="282"/>
      <c r="E2663" s="833"/>
    </row>
    <row r="2664" spans="1:5" x14ac:dyDescent="0.35">
      <c r="A2664" s="281"/>
      <c r="B2664" s="279"/>
      <c r="C2664" s="850"/>
      <c r="D2664" s="282"/>
      <c r="E2664" s="833"/>
    </row>
    <row r="2665" spans="1:5" x14ac:dyDescent="0.35">
      <c r="A2665" s="281"/>
      <c r="B2665" s="279"/>
      <c r="C2665" s="850"/>
      <c r="D2665" s="282"/>
      <c r="E2665" s="833"/>
    </row>
    <row r="2666" spans="1:5" x14ac:dyDescent="0.35">
      <c r="A2666" s="281"/>
      <c r="B2666" s="279"/>
      <c r="C2666" s="850"/>
      <c r="D2666" s="282"/>
      <c r="E2666" s="833"/>
    </row>
    <row r="2667" spans="1:5" x14ac:dyDescent="0.35">
      <c r="A2667" s="281"/>
      <c r="B2667" s="279"/>
      <c r="C2667" s="850"/>
      <c r="D2667" s="282"/>
      <c r="E2667" s="833"/>
    </row>
    <row r="2668" spans="1:5" x14ac:dyDescent="0.35">
      <c r="A2668" s="281"/>
      <c r="B2668" s="279"/>
      <c r="C2668" s="850"/>
      <c r="D2668" s="282"/>
      <c r="E2668" s="833"/>
    </row>
    <row r="2669" spans="1:5" x14ac:dyDescent="0.35">
      <c r="A2669" s="281"/>
      <c r="B2669" s="279"/>
      <c r="C2669" s="850"/>
      <c r="D2669" s="282"/>
      <c r="E2669" s="833"/>
    </row>
    <row r="2670" spans="1:5" x14ac:dyDescent="0.35">
      <c r="A2670" s="281"/>
      <c r="B2670" s="279"/>
      <c r="C2670" s="850"/>
      <c r="D2670" s="282"/>
      <c r="E2670" s="833"/>
    </row>
    <row r="2671" spans="1:5" x14ac:dyDescent="0.35">
      <c r="A2671" s="281"/>
      <c r="B2671" s="279"/>
      <c r="C2671" s="850"/>
      <c r="D2671" s="282"/>
      <c r="E2671" s="833"/>
    </row>
    <row r="2672" spans="1:5" x14ac:dyDescent="0.35">
      <c r="A2672" s="281"/>
      <c r="B2672" s="279"/>
      <c r="C2672" s="850"/>
      <c r="D2672" s="282"/>
      <c r="E2672" s="833"/>
    </row>
    <row r="2673" spans="1:5" x14ac:dyDescent="0.35">
      <c r="A2673" s="281"/>
      <c r="B2673" s="279"/>
      <c r="C2673" s="850"/>
      <c r="D2673" s="282"/>
      <c r="E2673" s="833"/>
    </row>
    <row r="2674" spans="1:5" x14ac:dyDescent="0.35">
      <c r="A2674" s="281"/>
      <c r="B2674" s="279"/>
      <c r="C2674" s="850"/>
      <c r="D2674" s="282"/>
      <c r="E2674" s="833"/>
    </row>
    <row r="2675" spans="1:5" x14ac:dyDescent="0.35">
      <c r="A2675" s="281"/>
      <c r="B2675" s="279"/>
      <c r="C2675" s="850"/>
      <c r="D2675" s="282"/>
      <c r="E2675" s="833"/>
    </row>
    <row r="2676" spans="1:5" x14ac:dyDescent="0.35">
      <c r="A2676" s="281"/>
      <c r="B2676" s="279"/>
      <c r="C2676" s="850"/>
      <c r="D2676" s="282"/>
      <c r="E2676" s="833"/>
    </row>
    <row r="2677" spans="1:5" x14ac:dyDescent="0.35">
      <c r="A2677" s="281"/>
      <c r="B2677" s="279"/>
      <c r="C2677" s="850"/>
      <c r="D2677" s="282"/>
      <c r="E2677" s="833"/>
    </row>
    <row r="2678" spans="1:5" x14ac:dyDescent="0.35">
      <c r="A2678" s="281"/>
      <c r="B2678" s="279"/>
      <c r="C2678" s="850"/>
      <c r="D2678" s="282"/>
      <c r="E2678" s="833"/>
    </row>
    <row r="2679" spans="1:5" x14ac:dyDescent="0.35">
      <c r="A2679" s="281"/>
      <c r="B2679" s="279"/>
      <c r="C2679" s="850"/>
      <c r="D2679" s="282"/>
      <c r="E2679" s="833"/>
    </row>
    <row r="2680" spans="1:5" x14ac:dyDescent="0.35">
      <c r="A2680" s="281"/>
      <c r="B2680" s="279"/>
      <c r="C2680" s="850"/>
      <c r="D2680" s="282"/>
      <c r="E2680" s="833"/>
    </row>
    <row r="2681" spans="1:5" x14ac:dyDescent="0.35">
      <c r="A2681" s="281"/>
      <c r="B2681" s="279"/>
      <c r="C2681" s="850"/>
      <c r="D2681" s="282"/>
      <c r="E2681" s="833"/>
    </row>
    <row r="2682" spans="1:5" x14ac:dyDescent="0.35">
      <c r="A2682" s="281"/>
      <c r="B2682" s="279"/>
      <c r="C2682" s="850"/>
      <c r="D2682" s="282"/>
      <c r="E2682" s="833"/>
    </row>
    <row r="2683" spans="1:5" x14ac:dyDescent="0.35">
      <c r="A2683" s="281"/>
      <c r="B2683" s="279"/>
      <c r="C2683" s="850"/>
      <c r="D2683" s="282"/>
      <c r="E2683" s="833"/>
    </row>
    <row r="2684" spans="1:5" x14ac:dyDescent="0.35">
      <c r="A2684" s="281"/>
      <c r="B2684" s="279"/>
      <c r="C2684" s="850"/>
      <c r="D2684" s="282"/>
      <c r="E2684" s="833"/>
    </row>
    <row r="2685" spans="1:5" x14ac:dyDescent="0.35">
      <c r="A2685" s="281"/>
      <c r="B2685" s="279"/>
      <c r="C2685" s="850"/>
      <c r="D2685" s="282"/>
      <c r="E2685" s="833"/>
    </row>
    <row r="2686" spans="1:5" x14ac:dyDescent="0.35">
      <c r="A2686" s="281"/>
      <c r="B2686" s="279"/>
      <c r="C2686" s="850"/>
      <c r="D2686" s="282"/>
      <c r="E2686" s="833"/>
    </row>
    <row r="2687" spans="1:5" x14ac:dyDescent="0.35">
      <c r="A2687" s="281"/>
      <c r="B2687" s="279"/>
      <c r="C2687" s="850"/>
      <c r="D2687" s="282"/>
      <c r="E2687" s="833"/>
    </row>
    <row r="2688" spans="1:5" x14ac:dyDescent="0.35">
      <c r="A2688" s="281"/>
      <c r="B2688" s="279"/>
      <c r="C2688" s="850"/>
      <c r="D2688" s="282"/>
      <c r="E2688" s="833"/>
    </row>
    <row r="2689" spans="1:5" x14ac:dyDescent="0.35">
      <c r="A2689" s="281"/>
      <c r="B2689" s="279"/>
      <c r="C2689" s="850"/>
      <c r="D2689" s="282"/>
      <c r="E2689" s="833"/>
    </row>
    <row r="2690" spans="1:5" x14ac:dyDescent="0.35">
      <c r="A2690" s="281"/>
      <c r="B2690" s="279"/>
      <c r="C2690" s="850"/>
      <c r="D2690" s="282"/>
      <c r="E2690" s="833"/>
    </row>
    <row r="2691" spans="1:5" x14ac:dyDescent="0.35">
      <c r="A2691" s="281"/>
      <c r="B2691" s="279"/>
      <c r="C2691" s="850"/>
      <c r="D2691" s="282"/>
      <c r="E2691" s="833"/>
    </row>
    <row r="2692" spans="1:5" x14ac:dyDescent="0.35">
      <c r="A2692" s="281"/>
      <c r="B2692" s="279"/>
      <c r="C2692" s="850"/>
      <c r="D2692" s="282"/>
      <c r="E2692" s="833"/>
    </row>
    <row r="2693" spans="1:5" x14ac:dyDescent="0.35">
      <c r="A2693" s="281"/>
      <c r="B2693" s="279"/>
      <c r="C2693" s="850"/>
      <c r="D2693" s="282"/>
      <c r="E2693" s="833"/>
    </row>
    <row r="2694" spans="1:5" x14ac:dyDescent="0.35">
      <c r="A2694" s="281"/>
      <c r="B2694" s="279"/>
      <c r="C2694" s="850"/>
      <c r="D2694" s="282"/>
      <c r="E2694" s="833"/>
    </row>
    <row r="2695" spans="1:5" x14ac:dyDescent="0.35">
      <c r="A2695" s="281"/>
      <c r="B2695" s="279"/>
      <c r="C2695" s="850"/>
      <c r="D2695" s="282"/>
      <c r="E2695" s="833"/>
    </row>
    <row r="2696" spans="1:5" x14ac:dyDescent="0.35">
      <c r="A2696" s="281"/>
      <c r="B2696" s="279"/>
      <c r="C2696" s="850"/>
      <c r="D2696" s="282"/>
      <c r="E2696" s="833"/>
    </row>
    <row r="2697" spans="1:5" x14ac:dyDescent="0.35">
      <c r="A2697" s="281"/>
      <c r="B2697" s="279"/>
      <c r="C2697" s="850"/>
      <c r="D2697" s="282"/>
      <c r="E2697" s="833"/>
    </row>
    <row r="2698" spans="1:5" x14ac:dyDescent="0.35">
      <c r="A2698" s="281"/>
      <c r="B2698" s="279"/>
      <c r="C2698" s="850"/>
      <c r="D2698" s="282"/>
      <c r="E2698" s="833"/>
    </row>
    <row r="2699" spans="1:5" x14ac:dyDescent="0.35">
      <c r="A2699" s="281"/>
      <c r="B2699" s="279"/>
      <c r="C2699" s="850"/>
      <c r="D2699" s="282"/>
      <c r="E2699" s="833"/>
    </row>
    <row r="2700" spans="1:5" x14ac:dyDescent="0.35">
      <c r="A2700" s="281"/>
      <c r="B2700" s="279"/>
      <c r="C2700" s="850"/>
      <c r="D2700" s="282"/>
      <c r="E2700" s="833"/>
    </row>
    <row r="2701" spans="1:5" x14ac:dyDescent="0.35">
      <c r="A2701" s="281"/>
      <c r="B2701" s="279"/>
      <c r="C2701" s="850"/>
      <c r="D2701" s="282"/>
      <c r="E2701" s="833"/>
    </row>
    <row r="2702" spans="1:5" x14ac:dyDescent="0.35">
      <c r="A2702" s="281"/>
      <c r="B2702" s="279"/>
      <c r="C2702" s="850"/>
      <c r="D2702" s="282"/>
      <c r="E2702" s="833"/>
    </row>
    <row r="2703" spans="1:5" x14ac:dyDescent="0.35">
      <c r="A2703" s="281"/>
      <c r="B2703" s="279"/>
      <c r="C2703" s="850"/>
      <c r="D2703" s="282"/>
      <c r="E2703" s="833"/>
    </row>
    <row r="2704" spans="1:5" x14ac:dyDescent="0.35">
      <c r="A2704" s="281"/>
      <c r="B2704" s="279"/>
      <c r="C2704" s="850"/>
      <c r="D2704" s="282"/>
      <c r="E2704" s="833"/>
    </row>
    <row r="2705" spans="1:5" x14ac:dyDescent="0.35">
      <c r="A2705" s="281"/>
      <c r="B2705" s="279"/>
      <c r="C2705" s="850"/>
      <c r="D2705" s="282"/>
      <c r="E2705" s="833"/>
    </row>
    <row r="2706" spans="1:5" x14ac:dyDescent="0.35">
      <c r="A2706" s="281"/>
      <c r="B2706" s="279"/>
      <c r="C2706" s="850"/>
      <c r="D2706" s="282"/>
      <c r="E2706" s="833"/>
    </row>
    <row r="2707" spans="1:5" x14ac:dyDescent="0.35">
      <c r="A2707" s="281"/>
      <c r="B2707" s="279"/>
      <c r="C2707" s="850"/>
      <c r="D2707" s="282"/>
      <c r="E2707" s="833"/>
    </row>
    <row r="2708" spans="1:5" x14ac:dyDescent="0.35">
      <c r="A2708" s="281"/>
      <c r="B2708" s="279"/>
      <c r="C2708" s="850"/>
      <c r="D2708" s="282"/>
      <c r="E2708" s="833"/>
    </row>
    <row r="2709" spans="1:5" x14ac:dyDescent="0.35">
      <c r="A2709" s="281"/>
      <c r="B2709" s="279"/>
      <c r="C2709" s="850"/>
      <c r="D2709" s="282"/>
      <c r="E2709" s="833"/>
    </row>
    <row r="2710" spans="1:5" x14ac:dyDescent="0.35">
      <c r="A2710" s="281"/>
      <c r="B2710" s="279"/>
      <c r="C2710" s="850"/>
      <c r="D2710" s="282"/>
      <c r="E2710" s="833"/>
    </row>
    <row r="2711" spans="1:5" x14ac:dyDescent="0.35">
      <c r="A2711" s="281"/>
      <c r="B2711" s="279"/>
      <c r="C2711" s="850"/>
      <c r="D2711" s="282"/>
      <c r="E2711" s="833"/>
    </row>
    <row r="2712" spans="1:5" x14ac:dyDescent="0.35">
      <c r="A2712" s="281"/>
      <c r="B2712" s="279"/>
      <c r="C2712" s="850"/>
      <c r="D2712" s="282"/>
      <c r="E2712" s="833"/>
    </row>
    <row r="2713" spans="1:5" x14ac:dyDescent="0.35">
      <c r="A2713" s="281"/>
      <c r="B2713" s="279"/>
      <c r="C2713" s="850"/>
      <c r="D2713" s="282"/>
      <c r="E2713" s="833"/>
    </row>
    <row r="2714" spans="1:5" x14ac:dyDescent="0.35">
      <c r="A2714" s="281"/>
      <c r="B2714" s="279"/>
      <c r="C2714" s="850"/>
      <c r="D2714" s="282"/>
      <c r="E2714" s="833"/>
    </row>
    <row r="2715" spans="1:5" x14ac:dyDescent="0.35">
      <c r="A2715" s="281"/>
      <c r="B2715" s="279"/>
      <c r="C2715" s="850"/>
      <c r="D2715" s="282"/>
      <c r="E2715" s="833"/>
    </row>
    <row r="2716" spans="1:5" x14ac:dyDescent="0.35">
      <c r="A2716" s="281"/>
      <c r="B2716" s="279"/>
      <c r="C2716" s="850"/>
      <c r="D2716" s="282"/>
      <c r="E2716" s="833"/>
    </row>
    <row r="2717" spans="1:5" x14ac:dyDescent="0.35">
      <c r="A2717" s="281"/>
      <c r="B2717" s="279"/>
      <c r="C2717" s="850"/>
      <c r="D2717" s="282"/>
      <c r="E2717" s="833"/>
    </row>
    <row r="2718" spans="1:5" x14ac:dyDescent="0.35">
      <c r="A2718" s="281"/>
      <c r="B2718" s="279"/>
      <c r="C2718" s="850"/>
      <c r="D2718" s="282"/>
      <c r="E2718" s="833"/>
    </row>
    <row r="2719" spans="1:5" x14ac:dyDescent="0.35">
      <c r="A2719" s="281"/>
      <c r="B2719" s="279"/>
      <c r="C2719" s="850"/>
      <c r="D2719" s="282"/>
      <c r="E2719" s="833"/>
    </row>
    <row r="2720" spans="1:5" x14ac:dyDescent="0.35">
      <c r="A2720" s="281"/>
      <c r="B2720" s="279"/>
      <c r="C2720" s="850"/>
      <c r="D2720" s="282"/>
      <c r="E2720" s="833"/>
    </row>
    <row r="2721" spans="1:5" x14ac:dyDescent="0.35">
      <c r="A2721" s="281"/>
      <c r="B2721" s="279"/>
      <c r="C2721" s="850"/>
      <c r="D2721" s="282"/>
      <c r="E2721" s="833"/>
    </row>
    <row r="2722" spans="1:5" x14ac:dyDescent="0.35">
      <c r="A2722" s="281"/>
      <c r="B2722" s="279"/>
      <c r="C2722" s="850"/>
      <c r="D2722" s="282"/>
      <c r="E2722" s="833"/>
    </row>
    <row r="2723" spans="1:5" x14ac:dyDescent="0.35">
      <c r="A2723" s="281"/>
      <c r="B2723" s="279"/>
      <c r="C2723" s="850"/>
      <c r="D2723" s="282"/>
      <c r="E2723" s="833"/>
    </row>
    <row r="2724" spans="1:5" x14ac:dyDescent="0.35">
      <c r="A2724" s="281"/>
      <c r="B2724" s="279"/>
      <c r="C2724" s="850"/>
      <c r="D2724" s="282"/>
      <c r="E2724" s="833"/>
    </row>
    <row r="2725" spans="1:5" x14ac:dyDescent="0.35">
      <c r="A2725" s="281"/>
      <c r="B2725" s="279"/>
      <c r="C2725" s="850"/>
      <c r="D2725" s="282"/>
      <c r="E2725" s="833"/>
    </row>
    <row r="2726" spans="1:5" x14ac:dyDescent="0.35">
      <c r="A2726" s="281"/>
      <c r="B2726" s="279"/>
      <c r="C2726" s="850"/>
      <c r="D2726" s="282"/>
      <c r="E2726" s="833"/>
    </row>
    <row r="2727" spans="1:5" x14ac:dyDescent="0.35">
      <c r="A2727" s="281"/>
      <c r="B2727" s="279"/>
      <c r="C2727" s="850"/>
      <c r="D2727" s="282"/>
      <c r="E2727" s="833"/>
    </row>
    <row r="2728" spans="1:5" x14ac:dyDescent="0.35">
      <c r="A2728" s="281"/>
      <c r="B2728" s="279"/>
      <c r="C2728" s="850"/>
      <c r="D2728" s="282"/>
      <c r="E2728" s="833"/>
    </row>
    <row r="2729" spans="1:5" x14ac:dyDescent="0.35">
      <c r="A2729" s="281"/>
      <c r="B2729" s="279"/>
      <c r="C2729" s="850"/>
      <c r="D2729" s="282"/>
      <c r="E2729" s="833"/>
    </row>
    <row r="2730" spans="1:5" x14ac:dyDescent="0.35">
      <c r="A2730" s="281"/>
      <c r="B2730" s="279"/>
      <c r="C2730" s="850"/>
      <c r="D2730" s="282"/>
      <c r="E2730" s="833"/>
    </row>
    <row r="2731" spans="1:5" x14ac:dyDescent="0.35">
      <c r="A2731" s="281"/>
      <c r="B2731" s="279"/>
      <c r="C2731" s="850"/>
      <c r="D2731" s="282"/>
      <c r="E2731" s="833"/>
    </row>
    <row r="2732" spans="1:5" x14ac:dyDescent="0.35">
      <c r="A2732" s="281"/>
      <c r="B2732" s="279"/>
      <c r="C2732" s="850"/>
      <c r="D2732" s="282"/>
      <c r="E2732" s="833"/>
    </row>
    <row r="2733" spans="1:5" x14ac:dyDescent="0.35">
      <c r="A2733" s="281"/>
      <c r="B2733" s="279"/>
      <c r="C2733" s="850"/>
      <c r="D2733" s="282"/>
      <c r="E2733" s="833"/>
    </row>
    <row r="2734" spans="1:5" x14ac:dyDescent="0.35">
      <c r="A2734" s="281"/>
      <c r="B2734" s="279"/>
      <c r="C2734" s="850"/>
      <c r="D2734" s="282"/>
      <c r="E2734" s="833"/>
    </row>
    <row r="2735" spans="1:5" x14ac:dyDescent="0.35">
      <c r="A2735" s="281"/>
      <c r="B2735" s="279"/>
      <c r="C2735" s="850"/>
      <c r="D2735" s="282"/>
      <c r="E2735" s="833"/>
    </row>
    <row r="2736" spans="1:5" x14ac:dyDescent="0.35">
      <c r="A2736" s="281"/>
      <c r="B2736" s="279"/>
      <c r="C2736" s="850"/>
      <c r="D2736" s="282"/>
      <c r="E2736" s="833"/>
    </row>
    <row r="2737" spans="1:5" x14ac:dyDescent="0.35">
      <c r="A2737" s="281"/>
      <c r="B2737" s="279"/>
      <c r="C2737" s="850"/>
      <c r="D2737" s="282"/>
      <c r="E2737" s="833"/>
    </row>
    <row r="2738" spans="1:5" x14ac:dyDescent="0.35">
      <c r="A2738" s="281"/>
      <c r="B2738" s="279"/>
      <c r="C2738" s="850"/>
      <c r="D2738" s="282"/>
      <c r="E2738" s="833"/>
    </row>
    <row r="2739" spans="1:5" x14ac:dyDescent="0.35">
      <c r="A2739" s="281"/>
      <c r="B2739" s="279"/>
      <c r="C2739" s="850"/>
      <c r="D2739" s="282"/>
      <c r="E2739" s="833"/>
    </row>
    <row r="2740" spans="1:5" x14ac:dyDescent="0.35">
      <c r="A2740" s="281"/>
      <c r="B2740" s="279"/>
      <c r="C2740" s="850"/>
      <c r="D2740" s="282"/>
      <c r="E2740" s="833"/>
    </row>
    <row r="2741" spans="1:5" x14ac:dyDescent="0.35">
      <c r="A2741" s="281"/>
      <c r="B2741" s="279"/>
      <c r="C2741" s="850"/>
      <c r="D2741" s="282"/>
      <c r="E2741" s="833"/>
    </row>
    <row r="2742" spans="1:5" x14ac:dyDescent="0.35">
      <c r="A2742" s="281"/>
      <c r="B2742" s="279"/>
      <c r="C2742" s="850"/>
      <c r="D2742" s="282"/>
      <c r="E2742" s="833"/>
    </row>
    <row r="2743" spans="1:5" x14ac:dyDescent="0.35">
      <c r="A2743" s="281"/>
      <c r="B2743" s="279"/>
      <c r="C2743" s="850"/>
      <c r="D2743" s="282"/>
      <c r="E2743" s="833"/>
    </row>
    <row r="2744" spans="1:5" x14ac:dyDescent="0.35">
      <c r="A2744" s="281"/>
      <c r="B2744" s="279"/>
      <c r="C2744" s="850"/>
      <c r="D2744" s="282"/>
      <c r="E2744" s="833"/>
    </row>
    <row r="2745" spans="1:5" x14ac:dyDescent="0.35">
      <c r="A2745" s="281"/>
      <c r="B2745" s="279"/>
      <c r="C2745" s="850"/>
      <c r="D2745" s="282"/>
      <c r="E2745" s="833"/>
    </row>
    <row r="2746" spans="1:5" x14ac:dyDescent="0.35">
      <c r="A2746" s="281"/>
      <c r="B2746" s="279"/>
      <c r="C2746" s="850"/>
      <c r="D2746" s="282"/>
      <c r="E2746" s="833"/>
    </row>
    <row r="2747" spans="1:5" x14ac:dyDescent="0.35">
      <c r="A2747" s="281"/>
      <c r="B2747" s="279"/>
      <c r="C2747" s="850"/>
      <c r="D2747" s="282"/>
      <c r="E2747" s="833"/>
    </row>
    <row r="2748" spans="1:5" x14ac:dyDescent="0.35">
      <c r="A2748" s="281"/>
      <c r="B2748" s="279"/>
      <c r="C2748" s="850"/>
      <c r="D2748" s="282"/>
      <c r="E2748" s="833"/>
    </row>
    <row r="2749" spans="1:5" x14ac:dyDescent="0.35">
      <c r="A2749" s="281"/>
      <c r="B2749" s="279"/>
      <c r="C2749" s="850"/>
      <c r="D2749" s="282"/>
      <c r="E2749" s="833"/>
    </row>
    <row r="2750" spans="1:5" x14ac:dyDescent="0.35">
      <c r="A2750" s="281"/>
      <c r="B2750" s="279"/>
      <c r="C2750" s="850"/>
      <c r="D2750" s="282"/>
      <c r="E2750" s="833"/>
    </row>
    <row r="2751" spans="1:5" x14ac:dyDescent="0.35">
      <c r="A2751" s="281"/>
      <c r="B2751" s="279"/>
      <c r="C2751" s="850"/>
      <c r="D2751" s="282"/>
      <c r="E2751" s="833"/>
    </row>
    <row r="2752" spans="1:5" x14ac:dyDescent="0.35">
      <c r="A2752" s="281"/>
      <c r="B2752" s="279"/>
      <c r="C2752" s="850"/>
      <c r="D2752" s="282"/>
      <c r="E2752" s="833"/>
    </row>
    <row r="2753" spans="1:5" x14ac:dyDescent="0.35">
      <c r="A2753" s="281"/>
      <c r="B2753" s="279"/>
      <c r="C2753" s="850"/>
      <c r="D2753" s="282"/>
      <c r="E2753" s="833"/>
    </row>
    <row r="2754" spans="1:5" x14ac:dyDescent="0.35">
      <c r="A2754" s="281"/>
      <c r="B2754" s="279"/>
      <c r="C2754" s="850"/>
      <c r="D2754" s="282"/>
      <c r="E2754" s="833"/>
    </row>
    <row r="2755" spans="1:5" x14ac:dyDescent="0.35">
      <c r="A2755" s="281"/>
      <c r="B2755" s="279"/>
      <c r="C2755" s="850"/>
      <c r="D2755" s="282"/>
      <c r="E2755" s="833"/>
    </row>
    <row r="2756" spans="1:5" x14ac:dyDescent="0.35">
      <c r="A2756" s="281"/>
      <c r="B2756" s="279"/>
      <c r="C2756" s="850"/>
      <c r="D2756" s="282"/>
      <c r="E2756" s="833"/>
    </row>
    <row r="2757" spans="1:5" x14ac:dyDescent="0.35">
      <c r="A2757" s="281"/>
      <c r="B2757" s="279"/>
      <c r="C2757" s="850"/>
      <c r="D2757" s="282"/>
      <c r="E2757" s="833"/>
    </row>
    <row r="2758" spans="1:5" x14ac:dyDescent="0.35">
      <c r="A2758" s="281"/>
      <c r="B2758" s="279"/>
      <c r="C2758" s="850"/>
      <c r="D2758" s="282"/>
      <c r="E2758" s="833"/>
    </row>
    <row r="2759" spans="1:5" x14ac:dyDescent="0.35">
      <c r="A2759" s="281"/>
      <c r="B2759" s="279"/>
      <c r="C2759" s="850"/>
      <c r="D2759" s="282"/>
      <c r="E2759" s="833"/>
    </row>
    <row r="2760" spans="1:5" x14ac:dyDescent="0.35">
      <c r="A2760" s="281"/>
      <c r="B2760" s="279"/>
      <c r="C2760" s="850"/>
      <c r="D2760" s="282"/>
      <c r="E2760" s="833"/>
    </row>
    <row r="2761" spans="1:5" x14ac:dyDescent="0.35">
      <c r="A2761" s="281"/>
      <c r="B2761" s="279"/>
      <c r="C2761" s="850"/>
      <c r="D2761" s="282"/>
      <c r="E2761" s="833"/>
    </row>
    <row r="2762" spans="1:5" x14ac:dyDescent="0.35">
      <c r="A2762" s="281"/>
      <c r="B2762" s="279"/>
      <c r="C2762" s="850"/>
      <c r="D2762" s="282"/>
      <c r="E2762" s="833"/>
    </row>
    <row r="2763" spans="1:5" x14ac:dyDescent="0.35">
      <c r="A2763" s="281"/>
      <c r="B2763" s="279"/>
      <c r="C2763" s="850"/>
      <c r="D2763" s="282"/>
      <c r="E2763" s="833"/>
    </row>
    <row r="2764" spans="1:5" x14ac:dyDescent="0.35">
      <c r="A2764" s="281"/>
      <c r="B2764" s="279"/>
      <c r="C2764" s="850"/>
      <c r="D2764" s="282"/>
      <c r="E2764" s="833"/>
    </row>
    <row r="2765" spans="1:5" x14ac:dyDescent="0.35">
      <c r="A2765" s="281"/>
      <c r="B2765" s="279"/>
      <c r="C2765" s="850"/>
      <c r="D2765" s="282"/>
      <c r="E2765" s="833"/>
    </row>
    <row r="2766" spans="1:5" x14ac:dyDescent="0.35">
      <c r="A2766" s="281"/>
      <c r="B2766" s="279"/>
      <c r="C2766" s="850"/>
      <c r="D2766" s="282"/>
      <c r="E2766" s="833"/>
    </row>
    <row r="2767" spans="1:5" x14ac:dyDescent="0.35">
      <c r="A2767" s="281"/>
      <c r="B2767" s="279"/>
      <c r="C2767" s="850"/>
      <c r="D2767" s="282"/>
      <c r="E2767" s="833"/>
    </row>
    <row r="2768" spans="1:5" x14ac:dyDescent="0.35">
      <c r="A2768" s="281"/>
      <c r="B2768" s="279"/>
      <c r="C2768" s="850"/>
      <c r="D2768" s="282"/>
      <c r="E2768" s="833"/>
    </row>
    <row r="2769" spans="1:5" x14ac:dyDescent="0.35">
      <c r="A2769" s="281"/>
      <c r="B2769" s="279"/>
      <c r="C2769" s="850"/>
      <c r="D2769" s="282"/>
      <c r="E2769" s="833"/>
    </row>
    <row r="2770" spans="1:5" x14ac:dyDescent="0.35">
      <c r="A2770" s="281"/>
      <c r="B2770" s="279"/>
      <c r="C2770" s="850"/>
      <c r="D2770" s="282"/>
      <c r="E2770" s="833"/>
    </row>
    <row r="2771" spans="1:5" x14ac:dyDescent="0.35">
      <c r="A2771" s="281"/>
      <c r="B2771" s="279"/>
      <c r="C2771" s="850"/>
      <c r="D2771" s="282"/>
      <c r="E2771" s="833"/>
    </row>
    <row r="2772" spans="1:5" x14ac:dyDescent="0.35">
      <c r="A2772" s="281"/>
      <c r="B2772" s="279"/>
      <c r="C2772" s="850"/>
      <c r="D2772" s="282"/>
      <c r="E2772" s="833"/>
    </row>
    <row r="2773" spans="1:5" x14ac:dyDescent="0.35">
      <c r="A2773" s="281"/>
      <c r="B2773" s="279"/>
      <c r="C2773" s="850"/>
      <c r="D2773" s="282"/>
      <c r="E2773" s="833"/>
    </row>
    <row r="2774" spans="1:5" x14ac:dyDescent="0.35">
      <c r="A2774" s="281"/>
      <c r="B2774" s="279"/>
      <c r="C2774" s="850"/>
      <c r="D2774" s="282"/>
      <c r="E2774" s="833"/>
    </row>
    <row r="2775" spans="1:5" x14ac:dyDescent="0.35">
      <c r="A2775" s="281"/>
      <c r="B2775" s="279"/>
      <c r="C2775" s="850"/>
      <c r="D2775" s="282"/>
      <c r="E2775" s="833"/>
    </row>
    <row r="2776" spans="1:5" x14ac:dyDescent="0.35">
      <c r="A2776" s="281"/>
      <c r="B2776" s="279"/>
      <c r="C2776" s="850"/>
      <c r="D2776" s="282"/>
      <c r="E2776" s="833"/>
    </row>
    <row r="2777" spans="1:5" x14ac:dyDescent="0.35">
      <c r="A2777" s="281"/>
      <c r="B2777" s="279"/>
      <c r="C2777" s="850"/>
      <c r="D2777" s="282"/>
      <c r="E2777" s="833"/>
    </row>
    <row r="2778" spans="1:5" x14ac:dyDescent="0.35">
      <c r="A2778" s="281"/>
      <c r="B2778" s="279"/>
      <c r="C2778" s="850"/>
      <c r="D2778" s="282"/>
      <c r="E2778" s="833"/>
    </row>
    <row r="2779" spans="1:5" x14ac:dyDescent="0.35">
      <c r="A2779" s="281"/>
      <c r="B2779" s="279"/>
      <c r="C2779" s="850"/>
      <c r="D2779" s="282"/>
      <c r="E2779" s="833"/>
    </row>
    <row r="2780" spans="1:5" x14ac:dyDescent="0.35">
      <c r="A2780" s="281"/>
      <c r="B2780" s="279"/>
      <c r="C2780" s="850"/>
      <c r="D2780" s="282"/>
      <c r="E2780" s="833"/>
    </row>
    <row r="2781" spans="1:5" x14ac:dyDescent="0.35">
      <c r="A2781" s="281"/>
      <c r="B2781" s="279"/>
      <c r="C2781" s="850"/>
      <c r="D2781" s="282"/>
      <c r="E2781" s="833"/>
    </row>
    <row r="2782" spans="1:5" x14ac:dyDescent="0.35">
      <c r="A2782" s="281"/>
      <c r="B2782" s="279"/>
      <c r="C2782" s="850"/>
      <c r="D2782" s="282"/>
      <c r="E2782" s="833"/>
    </row>
    <row r="2783" spans="1:5" x14ac:dyDescent="0.35">
      <c r="A2783" s="281"/>
      <c r="B2783" s="279"/>
      <c r="C2783" s="850"/>
      <c r="D2783" s="282"/>
      <c r="E2783" s="833"/>
    </row>
    <row r="2784" spans="1:5" x14ac:dyDescent="0.35">
      <c r="A2784" s="281"/>
      <c r="B2784" s="279"/>
      <c r="C2784" s="850"/>
      <c r="D2784" s="282"/>
      <c r="E2784" s="833"/>
    </row>
    <row r="2785" spans="1:5" x14ac:dyDescent="0.35">
      <c r="A2785" s="281"/>
      <c r="B2785" s="279"/>
      <c r="C2785" s="850"/>
      <c r="D2785" s="282"/>
      <c r="E2785" s="833"/>
    </row>
    <row r="2786" spans="1:5" x14ac:dyDescent="0.35">
      <c r="A2786" s="281"/>
      <c r="B2786" s="279"/>
      <c r="C2786" s="850"/>
      <c r="D2786" s="282"/>
      <c r="E2786" s="833"/>
    </row>
    <row r="2787" spans="1:5" x14ac:dyDescent="0.35">
      <c r="A2787" s="281"/>
      <c r="B2787" s="279"/>
      <c r="C2787" s="850"/>
      <c r="D2787" s="282"/>
      <c r="E2787" s="833"/>
    </row>
    <row r="2788" spans="1:5" x14ac:dyDescent="0.35">
      <c r="A2788" s="281"/>
      <c r="B2788" s="279"/>
      <c r="C2788" s="850"/>
      <c r="D2788" s="282"/>
      <c r="E2788" s="833"/>
    </row>
    <row r="2789" spans="1:5" x14ac:dyDescent="0.35">
      <c r="A2789" s="281"/>
      <c r="B2789" s="279"/>
      <c r="C2789" s="850"/>
      <c r="D2789" s="282"/>
      <c r="E2789" s="833"/>
    </row>
    <row r="2790" spans="1:5" x14ac:dyDescent="0.35">
      <c r="A2790" s="281"/>
      <c r="B2790" s="279"/>
      <c r="C2790" s="850"/>
      <c r="D2790" s="282"/>
      <c r="E2790" s="833"/>
    </row>
    <row r="2791" spans="1:5" x14ac:dyDescent="0.35">
      <c r="A2791" s="281"/>
      <c r="B2791" s="279"/>
      <c r="C2791" s="850"/>
      <c r="D2791" s="282"/>
      <c r="E2791" s="833"/>
    </row>
    <row r="2792" spans="1:5" x14ac:dyDescent="0.35">
      <c r="A2792" s="281"/>
      <c r="B2792" s="279"/>
      <c r="C2792" s="850"/>
      <c r="D2792" s="282"/>
      <c r="E2792" s="833"/>
    </row>
    <row r="2793" spans="1:5" x14ac:dyDescent="0.35">
      <c r="A2793" s="281"/>
      <c r="B2793" s="279"/>
      <c r="C2793" s="850"/>
      <c r="D2793" s="282"/>
      <c r="E2793" s="833"/>
    </row>
    <row r="2794" spans="1:5" x14ac:dyDescent="0.35">
      <c r="A2794" s="281"/>
      <c r="B2794" s="279"/>
      <c r="C2794" s="850"/>
      <c r="D2794" s="282"/>
      <c r="E2794" s="833"/>
    </row>
    <row r="2795" spans="1:5" x14ac:dyDescent="0.35">
      <c r="A2795" s="281"/>
      <c r="B2795" s="279"/>
      <c r="C2795" s="850"/>
      <c r="D2795" s="282"/>
      <c r="E2795" s="833"/>
    </row>
    <row r="2796" spans="1:5" x14ac:dyDescent="0.35">
      <c r="A2796" s="281"/>
      <c r="B2796" s="279"/>
      <c r="C2796" s="850"/>
      <c r="D2796" s="282"/>
      <c r="E2796" s="833"/>
    </row>
    <row r="2797" spans="1:5" x14ac:dyDescent="0.35">
      <c r="A2797" s="281"/>
      <c r="B2797" s="279"/>
      <c r="C2797" s="850"/>
      <c r="D2797" s="282"/>
      <c r="E2797" s="833"/>
    </row>
    <row r="2798" spans="1:5" x14ac:dyDescent="0.35">
      <c r="A2798" s="281"/>
      <c r="B2798" s="279"/>
      <c r="C2798" s="850"/>
      <c r="D2798" s="282"/>
      <c r="E2798" s="833"/>
    </row>
    <row r="2799" spans="1:5" x14ac:dyDescent="0.35">
      <c r="A2799" s="281"/>
      <c r="B2799" s="279"/>
      <c r="C2799" s="850"/>
      <c r="D2799" s="282"/>
      <c r="E2799" s="833"/>
    </row>
    <row r="2800" spans="1:5" x14ac:dyDescent="0.35">
      <c r="A2800" s="281"/>
      <c r="B2800" s="279"/>
      <c r="C2800" s="850"/>
      <c r="D2800" s="282"/>
      <c r="E2800" s="833"/>
    </row>
    <row r="2801" spans="1:5" x14ac:dyDescent="0.35">
      <c r="A2801" s="281"/>
      <c r="B2801" s="279"/>
      <c r="C2801" s="850"/>
      <c r="D2801" s="282"/>
      <c r="E2801" s="833"/>
    </row>
    <row r="2802" spans="1:5" x14ac:dyDescent="0.35">
      <c r="A2802" s="281"/>
      <c r="B2802" s="279"/>
      <c r="C2802" s="850"/>
      <c r="D2802" s="282"/>
      <c r="E2802" s="833"/>
    </row>
    <row r="2803" spans="1:5" x14ac:dyDescent="0.35">
      <c r="A2803" s="281"/>
      <c r="B2803" s="279"/>
      <c r="C2803" s="850"/>
      <c r="D2803" s="282"/>
      <c r="E2803" s="833"/>
    </row>
    <row r="2804" spans="1:5" x14ac:dyDescent="0.35">
      <c r="A2804" s="281"/>
      <c r="B2804" s="279"/>
      <c r="C2804" s="850"/>
      <c r="D2804" s="282"/>
      <c r="E2804" s="833"/>
    </row>
    <row r="2805" spans="1:5" x14ac:dyDescent="0.35">
      <c r="A2805" s="281"/>
      <c r="B2805" s="279"/>
      <c r="C2805" s="850"/>
      <c r="D2805" s="282"/>
      <c r="E2805" s="833"/>
    </row>
    <row r="2806" spans="1:5" x14ac:dyDescent="0.35">
      <c r="A2806" s="281"/>
      <c r="B2806" s="279"/>
      <c r="C2806" s="850"/>
      <c r="D2806" s="282"/>
      <c r="E2806" s="833"/>
    </row>
    <row r="2807" spans="1:5" x14ac:dyDescent="0.35">
      <c r="A2807" s="281"/>
      <c r="B2807" s="279"/>
      <c r="C2807" s="850"/>
      <c r="D2807" s="282"/>
      <c r="E2807" s="833"/>
    </row>
    <row r="2808" spans="1:5" x14ac:dyDescent="0.35">
      <c r="A2808" s="281"/>
      <c r="B2808" s="279"/>
      <c r="C2808" s="850"/>
      <c r="D2808" s="282"/>
      <c r="E2808" s="833"/>
    </row>
    <row r="2809" spans="1:5" x14ac:dyDescent="0.35">
      <c r="A2809" s="281"/>
      <c r="B2809" s="279"/>
      <c r="C2809" s="850"/>
      <c r="D2809" s="282"/>
      <c r="E2809" s="833"/>
    </row>
    <row r="2810" spans="1:5" x14ac:dyDescent="0.35">
      <c r="A2810" s="281"/>
      <c r="B2810" s="279"/>
      <c r="C2810" s="850"/>
      <c r="D2810" s="282"/>
      <c r="E2810" s="833"/>
    </row>
    <row r="2811" spans="1:5" x14ac:dyDescent="0.35">
      <c r="A2811" s="281"/>
      <c r="B2811" s="279"/>
      <c r="C2811" s="850"/>
      <c r="D2811" s="282"/>
      <c r="E2811" s="833"/>
    </row>
    <row r="2812" spans="1:5" x14ac:dyDescent="0.35">
      <c r="A2812" s="281"/>
      <c r="B2812" s="279"/>
      <c r="C2812" s="850"/>
      <c r="D2812" s="282"/>
      <c r="E2812" s="833"/>
    </row>
    <row r="2813" spans="1:5" x14ac:dyDescent="0.35">
      <c r="A2813" s="281"/>
      <c r="B2813" s="279"/>
      <c r="C2813" s="850"/>
      <c r="D2813" s="282"/>
      <c r="E2813" s="833"/>
    </row>
    <row r="2814" spans="1:5" x14ac:dyDescent="0.35">
      <c r="A2814" s="281"/>
      <c r="B2814" s="279"/>
      <c r="C2814" s="850"/>
      <c r="D2814" s="282"/>
      <c r="E2814" s="833"/>
    </row>
    <row r="2815" spans="1:5" x14ac:dyDescent="0.35">
      <c r="A2815" s="281"/>
      <c r="B2815" s="279"/>
      <c r="C2815" s="850"/>
      <c r="D2815" s="282"/>
      <c r="E2815" s="833"/>
    </row>
    <row r="2816" spans="1:5" x14ac:dyDescent="0.35">
      <c r="A2816" s="281"/>
      <c r="B2816" s="279"/>
      <c r="C2816" s="850"/>
      <c r="D2816" s="282"/>
      <c r="E2816" s="833"/>
    </row>
    <row r="2817" spans="1:5" x14ac:dyDescent="0.35">
      <c r="A2817" s="281"/>
      <c r="B2817" s="279"/>
      <c r="C2817" s="850"/>
      <c r="D2817" s="282"/>
      <c r="E2817" s="833"/>
    </row>
    <row r="2818" spans="1:5" x14ac:dyDescent="0.35">
      <c r="A2818" s="281"/>
      <c r="B2818" s="279"/>
      <c r="C2818" s="850"/>
      <c r="D2818" s="282"/>
      <c r="E2818" s="833"/>
    </row>
    <row r="2819" spans="1:5" x14ac:dyDescent="0.35">
      <c r="A2819" s="281"/>
      <c r="B2819" s="279"/>
      <c r="C2819" s="850"/>
      <c r="D2819" s="282"/>
      <c r="E2819" s="833"/>
    </row>
    <row r="2820" spans="1:5" x14ac:dyDescent="0.35">
      <c r="A2820" s="281"/>
      <c r="B2820" s="279"/>
      <c r="C2820" s="850"/>
      <c r="D2820" s="282"/>
      <c r="E2820" s="833"/>
    </row>
    <row r="2821" spans="1:5" x14ac:dyDescent="0.35">
      <c r="A2821" s="281"/>
      <c r="B2821" s="279"/>
      <c r="C2821" s="850"/>
      <c r="D2821" s="282"/>
      <c r="E2821" s="833"/>
    </row>
    <row r="2822" spans="1:5" x14ac:dyDescent="0.35">
      <c r="A2822" s="281"/>
      <c r="B2822" s="279"/>
      <c r="C2822" s="850"/>
      <c r="D2822" s="282"/>
      <c r="E2822" s="833"/>
    </row>
    <row r="2823" spans="1:5" x14ac:dyDescent="0.35">
      <c r="A2823" s="281"/>
      <c r="B2823" s="279"/>
      <c r="C2823" s="850"/>
      <c r="D2823" s="282"/>
      <c r="E2823" s="833"/>
    </row>
    <row r="2824" spans="1:5" x14ac:dyDescent="0.35">
      <c r="A2824" s="281"/>
      <c r="B2824" s="279"/>
      <c r="C2824" s="850"/>
      <c r="D2824" s="282"/>
      <c r="E2824" s="833"/>
    </row>
    <row r="2825" spans="1:5" x14ac:dyDescent="0.35">
      <c r="A2825" s="281"/>
      <c r="B2825" s="279"/>
      <c r="C2825" s="850"/>
      <c r="D2825" s="282"/>
      <c r="E2825" s="833"/>
    </row>
    <row r="2826" spans="1:5" x14ac:dyDescent="0.35">
      <c r="A2826" s="281"/>
      <c r="B2826" s="279"/>
      <c r="C2826" s="850"/>
      <c r="D2826" s="282"/>
      <c r="E2826" s="833"/>
    </row>
    <row r="2827" spans="1:5" x14ac:dyDescent="0.35">
      <c r="A2827" s="281"/>
      <c r="B2827" s="279"/>
      <c r="C2827" s="850"/>
      <c r="D2827" s="282"/>
      <c r="E2827" s="833"/>
    </row>
    <row r="2828" spans="1:5" x14ac:dyDescent="0.35">
      <c r="A2828" s="281"/>
      <c r="B2828" s="279"/>
      <c r="C2828" s="850"/>
      <c r="D2828" s="282"/>
      <c r="E2828" s="833"/>
    </row>
    <row r="2829" spans="1:5" x14ac:dyDescent="0.35">
      <c r="A2829" s="281"/>
      <c r="B2829" s="279"/>
      <c r="C2829" s="850"/>
      <c r="D2829" s="282"/>
      <c r="E2829" s="833"/>
    </row>
    <row r="2830" spans="1:5" x14ac:dyDescent="0.35">
      <c r="A2830" s="281"/>
      <c r="B2830" s="279"/>
      <c r="C2830" s="850"/>
      <c r="D2830" s="282"/>
      <c r="E2830" s="833"/>
    </row>
    <row r="2831" spans="1:5" x14ac:dyDescent="0.35">
      <c r="A2831" s="281"/>
      <c r="B2831" s="279"/>
      <c r="C2831" s="850"/>
      <c r="D2831" s="282"/>
      <c r="E2831" s="833"/>
    </row>
    <row r="2832" spans="1:5" x14ac:dyDescent="0.35">
      <c r="A2832" s="281"/>
      <c r="B2832" s="279"/>
      <c r="C2832" s="850"/>
      <c r="D2832" s="282"/>
      <c r="E2832" s="833"/>
    </row>
    <row r="2833" spans="1:5" x14ac:dyDescent="0.35">
      <c r="A2833" s="281"/>
      <c r="B2833" s="279"/>
      <c r="C2833" s="850"/>
      <c r="D2833" s="282"/>
      <c r="E2833" s="833"/>
    </row>
    <row r="2834" spans="1:5" x14ac:dyDescent="0.35">
      <c r="A2834" s="281"/>
      <c r="B2834" s="279"/>
      <c r="C2834" s="850"/>
      <c r="D2834" s="282"/>
      <c r="E2834" s="833"/>
    </row>
    <row r="2835" spans="1:5" x14ac:dyDescent="0.35">
      <c r="A2835" s="281"/>
      <c r="B2835" s="279"/>
      <c r="C2835" s="850"/>
      <c r="D2835" s="282"/>
      <c r="E2835" s="833"/>
    </row>
    <row r="2836" spans="1:5" x14ac:dyDescent="0.35">
      <c r="A2836" s="281"/>
      <c r="B2836" s="279"/>
      <c r="C2836" s="850"/>
      <c r="D2836" s="282"/>
      <c r="E2836" s="833"/>
    </row>
    <row r="2837" spans="1:5" x14ac:dyDescent="0.35">
      <c r="A2837" s="281"/>
      <c r="B2837" s="279"/>
      <c r="C2837" s="850"/>
      <c r="D2837" s="282"/>
      <c r="E2837" s="833"/>
    </row>
    <row r="2838" spans="1:5" x14ac:dyDescent="0.35">
      <c r="A2838" s="281"/>
      <c r="B2838" s="279"/>
      <c r="C2838" s="850"/>
      <c r="D2838" s="282"/>
      <c r="E2838" s="833"/>
    </row>
    <row r="2839" spans="1:5" x14ac:dyDescent="0.35">
      <c r="A2839" s="281"/>
      <c r="B2839" s="279"/>
      <c r="C2839" s="850"/>
      <c r="D2839" s="282"/>
      <c r="E2839" s="833"/>
    </row>
    <row r="2840" spans="1:5" x14ac:dyDescent="0.35">
      <c r="A2840" s="281"/>
      <c r="B2840" s="279"/>
      <c r="C2840" s="850"/>
      <c r="D2840" s="282"/>
      <c r="E2840" s="833"/>
    </row>
    <row r="2841" spans="1:5" x14ac:dyDescent="0.35">
      <c r="A2841" s="281"/>
      <c r="B2841" s="279"/>
      <c r="C2841" s="850"/>
      <c r="D2841" s="282"/>
      <c r="E2841" s="833"/>
    </row>
    <row r="2842" spans="1:5" x14ac:dyDescent="0.35">
      <c r="A2842" s="281"/>
      <c r="B2842" s="279"/>
      <c r="C2842" s="850"/>
      <c r="D2842" s="282"/>
      <c r="E2842" s="833"/>
    </row>
    <row r="2843" spans="1:5" x14ac:dyDescent="0.35">
      <c r="A2843" s="281"/>
      <c r="B2843" s="279"/>
      <c r="C2843" s="850"/>
      <c r="D2843" s="282"/>
      <c r="E2843" s="833"/>
    </row>
    <row r="2844" spans="1:5" x14ac:dyDescent="0.35">
      <c r="A2844" s="281"/>
      <c r="B2844" s="279"/>
      <c r="C2844" s="850"/>
      <c r="D2844" s="282"/>
      <c r="E2844" s="833"/>
    </row>
    <row r="2845" spans="1:5" x14ac:dyDescent="0.35">
      <c r="A2845" s="281"/>
      <c r="B2845" s="279"/>
      <c r="C2845" s="850"/>
      <c r="D2845" s="282"/>
      <c r="E2845" s="833"/>
    </row>
    <row r="2846" spans="1:5" x14ac:dyDescent="0.35">
      <c r="A2846" s="281"/>
      <c r="B2846" s="279"/>
      <c r="C2846" s="850"/>
      <c r="D2846" s="282"/>
      <c r="E2846" s="833"/>
    </row>
    <row r="2847" spans="1:5" x14ac:dyDescent="0.35">
      <c r="A2847" s="281"/>
      <c r="B2847" s="279"/>
      <c r="C2847" s="850"/>
      <c r="D2847" s="282"/>
      <c r="E2847" s="833"/>
    </row>
    <row r="2848" spans="1:5" x14ac:dyDescent="0.35">
      <c r="A2848" s="281"/>
      <c r="B2848" s="279"/>
      <c r="C2848" s="850"/>
      <c r="D2848" s="282"/>
      <c r="E2848" s="833"/>
    </row>
    <row r="2849" spans="1:5" x14ac:dyDescent="0.35">
      <c r="A2849" s="281"/>
      <c r="B2849" s="279"/>
      <c r="C2849" s="850"/>
      <c r="D2849" s="282"/>
      <c r="E2849" s="833"/>
    </row>
    <row r="2850" spans="1:5" x14ac:dyDescent="0.35">
      <c r="A2850" s="281"/>
      <c r="B2850" s="279"/>
      <c r="C2850" s="850"/>
      <c r="D2850" s="282"/>
      <c r="E2850" s="833"/>
    </row>
    <row r="2851" spans="1:5" x14ac:dyDescent="0.35">
      <c r="A2851" s="281"/>
      <c r="B2851" s="279"/>
      <c r="C2851" s="850"/>
      <c r="D2851" s="282"/>
      <c r="E2851" s="833"/>
    </row>
    <row r="2852" spans="1:5" x14ac:dyDescent="0.35">
      <c r="A2852" s="281"/>
      <c r="B2852" s="279"/>
      <c r="C2852" s="850"/>
      <c r="D2852" s="282"/>
      <c r="E2852" s="833"/>
    </row>
    <row r="2853" spans="1:5" x14ac:dyDescent="0.35">
      <c r="A2853" s="281"/>
      <c r="B2853" s="279"/>
      <c r="C2853" s="850"/>
      <c r="D2853" s="282"/>
      <c r="E2853" s="833"/>
    </row>
    <row r="2854" spans="1:5" x14ac:dyDescent="0.35">
      <c r="A2854" s="281"/>
      <c r="B2854" s="279"/>
      <c r="C2854" s="850"/>
      <c r="D2854" s="282"/>
      <c r="E2854" s="833"/>
    </row>
    <row r="2855" spans="1:5" x14ac:dyDescent="0.35">
      <c r="A2855" s="281"/>
      <c r="B2855" s="279"/>
      <c r="C2855" s="850"/>
      <c r="D2855" s="282"/>
      <c r="E2855" s="833"/>
    </row>
    <row r="2856" spans="1:5" x14ac:dyDescent="0.35">
      <c r="A2856" s="281"/>
      <c r="B2856" s="279"/>
      <c r="C2856" s="850"/>
      <c r="D2856" s="282"/>
      <c r="E2856" s="833"/>
    </row>
    <row r="2857" spans="1:5" x14ac:dyDescent="0.35">
      <c r="A2857" s="281"/>
      <c r="B2857" s="279"/>
      <c r="C2857" s="850"/>
      <c r="D2857" s="282"/>
      <c r="E2857" s="833"/>
    </row>
    <row r="2858" spans="1:5" x14ac:dyDescent="0.35">
      <c r="A2858" s="281"/>
      <c r="B2858" s="279"/>
      <c r="C2858" s="850"/>
      <c r="D2858" s="282"/>
      <c r="E2858" s="833"/>
    </row>
    <row r="2859" spans="1:5" x14ac:dyDescent="0.35">
      <c r="A2859" s="281"/>
      <c r="B2859" s="279"/>
      <c r="C2859" s="850"/>
      <c r="D2859" s="282"/>
      <c r="E2859" s="833"/>
    </row>
    <row r="2860" spans="1:5" x14ac:dyDescent="0.35">
      <c r="A2860" s="281"/>
      <c r="B2860" s="279"/>
      <c r="C2860" s="850"/>
      <c r="D2860" s="282"/>
      <c r="E2860" s="833"/>
    </row>
    <row r="2861" spans="1:5" x14ac:dyDescent="0.35">
      <c r="A2861" s="281"/>
      <c r="B2861" s="279"/>
      <c r="C2861" s="850"/>
      <c r="D2861" s="282"/>
      <c r="E2861" s="833"/>
    </row>
    <row r="2862" spans="1:5" x14ac:dyDescent="0.35">
      <c r="A2862" s="281"/>
      <c r="B2862" s="279"/>
      <c r="C2862" s="850"/>
      <c r="D2862" s="282"/>
      <c r="E2862" s="833"/>
    </row>
    <row r="2863" spans="1:5" x14ac:dyDescent="0.35">
      <c r="A2863" s="281"/>
      <c r="B2863" s="279"/>
      <c r="C2863" s="850"/>
      <c r="D2863" s="282"/>
      <c r="E2863" s="833"/>
    </row>
    <row r="2864" spans="1:5" x14ac:dyDescent="0.35">
      <c r="A2864" s="281"/>
      <c r="B2864" s="279"/>
      <c r="C2864" s="850"/>
      <c r="D2864" s="282"/>
      <c r="E2864" s="833"/>
    </row>
    <row r="2865" spans="1:5" x14ac:dyDescent="0.35">
      <c r="A2865" s="281"/>
      <c r="B2865" s="279"/>
      <c r="C2865" s="850"/>
      <c r="D2865" s="282"/>
      <c r="E2865" s="833"/>
    </row>
    <row r="2866" spans="1:5" x14ac:dyDescent="0.35">
      <c r="A2866" s="281"/>
      <c r="B2866" s="279"/>
      <c r="C2866" s="850"/>
      <c r="D2866" s="282"/>
      <c r="E2866" s="833"/>
    </row>
    <row r="2867" spans="1:5" x14ac:dyDescent="0.35">
      <c r="A2867" s="281"/>
      <c r="B2867" s="279"/>
      <c r="C2867" s="850"/>
      <c r="D2867" s="282"/>
      <c r="E2867" s="833"/>
    </row>
    <row r="2868" spans="1:5" x14ac:dyDescent="0.35">
      <c r="A2868" s="281"/>
      <c r="B2868" s="279"/>
      <c r="C2868" s="850"/>
      <c r="D2868" s="282"/>
      <c r="E2868" s="833"/>
    </row>
    <row r="2869" spans="1:5" x14ac:dyDescent="0.35">
      <c r="A2869" s="281"/>
      <c r="B2869" s="279"/>
      <c r="C2869" s="850"/>
      <c r="D2869" s="282"/>
      <c r="E2869" s="833"/>
    </row>
    <row r="2870" spans="1:5" x14ac:dyDescent="0.35">
      <c r="A2870" s="281"/>
      <c r="B2870" s="279"/>
      <c r="C2870" s="850"/>
      <c r="D2870" s="282"/>
      <c r="E2870" s="833"/>
    </row>
    <row r="2871" spans="1:5" x14ac:dyDescent="0.35">
      <c r="A2871" s="281"/>
      <c r="B2871" s="279"/>
      <c r="C2871" s="850"/>
      <c r="D2871" s="282"/>
      <c r="E2871" s="833"/>
    </row>
    <row r="2872" spans="1:5" x14ac:dyDescent="0.35">
      <c r="A2872" s="281"/>
      <c r="B2872" s="279"/>
      <c r="C2872" s="850"/>
      <c r="D2872" s="282"/>
      <c r="E2872" s="833"/>
    </row>
    <row r="2873" spans="1:5" x14ac:dyDescent="0.35">
      <c r="A2873" s="281"/>
      <c r="B2873" s="279"/>
      <c r="C2873" s="850"/>
      <c r="D2873" s="282"/>
      <c r="E2873" s="833"/>
    </row>
    <row r="2874" spans="1:5" x14ac:dyDescent="0.35">
      <c r="A2874" s="281"/>
      <c r="B2874" s="279"/>
      <c r="C2874" s="850"/>
      <c r="D2874" s="282"/>
      <c r="E2874" s="833"/>
    </row>
    <row r="2875" spans="1:5" x14ac:dyDescent="0.35">
      <c r="A2875" s="281"/>
      <c r="B2875" s="279"/>
      <c r="C2875" s="850"/>
      <c r="D2875" s="282"/>
      <c r="E2875" s="833"/>
    </row>
    <row r="2876" spans="1:5" x14ac:dyDescent="0.35">
      <c r="A2876" s="281"/>
      <c r="B2876" s="279"/>
      <c r="C2876" s="850"/>
      <c r="D2876" s="282"/>
      <c r="E2876" s="833"/>
    </row>
    <row r="2877" spans="1:5" x14ac:dyDescent="0.35">
      <c r="A2877" s="281"/>
      <c r="B2877" s="279"/>
      <c r="C2877" s="850"/>
      <c r="D2877" s="282"/>
      <c r="E2877" s="833"/>
    </row>
    <row r="2878" spans="1:5" x14ac:dyDescent="0.35">
      <c r="A2878" s="281"/>
      <c r="B2878" s="279"/>
      <c r="C2878" s="850"/>
      <c r="D2878" s="282"/>
      <c r="E2878" s="833"/>
    </row>
    <row r="2879" spans="1:5" x14ac:dyDescent="0.35">
      <c r="A2879" s="281"/>
      <c r="B2879" s="279"/>
      <c r="C2879" s="850"/>
      <c r="D2879" s="282"/>
      <c r="E2879" s="833"/>
    </row>
    <row r="2880" spans="1:5" x14ac:dyDescent="0.35">
      <c r="A2880" s="281"/>
      <c r="B2880" s="279"/>
      <c r="C2880" s="850"/>
      <c r="D2880" s="282"/>
      <c r="E2880" s="833"/>
    </row>
    <row r="2881" spans="1:5" x14ac:dyDescent="0.35">
      <c r="A2881" s="281"/>
      <c r="B2881" s="279"/>
      <c r="C2881" s="850"/>
      <c r="D2881" s="282"/>
      <c r="E2881" s="833"/>
    </row>
    <row r="2882" spans="1:5" x14ac:dyDescent="0.35">
      <c r="A2882" s="281"/>
      <c r="B2882" s="279"/>
      <c r="C2882" s="850"/>
      <c r="D2882" s="282"/>
      <c r="E2882" s="833"/>
    </row>
    <row r="2883" spans="1:5" x14ac:dyDescent="0.35">
      <c r="A2883" s="281"/>
      <c r="B2883" s="279"/>
      <c r="C2883" s="850"/>
      <c r="D2883" s="282"/>
      <c r="E2883" s="833"/>
    </row>
    <row r="2884" spans="1:5" x14ac:dyDescent="0.35">
      <c r="A2884" s="281"/>
      <c r="B2884" s="279"/>
      <c r="C2884" s="850"/>
      <c r="D2884" s="282"/>
      <c r="E2884" s="833"/>
    </row>
    <row r="2885" spans="1:5" x14ac:dyDescent="0.35">
      <c r="A2885" s="281"/>
      <c r="B2885" s="279"/>
      <c r="C2885" s="850"/>
      <c r="D2885" s="282"/>
      <c r="E2885" s="833"/>
    </row>
    <row r="2886" spans="1:5" x14ac:dyDescent="0.35">
      <c r="A2886" s="281"/>
      <c r="B2886" s="279"/>
      <c r="C2886" s="850"/>
      <c r="D2886" s="282"/>
      <c r="E2886" s="833"/>
    </row>
    <row r="2887" spans="1:5" x14ac:dyDescent="0.35">
      <c r="A2887" s="281"/>
      <c r="B2887" s="279"/>
      <c r="C2887" s="850"/>
      <c r="D2887" s="282"/>
      <c r="E2887" s="833"/>
    </row>
    <row r="2888" spans="1:5" x14ac:dyDescent="0.35">
      <c r="A2888" s="281"/>
      <c r="B2888" s="279"/>
      <c r="C2888" s="850"/>
      <c r="D2888" s="282"/>
      <c r="E2888" s="833"/>
    </row>
    <row r="2889" spans="1:5" x14ac:dyDescent="0.35">
      <c r="A2889" s="281"/>
      <c r="B2889" s="279"/>
      <c r="C2889" s="850"/>
      <c r="D2889" s="282"/>
      <c r="E2889" s="833"/>
    </row>
    <row r="2890" spans="1:5" x14ac:dyDescent="0.35">
      <c r="A2890" s="281"/>
      <c r="B2890" s="279"/>
      <c r="C2890" s="850"/>
      <c r="D2890" s="282"/>
      <c r="E2890" s="833"/>
    </row>
    <row r="2891" spans="1:5" x14ac:dyDescent="0.35">
      <c r="A2891" s="281"/>
      <c r="B2891" s="279"/>
      <c r="C2891" s="850"/>
      <c r="D2891" s="282"/>
      <c r="E2891" s="833"/>
    </row>
    <row r="2892" spans="1:5" x14ac:dyDescent="0.35">
      <c r="A2892" s="281"/>
      <c r="B2892" s="279"/>
      <c r="C2892" s="850"/>
      <c r="D2892" s="282"/>
      <c r="E2892" s="833"/>
    </row>
    <row r="2893" spans="1:5" x14ac:dyDescent="0.35">
      <c r="A2893" s="281"/>
      <c r="B2893" s="279"/>
      <c r="C2893" s="850"/>
      <c r="D2893" s="282"/>
      <c r="E2893" s="833"/>
    </row>
    <row r="2894" spans="1:5" x14ac:dyDescent="0.35">
      <c r="A2894" s="281"/>
      <c r="B2894" s="279"/>
      <c r="C2894" s="850"/>
      <c r="D2894" s="282"/>
      <c r="E2894" s="833"/>
    </row>
    <row r="2895" spans="1:5" x14ac:dyDescent="0.35">
      <c r="A2895" s="281"/>
      <c r="B2895" s="279"/>
      <c r="C2895" s="850"/>
      <c r="D2895" s="282"/>
      <c r="E2895" s="833"/>
    </row>
    <row r="2896" spans="1:5" x14ac:dyDescent="0.35">
      <c r="A2896" s="281"/>
      <c r="B2896" s="279"/>
      <c r="C2896" s="850"/>
      <c r="D2896" s="282"/>
      <c r="E2896" s="833"/>
    </row>
    <row r="2897" spans="1:5" x14ac:dyDescent="0.35">
      <c r="A2897" s="281"/>
      <c r="B2897" s="279"/>
      <c r="C2897" s="850"/>
      <c r="D2897" s="282"/>
      <c r="E2897" s="833"/>
    </row>
    <row r="2898" spans="1:5" x14ac:dyDescent="0.35">
      <c r="A2898" s="281"/>
      <c r="B2898" s="279"/>
      <c r="C2898" s="850"/>
      <c r="D2898" s="282"/>
      <c r="E2898" s="833"/>
    </row>
    <row r="2899" spans="1:5" x14ac:dyDescent="0.35">
      <c r="A2899" s="281"/>
      <c r="B2899" s="279"/>
      <c r="C2899" s="850"/>
      <c r="D2899" s="282"/>
      <c r="E2899" s="833"/>
    </row>
    <row r="2900" spans="1:5" x14ac:dyDescent="0.35">
      <c r="A2900" s="281"/>
      <c r="B2900" s="279"/>
      <c r="C2900" s="850"/>
      <c r="D2900" s="282"/>
      <c r="E2900" s="833"/>
    </row>
    <row r="2901" spans="1:5" x14ac:dyDescent="0.35">
      <c r="A2901" s="281"/>
      <c r="B2901" s="279"/>
      <c r="C2901" s="850"/>
      <c r="D2901" s="282"/>
      <c r="E2901" s="833"/>
    </row>
    <row r="2902" spans="1:5" x14ac:dyDescent="0.35">
      <c r="A2902" s="281"/>
      <c r="B2902" s="279"/>
      <c r="C2902" s="850"/>
      <c r="D2902" s="282"/>
      <c r="E2902" s="833"/>
    </row>
    <row r="2903" spans="1:5" x14ac:dyDescent="0.35">
      <c r="A2903" s="281"/>
      <c r="B2903" s="279"/>
      <c r="C2903" s="850"/>
      <c r="D2903" s="282"/>
      <c r="E2903" s="833"/>
    </row>
    <row r="2904" spans="1:5" x14ac:dyDescent="0.35">
      <c r="A2904" s="281"/>
      <c r="B2904" s="279"/>
      <c r="C2904" s="850"/>
      <c r="D2904" s="282"/>
      <c r="E2904" s="833"/>
    </row>
    <row r="2905" spans="1:5" x14ac:dyDescent="0.35">
      <c r="A2905" s="281"/>
      <c r="B2905" s="279"/>
      <c r="C2905" s="850"/>
      <c r="D2905" s="282"/>
      <c r="E2905" s="833"/>
    </row>
    <row r="2906" spans="1:5" x14ac:dyDescent="0.35">
      <c r="A2906" s="281"/>
      <c r="B2906" s="279"/>
      <c r="C2906" s="850"/>
      <c r="D2906" s="282"/>
      <c r="E2906" s="833"/>
    </row>
    <row r="2907" spans="1:5" x14ac:dyDescent="0.35">
      <c r="A2907" s="281"/>
      <c r="B2907" s="279"/>
      <c r="C2907" s="850"/>
      <c r="D2907" s="282"/>
      <c r="E2907" s="833"/>
    </row>
    <row r="2908" spans="1:5" x14ac:dyDescent="0.35">
      <c r="A2908" s="281"/>
      <c r="B2908" s="279"/>
      <c r="C2908" s="850"/>
      <c r="D2908" s="282"/>
      <c r="E2908" s="833"/>
    </row>
    <row r="2909" spans="1:5" x14ac:dyDescent="0.35">
      <c r="A2909" s="281"/>
      <c r="B2909" s="279"/>
      <c r="C2909" s="850"/>
      <c r="D2909" s="282"/>
      <c r="E2909" s="833"/>
    </row>
    <row r="2910" spans="1:5" x14ac:dyDescent="0.35">
      <c r="A2910" s="281"/>
      <c r="B2910" s="279"/>
      <c r="C2910" s="850"/>
      <c r="D2910" s="282"/>
      <c r="E2910" s="833"/>
    </row>
    <row r="2911" spans="1:5" x14ac:dyDescent="0.35">
      <c r="A2911" s="281"/>
      <c r="B2911" s="279"/>
      <c r="C2911" s="850"/>
      <c r="D2911" s="282"/>
      <c r="E2911" s="833"/>
    </row>
    <row r="2912" spans="1:5" x14ac:dyDescent="0.35">
      <c r="A2912" s="281"/>
      <c r="B2912" s="279"/>
      <c r="C2912" s="850"/>
      <c r="D2912" s="282"/>
      <c r="E2912" s="833"/>
    </row>
    <row r="2913" spans="1:5" x14ac:dyDescent="0.35">
      <c r="A2913" s="281"/>
      <c r="B2913" s="279"/>
      <c r="C2913" s="850"/>
      <c r="D2913" s="282"/>
      <c r="E2913" s="833"/>
    </row>
    <row r="2914" spans="1:5" x14ac:dyDescent="0.35">
      <c r="A2914" s="281"/>
      <c r="B2914" s="279"/>
      <c r="C2914" s="850"/>
      <c r="D2914" s="282"/>
      <c r="E2914" s="833"/>
    </row>
    <row r="2915" spans="1:5" x14ac:dyDescent="0.35">
      <c r="A2915" s="281"/>
      <c r="B2915" s="279"/>
      <c r="C2915" s="850"/>
      <c r="D2915" s="282"/>
      <c r="E2915" s="833"/>
    </row>
    <row r="2916" spans="1:5" x14ac:dyDescent="0.35">
      <c r="A2916" s="281"/>
      <c r="B2916" s="279"/>
      <c r="C2916" s="850"/>
      <c r="D2916" s="282"/>
      <c r="E2916" s="833"/>
    </row>
    <row r="2917" spans="1:5" x14ac:dyDescent="0.35">
      <c r="A2917" s="281"/>
      <c r="B2917" s="279"/>
      <c r="C2917" s="850"/>
      <c r="D2917" s="282"/>
      <c r="E2917" s="833"/>
    </row>
    <row r="2918" spans="1:5" x14ac:dyDescent="0.35">
      <c r="A2918" s="281"/>
      <c r="B2918" s="279"/>
      <c r="C2918" s="850"/>
      <c r="D2918" s="282"/>
      <c r="E2918" s="833"/>
    </row>
    <row r="2919" spans="1:5" x14ac:dyDescent="0.35">
      <c r="A2919" s="281"/>
      <c r="B2919" s="279"/>
      <c r="C2919" s="850"/>
      <c r="D2919" s="282"/>
      <c r="E2919" s="833"/>
    </row>
    <row r="2920" spans="1:5" x14ac:dyDescent="0.35">
      <c r="A2920" s="281"/>
      <c r="B2920" s="279"/>
      <c r="C2920" s="850"/>
      <c r="D2920" s="282"/>
      <c r="E2920" s="833"/>
    </row>
    <row r="2921" spans="1:5" x14ac:dyDescent="0.35">
      <c r="A2921" s="281"/>
      <c r="B2921" s="279"/>
      <c r="C2921" s="850"/>
      <c r="D2921" s="282"/>
      <c r="E2921" s="833"/>
    </row>
    <row r="2922" spans="1:5" x14ac:dyDescent="0.35">
      <c r="A2922" s="281"/>
      <c r="B2922" s="279"/>
      <c r="C2922" s="850"/>
      <c r="D2922" s="282"/>
      <c r="E2922" s="833"/>
    </row>
    <row r="2923" spans="1:5" x14ac:dyDescent="0.35">
      <c r="A2923" s="281"/>
      <c r="B2923" s="279"/>
      <c r="C2923" s="850"/>
      <c r="D2923" s="282"/>
      <c r="E2923" s="833"/>
    </row>
    <row r="2924" spans="1:5" x14ac:dyDescent="0.35">
      <c r="A2924" s="281"/>
      <c r="B2924" s="279"/>
      <c r="C2924" s="850"/>
      <c r="D2924" s="282"/>
      <c r="E2924" s="833"/>
    </row>
    <row r="2925" spans="1:5" x14ac:dyDescent="0.35">
      <c r="A2925" s="281"/>
      <c r="B2925" s="279"/>
      <c r="C2925" s="850"/>
      <c r="D2925" s="282"/>
      <c r="E2925" s="833"/>
    </row>
    <row r="2926" spans="1:5" x14ac:dyDescent="0.35">
      <c r="A2926" s="281"/>
      <c r="B2926" s="279"/>
      <c r="C2926" s="850"/>
      <c r="D2926" s="282"/>
      <c r="E2926" s="833"/>
    </row>
    <row r="2927" spans="1:5" x14ac:dyDescent="0.35">
      <c r="A2927" s="281"/>
      <c r="B2927" s="279"/>
      <c r="C2927" s="850"/>
      <c r="D2927" s="282"/>
      <c r="E2927" s="833"/>
    </row>
    <row r="2928" spans="1:5" x14ac:dyDescent="0.35">
      <c r="A2928" s="281"/>
      <c r="B2928" s="279"/>
      <c r="C2928" s="850"/>
      <c r="D2928" s="282"/>
      <c r="E2928" s="833"/>
    </row>
    <row r="2929" spans="1:5" x14ac:dyDescent="0.35">
      <c r="A2929" s="281"/>
      <c r="B2929" s="279"/>
      <c r="C2929" s="850"/>
      <c r="D2929" s="282"/>
      <c r="E2929" s="833"/>
    </row>
    <row r="2930" spans="1:5" x14ac:dyDescent="0.35">
      <c r="A2930" s="281"/>
      <c r="B2930" s="279"/>
      <c r="C2930" s="850"/>
      <c r="D2930" s="282"/>
      <c r="E2930" s="833"/>
    </row>
    <row r="2931" spans="1:5" x14ac:dyDescent="0.35">
      <c r="A2931" s="281"/>
      <c r="B2931" s="279"/>
      <c r="C2931" s="850"/>
      <c r="D2931" s="282"/>
      <c r="E2931" s="833"/>
    </row>
    <row r="2932" spans="1:5" x14ac:dyDescent="0.35">
      <c r="A2932" s="281"/>
      <c r="B2932" s="279"/>
      <c r="C2932" s="850"/>
      <c r="D2932" s="282"/>
      <c r="E2932" s="833"/>
    </row>
    <row r="2933" spans="1:5" x14ac:dyDescent="0.35">
      <c r="A2933" s="281"/>
      <c r="B2933" s="279"/>
      <c r="C2933" s="850"/>
      <c r="D2933" s="282"/>
      <c r="E2933" s="833"/>
    </row>
    <row r="2934" spans="1:5" x14ac:dyDescent="0.35">
      <c r="A2934" s="281"/>
      <c r="B2934" s="279"/>
      <c r="C2934" s="850"/>
      <c r="D2934" s="282"/>
      <c r="E2934" s="833"/>
    </row>
    <row r="2935" spans="1:5" x14ac:dyDescent="0.35">
      <c r="A2935" s="281"/>
      <c r="B2935" s="279"/>
      <c r="C2935" s="850"/>
      <c r="D2935" s="282"/>
      <c r="E2935" s="833"/>
    </row>
    <row r="2936" spans="1:5" x14ac:dyDescent="0.35">
      <c r="A2936" s="281"/>
      <c r="B2936" s="279"/>
      <c r="C2936" s="850"/>
      <c r="D2936" s="282"/>
      <c r="E2936" s="833"/>
    </row>
    <row r="2937" spans="1:5" x14ac:dyDescent="0.35">
      <c r="A2937" s="281"/>
      <c r="B2937" s="279"/>
      <c r="C2937" s="850"/>
      <c r="D2937" s="282"/>
      <c r="E2937" s="833"/>
    </row>
    <row r="2938" spans="1:5" x14ac:dyDescent="0.35">
      <c r="A2938" s="281"/>
      <c r="B2938" s="279"/>
      <c r="C2938" s="850"/>
      <c r="D2938" s="282"/>
      <c r="E2938" s="833"/>
    </row>
    <row r="2939" spans="1:5" x14ac:dyDescent="0.35">
      <c r="A2939" s="281"/>
      <c r="B2939" s="279"/>
      <c r="C2939" s="850"/>
      <c r="D2939" s="282"/>
      <c r="E2939" s="833"/>
    </row>
    <row r="2940" spans="1:5" x14ac:dyDescent="0.35">
      <c r="A2940" s="281"/>
      <c r="B2940" s="279"/>
      <c r="C2940" s="850"/>
      <c r="D2940" s="282"/>
      <c r="E2940" s="833"/>
    </row>
    <row r="2941" spans="1:5" x14ac:dyDescent="0.35">
      <c r="A2941" s="281"/>
      <c r="B2941" s="279"/>
      <c r="C2941" s="850"/>
      <c r="D2941" s="282"/>
      <c r="E2941" s="833"/>
    </row>
    <row r="2942" spans="1:5" x14ac:dyDescent="0.35">
      <c r="A2942" s="281"/>
      <c r="B2942" s="279"/>
      <c r="C2942" s="850"/>
      <c r="D2942" s="282"/>
      <c r="E2942" s="833"/>
    </row>
    <row r="2943" spans="1:5" x14ac:dyDescent="0.35">
      <c r="A2943" s="281"/>
      <c r="B2943" s="279"/>
      <c r="C2943" s="850"/>
      <c r="D2943" s="282"/>
      <c r="E2943" s="833"/>
    </row>
    <row r="2944" spans="1:5" x14ac:dyDescent="0.35">
      <c r="A2944" s="281"/>
      <c r="B2944" s="279"/>
      <c r="C2944" s="850"/>
      <c r="D2944" s="282"/>
      <c r="E2944" s="833"/>
    </row>
    <row r="2945" spans="1:5" x14ac:dyDescent="0.35">
      <c r="A2945" s="281"/>
      <c r="B2945" s="279"/>
      <c r="C2945" s="850"/>
      <c r="D2945" s="282"/>
      <c r="E2945" s="833"/>
    </row>
    <row r="2946" spans="1:5" x14ac:dyDescent="0.35">
      <c r="A2946" s="281"/>
      <c r="B2946" s="279"/>
      <c r="C2946" s="850"/>
      <c r="D2946" s="282"/>
      <c r="E2946" s="833"/>
    </row>
    <row r="2947" spans="1:5" x14ac:dyDescent="0.35">
      <c r="A2947" s="281"/>
      <c r="B2947" s="279"/>
      <c r="C2947" s="850"/>
      <c r="D2947" s="282"/>
      <c r="E2947" s="833"/>
    </row>
    <row r="2948" spans="1:5" x14ac:dyDescent="0.35">
      <c r="A2948" s="281"/>
      <c r="B2948" s="279"/>
      <c r="C2948" s="850"/>
      <c r="D2948" s="282"/>
      <c r="E2948" s="833"/>
    </row>
    <row r="2949" spans="1:5" x14ac:dyDescent="0.35">
      <c r="A2949" s="281"/>
      <c r="B2949" s="279"/>
      <c r="C2949" s="850"/>
      <c r="D2949" s="282"/>
      <c r="E2949" s="833"/>
    </row>
    <row r="2950" spans="1:5" x14ac:dyDescent="0.35">
      <c r="A2950" s="281"/>
      <c r="B2950" s="279"/>
      <c r="C2950" s="850"/>
      <c r="D2950" s="282"/>
      <c r="E2950" s="833"/>
    </row>
    <row r="2951" spans="1:5" x14ac:dyDescent="0.35">
      <c r="A2951" s="281"/>
      <c r="B2951" s="279"/>
      <c r="C2951" s="850"/>
      <c r="D2951" s="282"/>
      <c r="E2951" s="833"/>
    </row>
    <row r="2952" spans="1:5" x14ac:dyDescent="0.35">
      <c r="A2952" s="281"/>
      <c r="B2952" s="279"/>
      <c r="C2952" s="850"/>
      <c r="D2952" s="282"/>
      <c r="E2952" s="833"/>
    </row>
    <row r="2953" spans="1:5" x14ac:dyDescent="0.35">
      <c r="A2953" s="281"/>
      <c r="B2953" s="279"/>
      <c r="C2953" s="850"/>
      <c r="D2953" s="282"/>
      <c r="E2953" s="833"/>
    </row>
    <row r="2954" spans="1:5" x14ac:dyDescent="0.35">
      <c r="A2954" s="281"/>
      <c r="B2954" s="279"/>
      <c r="C2954" s="850"/>
      <c r="D2954" s="282"/>
      <c r="E2954" s="833"/>
    </row>
    <row r="2955" spans="1:5" x14ac:dyDescent="0.35">
      <c r="A2955" s="281"/>
      <c r="B2955" s="279"/>
      <c r="C2955" s="850"/>
      <c r="D2955" s="282"/>
      <c r="E2955" s="833"/>
    </row>
    <row r="2956" spans="1:5" x14ac:dyDescent="0.35">
      <c r="A2956" s="281"/>
      <c r="B2956" s="279"/>
      <c r="C2956" s="850"/>
      <c r="D2956" s="282"/>
      <c r="E2956" s="833"/>
    </row>
    <row r="2957" spans="1:5" x14ac:dyDescent="0.35">
      <c r="A2957" s="281"/>
      <c r="B2957" s="279"/>
      <c r="C2957" s="850"/>
      <c r="D2957" s="282"/>
      <c r="E2957" s="833"/>
    </row>
    <row r="2958" spans="1:5" x14ac:dyDescent="0.35">
      <c r="A2958" s="281"/>
      <c r="B2958" s="279"/>
      <c r="C2958" s="850"/>
      <c r="D2958" s="282"/>
      <c r="E2958" s="833"/>
    </row>
    <row r="2959" spans="1:5" x14ac:dyDescent="0.35">
      <c r="A2959" s="281"/>
      <c r="B2959" s="279"/>
      <c r="C2959" s="850"/>
      <c r="D2959" s="282"/>
      <c r="E2959" s="833"/>
    </row>
    <row r="2960" spans="1:5" x14ac:dyDescent="0.35">
      <c r="A2960" s="281"/>
      <c r="B2960" s="279"/>
      <c r="C2960" s="850"/>
      <c r="D2960" s="282"/>
      <c r="E2960" s="833"/>
    </row>
    <row r="2961" spans="1:5" x14ac:dyDescent="0.35">
      <c r="A2961" s="281"/>
      <c r="B2961" s="279"/>
      <c r="C2961" s="850"/>
      <c r="D2961" s="282"/>
      <c r="E2961" s="833"/>
    </row>
    <row r="2962" spans="1:5" x14ac:dyDescent="0.35">
      <c r="A2962" s="281"/>
      <c r="B2962" s="279"/>
      <c r="C2962" s="850"/>
      <c r="D2962" s="282"/>
      <c r="E2962" s="833"/>
    </row>
    <row r="2963" spans="1:5" x14ac:dyDescent="0.35">
      <c r="A2963" s="281"/>
      <c r="B2963" s="279"/>
      <c r="C2963" s="850"/>
      <c r="D2963" s="282"/>
      <c r="E2963" s="833"/>
    </row>
    <row r="2964" spans="1:5" x14ac:dyDescent="0.35">
      <c r="A2964" s="281"/>
      <c r="B2964" s="279"/>
      <c r="C2964" s="850"/>
      <c r="D2964" s="282"/>
      <c r="E2964" s="833"/>
    </row>
    <row r="2965" spans="1:5" x14ac:dyDescent="0.35">
      <c r="A2965" s="281"/>
      <c r="B2965" s="279"/>
      <c r="C2965" s="850"/>
      <c r="D2965" s="282"/>
      <c r="E2965" s="833"/>
    </row>
    <row r="2966" spans="1:5" x14ac:dyDescent="0.35">
      <c r="A2966" s="281"/>
      <c r="B2966" s="279"/>
      <c r="C2966" s="850"/>
      <c r="D2966" s="282"/>
      <c r="E2966" s="833"/>
    </row>
    <row r="2967" spans="1:5" x14ac:dyDescent="0.35">
      <c r="A2967" s="281"/>
      <c r="B2967" s="279"/>
      <c r="C2967" s="850"/>
      <c r="D2967" s="282"/>
      <c r="E2967" s="833"/>
    </row>
    <row r="2968" spans="1:5" x14ac:dyDescent="0.35">
      <c r="A2968" s="281"/>
      <c r="B2968" s="279"/>
      <c r="C2968" s="850"/>
      <c r="D2968" s="282"/>
      <c r="E2968" s="833"/>
    </row>
    <row r="2969" spans="1:5" x14ac:dyDescent="0.35">
      <c r="A2969" s="281"/>
      <c r="B2969" s="279"/>
      <c r="C2969" s="850"/>
      <c r="D2969" s="282"/>
      <c r="E2969" s="833"/>
    </row>
    <row r="2970" spans="1:5" x14ac:dyDescent="0.35">
      <c r="A2970" s="281"/>
      <c r="B2970" s="279"/>
      <c r="C2970" s="850"/>
      <c r="D2970" s="282"/>
      <c r="E2970" s="833"/>
    </row>
    <row r="2971" spans="1:5" x14ac:dyDescent="0.35">
      <c r="A2971" s="281"/>
      <c r="B2971" s="279"/>
      <c r="C2971" s="850"/>
      <c r="D2971" s="282"/>
      <c r="E2971" s="833"/>
    </row>
    <row r="2972" spans="1:5" x14ac:dyDescent="0.35">
      <c r="A2972" s="281"/>
      <c r="B2972" s="279"/>
      <c r="C2972" s="850"/>
      <c r="D2972" s="282"/>
      <c r="E2972" s="833"/>
    </row>
    <row r="2973" spans="1:5" x14ac:dyDescent="0.35">
      <c r="A2973" s="281"/>
      <c r="B2973" s="279"/>
      <c r="C2973" s="850"/>
      <c r="D2973" s="282"/>
      <c r="E2973" s="833"/>
    </row>
    <row r="2974" spans="1:5" x14ac:dyDescent="0.35">
      <c r="A2974" s="281"/>
      <c r="B2974" s="279"/>
      <c r="C2974" s="850"/>
      <c r="D2974" s="282"/>
      <c r="E2974" s="833"/>
    </row>
    <row r="2975" spans="1:5" x14ac:dyDescent="0.35">
      <c r="A2975" s="281"/>
      <c r="B2975" s="279"/>
      <c r="C2975" s="850"/>
      <c r="D2975" s="282"/>
      <c r="E2975" s="833"/>
    </row>
    <row r="2976" spans="1:5" x14ac:dyDescent="0.35">
      <c r="A2976" s="281"/>
      <c r="B2976" s="279"/>
      <c r="C2976" s="850"/>
      <c r="D2976" s="282"/>
      <c r="E2976" s="833"/>
    </row>
    <row r="2977" spans="1:5" x14ac:dyDescent="0.35">
      <c r="A2977" s="281"/>
      <c r="B2977" s="279"/>
      <c r="C2977" s="850"/>
      <c r="D2977" s="282"/>
      <c r="E2977" s="833"/>
    </row>
    <row r="2978" spans="1:5" x14ac:dyDescent="0.35">
      <c r="A2978" s="281"/>
      <c r="B2978" s="279"/>
      <c r="C2978" s="850"/>
      <c r="D2978" s="282"/>
      <c r="E2978" s="833"/>
    </row>
    <row r="2979" spans="1:5" x14ac:dyDescent="0.35">
      <c r="A2979" s="281"/>
      <c r="B2979" s="279"/>
      <c r="C2979" s="850"/>
      <c r="D2979" s="282"/>
      <c r="E2979" s="833"/>
    </row>
    <row r="2980" spans="1:5" x14ac:dyDescent="0.35">
      <c r="A2980" s="281"/>
      <c r="B2980" s="279"/>
      <c r="C2980" s="850"/>
      <c r="D2980" s="282"/>
      <c r="E2980" s="833"/>
    </row>
    <row r="2981" spans="1:5" x14ac:dyDescent="0.35">
      <c r="A2981" s="281"/>
      <c r="B2981" s="279"/>
      <c r="C2981" s="850"/>
      <c r="D2981" s="282"/>
      <c r="E2981" s="833"/>
    </row>
    <row r="2982" spans="1:5" x14ac:dyDescent="0.35">
      <c r="A2982" s="281"/>
      <c r="B2982" s="279"/>
      <c r="C2982" s="850"/>
      <c r="D2982" s="282"/>
      <c r="E2982" s="833"/>
    </row>
    <row r="2983" spans="1:5" x14ac:dyDescent="0.35">
      <c r="A2983" s="281"/>
      <c r="B2983" s="279"/>
      <c r="C2983" s="850"/>
      <c r="D2983" s="282"/>
      <c r="E2983" s="833"/>
    </row>
    <row r="2984" spans="1:5" x14ac:dyDescent="0.35">
      <c r="A2984" s="281"/>
      <c r="B2984" s="279"/>
      <c r="C2984" s="850"/>
      <c r="D2984" s="282"/>
      <c r="E2984" s="833"/>
    </row>
    <row r="2985" spans="1:5" x14ac:dyDescent="0.35">
      <c r="A2985" s="281"/>
      <c r="B2985" s="279"/>
      <c r="C2985" s="850"/>
      <c r="D2985" s="282"/>
      <c r="E2985" s="833"/>
    </row>
    <row r="2986" spans="1:5" x14ac:dyDescent="0.35">
      <c r="A2986" s="281"/>
      <c r="B2986" s="279"/>
      <c r="C2986" s="850"/>
      <c r="D2986" s="282"/>
      <c r="E2986" s="833"/>
    </row>
    <row r="2987" spans="1:5" x14ac:dyDescent="0.35">
      <c r="A2987" s="281"/>
      <c r="B2987" s="279"/>
      <c r="C2987" s="850"/>
      <c r="D2987" s="282"/>
      <c r="E2987" s="833"/>
    </row>
    <row r="2988" spans="1:5" x14ac:dyDescent="0.35">
      <c r="A2988" s="281"/>
      <c r="B2988" s="279"/>
      <c r="C2988" s="850"/>
      <c r="D2988" s="282"/>
      <c r="E2988" s="833"/>
    </row>
    <row r="2989" spans="1:5" x14ac:dyDescent="0.35">
      <c r="A2989" s="281"/>
      <c r="B2989" s="279"/>
      <c r="C2989" s="850"/>
      <c r="D2989" s="282"/>
      <c r="E2989" s="833"/>
    </row>
    <row r="2990" spans="1:5" x14ac:dyDescent="0.35">
      <c r="A2990" s="281"/>
      <c r="B2990" s="279"/>
      <c r="C2990" s="850"/>
      <c r="D2990" s="282"/>
      <c r="E2990" s="833"/>
    </row>
    <row r="2991" spans="1:5" x14ac:dyDescent="0.35">
      <c r="A2991" s="281"/>
      <c r="B2991" s="279"/>
      <c r="C2991" s="850"/>
      <c r="D2991" s="282"/>
      <c r="E2991" s="833"/>
    </row>
    <row r="2992" spans="1:5" x14ac:dyDescent="0.35">
      <c r="A2992" s="281"/>
      <c r="B2992" s="279"/>
      <c r="C2992" s="850"/>
      <c r="D2992" s="282"/>
      <c r="E2992" s="833"/>
    </row>
    <row r="2993" spans="1:5" x14ac:dyDescent="0.35">
      <c r="A2993" s="281"/>
      <c r="B2993" s="279"/>
      <c r="C2993" s="850"/>
      <c r="D2993" s="282"/>
      <c r="E2993" s="833"/>
    </row>
    <row r="2994" spans="1:5" x14ac:dyDescent="0.35">
      <c r="A2994" s="281"/>
      <c r="B2994" s="279"/>
      <c r="C2994" s="850"/>
      <c r="D2994" s="282"/>
      <c r="E2994" s="833"/>
    </row>
    <row r="2995" spans="1:5" x14ac:dyDescent="0.35">
      <c r="A2995" s="281"/>
      <c r="B2995" s="279"/>
      <c r="C2995" s="850"/>
      <c r="D2995" s="282"/>
      <c r="E2995" s="833"/>
    </row>
    <row r="2996" spans="1:5" x14ac:dyDescent="0.35">
      <c r="A2996" s="281"/>
      <c r="B2996" s="279"/>
      <c r="C2996" s="850"/>
      <c r="D2996" s="282"/>
      <c r="E2996" s="833"/>
    </row>
    <row r="2997" spans="1:5" x14ac:dyDescent="0.35">
      <c r="A2997" s="281"/>
      <c r="B2997" s="279"/>
      <c r="C2997" s="850"/>
      <c r="D2997" s="282"/>
      <c r="E2997" s="833"/>
    </row>
    <row r="2998" spans="1:5" x14ac:dyDescent="0.35">
      <c r="A2998" s="281"/>
      <c r="B2998" s="279"/>
      <c r="C2998" s="850"/>
      <c r="D2998" s="282"/>
      <c r="E2998" s="833"/>
    </row>
    <row r="2999" spans="1:5" x14ac:dyDescent="0.35">
      <c r="A2999" s="281"/>
      <c r="B2999" s="279"/>
      <c r="C2999" s="850"/>
      <c r="D2999" s="282"/>
      <c r="E2999" s="833"/>
    </row>
    <row r="3000" spans="1:5" x14ac:dyDescent="0.35">
      <c r="A3000" s="281"/>
      <c r="B3000" s="279"/>
      <c r="C3000" s="850"/>
      <c r="D3000" s="282"/>
      <c r="E3000" s="833"/>
    </row>
    <row r="3001" spans="1:5" x14ac:dyDescent="0.35">
      <c r="A3001" s="281"/>
      <c r="B3001" s="279"/>
      <c r="C3001" s="850"/>
      <c r="D3001" s="282"/>
      <c r="E3001" s="833"/>
    </row>
    <row r="3002" spans="1:5" x14ac:dyDescent="0.35">
      <c r="A3002" s="281"/>
      <c r="B3002" s="279"/>
      <c r="C3002" s="850"/>
      <c r="D3002" s="282"/>
      <c r="E3002" s="833"/>
    </row>
    <row r="3003" spans="1:5" x14ac:dyDescent="0.35">
      <c r="A3003" s="281"/>
      <c r="B3003" s="279"/>
      <c r="C3003" s="850"/>
      <c r="D3003" s="282"/>
      <c r="E3003" s="833"/>
    </row>
    <row r="3004" spans="1:5" x14ac:dyDescent="0.35">
      <c r="A3004" s="281"/>
      <c r="B3004" s="279"/>
      <c r="C3004" s="850"/>
      <c r="D3004" s="282"/>
      <c r="E3004" s="833"/>
    </row>
    <row r="3005" spans="1:5" x14ac:dyDescent="0.35">
      <c r="A3005" s="281"/>
      <c r="B3005" s="279"/>
      <c r="C3005" s="850"/>
      <c r="D3005" s="282"/>
      <c r="E3005" s="833"/>
    </row>
    <row r="3006" spans="1:5" x14ac:dyDescent="0.35">
      <c r="A3006" s="281"/>
      <c r="B3006" s="279"/>
      <c r="C3006" s="850"/>
      <c r="D3006" s="282"/>
      <c r="E3006" s="833"/>
    </row>
    <row r="3007" spans="1:5" x14ac:dyDescent="0.35">
      <c r="A3007" s="281"/>
      <c r="B3007" s="279"/>
      <c r="C3007" s="850"/>
      <c r="D3007" s="282"/>
      <c r="E3007" s="833"/>
    </row>
    <row r="3008" spans="1:5" x14ac:dyDescent="0.35">
      <c r="A3008" s="281"/>
      <c r="B3008" s="279"/>
      <c r="C3008" s="850"/>
      <c r="D3008" s="282"/>
      <c r="E3008" s="833"/>
    </row>
    <row r="3009" spans="1:5" x14ac:dyDescent="0.35">
      <c r="A3009" s="281"/>
      <c r="B3009" s="279"/>
      <c r="C3009" s="850"/>
      <c r="D3009" s="282"/>
      <c r="E3009" s="833"/>
    </row>
    <row r="3010" spans="1:5" x14ac:dyDescent="0.35">
      <c r="A3010" s="281"/>
      <c r="B3010" s="279"/>
      <c r="C3010" s="850"/>
      <c r="D3010" s="282"/>
      <c r="E3010" s="833"/>
    </row>
    <row r="3011" spans="1:5" x14ac:dyDescent="0.35">
      <c r="A3011" s="281"/>
      <c r="B3011" s="279"/>
      <c r="C3011" s="850"/>
      <c r="D3011" s="282"/>
      <c r="E3011" s="833"/>
    </row>
    <row r="3012" spans="1:5" x14ac:dyDescent="0.35">
      <c r="A3012" s="281"/>
      <c r="B3012" s="279"/>
      <c r="C3012" s="850"/>
      <c r="D3012" s="282"/>
      <c r="E3012" s="833"/>
    </row>
    <row r="3013" spans="1:5" x14ac:dyDescent="0.35">
      <c r="A3013" s="281"/>
      <c r="B3013" s="279"/>
      <c r="C3013" s="850"/>
      <c r="D3013" s="282"/>
      <c r="E3013" s="833"/>
    </row>
    <row r="3014" spans="1:5" x14ac:dyDescent="0.35">
      <c r="A3014" s="281"/>
      <c r="B3014" s="279"/>
      <c r="C3014" s="850"/>
      <c r="D3014" s="282"/>
      <c r="E3014" s="833"/>
    </row>
    <row r="3015" spans="1:5" x14ac:dyDescent="0.35">
      <c r="A3015" s="281"/>
      <c r="B3015" s="279"/>
      <c r="C3015" s="850"/>
      <c r="D3015" s="282"/>
      <c r="E3015" s="833"/>
    </row>
    <row r="3016" spans="1:5" x14ac:dyDescent="0.35">
      <c r="A3016" s="281"/>
      <c r="B3016" s="279"/>
      <c r="C3016" s="850"/>
      <c r="D3016" s="282"/>
      <c r="E3016" s="833"/>
    </row>
    <row r="3017" spans="1:5" x14ac:dyDescent="0.35">
      <c r="A3017" s="281"/>
      <c r="B3017" s="279"/>
      <c r="C3017" s="850"/>
      <c r="D3017" s="282"/>
      <c r="E3017" s="833"/>
    </row>
    <row r="3018" spans="1:5" x14ac:dyDescent="0.35">
      <c r="A3018" s="281"/>
      <c r="B3018" s="279"/>
      <c r="C3018" s="850"/>
      <c r="D3018" s="282"/>
      <c r="E3018" s="833"/>
    </row>
    <row r="3019" spans="1:5" x14ac:dyDescent="0.35">
      <c r="A3019" s="281"/>
      <c r="B3019" s="279"/>
      <c r="C3019" s="850"/>
      <c r="D3019" s="282"/>
      <c r="E3019" s="833"/>
    </row>
    <row r="3020" spans="1:5" x14ac:dyDescent="0.35">
      <c r="A3020" s="281"/>
      <c r="B3020" s="279"/>
      <c r="C3020" s="850"/>
      <c r="D3020" s="282"/>
      <c r="E3020" s="833"/>
    </row>
    <row r="3021" spans="1:5" x14ac:dyDescent="0.35">
      <c r="A3021" s="281"/>
      <c r="B3021" s="279"/>
      <c r="C3021" s="850"/>
      <c r="D3021" s="282"/>
      <c r="E3021" s="833"/>
    </row>
    <row r="3022" spans="1:5" x14ac:dyDescent="0.35">
      <c r="A3022" s="281"/>
      <c r="B3022" s="279"/>
      <c r="C3022" s="850"/>
      <c r="D3022" s="282"/>
      <c r="E3022" s="833"/>
    </row>
    <row r="3023" spans="1:5" x14ac:dyDescent="0.35">
      <c r="A3023" s="281"/>
      <c r="B3023" s="279"/>
      <c r="C3023" s="850"/>
      <c r="D3023" s="282"/>
      <c r="E3023" s="833"/>
    </row>
    <row r="3024" spans="1:5" x14ac:dyDescent="0.35">
      <c r="A3024" s="281"/>
      <c r="B3024" s="279"/>
      <c r="C3024" s="850"/>
      <c r="D3024" s="282"/>
      <c r="E3024" s="833"/>
    </row>
    <row r="3025" spans="1:5" x14ac:dyDescent="0.35">
      <c r="A3025" s="281"/>
      <c r="B3025" s="279"/>
      <c r="C3025" s="850"/>
      <c r="D3025" s="282"/>
      <c r="E3025" s="833"/>
    </row>
    <row r="3026" spans="1:5" x14ac:dyDescent="0.35">
      <c r="A3026" s="281"/>
      <c r="B3026" s="279"/>
      <c r="C3026" s="850"/>
      <c r="D3026" s="282"/>
      <c r="E3026" s="833"/>
    </row>
    <row r="3027" spans="1:5" x14ac:dyDescent="0.35">
      <c r="A3027" s="281"/>
      <c r="B3027" s="279"/>
      <c r="C3027" s="850"/>
      <c r="D3027" s="282"/>
      <c r="E3027" s="833"/>
    </row>
    <row r="3028" spans="1:5" x14ac:dyDescent="0.35">
      <c r="A3028" s="281"/>
      <c r="B3028" s="279"/>
      <c r="C3028" s="850"/>
      <c r="D3028" s="282"/>
      <c r="E3028" s="833"/>
    </row>
    <row r="3029" spans="1:5" x14ac:dyDescent="0.35">
      <c r="A3029" s="281"/>
      <c r="B3029" s="279"/>
      <c r="C3029" s="850"/>
      <c r="D3029" s="282"/>
      <c r="E3029" s="833"/>
    </row>
    <row r="3030" spans="1:5" x14ac:dyDescent="0.35">
      <c r="A3030" s="281"/>
      <c r="B3030" s="279"/>
      <c r="C3030" s="850"/>
      <c r="D3030" s="282"/>
      <c r="E3030" s="833"/>
    </row>
    <row r="3031" spans="1:5" x14ac:dyDescent="0.35">
      <c r="A3031" s="281"/>
      <c r="B3031" s="279"/>
      <c r="C3031" s="850"/>
      <c r="D3031" s="282"/>
      <c r="E3031" s="833"/>
    </row>
    <row r="3032" spans="1:5" x14ac:dyDescent="0.35">
      <c r="A3032" s="281"/>
      <c r="B3032" s="279"/>
      <c r="C3032" s="850"/>
      <c r="D3032" s="282"/>
      <c r="E3032" s="833"/>
    </row>
    <row r="3033" spans="1:5" x14ac:dyDescent="0.35">
      <c r="A3033" s="281"/>
      <c r="B3033" s="279"/>
      <c r="C3033" s="850"/>
      <c r="D3033" s="282"/>
      <c r="E3033" s="833"/>
    </row>
    <row r="3034" spans="1:5" x14ac:dyDescent="0.35">
      <c r="A3034" s="281"/>
      <c r="B3034" s="279"/>
      <c r="C3034" s="850"/>
      <c r="D3034" s="282"/>
      <c r="E3034" s="833"/>
    </row>
    <row r="3035" spans="1:5" x14ac:dyDescent="0.35">
      <c r="A3035" s="281"/>
      <c r="B3035" s="279"/>
      <c r="C3035" s="850"/>
      <c r="D3035" s="282"/>
      <c r="E3035" s="833"/>
    </row>
    <row r="3036" spans="1:5" x14ac:dyDescent="0.35">
      <c r="A3036" s="281"/>
      <c r="B3036" s="279"/>
      <c r="C3036" s="850"/>
      <c r="D3036" s="282"/>
      <c r="E3036" s="833"/>
    </row>
    <row r="3037" spans="1:5" x14ac:dyDescent="0.35">
      <c r="A3037" s="281"/>
      <c r="B3037" s="279"/>
      <c r="C3037" s="850"/>
      <c r="D3037" s="282"/>
      <c r="E3037" s="833"/>
    </row>
    <row r="3038" spans="1:5" x14ac:dyDescent="0.35">
      <c r="A3038" s="281"/>
      <c r="B3038" s="279"/>
      <c r="C3038" s="850"/>
      <c r="D3038" s="282"/>
      <c r="E3038" s="833"/>
    </row>
    <row r="3039" spans="1:5" x14ac:dyDescent="0.35">
      <c r="A3039" s="281"/>
      <c r="B3039" s="279"/>
      <c r="C3039" s="850"/>
      <c r="D3039" s="282"/>
      <c r="E3039" s="833"/>
    </row>
    <row r="3040" spans="1:5" x14ac:dyDescent="0.35">
      <c r="A3040" s="281"/>
      <c r="B3040" s="279"/>
      <c r="C3040" s="850"/>
      <c r="D3040" s="282"/>
      <c r="E3040" s="833"/>
    </row>
    <row r="3041" spans="1:5" x14ac:dyDescent="0.35">
      <c r="A3041" s="281"/>
      <c r="B3041" s="279"/>
      <c r="C3041" s="850"/>
      <c r="D3041" s="282"/>
      <c r="E3041" s="833"/>
    </row>
    <row r="3042" spans="1:5" x14ac:dyDescent="0.35">
      <c r="A3042" s="281"/>
      <c r="B3042" s="279"/>
      <c r="C3042" s="850"/>
      <c r="D3042" s="282"/>
      <c r="E3042" s="833"/>
    </row>
    <row r="3043" spans="1:5" x14ac:dyDescent="0.35">
      <c r="A3043" s="281"/>
      <c r="B3043" s="279"/>
      <c r="C3043" s="850"/>
      <c r="D3043" s="282"/>
      <c r="E3043" s="833"/>
    </row>
    <row r="3044" spans="1:5" x14ac:dyDescent="0.35">
      <c r="A3044" s="281"/>
      <c r="B3044" s="279"/>
      <c r="C3044" s="850"/>
      <c r="D3044" s="282"/>
      <c r="E3044" s="833"/>
    </row>
    <row r="3045" spans="1:5" x14ac:dyDescent="0.35">
      <c r="A3045" s="281"/>
      <c r="B3045" s="279"/>
      <c r="C3045" s="850"/>
      <c r="D3045" s="282"/>
      <c r="E3045" s="833"/>
    </row>
    <row r="3046" spans="1:5" x14ac:dyDescent="0.35">
      <c r="A3046" s="281"/>
      <c r="B3046" s="279"/>
      <c r="C3046" s="850"/>
      <c r="D3046" s="282"/>
      <c r="E3046" s="833"/>
    </row>
    <row r="3047" spans="1:5" x14ac:dyDescent="0.35">
      <c r="A3047" s="281"/>
      <c r="B3047" s="279"/>
      <c r="C3047" s="850"/>
      <c r="D3047" s="282"/>
      <c r="E3047" s="833"/>
    </row>
    <row r="3048" spans="1:5" x14ac:dyDescent="0.35">
      <c r="A3048" s="281"/>
      <c r="B3048" s="279"/>
      <c r="C3048" s="850"/>
      <c r="D3048" s="282"/>
      <c r="E3048" s="833"/>
    </row>
    <row r="3049" spans="1:5" x14ac:dyDescent="0.35">
      <c r="A3049" s="281"/>
      <c r="B3049" s="279"/>
      <c r="C3049" s="850"/>
      <c r="D3049" s="282"/>
      <c r="E3049" s="833"/>
    </row>
    <row r="3050" spans="1:5" x14ac:dyDescent="0.35">
      <c r="A3050" s="281"/>
      <c r="B3050" s="279"/>
      <c r="C3050" s="850"/>
      <c r="D3050" s="282"/>
      <c r="E3050" s="833"/>
    </row>
    <row r="3051" spans="1:5" x14ac:dyDescent="0.35">
      <c r="A3051" s="281"/>
      <c r="B3051" s="279"/>
      <c r="C3051" s="850"/>
      <c r="D3051" s="282"/>
      <c r="E3051" s="833"/>
    </row>
    <row r="3052" spans="1:5" x14ac:dyDescent="0.35">
      <c r="A3052" s="281"/>
      <c r="B3052" s="279"/>
      <c r="C3052" s="850"/>
      <c r="D3052" s="282"/>
      <c r="E3052" s="833"/>
    </row>
    <row r="3053" spans="1:5" x14ac:dyDescent="0.35">
      <c r="A3053" s="281"/>
      <c r="B3053" s="279"/>
      <c r="C3053" s="850"/>
      <c r="D3053" s="282"/>
      <c r="E3053" s="833"/>
    </row>
    <row r="3054" spans="1:5" x14ac:dyDescent="0.35">
      <c r="A3054" s="281"/>
      <c r="B3054" s="279"/>
      <c r="C3054" s="850"/>
      <c r="D3054" s="282"/>
      <c r="E3054" s="833"/>
    </row>
    <row r="3055" spans="1:5" x14ac:dyDescent="0.35">
      <c r="A3055" s="281"/>
      <c r="B3055" s="279"/>
      <c r="C3055" s="850"/>
      <c r="D3055" s="282"/>
      <c r="E3055" s="833"/>
    </row>
    <row r="3056" spans="1:5" x14ac:dyDescent="0.35">
      <c r="A3056" s="281"/>
      <c r="B3056" s="279"/>
      <c r="C3056" s="850"/>
      <c r="D3056" s="282"/>
      <c r="E3056" s="833"/>
    </row>
    <row r="3057" spans="1:5" x14ac:dyDescent="0.35">
      <c r="A3057" s="281"/>
      <c r="B3057" s="279"/>
      <c r="C3057" s="850"/>
      <c r="D3057" s="282"/>
      <c r="E3057" s="833"/>
    </row>
    <row r="3058" spans="1:5" x14ac:dyDescent="0.35">
      <c r="A3058" s="281"/>
      <c r="B3058" s="279"/>
      <c r="C3058" s="850"/>
      <c r="D3058" s="282"/>
      <c r="E3058" s="833"/>
    </row>
    <row r="3059" spans="1:5" x14ac:dyDescent="0.35">
      <c r="A3059" s="281"/>
      <c r="B3059" s="279"/>
      <c r="C3059" s="850"/>
      <c r="D3059" s="282"/>
      <c r="E3059" s="833"/>
    </row>
    <row r="3060" spans="1:5" x14ac:dyDescent="0.35">
      <c r="A3060" s="281"/>
      <c r="B3060" s="279"/>
      <c r="C3060" s="850"/>
      <c r="D3060" s="282"/>
      <c r="E3060" s="833"/>
    </row>
    <row r="3061" spans="1:5" x14ac:dyDescent="0.35">
      <c r="A3061" s="281"/>
      <c r="B3061" s="279"/>
      <c r="C3061" s="850"/>
      <c r="D3061" s="282"/>
      <c r="E3061" s="833"/>
    </row>
    <row r="3062" spans="1:5" x14ac:dyDescent="0.35">
      <c r="A3062" s="281"/>
      <c r="B3062" s="279"/>
      <c r="C3062" s="850"/>
      <c r="D3062" s="282"/>
      <c r="E3062" s="833"/>
    </row>
    <row r="3063" spans="1:5" x14ac:dyDescent="0.35">
      <c r="A3063" s="281"/>
      <c r="B3063" s="279"/>
      <c r="C3063" s="850"/>
      <c r="D3063" s="282"/>
      <c r="E3063" s="833"/>
    </row>
    <row r="3064" spans="1:5" x14ac:dyDescent="0.35">
      <c r="A3064" s="281"/>
      <c r="B3064" s="279"/>
      <c r="C3064" s="850"/>
      <c r="D3064" s="282"/>
      <c r="E3064" s="833"/>
    </row>
    <row r="3065" spans="1:5" x14ac:dyDescent="0.35">
      <c r="A3065" s="281"/>
      <c r="B3065" s="279"/>
      <c r="C3065" s="850"/>
      <c r="D3065" s="282"/>
      <c r="E3065" s="833"/>
    </row>
    <row r="3066" spans="1:5" x14ac:dyDescent="0.35">
      <c r="A3066" s="281"/>
      <c r="B3066" s="279"/>
      <c r="C3066" s="850"/>
      <c r="D3066" s="282"/>
      <c r="E3066" s="833"/>
    </row>
    <row r="3067" spans="1:5" x14ac:dyDescent="0.35">
      <c r="A3067" s="281"/>
      <c r="B3067" s="279"/>
      <c r="C3067" s="850"/>
      <c r="D3067" s="282"/>
      <c r="E3067" s="833"/>
    </row>
    <row r="3068" spans="1:5" x14ac:dyDescent="0.35">
      <c r="A3068" s="281"/>
      <c r="B3068" s="279"/>
      <c r="C3068" s="850"/>
      <c r="D3068" s="282"/>
      <c r="E3068" s="833"/>
    </row>
    <row r="3069" spans="1:5" x14ac:dyDescent="0.35">
      <c r="A3069" s="281"/>
      <c r="B3069" s="279"/>
      <c r="C3069" s="850"/>
      <c r="D3069" s="282"/>
      <c r="E3069" s="833"/>
    </row>
    <row r="3070" spans="1:5" x14ac:dyDescent="0.35">
      <c r="A3070" s="281"/>
      <c r="B3070" s="279"/>
      <c r="C3070" s="850"/>
      <c r="D3070" s="282"/>
      <c r="E3070" s="833"/>
    </row>
    <row r="3071" spans="1:5" x14ac:dyDescent="0.35">
      <c r="A3071" s="281"/>
      <c r="B3071" s="279"/>
      <c r="C3071" s="850"/>
      <c r="D3071" s="282"/>
      <c r="E3071" s="833"/>
    </row>
    <row r="3072" spans="1:5" x14ac:dyDescent="0.35">
      <c r="A3072" s="281"/>
      <c r="B3072" s="279"/>
      <c r="C3072" s="850"/>
      <c r="D3072" s="282"/>
      <c r="E3072" s="833"/>
    </row>
    <row r="3073" spans="1:5" x14ac:dyDescent="0.35">
      <c r="A3073" s="281"/>
      <c r="B3073" s="279"/>
      <c r="C3073" s="850"/>
      <c r="D3073" s="282"/>
      <c r="E3073" s="833"/>
    </row>
    <row r="3074" spans="1:5" x14ac:dyDescent="0.35">
      <c r="A3074" s="281"/>
      <c r="B3074" s="279"/>
      <c r="C3074" s="850"/>
      <c r="D3074" s="282"/>
      <c r="E3074" s="833"/>
    </row>
    <row r="3075" spans="1:5" x14ac:dyDescent="0.35">
      <c r="A3075" s="281"/>
      <c r="B3075" s="279"/>
      <c r="C3075" s="850"/>
      <c r="D3075" s="282"/>
      <c r="E3075" s="833"/>
    </row>
    <row r="3076" spans="1:5" x14ac:dyDescent="0.35">
      <c r="A3076" s="281"/>
      <c r="B3076" s="279"/>
      <c r="C3076" s="850"/>
      <c r="D3076" s="282"/>
      <c r="E3076" s="833"/>
    </row>
    <row r="3077" spans="1:5" x14ac:dyDescent="0.35">
      <c r="A3077" s="281"/>
      <c r="B3077" s="279"/>
      <c r="C3077" s="850"/>
      <c r="D3077" s="282"/>
      <c r="E3077" s="833"/>
    </row>
    <row r="3078" spans="1:5" x14ac:dyDescent="0.35">
      <c r="A3078" s="281"/>
      <c r="B3078" s="279"/>
      <c r="C3078" s="850"/>
      <c r="D3078" s="282"/>
      <c r="E3078" s="833"/>
    </row>
    <row r="3079" spans="1:5" x14ac:dyDescent="0.35">
      <c r="A3079" s="281"/>
      <c r="B3079" s="279"/>
      <c r="C3079" s="850"/>
      <c r="D3079" s="282"/>
      <c r="E3079" s="833"/>
    </row>
    <row r="3080" spans="1:5" x14ac:dyDescent="0.35">
      <c r="A3080" s="281"/>
      <c r="B3080" s="279"/>
      <c r="C3080" s="850"/>
      <c r="D3080" s="282"/>
      <c r="E3080" s="833"/>
    </row>
    <row r="3081" spans="1:5" x14ac:dyDescent="0.35">
      <c r="A3081" s="281"/>
      <c r="B3081" s="279"/>
      <c r="C3081" s="850"/>
      <c r="D3081" s="282"/>
      <c r="E3081" s="833"/>
    </row>
    <row r="3082" spans="1:5" x14ac:dyDescent="0.35">
      <c r="A3082" s="281"/>
      <c r="B3082" s="279"/>
      <c r="C3082" s="850"/>
      <c r="D3082" s="282"/>
      <c r="E3082" s="833"/>
    </row>
    <row r="3083" spans="1:5" x14ac:dyDescent="0.35">
      <c r="A3083" s="281"/>
      <c r="B3083" s="279"/>
      <c r="C3083" s="850"/>
      <c r="D3083" s="282"/>
      <c r="E3083" s="833"/>
    </row>
    <row r="3084" spans="1:5" x14ac:dyDescent="0.35">
      <c r="A3084" s="281"/>
      <c r="B3084" s="279"/>
      <c r="C3084" s="850"/>
      <c r="D3084" s="282"/>
      <c r="E3084" s="833"/>
    </row>
    <row r="3085" spans="1:5" x14ac:dyDescent="0.35">
      <c r="A3085" s="281"/>
      <c r="B3085" s="279"/>
      <c r="C3085" s="850"/>
      <c r="D3085" s="282"/>
      <c r="E3085" s="833"/>
    </row>
    <row r="3086" spans="1:5" x14ac:dyDescent="0.35">
      <c r="A3086" s="281"/>
      <c r="B3086" s="279"/>
      <c r="C3086" s="850"/>
      <c r="D3086" s="282"/>
      <c r="E3086" s="833"/>
    </row>
    <row r="3087" spans="1:5" x14ac:dyDescent="0.35">
      <c r="A3087" s="281"/>
      <c r="B3087" s="279"/>
      <c r="C3087" s="850"/>
      <c r="D3087" s="282"/>
      <c r="E3087" s="833"/>
    </row>
    <row r="3088" spans="1:5" x14ac:dyDescent="0.35">
      <c r="A3088" s="281"/>
      <c r="B3088" s="279"/>
      <c r="C3088" s="850"/>
      <c r="D3088" s="282"/>
      <c r="E3088" s="833"/>
    </row>
    <row r="3089" spans="1:5" x14ac:dyDescent="0.35">
      <c r="A3089" s="281"/>
      <c r="B3089" s="279"/>
      <c r="C3089" s="850"/>
      <c r="D3089" s="282"/>
      <c r="E3089" s="833"/>
    </row>
    <row r="3090" spans="1:5" x14ac:dyDescent="0.35">
      <c r="A3090" s="281"/>
      <c r="B3090" s="279"/>
      <c r="C3090" s="850"/>
      <c r="D3090" s="282"/>
      <c r="E3090" s="833"/>
    </row>
    <row r="3091" spans="1:5" x14ac:dyDescent="0.35">
      <c r="A3091" s="281"/>
      <c r="B3091" s="279"/>
      <c r="C3091" s="850"/>
      <c r="D3091" s="282"/>
      <c r="E3091" s="833"/>
    </row>
    <row r="3092" spans="1:5" x14ac:dyDescent="0.35">
      <c r="A3092" s="281"/>
      <c r="B3092" s="279"/>
      <c r="C3092" s="850"/>
      <c r="D3092" s="282"/>
      <c r="E3092" s="833"/>
    </row>
    <row r="3093" spans="1:5" x14ac:dyDescent="0.35">
      <c r="A3093" s="281"/>
      <c r="B3093" s="279"/>
      <c r="C3093" s="850"/>
      <c r="D3093" s="282"/>
      <c r="E3093" s="833"/>
    </row>
    <row r="3094" spans="1:5" x14ac:dyDescent="0.35">
      <c r="A3094" s="281"/>
      <c r="B3094" s="279"/>
      <c r="C3094" s="850"/>
      <c r="D3094" s="282"/>
      <c r="E3094" s="833"/>
    </row>
    <row r="3095" spans="1:5" x14ac:dyDescent="0.35">
      <c r="A3095" s="281"/>
      <c r="B3095" s="279"/>
      <c r="C3095" s="850"/>
      <c r="D3095" s="282"/>
      <c r="E3095" s="833"/>
    </row>
    <row r="3096" spans="1:5" x14ac:dyDescent="0.35">
      <c r="A3096" s="281"/>
      <c r="B3096" s="279"/>
      <c r="C3096" s="850"/>
      <c r="D3096" s="282"/>
      <c r="E3096" s="833"/>
    </row>
    <row r="3097" spans="1:5" x14ac:dyDescent="0.35">
      <c r="A3097" s="281"/>
      <c r="B3097" s="279"/>
      <c r="C3097" s="850"/>
      <c r="D3097" s="282"/>
      <c r="E3097" s="833"/>
    </row>
    <row r="3098" spans="1:5" x14ac:dyDescent="0.35">
      <c r="A3098" s="281"/>
      <c r="B3098" s="279"/>
      <c r="C3098" s="850"/>
      <c r="D3098" s="282"/>
      <c r="E3098" s="833"/>
    </row>
    <row r="3099" spans="1:5" x14ac:dyDescent="0.35">
      <c r="A3099" s="281"/>
      <c r="B3099" s="279"/>
      <c r="C3099" s="850"/>
      <c r="D3099" s="282"/>
      <c r="E3099" s="833"/>
    </row>
    <row r="3100" spans="1:5" x14ac:dyDescent="0.35">
      <c r="A3100" s="281"/>
      <c r="B3100" s="279"/>
      <c r="C3100" s="850"/>
      <c r="D3100" s="282"/>
      <c r="E3100" s="833"/>
    </row>
    <row r="3101" spans="1:5" x14ac:dyDescent="0.35">
      <c r="A3101" s="281"/>
      <c r="B3101" s="279"/>
      <c r="C3101" s="850"/>
      <c r="D3101" s="282"/>
      <c r="E3101" s="833"/>
    </row>
    <row r="3102" spans="1:5" x14ac:dyDescent="0.35">
      <c r="A3102" s="281"/>
      <c r="B3102" s="279"/>
      <c r="C3102" s="850"/>
      <c r="D3102" s="282"/>
      <c r="E3102" s="833"/>
    </row>
    <row r="3103" spans="1:5" x14ac:dyDescent="0.35">
      <c r="A3103" s="281"/>
      <c r="B3103" s="279"/>
      <c r="C3103" s="850"/>
      <c r="D3103" s="282"/>
      <c r="E3103" s="833"/>
    </row>
    <row r="3104" spans="1:5" x14ac:dyDescent="0.35">
      <c r="A3104" s="281"/>
      <c r="B3104" s="279"/>
      <c r="C3104" s="850"/>
      <c r="D3104" s="282"/>
      <c r="E3104" s="833"/>
    </row>
    <row r="3105" spans="1:5" x14ac:dyDescent="0.35">
      <c r="A3105" s="281"/>
      <c r="B3105" s="279"/>
      <c r="C3105" s="850"/>
      <c r="D3105" s="282"/>
      <c r="E3105" s="833"/>
    </row>
    <row r="3106" spans="1:5" x14ac:dyDescent="0.35">
      <c r="A3106" s="281"/>
      <c r="B3106" s="279"/>
      <c r="C3106" s="850"/>
      <c r="D3106" s="282"/>
      <c r="E3106" s="833"/>
    </row>
    <row r="3107" spans="1:5" x14ac:dyDescent="0.35">
      <c r="A3107" s="281"/>
      <c r="B3107" s="279"/>
      <c r="C3107" s="850"/>
      <c r="D3107" s="282"/>
      <c r="E3107" s="833"/>
    </row>
    <row r="3108" spans="1:5" x14ac:dyDescent="0.35">
      <c r="A3108" s="281"/>
      <c r="B3108" s="279"/>
      <c r="C3108" s="850"/>
      <c r="D3108" s="282"/>
      <c r="E3108" s="833"/>
    </row>
    <row r="3109" spans="1:5" x14ac:dyDescent="0.35">
      <c r="A3109" s="281"/>
      <c r="B3109" s="279"/>
      <c r="C3109" s="850"/>
      <c r="D3109" s="282"/>
      <c r="E3109" s="833"/>
    </row>
    <row r="3110" spans="1:5" x14ac:dyDescent="0.35">
      <c r="A3110" s="281"/>
      <c r="B3110" s="279"/>
      <c r="C3110" s="850"/>
      <c r="D3110" s="282"/>
      <c r="E3110" s="833"/>
    </row>
    <row r="3111" spans="1:5" x14ac:dyDescent="0.35">
      <c r="A3111" s="281"/>
      <c r="B3111" s="279"/>
      <c r="C3111" s="850"/>
      <c r="D3111" s="282"/>
      <c r="E3111" s="833"/>
    </row>
    <row r="3112" spans="1:5" x14ac:dyDescent="0.35">
      <c r="A3112" s="281"/>
      <c r="B3112" s="279"/>
      <c r="C3112" s="850"/>
      <c r="D3112" s="282"/>
      <c r="E3112" s="833"/>
    </row>
    <row r="3113" spans="1:5" x14ac:dyDescent="0.35">
      <c r="A3113" s="281"/>
      <c r="B3113" s="279"/>
      <c r="C3113" s="850"/>
      <c r="D3113" s="282"/>
      <c r="E3113" s="833"/>
    </row>
    <row r="3114" spans="1:5" x14ac:dyDescent="0.35">
      <c r="A3114" s="281"/>
      <c r="B3114" s="279"/>
      <c r="C3114" s="850"/>
      <c r="D3114" s="282"/>
      <c r="E3114" s="833"/>
    </row>
    <row r="3115" spans="1:5" x14ac:dyDescent="0.35">
      <c r="A3115" s="281"/>
      <c r="B3115" s="279"/>
      <c r="C3115" s="850"/>
      <c r="D3115" s="282"/>
      <c r="E3115" s="833"/>
    </row>
    <row r="3116" spans="1:5" x14ac:dyDescent="0.35">
      <c r="A3116" s="281"/>
      <c r="B3116" s="279"/>
      <c r="C3116" s="850"/>
      <c r="D3116" s="282"/>
      <c r="E3116" s="833"/>
    </row>
    <row r="3117" spans="1:5" x14ac:dyDescent="0.35">
      <c r="A3117" s="281"/>
      <c r="B3117" s="279"/>
      <c r="C3117" s="850"/>
      <c r="D3117" s="282"/>
      <c r="E3117" s="833"/>
    </row>
    <row r="3118" spans="1:5" x14ac:dyDescent="0.35">
      <c r="A3118" s="281"/>
      <c r="B3118" s="279"/>
      <c r="C3118" s="850"/>
      <c r="D3118" s="282"/>
      <c r="E3118" s="833"/>
    </row>
    <row r="3119" spans="1:5" x14ac:dyDescent="0.35">
      <c r="A3119" s="281"/>
      <c r="B3119" s="279"/>
      <c r="C3119" s="850"/>
      <c r="D3119" s="282"/>
      <c r="E3119" s="833"/>
    </row>
    <row r="3120" spans="1:5" x14ac:dyDescent="0.35">
      <c r="A3120" s="281"/>
      <c r="B3120" s="279"/>
      <c r="C3120" s="850"/>
      <c r="D3120" s="282"/>
      <c r="E3120" s="833"/>
    </row>
    <row r="3121" spans="1:5" x14ac:dyDescent="0.35">
      <c r="A3121" s="281"/>
      <c r="B3121" s="279"/>
      <c r="C3121" s="850"/>
      <c r="D3121" s="282"/>
      <c r="E3121" s="833"/>
    </row>
    <row r="3122" spans="1:5" x14ac:dyDescent="0.35">
      <c r="A3122" s="281"/>
      <c r="B3122" s="279"/>
      <c r="C3122" s="850"/>
      <c r="D3122" s="282"/>
      <c r="E3122" s="833"/>
    </row>
    <row r="3123" spans="1:5" x14ac:dyDescent="0.35">
      <c r="A3123" s="281"/>
      <c r="B3123" s="279"/>
      <c r="C3123" s="850"/>
      <c r="D3123" s="282"/>
      <c r="E3123" s="833"/>
    </row>
    <row r="3124" spans="1:5" x14ac:dyDescent="0.35">
      <c r="A3124" s="281"/>
      <c r="B3124" s="279"/>
      <c r="C3124" s="850"/>
      <c r="D3124" s="282"/>
      <c r="E3124" s="833"/>
    </row>
    <row r="3125" spans="1:5" x14ac:dyDescent="0.35">
      <c r="A3125" s="281"/>
      <c r="B3125" s="279"/>
      <c r="C3125" s="850"/>
      <c r="D3125" s="282"/>
      <c r="E3125" s="833"/>
    </row>
    <row r="3126" spans="1:5" x14ac:dyDescent="0.35">
      <c r="A3126" s="281"/>
      <c r="B3126" s="279"/>
      <c r="C3126" s="850"/>
      <c r="D3126" s="282"/>
      <c r="E3126" s="833"/>
    </row>
    <row r="3127" spans="1:5" x14ac:dyDescent="0.35">
      <c r="A3127" s="281"/>
      <c r="B3127" s="279"/>
      <c r="C3127" s="850"/>
      <c r="D3127" s="282"/>
      <c r="E3127" s="833"/>
    </row>
    <row r="3128" spans="1:5" x14ac:dyDescent="0.35">
      <c r="A3128" s="281"/>
      <c r="B3128" s="279"/>
      <c r="C3128" s="850"/>
      <c r="D3128" s="282"/>
      <c r="E3128" s="833"/>
    </row>
    <row r="3129" spans="1:5" x14ac:dyDescent="0.35">
      <c r="A3129" s="281"/>
      <c r="B3129" s="279"/>
      <c r="C3129" s="850"/>
      <c r="D3129" s="282"/>
      <c r="E3129" s="833"/>
    </row>
    <row r="3130" spans="1:5" x14ac:dyDescent="0.35">
      <c r="A3130" s="281"/>
      <c r="B3130" s="279"/>
      <c r="C3130" s="850"/>
      <c r="D3130" s="282"/>
      <c r="E3130" s="833"/>
    </row>
    <row r="3131" spans="1:5" x14ac:dyDescent="0.35">
      <c r="A3131" s="281"/>
      <c r="B3131" s="279"/>
      <c r="C3131" s="850"/>
      <c r="D3131" s="282"/>
      <c r="E3131" s="833"/>
    </row>
    <row r="3132" spans="1:5" x14ac:dyDescent="0.35">
      <c r="A3132" s="281"/>
      <c r="B3132" s="279"/>
      <c r="C3132" s="850"/>
      <c r="D3132" s="282"/>
      <c r="E3132" s="833"/>
    </row>
    <row r="3133" spans="1:5" x14ac:dyDescent="0.35">
      <c r="A3133" s="281"/>
      <c r="B3133" s="279"/>
      <c r="C3133" s="850"/>
      <c r="D3133" s="282"/>
      <c r="E3133" s="833"/>
    </row>
    <row r="3134" spans="1:5" x14ac:dyDescent="0.35">
      <c r="A3134" s="281"/>
      <c r="B3134" s="279"/>
      <c r="C3134" s="850"/>
      <c r="D3134" s="282"/>
      <c r="E3134" s="833"/>
    </row>
    <row r="3135" spans="1:5" x14ac:dyDescent="0.35">
      <c r="A3135" s="281"/>
      <c r="B3135" s="279"/>
      <c r="C3135" s="850"/>
      <c r="D3135" s="282"/>
      <c r="E3135" s="833"/>
    </row>
    <row r="3136" spans="1:5" x14ac:dyDescent="0.35">
      <c r="A3136" s="281"/>
      <c r="B3136" s="279"/>
      <c r="C3136" s="850"/>
      <c r="D3136" s="282"/>
      <c r="E3136" s="833"/>
    </row>
    <row r="3137" spans="1:5" x14ac:dyDescent="0.35">
      <c r="A3137" s="281"/>
      <c r="B3137" s="279"/>
      <c r="C3137" s="850"/>
      <c r="D3137" s="282"/>
      <c r="E3137" s="833"/>
    </row>
    <row r="3138" spans="1:5" x14ac:dyDescent="0.35">
      <c r="A3138" s="281"/>
      <c r="B3138" s="279"/>
      <c r="C3138" s="850"/>
      <c r="D3138" s="282"/>
      <c r="E3138" s="833"/>
    </row>
    <row r="3139" spans="1:5" x14ac:dyDescent="0.35">
      <c r="A3139" s="281"/>
      <c r="B3139" s="279"/>
      <c r="C3139" s="850"/>
      <c r="D3139" s="282"/>
      <c r="E3139" s="833"/>
    </row>
    <row r="3140" spans="1:5" x14ac:dyDescent="0.35">
      <c r="A3140" s="281"/>
      <c r="B3140" s="279"/>
      <c r="C3140" s="850"/>
      <c r="D3140" s="282"/>
      <c r="E3140" s="833"/>
    </row>
    <row r="3141" spans="1:5" x14ac:dyDescent="0.35">
      <c r="A3141" s="281"/>
      <c r="B3141" s="279"/>
      <c r="C3141" s="850"/>
      <c r="D3141" s="282"/>
      <c r="E3141" s="833"/>
    </row>
    <row r="3142" spans="1:5" x14ac:dyDescent="0.35">
      <c r="A3142" s="281"/>
      <c r="B3142" s="279"/>
      <c r="C3142" s="850"/>
      <c r="D3142" s="282"/>
      <c r="E3142" s="833"/>
    </row>
    <row r="3143" spans="1:5" x14ac:dyDescent="0.35">
      <c r="A3143" s="281"/>
      <c r="B3143" s="279"/>
      <c r="C3143" s="850"/>
      <c r="D3143" s="282"/>
      <c r="E3143" s="833"/>
    </row>
    <row r="3144" spans="1:5" x14ac:dyDescent="0.35">
      <c r="A3144" s="281"/>
      <c r="B3144" s="279"/>
      <c r="C3144" s="850"/>
      <c r="D3144" s="282"/>
      <c r="E3144" s="833"/>
    </row>
    <row r="3145" spans="1:5" x14ac:dyDescent="0.35">
      <c r="A3145" s="281"/>
      <c r="B3145" s="279"/>
      <c r="C3145" s="850"/>
      <c r="D3145" s="282"/>
      <c r="E3145" s="833"/>
    </row>
    <row r="3146" spans="1:5" x14ac:dyDescent="0.35">
      <c r="A3146" s="281"/>
      <c r="B3146" s="279"/>
      <c r="C3146" s="850"/>
      <c r="D3146" s="282"/>
      <c r="E3146" s="833"/>
    </row>
    <row r="3147" spans="1:5" x14ac:dyDescent="0.35">
      <c r="A3147" s="281"/>
      <c r="B3147" s="279"/>
      <c r="C3147" s="850"/>
      <c r="D3147" s="282"/>
      <c r="E3147" s="833"/>
    </row>
    <row r="3148" spans="1:5" x14ac:dyDescent="0.35">
      <c r="A3148" s="281"/>
      <c r="B3148" s="279"/>
      <c r="C3148" s="850"/>
      <c r="D3148" s="282"/>
      <c r="E3148" s="833"/>
    </row>
    <row r="3149" spans="1:5" x14ac:dyDescent="0.35">
      <c r="A3149" s="281"/>
      <c r="B3149" s="279"/>
      <c r="C3149" s="850"/>
      <c r="D3149" s="282"/>
      <c r="E3149" s="833"/>
    </row>
    <row r="3150" spans="1:5" x14ac:dyDescent="0.35">
      <c r="A3150" s="281"/>
      <c r="B3150" s="279"/>
      <c r="C3150" s="850"/>
      <c r="D3150" s="282"/>
      <c r="E3150" s="833"/>
    </row>
    <row r="3151" spans="1:5" x14ac:dyDescent="0.35">
      <c r="A3151" s="281"/>
      <c r="B3151" s="279"/>
      <c r="C3151" s="850"/>
      <c r="D3151" s="282"/>
      <c r="E3151" s="833"/>
    </row>
    <row r="3152" spans="1:5" x14ac:dyDescent="0.35">
      <c r="A3152" s="281"/>
      <c r="B3152" s="279"/>
      <c r="C3152" s="850"/>
      <c r="D3152" s="282"/>
      <c r="E3152" s="833"/>
    </row>
    <row r="3153" spans="1:5" x14ac:dyDescent="0.35">
      <c r="A3153" s="281"/>
      <c r="B3153" s="279"/>
      <c r="C3153" s="850"/>
      <c r="D3153" s="282"/>
      <c r="E3153" s="833"/>
    </row>
    <row r="3154" spans="1:5" x14ac:dyDescent="0.35">
      <c r="A3154" s="281"/>
      <c r="B3154" s="279"/>
      <c r="C3154" s="850"/>
      <c r="D3154" s="282"/>
      <c r="E3154" s="833"/>
    </row>
    <row r="3155" spans="1:5" x14ac:dyDescent="0.35">
      <c r="A3155" s="281"/>
      <c r="B3155" s="279"/>
      <c r="C3155" s="850"/>
      <c r="D3155" s="282"/>
      <c r="E3155" s="833"/>
    </row>
    <row r="3156" spans="1:5" x14ac:dyDescent="0.35">
      <c r="A3156" s="281"/>
      <c r="B3156" s="279"/>
      <c r="C3156" s="850"/>
      <c r="D3156" s="282"/>
      <c r="E3156" s="833"/>
    </row>
    <row r="3157" spans="1:5" x14ac:dyDescent="0.35">
      <c r="A3157" s="281"/>
      <c r="B3157" s="279"/>
      <c r="C3157" s="850"/>
      <c r="D3157" s="282"/>
      <c r="E3157" s="833"/>
    </row>
    <row r="3158" spans="1:5" x14ac:dyDescent="0.35">
      <c r="A3158" s="281"/>
      <c r="B3158" s="279"/>
      <c r="C3158" s="850"/>
      <c r="D3158" s="282"/>
      <c r="E3158" s="833"/>
    </row>
    <row r="3159" spans="1:5" x14ac:dyDescent="0.35">
      <c r="A3159" s="281"/>
      <c r="B3159" s="279"/>
      <c r="C3159" s="850"/>
      <c r="D3159" s="282"/>
      <c r="E3159" s="833"/>
    </row>
    <row r="3160" spans="1:5" x14ac:dyDescent="0.35">
      <c r="A3160" s="281"/>
      <c r="B3160" s="279"/>
      <c r="C3160" s="850"/>
      <c r="D3160" s="282"/>
      <c r="E3160" s="833"/>
    </row>
    <row r="3161" spans="1:5" x14ac:dyDescent="0.35">
      <c r="A3161" s="281"/>
      <c r="B3161" s="279"/>
      <c r="C3161" s="850"/>
      <c r="D3161" s="282"/>
      <c r="E3161" s="833"/>
    </row>
    <row r="3162" spans="1:5" x14ac:dyDescent="0.35">
      <c r="A3162" s="281"/>
      <c r="B3162" s="279"/>
      <c r="C3162" s="850"/>
      <c r="D3162" s="282"/>
      <c r="E3162" s="833"/>
    </row>
    <row r="3163" spans="1:5" x14ac:dyDescent="0.35">
      <c r="A3163" s="281"/>
      <c r="B3163" s="279"/>
      <c r="C3163" s="850"/>
      <c r="D3163" s="282"/>
      <c r="E3163" s="833"/>
    </row>
    <row r="3164" spans="1:5" x14ac:dyDescent="0.35">
      <c r="A3164" s="281"/>
      <c r="B3164" s="279"/>
      <c r="C3164" s="850"/>
      <c r="D3164" s="282"/>
      <c r="E3164" s="833"/>
    </row>
    <row r="3165" spans="1:5" x14ac:dyDescent="0.35">
      <c r="A3165" s="281"/>
      <c r="B3165" s="279"/>
      <c r="C3165" s="850"/>
      <c r="D3165" s="282"/>
      <c r="E3165" s="833"/>
    </row>
    <row r="3166" spans="1:5" x14ac:dyDescent="0.35">
      <c r="A3166" s="281"/>
      <c r="B3166" s="279"/>
      <c r="C3166" s="850"/>
      <c r="D3166" s="282"/>
      <c r="E3166" s="833"/>
    </row>
    <row r="3167" spans="1:5" x14ac:dyDescent="0.35">
      <c r="A3167" s="281"/>
      <c r="B3167" s="279"/>
      <c r="C3167" s="850"/>
      <c r="D3167" s="282"/>
      <c r="E3167" s="833"/>
    </row>
    <row r="3168" spans="1:5" x14ac:dyDescent="0.35">
      <c r="A3168" s="281"/>
      <c r="B3168" s="279"/>
      <c r="C3168" s="850"/>
      <c r="D3168" s="282"/>
      <c r="E3168" s="833"/>
    </row>
    <row r="3169" spans="1:5" x14ac:dyDescent="0.35">
      <c r="A3169" s="281"/>
      <c r="B3169" s="279"/>
      <c r="C3169" s="850"/>
      <c r="D3169" s="282"/>
      <c r="E3169" s="833"/>
    </row>
    <row r="3170" spans="1:5" x14ac:dyDescent="0.35">
      <c r="A3170" s="281"/>
      <c r="B3170" s="279"/>
      <c r="C3170" s="850"/>
      <c r="D3170" s="282"/>
      <c r="E3170" s="833"/>
    </row>
    <row r="3171" spans="1:5" x14ac:dyDescent="0.35">
      <c r="A3171" s="281"/>
      <c r="B3171" s="279"/>
      <c r="C3171" s="850"/>
      <c r="D3171" s="282"/>
      <c r="E3171" s="833"/>
    </row>
    <row r="3172" spans="1:5" x14ac:dyDescent="0.35">
      <c r="A3172" s="281"/>
      <c r="B3172" s="279"/>
      <c r="C3172" s="850"/>
      <c r="D3172" s="282"/>
      <c r="E3172" s="833"/>
    </row>
    <row r="3173" spans="1:5" x14ac:dyDescent="0.35">
      <c r="A3173" s="281"/>
      <c r="B3173" s="279"/>
      <c r="C3173" s="850"/>
      <c r="D3173" s="282"/>
      <c r="E3173" s="833"/>
    </row>
    <row r="3174" spans="1:5" x14ac:dyDescent="0.35">
      <c r="A3174" s="281"/>
      <c r="B3174" s="279"/>
      <c r="C3174" s="850"/>
      <c r="D3174" s="282"/>
      <c r="E3174" s="833"/>
    </row>
    <row r="3175" spans="1:5" x14ac:dyDescent="0.35">
      <c r="A3175" s="281"/>
      <c r="B3175" s="279"/>
      <c r="C3175" s="850"/>
      <c r="D3175" s="282"/>
      <c r="E3175" s="833"/>
    </row>
    <row r="3176" spans="1:5" x14ac:dyDescent="0.35">
      <c r="A3176" s="281"/>
      <c r="B3176" s="279"/>
      <c r="C3176" s="850"/>
      <c r="D3176" s="282"/>
      <c r="E3176" s="833"/>
    </row>
    <row r="3177" spans="1:5" x14ac:dyDescent="0.35">
      <c r="A3177" s="281"/>
      <c r="B3177" s="279"/>
      <c r="C3177" s="850"/>
      <c r="D3177" s="282"/>
      <c r="E3177" s="833"/>
    </row>
    <row r="3178" spans="1:5" x14ac:dyDescent="0.35">
      <c r="A3178" s="281"/>
      <c r="B3178" s="279"/>
      <c r="C3178" s="850"/>
      <c r="D3178" s="282"/>
      <c r="E3178" s="833"/>
    </row>
    <row r="3179" spans="1:5" x14ac:dyDescent="0.35">
      <c r="A3179" s="281"/>
      <c r="B3179" s="279"/>
      <c r="C3179" s="850"/>
      <c r="D3179" s="282"/>
      <c r="E3179" s="833"/>
    </row>
    <row r="3180" spans="1:5" x14ac:dyDescent="0.35">
      <c r="A3180" s="281"/>
      <c r="B3180" s="279"/>
      <c r="C3180" s="850"/>
      <c r="D3180" s="282"/>
      <c r="E3180" s="833"/>
    </row>
    <row r="3181" spans="1:5" x14ac:dyDescent="0.35">
      <c r="A3181" s="281"/>
      <c r="B3181" s="279"/>
      <c r="C3181" s="850"/>
      <c r="D3181" s="282"/>
      <c r="E3181" s="833"/>
    </row>
    <row r="3182" spans="1:5" x14ac:dyDescent="0.35">
      <c r="A3182" s="281"/>
      <c r="B3182" s="279"/>
      <c r="C3182" s="850"/>
      <c r="D3182" s="282"/>
      <c r="E3182" s="833"/>
    </row>
    <row r="3183" spans="1:5" x14ac:dyDescent="0.35">
      <c r="A3183" s="281"/>
      <c r="B3183" s="279"/>
      <c r="C3183" s="850"/>
      <c r="D3183" s="282"/>
      <c r="E3183" s="833"/>
    </row>
    <row r="3184" spans="1:5" x14ac:dyDescent="0.35">
      <c r="A3184" s="281"/>
      <c r="B3184" s="279"/>
      <c r="C3184" s="850"/>
      <c r="D3184" s="282"/>
      <c r="E3184" s="833"/>
    </row>
    <row r="3185" spans="1:5" x14ac:dyDescent="0.35">
      <c r="A3185" s="281"/>
      <c r="B3185" s="279"/>
      <c r="C3185" s="850"/>
      <c r="D3185" s="282"/>
      <c r="E3185" s="833"/>
    </row>
    <row r="3186" spans="1:5" x14ac:dyDescent="0.35">
      <c r="A3186" s="281"/>
      <c r="B3186" s="279"/>
      <c r="C3186" s="850"/>
      <c r="D3186" s="282"/>
      <c r="E3186" s="833"/>
    </row>
    <row r="3187" spans="1:5" x14ac:dyDescent="0.35">
      <c r="A3187" s="281"/>
      <c r="B3187" s="279"/>
      <c r="C3187" s="850"/>
      <c r="D3187" s="282"/>
      <c r="E3187" s="833"/>
    </row>
    <row r="3188" spans="1:5" x14ac:dyDescent="0.35">
      <c r="A3188" s="281"/>
      <c r="B3188" s="279"/>
      <c r="C3188" s="850"/>
      <c r="D3188" s="282"/>
      <c r="E3188" s="833"/>
    </row>
    <row r="3189" spans="1:5" x14ac:dyDescent="0.35">
      <c r="A3189" s="281"/>
      <c r="B3189" s="279"/>
      <c r="C3189" s="850"/>
      <c r="D3189" s="282"/>
      <c r="E3189" s="833"/>
    </row>
    <row r="3190" spans="1:5" x14ac:dyDescent="0.35">
      <c r="A3190" s="281"/>
      <c r="B3190" s="279"/>
      <c r="C3190" s="850"/>
      <c r="D3190" s="282"/>
      <c r="E3190" s="833"/>
    </row>
    <row r="3191" spans="1:5" x14ac:dyDescent="0.35">
      <c r="A3191" s="281"/>
      <c r="B3191" s="279"/>
      <c r="C3191" s="850"/>
      <c r="D3191" s="282"/>
      <c r="E3191" s="833"/>
    </row>
    <row r="3192" spans="1:5" x14ac:dyDescent="0.35">
      <c r="A3192" s="281"/>
      <c r="B3192" s="279"/>
      <c r="C3192" s="850"/>
      <c r="D3192" s="282"/>
      <c r="E3192" s="833"/>
    </row>
    <row r="3193" spans="1:5" x14ac:dyDescent="0.35">
      <c r="A3193" s="281"/>
      <c r="B3193" s="279"/>
      <c r="C3193" s="850"/>
      <c r="D3193" s="282"/>
      <c r="E3193" s="833"/>
    </row>
    <row r="3194" spans="1:5" x14ac:dyDescent="0.35">
      <c r="A3194" s="281"/>
      <c r="B3194" s="279"/>
      <c r="C3194" s="850"/>
      <c r="D3194" s="282"/>
      <c r="E3194" s="833"/>
    </row>
    <row r="3195" spans="1:5" x14ac:dyDescent="0.35">
      <c r="A3195" s="281"/>
      <c r="B3195" s="279"/>
      <c r="C3195" s="850"/>
      <c r="D3195" s="282"/>
      <c r="E3195" s="833"/>
    </row>
    <row r="3196" spans="1:5" x14ac:dyDescent="0.35">
      <c r="A3196" s="281"/>
      <c r="B3196" s="279"/>
      <c r="C3196" s="850"/>
      <c r="D3196" s="282"/>
      <c r="E3196" s="833"/>
    </row>
    <row r="3197" spans="1:5" x14ac:dyDescent="0.35">
      <c r="A3197" s="281"/>
      <c r="B3197" s="279"/>
      <c r="C3197" s="850"/>
      <c r="D3197" s="282"/>
      <c r="E3197" s="833"/>
    </row>
    <row r="3198" spans="1:5" x14ac:dyDescent="0.35">
      <c r="A3198" s="281"/>
      <c r="B3198" s="279"/>
      <c r="C3198" s="850"/>
      <c r="D3198" s="282"/>
      <c r="E3198" s="833"/>
    </row>
    <row r="3199" spans="1:5" x14ac:dyDescent="0.35">
      <c r="A3199" s="281"/>
      <c r="B3199" s="279"/>
      <c r="C3199" s="850"/>
      <c r="D3199" s="282"/>
      <c r="E3199" s="833"/>
    </row>
    <row r="3200" spans="1:5" x14ac:dyDescent="0.35">
      <c r="A3200" s="281"/>
      <c r="B3200" s="279"/>
      <c r="C3200" s="850"/>
      <c r="D3200" s="282"/>
      <c r="E3200" s="833"/>
    </row>
    <row r="3201" spans="1:5" x14ac:dyDescent="0.35">
      <c r="A3201" s="281"/>
      <c r="B3201" s="279"/>
      <c r="C3201" s="850"/>
      <c r="D3201" s="282"/>
      <c r="E3201" s="833"/>
    </row>
    <row r="3202" spans="1:5" x14ac:dyDescent="0.35">
      <c r="A3202" s="281"/>
      <c r="B3202" s="279"/>
      <c r="C3202" s="850"/>
      <c r="D3202" s="282"/>
      <c r="E3202" s="833"/>
    </row>
    <row r="3203" spans="1:5" x14ac:dyDescent="0.35">
      <c r="A3203" s="281"/>
      <c r="B3203" s="279"/>
      <c r="C3203" s="850"/>
      <c r="D3203" s="282"/>
      <c r="E3203" s="833"/>
    </row>
    <row r="3204" spans="1:5" x14ac:dyDescent="0.35">
      <c r="A3204" s="281"/>
      <c r="B3204" s="279"/>
      <c r="C3204" s="850"/>
      <c r="D3204" s="282"/>
      <c r="E3204" s="833"/>
    </row>
    <row r="3205" spans="1:5" x14ac:dyDescent="0.35">
      <c r="A3205" s="281"/>
      <c r="B3205" s="279"/>
      <c r="C3205" s="850"/>
      <c r="D3205" s="282"/>
      <c r="E3205" s="833"/>
    </row>
    <row r="3206" spans="1:5" x14ac:dyDescent="0.35">
      <c r="A3206" s="281"/>
      <c r="B3206" s="279"/>
      <c r="C3206" s="850"/>
      <c r="D3206" s="282"/>
      <c r="E3206" s="833"/>
    </row>
    <row r="3207" spans="1:5" x14ac:dyDescent="0.35">
      <c r="A3207" s="281"/>
      <c r="B3207" s="279"/>
      <c r="C3207" s="850"/>
      <c r="D3207" s="282"/>
      <c r="E3207" s="833"/>
    </row>
    <row r="3208" spans="1:5" x14ac:dyDescent="0.35">
      <c r="A3208" s="281"/>
      <c r="B3208" s="279"/>
      <c r="C3208" s="850"/>
      <c r="D3208" s="282"/>
      <c r="E3208" s="833"/>
    </row>
    <row r="3209" spans="1:5" x14ac:dyDescent="0.35">
      <c r="A3209" s="281"/>
      <c r="B3209" s="279"/>
      <c r="C3209" s="850"/>
      <c r="D3209" s="282"/>
      <c r="E3209" s="833"/>
    </row>
    <row r="3210" spans="1:5" x14ac:dyDescent="0.35">
      <c r="A3210" s="281"/>
      <c r="B3210" s="279"/>
      <c r="C3210" s="850"/>
      <c r="D3210" s="282"/>
      <c r="E3210" s="833"/>
    </row>
    <row r="3211" spans="1:5" x14ac:dyDescent="0.35">
      <c r="A3211" s="281"/>
      <c r="B3211" s="279"/>
      <c r="C3211" s="850"/>
      <c r="D3211" s="282"/>
      <c r="E3211" s="833"/>
    </row>
    <row r="3212" spans="1:5" x14ac:dyDescent="0.35">
      <c r="A3212" s="281"/>
      <c r="B3212" s="279"/>
      <c r="C3212" s="850"/>
      <c r="D3212" s="282"/>
      <c r="E3212" s="833"/>
    </row>
    <row r="3213" spans="1:5" x14ac:dyDescent="0.35">
      <c r="A3213" s="281"/>
      <c r="B3213" s="279"/>
      <c r="C3213" s="850"/>
      <c r="D3213" s="282"/>
      <c r="E3213" s="833"/>
    </row>
    <row r="3214" spans="1:5" x14ac:dyDescent="0.35">
      <c r="A3214" s="281"/>
      <c r="B3214" s="279"/>
      <c r="C3214" s="850"/>
      <c r="D3214" s="282"/>
      <c r="E3214" s="833"/>
    </row>
    <row r="3215" spans="1:5" x14ac:dyDescent="0.35">
      <c r="A3215" s="281"/>
      <c r="B3215" s="279"/>
      <c r="C3215" s="850"/>
      <c r="D3215" s="282"/>
      <c r="E3215" s="833"/>
    </row>
    <row r="3216" spans="1:5" x14ac:dyDescent="0.35">
      <c r="A3216" s="281"/>
      <c r="B3216" s="279"/>
      <c r="C3216" s="850"/>
      <c r="D3216" s="282"/>
      <c r="E3216" s="833"/>
    </row>
    <row r="3217" spans="1:5" x14ac:dyDescent="0.35">
      <c r="A3217" s="281"/>
      <c r="B3217" s="279"/>
      <c r="C3217" s="850"/>
      <c r="D3217" s="282"/>
      <c r="E3217" s="833"/>
    </row>
    <row r="3218" spans="1:5" x14ac:dyDescent="0.35">
      <c r="A3218" s="281"/>
      <c r="B3218" s="279"/>
      <c r="C3218" s="850"/>
      <c r="D3218" s="282"/>
      <c r="E3218" s="833"/>
    </row>
    <row r="3219" spans="1:5" x14ac:dyDescent="0.35">
      <c r="A3219" s="281"/>
      <c r="B3219" s="279"/>
      <c r="C3219" s="850"/>
      <c r="D3219" s="282"/>
      <c r="E3219" s="833"/>
    </row>
    <row r="3220" spans="1:5" x14ac:dyDescent="0.35">
      <c r="A3220" s="281"/>
      <c r="B3220" s="279"/>
      <c r="C3220" s="850"/>
      <c r="D3220" s="282"/>
      <c r="E3220" s="833"/>
    </row>
    <row r="3221" spans="1:5" x14ac:dyDescent="0.35">
      <c r="A3221" s="281"/>
      <c r="B3221" s="279"/>
      <c r="C3221" s="850"/>
      <c r="D3221" s="282"/>
      <c r="E3221" s="833"/>
    </row>
    <row r="3222" spans="1:5" x14ac:dyDescent="0.35">
      <c r="A3222" s="281"/>
      <c r="B3222" s="279"/>
      <c r="C3222" s="850"/>
      <c r="D3222" s="282"/>
      <c r="E3222" s="833"/>
    </row>
    <row r="3223" spans="1:5" x14ac:dyDescent="0.35">
      <c r="A3223" s="281"/>
      <c r="B3223" s="279"/>
      <c r="C3223" s="850"/>
      <c r="D3223" s="282"/>
      <c r="E3223" s="833"/>
    </row>
    <row r="3224" spans="1:5" x14ac:dyDescent="0.35">
      <c r="A3224" s="281"/>
      <c r="B3224" s="279"/>
      <c r="C3224" s="850"/>
      <c r="D3224" s="282"/>
      <c r="E3224" s="833"/>
    </row>
    <row r="3225" spans="1:5" x14ac:dyDescent="0.35">
      <c r="A3225" s="281"/>
      <c r="B3225" s="279"/>
      <c r="C3225" s="850"/>
      <c r="D3225" s="282"/>
      <c r="E3225" s="833"/>
    </row>
    <row r="3226" spans="1:5" x14ac:dyDescent="0.35">
      <c r="A3226" s="281"/>
      <c r="B3226" s="279"/>
      <c r="C3226" s="850"/>
      <c r="D3226" s="282"/>
      <c r="E3226" s="833"/>
    </row>
    <row r="3227" spans="1:5" x14ac:dyDescent="0.35">
      <c r="A3227" s="281"/>
      <c r="B3227" s="279"/>
      <c r="C3227" s="850"/>
      <c r="D3227" s="282"/>
      <c r="E3227" s="833"/>
    </row>
    <row r="3228" spans="1:5" x14ac:dyDescent="0.35">
      <c r="A3228" s="281"/>
      <c r="B3228" s="279"/>
      <c r="C3228" s="850"/>
      <c r="D3228" s="282"/>
      <c r="E3228" s="833"/>
    </row>
    <row r="3229" spans="1:5" x14ac:dyDescent="0.35">
      <c r="A3229" s="281"/>
      <c r="B3229" s="279"/>
      <c r="C3229" s="850"/>
      <c r="D3229" s="282"/>
      <c r="E3229" s="833"/>
    </row>
    <row r="3230" spans="1:5" x14ac:dyDescent="0.35">
      <c r="A3230" s="281"/>
      <c r="B3230" s="279"/>
      <c r="C3230" s="850"/>
      <c r="D3230" s="282"/>
      <c r="E3230" s="833"/>
    </row>
    <row r="3231" spans="1:5" x14ac:dyDescent="0.35">
      <c r="A3231" s="281"/>
      <c r="B3231" s="279"/>
      <c r="C3231" s="850"/>
      <c r="D3231" s="282"/>
      <c r="E3231" s="833"/>
    </row>
    <row r="3232" spans="1:5" x14ac:dyDescent="0.35">
      <c r="A3232" s="281"/>
      <c r="B3232" s="279"/>
      <c r="C3232" s="850"/>
      <c r="D3232" s="282"/>
      <c r="E3232" s="833"/>
    </row>
    <row r="3233" spans="1:5" x14ac:dyDescent="0.35">
      <c r="A3233" s="281"/>
      <c r="B3233" s="279"/>
      <c r="C3233" s="850"/>
      <c r="D3233" s="282"/>
      <c r="E3233" s="833"/>
    </row>
    <row r="3234" spans="1:5" x14ac:dyDescent="0.35">
      <c r="A3234" s="281"/>
      <c r="B3234" s="279"/>
      <c r="C3234" s="850"/>
      <c r="D3234" s="282"/>
      <c r="E3234" s="833"/>
    </row>
    <row r="3235" spans="1:5" x14ac:dyDescent="0.35">
      <c r="A3235" s="281"/>
      <c r="B3235" s="279"/>
      <c r="C3235" s="850"/>
      <c r="D3235" s="282"/>
      <c r="E3235" s="833"/>
    </row>
    <row r="3236" spans="1:5" x14ac:dyDescent="0.35">
      <c r="A3236" s="281"/>
      <c r="B3236" s="279"/>
      <c r="C3236" s="850"/>
      <c r="D3236" s="282"/>
      <c r="E3236" s="833"/>
    </row>
    <row r="3237" spans="1:5" x14ac:dyDescent="0.35">
      <c r="A3237" s="281"/>
      <c r="B3237" s="279"/>
      <c r="C3237" s="850"/>
      <c r="D3237" s="282"/>
      <c r="E3237" s="833"/>
    </row>
    <row r="3238" spans="1:5" x14ac:dyDescent="0.35">
      <c r="A3238" s="281"/>
      <c r="B3238" s="279"/>
      <c r="C3238" s="850"/>
      <c r="D3238" s="282"/>
      <c r="E3238" s="833"/>
    </row>
    <row r="3239" spans="1:5" x14ac:dyDescent="0.35">
      <c r="A3239" s="281"/>
      <c r="B3239" s="279"/>
      <c r="C3239" s="850"/>
      <c r="D3239" s="282"/>
      <c r="E3239" s="833"/>
    </row>
    <row r="3240" spans="1:5" x14ac:dyDescent="0.35">
      <c r="A3240" s="281"/>
      <c r="B3240" s="279"/>
      <c r="C3240" s="850"/>
      <c r="D3240" s="282"/>
      <c r="E3240" s="833"/>
    </row>
    <row r="3241" spans="1:5" x14ac:dyDescent="0.35">
      <c r="A3241" s="281"/>
      <c r="B3241" s="279"/>
      <c r="C3241" s="850"/>
      <c r="D3241" s="282"/>
      <c r="E3241" s="833"/>
    </row>
    <row r="3242" spans="1:5" x14ac:dyDescent="0.35">
      <c r="A3242" s="281"/>
      <c r="B3242" s="279"/>
      <c r="C3242" s="850"/>
      <c r="D3242" s="282"/>
      <c r="E3242" s="833"/>
    </row>
    <row r="3243" spans="1:5" x14ac:dyDescent="0.35">
      <c r="A3243" s="281"/>
      <c r="B3243" s="279"/>
      <c r="C3243" s="850"/>
      <c r="D3243" s="282"/>
      <c r="E3243" s="833"/>
    </row>
    <row r="3244" spans="1:5" x14ac:dyDescent="0.35">
      <c r="A3244" s="281"/>
      <c r="B3244" s="279"/>
      <c r="C3244" s="850"/>
      <c r="D3244" s="282"/>
      <c r="E3244" s="833"/>
    </row>
    <row r="3245" spans="1:5" x14ac:dyDescent="0.35">
      <c r="A3245" s="281"/>
      <c r="B3245" s="279"/>
      <c r="C3245" s="850"/>
      <c r="D3245" s="282"/>
      <c r="E3245" s="833"/>
    </row>
    <row r="3246" spans="1:5" x14ac:dyDescent="0.35">
      <c r="A3246" s="281"/>
      <c r="B3246" s="279"/>
      <c r="C3246" s="850"/>
      <c r="D3246" s="282"/>
      <c r="E3246" s="833"/>
    </row>
    <row r="3247" spans="1:5" x14ac:dyDescent="0.35">
      <c r="A3247" s="281"/>
      <c r="B3247" s="279"/>
      <c r="C3247" s="850"/>
      <c r="D3247" s="282"/>
      <c r="E3247" s="833"/>
    </row>
    <row r="3248" spans="1:5" x14ac:dyDescent="0.35">
      <c r="A3248" s="281"/>
      <c r="B3248" s="279"/>
      <c r="C3248" s="850"/>
      <c r="D3248" s="282"/>
      <c r="E3248" s="833"/>
    </row>
    <row r="3249" spans="1:5" x14ac:dyDescent="0.35">
      <c r="A3249" s="281"/>
      <c r="B3249" s="279"/>
      <c r="C3249" s="850"/>
      <c r="D3249" s="282"/>
      <c r="E3249" s="833"/>
    </row>
    <row r="3250" spans="1:5" x14ac:dyDescent="0.35">
      <c r="A3250" s="281"/>
      <c r="B3250" s="279"/>
      <c r="C3250" s="850"/>
      <c r="D3250" s="282"/>
      <c r="E3250" s="833"/>
    </row>
    <row r="3251" spans="1:5" x14ac:dyDescent="0.35">
      <c r="A3251" s="281"/>
      <c r="B3251" s="279"/>
      <c r="C3251" s="850"/>
      <c r="D3251" s="282"/>
      <c r="E3251" s="833"/>
    </row>
    <row r="3252" spans="1:5" x14ac:dyDescent="0.35">
      <c r="A3252" s="281"/>
      <c r="B3252" s="279"/>
      <c r="C3252" s="850"/>
      <c r="D3252" s="282"/>
      <c r="E3252" s="833"/>
    </row>
    <row r="3253" spans="1:5" x14ac:dyDescent="0.35">
      <c r="A3253" s="281"/>
      <c r="B3253" s="279"/>
      <c r="C3253" s="850"/>
      <c r="D3253" s="282"/>
      <c r="E3253" s="833"/>
    </row>
    <row r="3254" spans="1:5" x14ac:dyDescent="0.35">
      <c r="A3254" s="281"/>
      <c r="B3254" s="279"/>
      <c r="C3254" s="850"/>
      <c r="D3254" s="282"/>
      <c r="E3254" s="833"/>
    </row>
    <row r="3255" spans="1:5" x14ac:dyDescent="0.35">
      <c r="A3255" s="281"/>
      <c r="B3255" s="279"/>
      <c r="C3255" s="850"/>
      <c r="D3255" s="282"/>
      <c r="E3255" s="833"/>
    </row>
    <row r="3256" spans="1:5" x14ac:dyDescent="0.35">
      <c r="A3256" s="281"/>
      <c r="B3256" s="279"/>
      <c r="C3256" s="850"/>
      <c r="D3256" s="282"/>
      <c r="E3256" s="833"/>
    </row>
    <row r="3257" spans="1:5" x14ac:dyDescent="0.35">
      <c r="A3257" s="281"/>
      <c r="B3257" s="279"/>
      <c r="C3257" s="850"/>
      <c r="D3257" s="282"/>
      <c r="E3257" s="833"/>
    </row>
    <row r="3258" spans="1:5" x14ac:dyDescent="0.35">
      <c r="A3258" s="281"/>
      <c r="B3258" s="279"/>
      <c r="C3258" s="850"/>
      <c r="D3258" s="282"/>
      <c r="E3258" s="833"/>
    </row>
    <row r="3259" spans="1:5" x14ac:dyDescent="0.35">
      <c r="A3259" s="281"/>
      <c r="B3259" s="279"/>
      <c r="C3259" s="850"/>
      <c r="D3259" s="282"/>
      <c r="E3259" s="833"/>
    </row>
    <row r="3260" spans="1:5" x14ac:dyDescent="0.35">
      <c r="A3260" s="281"/>
      <c r="B3260" s="279"/>
      <c r="C3260" s="850"/>
      <c r="D3260" s="282"/>
      <c r="E3260" s="833"/>
    </row>
    <row r="3261" spans="1:5" x14ac:dyDescent="0.35">
      <c r="A3261" s="281"/>
      <c r="B3261" s="279"/>
      <c r="C3261" s="850"/>
      <c r="D3261" s="282"/>
      <c r="E3261" s="833"/>
    </row>
    <row r="3262" spans="1:5" x14ac:dyDescent="0.35">
      <c r="A3262" s="281"/>
      <c r="B3262" s="279"/>
      <c r="C3262" s="850"/>
      <c r="D3262" s="282"/>
      <c r="E3262" s="833"/>
    </row>
    <row r="3263" spans="1:5" x14ac:dyDescent="0.35">
      <c r="A3263" s="281"/>
      <c r="B3263" s="279"/>
      <c r="C3263" s="850"/>
      <c r="D3263" s="282"/>
      <c r="E3263" s="833"/>
    </row>
    <row r="3264" spans="1:5" x14ac:dyDescent="0.35">
      <c r="A3264" s="281"/>
      <c r="B3264" s="279"/>
      <c r="C3264" s="850"/>
      <c r="D3264" s="282"/>
      <c r="E3264" s="833"/>
    </row>
    <row r="3265" spans="1:5" x14ac:dyDescent="0.35">
      <c r="A3265" s="281"/>
      <c r="B3265" s="279"/>
      <c r="C3265" s="850"/>
      <c r="D3265" s="282"/>
      <c r="E3265" s="833"/>
    </row>
    <row r="3266" spans="1:5" x14ac:dyDescent="0.35">
      <c r="A3266" s="281"/>
      <c r="B3266" s="279"/>
      <c r="C3266" s="850"/>
      <c r="D3266" s="282"/>
      <c r="E3266" s="833"/>
    </row>
    <row r="3267" spans="1:5" x14ac:dyDescent="0.35">
      <c r="A3267" s="281"/>
      <c r="B3267" s="279"/>
      <c r="C3267" s="850"/>
      <c r="D3267" s="282"/>
      <c r="E3267" s="833"/>
    </row>
    <row r="3268" spans="1:5" x14ac:dyDescent="0.35">
      <c r="A3268" s="281"/>
      <c r="B3268" s="279"/>
      <c r="C3268" s="850"/>
      <c r="D3268" s="282"/>
      <c r="E3268" s="833"/>
    </row>
    <row r="3269" spans="1:5" x14ac:dyDescent="0.35">
      <c r="A3269" s="281"/>
      <c r="B3269" s="279"/>
      <c r="C3269" s="850"/>
      <c r="D3269" s="282"/>
      <c r="E3269" s="833"/>
    </row>
    <row r="3270" spans="1:5" x14ac:dyDescent="0.35">
      <c r="A3270" s="281"/>
      <c r="B3270" s="279"/>
      <c r="C3270" s="850"/>
      <c r="D3270" s="282"/>
      <c r="E3270" s="833"/>
    </row>
    <row r="3271" spans="1:5" x14ac:dyDescent="0.35">
      <c r="A3271" s="281"/>
      <c r="B3271" s="279"/>
      <c r="C3271" s="850"/>
      <c r="D3271" s="282"/>
      <c r="E3271" s="833"/>
    </row>
    <row r="3272" spans="1:5" x14ac:dyDescent="0.35">
      <c r="A3272" s="281"/>
      <c r="B3272" s="279"/>
      <c r="C3272" s="850"/>
      <c r="D3272" s="282"/>
      <c r="E3272" s="833"/>
    </row>
    <row r="3273" spans="1:5" x14ac:dyDescent="0.35">
      <c r="A3273" s="281"/>
      <c r="B3273" s="279"/>
      <c r="C3273" s="850"/>
      <c r="D3273" s="282"/>
      <c r="E3273" s="833"/>
    </row>
    <row r="3274" spans="1:5" x14ac:dyDescent="0.35">
      <c r="A3274" s="281"/>
      <c r="B3274" s="279"/>
      <c r="C3274" s="850"/>
      <c r="D3274" s="282"/>
      <c r="E3274" s="833"/>
    </row>
    <row r="3275" spans="1:5" x14ac:dyDescent="0.35">
      <c r="A3275" s="281"/>
      <c r="B3275" s="279"/>
      <c r="C3275" s="850"/>
      <c r="D3275" s="282"/>
      <c r="E3275" s="833"/>
    </row>
    <row r="3276" spans="1:5" x14ac:dyDescent="0.35">
      <c r="A3276" s="281"/>
      <c r="B3276" s="279"/>
      <c r="C3276" s="850"/>
      <c r="D3276" s="282"/>
      <c r="E3276" s="833"/>
    </row>
    <row r="3277" spans="1:5" x14ac:dyDescent="0.35">
      <c r="A3277" s="281"/>
      <c r="B3277" s="279"/>
      <c r="C3277" s="850"/>
      <c r="D3277" s="282"/>
      <c r="E3277" s="833"/>
    </row>
    <row r="3278" spans="1:5" x14ac:dyDescent="0.35">
      <c r="A3278" s="281"/>
      <c r="B3278" s="279"/>
      <c r="C3278" s="850"/>
      <c r="D3278" s="282"/>
      <c r="E3278" s="833"/>
    </row>
    <row r="3279" spans="1:5" x14ac:dyDescent="0.35">
      <c r="A3279" s="281"/>
      <c r="B3279" s="279"/>
      <c r="C3279" s="850"/>
      <c r="D3279" s="282"/>
      <c r="E3279" s="833"/>
    </row>
    <row r="3280" spans="1:5" x14ac:dyDescent="0.35">
      <c r="A3280" s="281"/>
      <c r="B3280" s="279"/>
      <c r="C3280" s="850"/>
      <c r="D3280" s="282"/>
      <c r="E3280" s="833"/>
    </row>
    <row r="3281" spans="1:5" x14ac:dyDescent="0.35">
      <c r="A3281" s="281"/>
      <c r="B3281" s="279"/>
      <c r="C3281" s="850"/>
      <c r="D3281" s="282"/>
      <c r="E3281" s="833"/>
    </row>
    <row r="3282" spans="1:5" x14ac:dyDescent="0.35">
      <c r="A3282" s="281"/>
      <c r="B3282" s="279"/>
      <c r="C3282" s="850"/>
      <c r="D3282" s="282"/>
      <c r="E3282" s="833"/>
    </row>
    <row r="3283" spans="1:5" x14ac:dyDescent="0.35">
      <c r="A3283" s="281"/>
      <c r="B3283" s="279"/>
      <c r="C3283" s="850"/>
      <c r="D3283" s="282"/>
      <c r="E3283" s="833"/>
    </row>
    <row r="3284" spans="1:5" x14ac:dyDescent="0.35">
      <c r="A3284" s="281"/>
      <c r="B3284" s="279"/>
      <c r="C3284" s="850"/>
      <c r="D3284" s="282"/>
      <c r="E3284" s="833"/>
    </row>
    <row r="3285" spans="1:5" x14ac:dyDescent="0.35">
      <c r="A3285" s="281"/>
      <c r="B3285" s="279"/>
      <c r="C3285" s="850"/>
      <c r="D3285" s="282"/>
      <c r="E3285" s="833"/>
    </row>
    <row r="3286" spans="1:5" x14ac:dyDescent="0.35">
      <c r="A3286" s="281"/>
      <c r="B3286" s="279"/>
      <c r="C3286" s="850"/>
      <c r="D3286" s="282"/>
      <c r="E3286" s="833"/>
    </row>
    <row r="3287" spans="1:5" x14ac:dyDescent="0.35">
      <c r="A3287" s="281"/>
      <c r="B3287" s="279"/>
      <c r="C3287" s="850"/>
      <c r="D3287" s="282"/>
      <c r="E3287" s="833"/>
    </row>
    <row r="3288" spans="1:5" x14ac:dyDescent="0.35">
      <c r="A3288" s="281"/>
      <c r="B3288" s="279"/>
      <c r="C3288" s="850"/>
      <c r="D3288" s="282"/>
      <c r="E3288" s="833"/>
    </row>
    <row r="3289" spans="1:5" x14ac:dyDescent="0.35">
      <c r="A3289" s="281"/>
      <c r="B3289" s="279"/>
      <c r="C3289" s="850"/>
      <c r="D3289" s="282"/>
      <c r="E3289" s="833"/>
    </row>
    <row r="3290" spans="1:5" x14ac:dyDescent="0.35">
      <c r="A3290" s="281"/>
      <c r="B3290" s="279"/>
      <c r="C3290" s="850"/>
      <c r="D3290" s="282"/>
      <c r="E3290" s="833"/>
    </row>
    <row r="3291" spans="1:5" x14ac:dyDescent="0.35">
      <c r="A3291" s="281"/>
      <c r="B3291" s="279"/>
      <c r="C3291" s="850"/>
      <c r="D3291" s="282"/>
      <c r="E3291" s="833"/>
    </row>
    <row r="3292" spans="1:5" x14ac:dyDescent="0.35">
      <c r="A3292" s="281"/>
      <c r="B3292" s="279"/>
      <c r="C3292" s="850"/>
      <c r="D3292" s="282"/>
      <c r="E3292" s="833"/>
    </row>
    <row r="3293" spans="1:5" x14ac:dyDescent="0.35">
      <c r="A3293" s="281"/>
      <c r="B3293" s="279"/>
      <c r="C3293" s="850"/>
      <c r="D3293" s="282"/>
      <c r="E3293" s="833"/>
    </row>
    <row r="3294" spans="1:5" x14ac:dyDescent="0.35">
      <c r="A3294" s="281"/>
      <c r="B3294" s="279"/>
      <c r="C3294" s="850"/>
      <c r="D3294" s="282"/>
      <c r="E3294" s="833"/>
    </row>
    <row r="3295" spans="1:5" x14ac:dyDescent="0.35">
      <c r="A3295" s="281"/>
      <c r="B3295" s="279"/>
      <c r="C3295" s="850"/>
      <c r="D3295" s="282"/>
      <c r="E3295" s="833"/>
    </row>
    <row r="3296" spans="1:5" x14ac:dyDescent="0.35">
      <c r="A3296" s="281"/>
      <c r="B3296" s="279"/>
      <c r="C3296" s="850"/>
      <c r="D3296" s="282"/>
      <c r="E3296" s="833"/>
    </row>
    <row r="3297" spans="1:5" x14ac:dyDescent="0.35">
      <c r="A3297" s="281"/>
      <c r="B3297" s="279"/>
      <c r="C3297" s="850"/>
      <c r="D3297" s="282"/>
      <c r="E3297" s="833"/>
    </row>
    <row r="3298" spans="1:5" x14ac:dyDescent="0.35">
      <c r="A3298" s="281"/>
      <c r="B3298" s="279"/>
      <c r="C3298" s="850"/>
      <c r="D3298" s="282"/>
      <c r="E3298" s="833"/>
    </row>
    <row r="3299" spans="1:5" x14ac:dyDescent="0.35">
      <c r="A3299" s="281"/>
      <c r="B3299" s="279"/>
      <c r="C3299" s="850"/>
      <c r="D3299" s="282"/>
      <c r="E3299" s="833"/>
    </row>
    <row r="3300" spans="1:5" x14ac:dyDescent="0.35">
      <c r="A3300" s="281"/>
      <c r="B3300" s="279"/>
      <c r="C3300" s="850"/>
      <c r="D3300" s="282"/>
      <c r="E3300" s="833"/>
    </row>
    <row r="3301" spans="1:5" x14ac:dyDescent="0.35">
      <c r="A3301" s="281"/>
      <c r="B3301" s="279"/>
      <c r="C3301" s="850"/>
      <c r="D3301" s="282"/>
      <c r="E3301" s="833"/>
    </row>
    <row r="3302" spans="1:5" x14ac:dyDescent="0.35">
      <c r="A3302" s="281"/>
      <c r="B3302" s="279"/>
      <c r="C3302" s="850"/>
      <c r="D3302" s="282"/>
      <c r="E3302" s="833"/>
    </row>
    <row r="3303" spans="1:5" x14ac:dyDescent="0.35">
      <c r="A3303" s="281"/>
      <c r="B3303" s="279"/>
      <c r="C3303" s="850"/>
      <c r="D3303" s="282"/>
      <c r="E3303" s="833"/>
    </row>
    <row r="3304" spans="1:5" x14ac:dyDescent="0.35">
      <c r="A3304" s="281"/>
      <c r="B3304" s="279"/>
      <c r="C3304" s="850"/>
      <c r="D3304" s="282"/>
      <c r="E3304" s="833"/>
    </row>
    <row r="3305" spans="1:5" x14ac:dyDescent="0.35">
      <c r="A3305" s="281"/>
      <c r="B3305" s="279"/>
      <c r="C3305" s="850"/>
      <c r="D3305" s="282"/>
      <c r="E3305" s="833"/>
    </row>
    <row r="3306" spans="1:5" x14ac:dyDescent="0.35">
      <c r="A3306" s="281"/>
      <c r="B3306" s="279"/>
      <c r="C3306" s="850"/>
      <c r="D3306" s="282"/>
      <c r="E3306" s="833"/>
    </row>
    <row r="3307" spans="1:5" x14ac:dyDescent="0.35">
      <c r="A3307" s="281"/>
      <c r="B3307" s="279"/>
      <c r="C3307" s="850"/>
      <c r="D3307" s="282"/>
      <c r="E3307" s="833"/>
    </row>
    <row r="3308" spans="1:5" x14ac:dyDescent="0.35">
      <c r="A3308" s="281"/>
      <c r="B3308" s="279"/>
      <c r="C3308" s="850"/>
      <c r="D3308" s="282"/>
      <c r="E3308" s="833"/>
    </row>
    <row r="3309" spans="1:5" x14ac:dyDescent="0.35">
      <c r="A3309" s="281"/>
      <c r="B3309" s="279"/>
      <c r="C3309" s="850"/>
      <c r="D3309" s="282"/>
      <c r="E3309" s="833"/>
    </row>
    <row r="3310" spans="1:5" x14ac:dyDescent="0.35">
      <c r="A3310" s="281"/>
      <c r="B3310" s="279"/>
      <c r="C3310" s="850"/>
      <c r="D3310" s="282"/>
      <c r="E3310" s="833"/>
    </row>
    <row r="3311" spans="1:5" x14ac:dyDescent="0.35">
      <c r="A3311" s="281"/>
      <c r="B3311" s="279"/>
      <c r="C3311" s="850"/>
      <c r="D3311" s="282"/>
      <c r="E3311" s="833"/>
    </row>
    <row r="3312" spans="1:5" x14ac:dyDescent="0.35">
      <c r="A3312" s="281"/>
      <c r="B3312" s="279"/>
      <c r="C3312" s="850"/>
      <c r="D3312" s="282"/>
      <c r="E3312" s="833"/>
    </row>
    <row r="3313" spans="1:5" x14ac:dyDescent="0.35">
      <c r="A3313" s="281"/>
      <c r="B3313" s="279"/>
      <c r="C3313" s="850"/>
      <c r="D3313" s="282"/>
      <c r="E3313" s="833"/>
    </row>
    <row r="3314" spans="1:5" x14ac:dyDescent="0.35">
      <c r="A3314" s="281"/>
      <c r="B3314" s="279"/>
      <c r="C3314" s="850"/>
      <c r="D3314" s="282"/>
      <c r="E3314" s="833"/>
    </row>
    <row r="3315" spans="1:5" x14ac:dyDescent="0.35">
      <c r="A3315" s="281"/>
      <c r="B3315" s="279"/>
      <c r="C3315" s="850"/>
      <c r="D3315" s="282"/>
      <c r="E3315" s="833"/>
    </row>
    <row r="3316" spans="1:5" x14ac:dyDescent="0.35">
      <c r="A3316" s="281"/>
      <c r="B3316" s="279"/>
      <c r="C3316" s="850"/>
      <c r="D3316" s="282"/>
      <c r="E3316" s="833"/>
    </row>
    <row r="3317" spans="1:5" x14ac:dyDescent="0.35">
      <c r="A3317" s="281"/>
      <c r="B3317" s="279"/>
      <c r="C3317" s="850"/>
      <c r="D3317" s="282"/>
      <c r="E3317" s="833"/>
    </row>
    <row r="3318" spans="1:5" x14ac:dyDescent="0.35">
      <c r="A3318" s="281"/>
      <c r="B3318" s="279"/>
      <c r="C3318" s="850"/>
      <c r="D3318" s="282"/>
      <c r="E3318" s="833"/>
    </row>
    <row r="3319" spans="1:5" x14ac:dyDescent="0.35">
      <c r="A3319" s="281"/>
      <c r="B3319" s="279"/>
      <c r="C3319" s="850"/>
      <c r="D3319" s="282"/>
      <c r="E3319" s="833"/>
    </row>
    <row r="3320" spans="1:5" x14ac:dyDescent="0.35">
      <c r="A3320" s="281"/>
      <c r="B3320" s="279"/>
      <c r="C3320" s="850"/>
      <c r="D3320" s="282"/>
      <c r="E3320" s="833"/>
    </row>
    <row r="3321" spans="1:5" x14ac:dyDescent="0.35">
      <c r="A3321" s="281"/>
      <c r="B3321" s="279"/>
      <c r="C3321" s="850"/>
      <c r="D3321" s="282"/>
      <c r="E3321" s="833"/>
    </row>
    <row r="3322" spans="1:5" x14ac:dyDescent="0.35">
      <c r="A3322" s="281"/>
      <c r="B3322" s="279"/>
      <c r="C3322" s="850"/>
      <c r="D3322" s="282"/>
      <c r="E3322" s="833"/>
    </row>
    <row r="3323" spans="1:5" x14ac:dyDescent="0.35">
      <c r="A3323" s="281"/>
      <c r="B3323" s="279"/>
      <c r="C3323" s="850"/>
      <c r="D3323" s="282"/>
      <c r="E3323" s="833"/>
    </row>
    <row r="3324" spans="1:5" x14ac:dyDescent="0.35">
      <c r="A3324" s="281"/>
      <c r="B3324" s="279"/>
      <c r="C3324" s="850"/>
      <c r="D3324" s="282"/>
      <c r="E3324" s="833"/>
    </row>
    <row r="3325" spans="1:5" x14ac:dyDescent="0.35">
      <c r="A3325" s="281"/>
      <c r="B3325" s="279"/>
      <c r="C3325" s="850"/>
      <c r="D3325" s="282"/>
      <c r="E3325" s="833"/>
    </row>
    <row r="3326" spans="1:5" x14ac:dyDescent="0.35">
      <c r="A3326" s="281"/>
      <c r="B3326" s="279"/>
      <c r="C3326" s="850"/>
      <c r="D3326" s="282"/>
      <c r="E3326" s="833"/>
    </row>
    <row r="3327" spans="1:5" x14ac:dyDescent="0.35">
      <c r="A3327" s="281"/>
      <c r="B3327" s="279"/>
      <c r="C3327" s="850"/>
      <c r="D3327" s="282"/>
      <c r="E3327" s="833"/>
    </row>
    <row r="3328" spans="1:5" x14ac:dyDescent="0.35">
      <c r="A3328" s="281"/>
      <c r="B3328" s="279"/>
      <c r="C3328" s="850"/>
      <c r="D3328" s="282"/>
      <c r="E3328" s="833"/>
    </row>
    <row r="3329" spans="1:5" x14ac:dyDescent="0.35">
      <c r="A3329" s="281"/>
      <c r="B3329" s="279"/>
      <c r="C3329" s="850"/>
      <c r="D3329" s="282"/>
      <c r="E3329" s="833"/>
    </row>
    <row r="3330" spans="1:5" x14ac:dyDescent="0.35">
      <c r="A3330" s="281"/>
      <c r="B3330" s="279"/>
      <c r="C3330" s="850"/>
      <c r="D3330" s="282"/>
      <c r="E3330" s="833"/>
    </row>
    <row r="3331" spans="1:5" x14ac:dyDescent="0.35">
      <c r="A3331" s="281"/>
      <c r="B3331" s="279"/>
      <c r="C3331" s="850"/>
      <c r="D3331" s="282"/>
      <c r="E3331" s="833"/>
    </row>
    <row r="3332" spans="1:5" x14ac:dyDescent="0.35">
      <c r="A3332" s="281"/>
      <c r="B3332" s="279"/>
      <c r="C3332" s="850"/>
      <c r="D3332" s="282"/>
      <c r="E3332" s="833"/>
    </row>
    <row r="3333" spans="1:5" x14ac:dyDescent="0.35">
      <c r="A3333" s="281"/>
      <c r="B3333" s="279"/>
      <c r="C3333" s="850"/>
      <c r="D3333" s="282"/>
      <c r="E3333" s="833"/>
    </row>
    <row r="3334" spans="1:5" x14ac:dyDescent="0.35">
      <c r="A3334" s="281"/>
      <c r="B3334" s="279"/>
      <c r="C3334" s="850"/>
      <c r="D3334" s="282"/>
      <c r="E3334" s="833"/>
    </row>
    <row r="3335" spans="1:5" x14ac:dyDescent="0.35">
      <c r="A3335" s="281"/>
      <c r="B3335" s="279"/>
      <c r="C3335" s="850"/>
      <c r="D3335" s="282"/>
      <c r="E3335" s="833"/>
    </row>
    <row r="3336" spans="1:5" x14ac:dyDescent="0.35">
      <c r="A3336" s="281"/>
      <c r="B3336" s="279"/>
      <c r="C3336" s="850"/>
      <c r="D3336" s="282"/>
      <c r="E3336" s="833"/>
    </row>
    <row r="3337" spans="1:5" x14ac:dyDescent="0.35">
      <c r="A3337" s="281"/>
      <c r="B3337" s="279"/>
      <c r="C3337" s="850"/>
      <c r="D3337" s="282"/>
      <c r="E3337" s="833"/>
    </row>
    <row r="3338" spans="1:5" x14ac:dyDescent="0.35">
      <c r="A3338" s="281"/>
      <c r="B3338" s="279"/>
      <c r="C3338" s="850"/>
      <c r="D3338" s="282"/>
      <c r="E3338" s="833"/>
    </row>
    <row r="3339" spans="1:5" x14ac:dyDescent="0.35">
      <c r="A3339" s="281"/>
      <c r="B3339" s="279"/>
      <c r="C3339" s="850"/>
      <c r="D3339" s="282"/>
      <c r="E3339" s="833"/>
    </row>
    <row r="3340" spans="1:5" x14ac:dyDescent="0.35">
      <c r="A3340" s="281"/>
      <c r="B3340" s="279"/>
      <c r="C3340" s="850"/>
      <c r="D3340" s="282"/>
      <c r="E3340" s="833"/>
    </row>
    <row r="3341" spans="1:5" x14ac:dyDescent="0.35">
      <c r="A3341" s="281"/>
      <c r="B3341" s="279"/>
      <c r="C3341" s="850"/>
      <c r="D3341" s="282"/>
      <c r="E3341" s="833"/>
    </row>
    <row r="3342" spans="1:5" x14ac:dyDescent="0.35">
      <c r="A3342" s="281"/>
      <c r="B3342" s="279"/>
      <c r="C3342" s="850"/>
      <c r="D3342" s="282"/>
      <c r="E3342" s="833"/>
    </row>
    <row r="3343" spans="1:5" x14ac:dyDescent="0.35">
      <c r="A3343" s="281"/>
      <c r="B3343" s="279"/>
      <c r="C3343" s="850"/>
      <c r="D3343" s="282"/>
      <c r="E3343" s="833"/>
    </row>
    <row r="3344" spans="1:5" x14ac:dyDescent="0.35">
      <c r="A3344" s="281"/>
      <c r="B3344" s="279"/>
      <c r="C3344" s="850"/>
      <c r="D3344" s="282"/>
      <c r="E3344" s="833"/>
    </row>
    <row r="3345" spans="1:5" x14ac:dyDescent="0.35">
      <c r="A3345" s="281"/>
      <c r="B3345" s="279"/>
      <c r="C3345" s="850"/>
      <c r="D3345" s="282"/>
      <c r="E3345" s="833"/>
    </row>
    <row r="3346" spans="1:5" x14ac:dyDescent="0.35">
      <c r="A3346" s="281"/>
      <c r="B3346" s="279"/>
      <c r="C3346" s="850"/>
      <c r="D3346" s="282"/>
      <c r="E3346" s="833"/>
    </row>
    <row r="3347" spans="1:5" x14ac:dyDescent="0.35">
      <c r="A3347" s="281"/>
      <c r="B3347" s="279"/>
      <c r="C3347" s="850"/>
      <c r="D3347" s="282"/>
      <c r="E3347" s="833"/>
    </row>
    <row r="3348" spans="1:5" x14ac:dyDescent="0.35">
      <c r="A3348" s="281"/>
      <c r="B3348" s="279"/>
      <c r="C3348" s="850"/>
      <c r="D3348" s="282"/>
      <c r="E3348" s="833"/>
    </row>
    <row r="3349" spans="1:5" x14ac:dyDescent="0.35">
      <c r="A3349" s="281"/>
      <c r="B3349" s="279"/>
      <c r="C3349" s="850"/>
      <c r="D3349" s="282"/>
      <c r="E3349" s="833"/>
    </row>
    <row r="3350" spans="1:5" x14ac:dyDescent="0.35">
      <c r="A3350" s="281"/>
      <c r="B3350" s="279"/>
      <c r="C3350" s="850"/>
      <c r="D3350" s="282"/>
      <c r="E3350" s="833"/>
    </row>
    <row r="3351" spans="1:5" x14ac:dyDescent="0.35">
      <c r="A3351" s="281"/>
      <c r="B3351" s="279"/>
      <c r="C3351" s="850"/>
      <c r="D3351" s="282"/>
      <c r="E3351" s="833"/>
    </row>
    <row r="3352" spans="1:5" x14ac:dyDescent="0.35">
      <c r="A3352" s="281"/>
      <c r="B3352" s="279"/>
      <c r="C3352" s="850"/>
      <c r="D3352" s="282"/>
      <c r="E3352" s="833"/>
    </row>
    <row r="3353" spans="1:5" x14ac:dyDescent="0.35">
      <c r="A3353" s="281"/>
      <c r="B3353" s="279"/>
      <c r="C3353" s="850"/>
      <c r="D3353" s="282"/>
      <c r="E3353" s="833"/>
    </row>
    <row r="3354" spans="1:5" x14ac:dyDescent="0.35">
      <c r="A3354" s="281"/>
      <c r="B3354" s="279"/>
      <c r="C3354" s="850"/>
      <c r="D3354" s="282"/>
      <c r="E3354" s="833"/>
    </row>
    <row r="3355" spans="1:5" x14ac:dyDescent="0.35">
      <c r="A3355" s="281"/>
      <c r="B3355" s="279"/>
      <c r="C3355" s="850"/>
      <c r="D3355" s="282"/>
      <c r="E3355" s="833"/>
    </row>
    <row r="3356" spans="1:5" x14ac:dyDescent="0.35">
      <c r="A3356" s="281"/>
      <c r="B3356" s="279"/>
      <c r="C3356" s="850"/>
      <c r="D3356" s="282"/>
      <c r="E3356" s="833"/>
    </row>
    <row r="3357" spans="1:5" x14ac:dyDescent="0.35">
      <c r="A3357" s="281"/>
      <c r="B3357" s="279"/>
      <c r="C3357" s="850"/>
      <c r="D3357" s="282"/>
      <c r="E3357" s="833"/>
    </row>
    <row r="3358" spans="1:5" x14ac:dyDescent="0.35">
      <c r="A3358" s="281"/>
      <c r="B3358" s="279"/>
      <c r="C3358" s="850"/>
      <c r="D3358" s="282"/>
      <c r="E3358" s="833"/>
    </row>
    <row r="3359" spans="1:5" x14ac:dyDescent="0.35">
      <c r="A3359" s="281"/>
      <c r="B3359" s="279"/>
      <c r="C3359" s="850"/>
      <c r="D3359" s="282"/>
      <c r="E3359" s="833"/>
    </row>
    <row r="3360" spans="1:5" x14ac:dyDescent="0.35">
      <c r="A3360" s="281"/>
      <c r="B3360" s="279"/>
      <c r="C3360" s="850"/>
      <c r="D3360" s="282"/>
      <c r="E3360" s="833"/>
    </row>
    <row r="3361" spans="1:5" x14ac:dyDescent="0.35">
      <c r="A3361" s="281"/>
      <c r="B3361" s="279"/>
      <c r="C3361" s="850"/>
      <c r="D3361" s="282"/>
      <c r="E3361" s="833"/>
    </row>
    <row r="3362" spans="1:5" x14ac:dyDescent="0.35">
      <c r="A3362" s="281"/>
      <c r="B3362" s="279"/>
      <c r="C3362" s="850"/>
      <c r="D3362" s="282"/>
      <c r="E3362" s="833"/>
    </row>
    <row r="3363" spans="1:5" x14ac:dyDescent="0.35">
      <c r="A3363" s="281"/>
      <c r="B3363" s="279"/>
      <c r="C3363" s="850"/>
      <c r="D3363" s="282"/>
      <c r="E3363" s="833"/>
    </row>
    <row r="3364" spans="1:5" x14ac:dyDescent="0.35">
      <c r="A3364" s="281"/>
      <c r="B3364" s="279"/>
      <c r="C3364" s="850"/>
      <c r="D3364" s="282"/>
      <c r="E3364" s="833"/>
    </row>
    <row r="3365" spans="1:5" x14ac:dyDescent="0.35">
      <c r="A3365" s="281"/>
      <c r="B3365" s="279"/>
      <c r="C3365" s="850"/>
      <c r="D3365" s="282"/>
      <c r="E3365" s="833"/>
    </row>
    <row r="3366" spans="1:5" x14ac:dyDescent="0.35">
      <c r="A3366" s="281"/>
      <c r="B3366" s="279"/>
      <c r="C3366" s="850"/>
      <c r="D3366" s="282"/>
      <c r="E3366" s="833"/>
    </row>
    <row r="3367" spans="1:5" x14ac:dyDescent="0.35">
      <c r="A3367" s="281"/>
      <c r="B3367" s="279"/>
      <c r="C3367" s="850"/>
      <c r="D3367" s="282"/>
      <c r="E3367" s="833"/>
    </row>
    <row r="3368" spans="1:5" x14ac:dyDescent="0.35">
      <c r="A3368" s="281"/>
      <c r="B3368" s="279"/>
      <c r="C3368" s="850"/>
      <c r="D3368" s="282"/>
      <c r="E3368" s="833"/>
    </row>
    <row r="3369" spans="1:5" x14ac:dyDescent="0.35">
      <c r="A3369" s="281"/>
      <c r="B3369" s="279"/>
      <c r="C3369" s="850"/>
      <c r="D3369" s="282"/>
      <c r="E3369" s="833"/>
    </row>
    <row r="3370" spans="1:5" x14ac:dyDescent="0.35">
      <c r="A3370" s="281"/>
      <c r="B3370" s="279"/>
      <c r="C3370" s="850"/>
      <c r="D3370" s="282"/>
      <c r="E3370" s="833"/>
    </row>
    <row r="3371" spans="1:5" x14ac:dyDescent="0.35">
      <c r="A3371" s="281"/>
      <c r="B3371" s="279"/>
      <c r="C3371" s="850"/>
      <c r="D3371" s="282"/>
      <c r="E3371" s="833"/>
    </row>
    <row r="3372" spans="1:5" x14ac:dyDescent="0.35">
      <c r="A3372" s="281"/>
      <c r="B3372" s="279"/>
      <c r="C3372" s="850"/>
      <c r="D3372" s="282"/>
      <c r="E3372" s="833"/>
    </row>
    <row r="3373" spans="1:5" x14ac:dyDescent="0.35">
      <c r="A3373" s="281"/>
      <c r="B3373" s="279"/>
      <c r="C3373" s="850"/>
      <c r="D3373" s="282"/>
      <c r="E3373" s="833"/>
    </row>
    <row r="3374" spans="1:5" x14ac:dyDescent="0.35">
      <c r="A3374" s="281"/>
      <c r="B3374" s="279"/>
      <c r="C3374" s="850"/>
      <c r="D3374" s="282"/>
      <c r="E3374" s="833"/>
    </row>
    <row r="3375" spans="1:5" x14ac:dyDescent="0.35">
      <c r="A3375" s="281"/>
      <c r="B3375" s="279"/>
      <c r="C3375" s="850"/>
      <c r="D3375" s="282"/>
      <c r="E3375" s="833"/>
    </row>
    <row r="3376" spans="1:5" x14ac:dyDescent="0.35">
      <c r="A3376" s="281"/>
      <c r="B3376" s="279"/>
      <c r="C3376" s="850"/>
      <c r="D3376" s="282"/>
      <c r="E3376" s="833"/>
    </row>
    <row r="3377" spans="1:5" x14ac:dyDescent="0.35">
      <c r="A3377" s="281"/>
      <c r="B3377" s="279"/>
      <c r="C3377" s="850"/>
      <c r="D3377" s="282"/>
      <c r="E3377" s="833"/>
    </row>
    <row r="3378" spans="1:5" x14ac:dyDescent="0.35">
      <c r="A3378" s="281"/>
      <c r="B3378" s="279"/>
      <c r="C3378" s="850"/>
      <c r="D3378" s="282"/>
      <c r="E3378" s="833"/>
    </row>
    <row r="3379" spans="1:5" x14ac:dyDescent="0.35">
      <c r="A3379" s="281"/>
      <c r="B3379" s="279"/>
      <c r="C3379" s="850"/>
      <c r="D3379" s="282"/>
      <c r="E3379" s="833"/>
    </row>
    <row r="3380" spans="1:5" x14ac:dyDescent="0.35">
      <c r="A3380" s="281"/>
      <c r="B3380" s="279"/>
      <c r="C3380" s="850"/>
      <c r="D3380" s="282"/>
      <c r="E3380" s="833"/>
    </row>
    <row r="3381" spans="1:5" x14ac:dyDescent="0.35">
      <c r="A3381" s="281"/>
      <c r="B3381" s="279"/>
      <c r="C3381" s="850"/>
      <c r="D3381" s="282"/>
      <c r="E3381" s="833"/>
    </row>
    <row r="3382" spans="1:5" x14ac:dyDescent="0.35">
      <c r="A3382" s="281"/>
      <c r="B3382" s="279"/>
      <c r="C3382" s="850"/>
      <c r="D3382" s="282"/>
      <c r="E3382" s="833"/>
    </row>
    <row r="3383" spans="1:5" x14ac:dyDescent="0.35">
      <c r="A3383" s="281"/>
      <c r="B3383" s="279"/>
      <c r="C3383" s="850"/>
      <c r="D3383" s="282"/>
      <c r="E3383" s="833"/>
    </row>
    <row r="3384" spans="1:5" x14ac:dyDescent="0.35">
      <c r="A3384" s="281"/>
      <c r="B3384" s="279"/>
      <c r="C3384" s="850"/>
      <c r="D3384" s="282"/>
      <c r="E3384" s="833"/>
    </row>
    <row r="3385" spans="1:5" x14ac:dyDescent="0.35">
      <c r="A3385" s="281"/>
      <c r="B3385" s="279"/>
      <c r="C3385" s="850"/>
      <c r="D3385" s="282"/>
      <c r="E3385" s="833"/>
    </row>
    <row r="3386" spans="1:5" x14ac:dyDescent="0.35">
      <c r="A3386" s="281"/>
      <c r="B3386" s="279"/>
      <c r="C3386" s="850"/>
      <c r="D3386" s="282"/>
      <c r="E3386" s="833"/>
    </row>
    <row r="3387" spans="1:5" x14ac:dyDescent="0.35">
      <c r="A3387" s="281"/>
      <c r="B3387" s="279"/>
      <c r="C3387" s="850"/>
      <c r="D3387" s="282"/>
      <c r="E3387" s="833"/>
    </row>
    <row r="3388" spans="1:5" x14ac:dyDescent="0.35">
      <c r="A3388" s="281"/>
      <c r="B3388" s="279"/>
      <c r="C3388" s="850"/>
      <c r="D3388" s="282"/>
      <c r="E3388" s="833"/>
    </row>
    <row r="3389" spans="1:5" x14ac:dyDescent="0.35">
      <c r="A3389" s="281"/>
      <c r="B3389" s="279"/>
      <c r="C3389" s="850"/>
      <c r="D3389" s="282"/>
      <c r="E3389" s="833"/>
    </row>
    <row r="3390" spans="1:5" x14ac:dyDescent="0.35">
      <c r="A3390" s="281"/>
      <c r="B3390" s="279"/>
      <c r="C3390" s="850"/>
      <c r="D3390" s="282"/>
      <c r="E3390" s="833"/>
    </row>
    <row r="3391" spans="1:5" x14ac:dyDescent="0.35">
      <c r="A3391" s="281"/>
      <c r="B3391" s="279"/>
      <c r="C3391" s="850"/>
      <c r="D3391" s="282"/>
      <c r="E3391" s="833"/>
    </row>
    <row r="3392" spans="1:5" x14ac:dyDescent="0.35">
      <c r="A3392" s="281"/>
      <c r="B3392" s="279"/>
      <c r="C3392" s="850"/>
      <c r="D3392" s="282"/>
      <c r="E3392" s="833"/>
    </row>
    <row r="3393" spans="1:5" x14ac:dyDescent="0.35">
      <c r="A3393" s="281"/>
      <c r="B3393" s="279"/>
      <c r="C3393" s="850"/>
      <c r="D3393" s="282"/>
      <c r="E3393" s="833"/>
    </row>
    <row r="3394" spans="1:5" x14ac:dyDescent="0.35">
      <c r="A3394" s="281"/>
      <c r="B3394" s="279"/>
      <c r="C3394" s="850"/>
      <c r="D3394" s="282"/>
      <c r="E3394" s="833"/>
    </row>
    <row r="3395" spans="1:5" x14ac:dyDescent="0.35">
      <c r="A3395" s="281"/>
      <c r="B3395" s="279"/>
      <c r="C3395" s="850"/>
      <c r="D3395" s="282"/>
      <c r="E3395" s="833"/>
    </row>
    <row r="3396" spans="1:5" x14ac:dyDescent="0.35">
      <c r="A3396" s="281"/>
      <c r="B3396" s="279"/>
      <c r="C3396" s="850"/>
      <c r="D3396" s="282"/>
      <c r="E3396" s="833"/>
    </row>
    <row r="3397" spans="1:5" x14ac:dyDescent="0.35">
      <c r="A3397" s="281"/>
      <c r="B3397" s="279"/>
      <c r="C3397" s="850"/>
      <c r="D3397" s="282"/>
      <c r="E3397" s="833"/>
    </row>
    <row r="3398" spans="1:5" x14ac:dyDescent="0.35">
      <c r="A3398" s="281"/>
      <c r="B3398" s="279"/>
      <c r="C3398" s="850"/>
      <c r="D3398" s="282"/>
      <c r="E3398" s="833"/>
    </row>
    <row r="3399" spans="1:5" x14ac:dyDescent="0.35">
      <c r="A3399" s="281"/>
      <c r="B3399" s="279"/>
      <c r="C3399" s="850"/>
      <c r="D3399" s="282"/>
      <c r="E3399" s="833"/>
    </row>
    <row r="3400" spans="1:5" x14ac:dyDescent="0.35">
      <c r="A3400" s="281"/>
      <c r="B3400" s="279"/>
      <c r="C3400" s="850"/>
      <c r="D3400" s="282"/>
      <c r="E3400" s="833"/>
    </row>
    <row r="3401" spans="1:5" x14ac:dyDescent="0.35">
      <c r="A3401" s="281"/>
      <c r="B3401" s="279"/>
      <c r="C3401" s="850"/>
      <c r="D3401" s="282"/>
      <c r="E3401" s="833"/>
    </row>
    <row r="3402" spans="1:5" x14ac:dyDescent="0.35">
      <c r="A3402" s="281"/>
      <c r="B3402" s="279"/>
      <c r="C3402" s="850"/>
      <c r="D3402" s="282"/>
      <c r="E3402" s="833"/>
    </row>
    <row r="3403" spans="1:5" x14ac:dyDescent="0.35">
      <c r="A3403" s="281"/>
      <c r="B3403" s="279"/>
      <c r="C3403" s="850"/>
      <c r="D3403" s="282"/>
      <c r="E3403" s="833"/>
    </row>
    <row r="3404" spans="1:5" x14ac:dyDescent="0.35">
      <c r="A3404" s="281"/>
      <c r="B3404" s="279"/>
      <c r="C3404" s="850"/>
      <c r="D3404" s="282"/>
      <c r="E3404" s="833"/>
    </row>
    <row r="3405" spans="1:5" x14ac:dyDescent="0.35">
      <c r="A3405" s="281"/>
      <c r="B3405" s="279"/>
      <c r="C3405" s="850"/>
      <c r="D3405" s="282"/>
      <c r="E3405" s="833"/>
    </row>
    <row r="3406" spans="1:5" x14ac:dyDescent="0.35">
      <c r="A3406" s="281"/>
      <c r="B3406" s="279"/>
      <c r="C3406" s="850"/>
      <c r="D3406" s="282"/>
      <c r="E3406" s="833"/>
    </row>
    <row r="3407" spans="1:5" x14ac:dyDescent="0.35">
      <c r="A3407" s="281"/>
      <c r="B3407" s="279"/>
      <c r="C3407" s="850"/>
      <c r="D3407" s="282"/>
      <c r="E3407" s="833"/>
    </row>
    <row r="3408" spans="1:5" x14ac:dyDescent="0.35">
      <c r="A3408" s="281"/>
      <c r="B3408" s="279"/>
      <c r="C3408" s="850"/>
      <c r="D3408" s="282"/>
      <c r="E3408" s="833"/>
    </row>
    <row r="3409" spans="1:5" x14ac:dyDescent="0.35">
      <c r="A3409" s="281"/>
      <c r="B3409" s="279"/>
      <c r="C3409" s="850"/>
      <c r="D3409" s="282"/>
      <c r="E3409" s="833"/>
    </row>
    <row r="3410" spans="1:5" x14ac:dyDescent="0.35">
      <c r="A3410" s="281"/>
      <c r="B3410" s="279"/>
      <c r="C3410" s="850"/>
      <c r="D3410" s="282"/>
      <c r="E3410" s="833"/>
    </row>
    <row r="3411" spans="1:5" x14ac:dyDescent="0.35">
      <c r="A3411" s="281"/>
      <c r="B3411" s="279"/>
      <c r="C3411" s="850"/>
      <c r="D3411" s="282"/>
      <c r="E3411" s="833"/>
    </row>
    <row r="3412" spans="1:5" x14ac:dyDescent="0.35">
      <c r="A3412" s="281"/>
      <c r="B3412" s="279"/>
      <c r="C3412" s="850"/>
      <c r="D3412" s="282"/>
      <c r="E3412" s="833"/>
    </row>
    <row r="3413" spans="1:5" x14ac:dyDescent="0.35">
      <c r="A3413" s="281"/>
      <c r="B3413" s="279"/>
      <c r="C3413" s="850"/>
      <c r="D3413" s="282"/>
      <c r="E3413" s="833"/>
    </row>
    <row r="3414" spans="1:5" x14ac:dyDescent="0.35">
      <c r="A3414" s="281"/>
      <c r="B3414" s="279"/>
      <c r="C3414" s="850"/>
      <c r="D3414" s="282"/>
      <c r="E3414" s="833"/>
    </row>
    <row r="3415" spans="1:5" x14ac:dyDescent="0.35">
      <c r="A3415" s="281"/>
      <c r="B3415" s="279"/>
      <c r="C3415" s="850"/>
      <c r="D3415" s="282"/>
      <c r="E3415" s="833"/>
    </row>
    <row r="3416" spans="1:5" x14ac:dyDescent="0.35">
      <c r="A3416" s="281"/>
      <c r="B3416" s="279"/>
      <c r="C3416" s="850"/>
      <c r="D3416" s="282"/>
      <c r="E3416" s="833"/>
    </row>
    <row r="3417" spans="1:5" x14ac:dyDescent="0.35">
      <c r="A3417" s="281"/>
      <c r="B3417" s="279"/>
      <c r="C3417" s="850"/>
      <c r="D3417" s="282"/>
      <c r="E3417" s="833"/>
    </row>
    <row r="3418" spans="1:5" x14ac:dyDescent="0.35">
      <c r="A3418" s="281"/>
      <c r="B3418" s="279"/>
      <c r="C3418" s="850"/>
      <c r="D3418" s="282"/>
      <c r="E3418" s="833"/>
    </row>
    <row r="3419" spans="1:5" x14ac:dyDescent="0.35">
      <c r="A3419" s="281"/>
      <c r="B3419" s="279"/>
      <c r="C3419" s="850"/>
      <c r="D3419" s="282"/>
      <c r="E3419" s="833"/>
    </row>
    <row r="3420" spans="1:5" x14ac:dyDescent="0.35">
      <c r="A3420" s="281"/>
      <c r="B3420" s="279"/>
      <c r="C3420" s="850"/>
      <c r="D3420" s="282"/>
      <c r="E3420" s="833"/>
    </row>
    <row r="3421" spans="1:5" x14ac:dyDescent="0.35">
      <c r="A3421" s="281"/>
      <c r="B3421" s="279"/>
      <c r="C3421" s="850"/>
      <c r="D3421" s="282"/>
      <c r="E3421" s="833"/>
    </row>
    <row r="3422" spans="1:5" x14ac:dyDescent="0.35">
      <c r="A3422" s="281"/>
      <c r="B3422" s="279"/>
      <c r="C3422" s="850"/>
      <c r="D3422" s="282"/>
      <c r="E3422" s="833"/>
    </row>
    <row r="3423" spans="1:5" x14ac:dyDescent="0.35">
      <c r="A3423" s="281"/>
      <c r="B3423" s="279"/>
      <c r="C3423" s="850"/>
      <c r="D3423" s="282"/>
      <c r="E3423" s="833"/>
    </row>
    <row r="3424" spans="1:5" x14ac:dyDescent="0.35">
      <c r="A3424" s="281"/>
      <c r="B3424" s="279"/>
      <c r="C3424" s="850"/>
      <c r="D3424" s="282"/>
      <c r="E3424" s="833"/>
    </row>
    <row r="3425" spans="1:5" x14ac:dyDescent="0.35">
      <c r="A3425" s="281"/>
      <c r="B3425" s="279"/>
      <c r="C3425" s="850"/>
      <c r="D3425" s="282"/>
      <c r="E3425" s="833"/>
    </row>
    <row r="3426" spans="1:5" x14ac:dyDescent="0.35">
      <c r="A3426" s="281"/>
      <c r="B3426" s="279"/>
      <c r="C3426" s="850"/>
      <c r="D3426" s="282"/>
      <c r="E3426" s="833"/>
    </row>
    <row r="3427" spans="1:5" x14ac:dyDescent="0.35">
      <c r="A3427" s="281"/>
      <c r="B3427" s="279"/>
      <c r="C3427" s="850"/>
      <c r="D3427" s="282"/>
      <c r="E3427" s="833"/>
    </row>
    <row r="3428" spans="1:5" x14ac:dyDescent="0.35">
      <c r="A3428" s="281"/>
      <c r="B3428" s="279"/>
      <c r="C3428" s="850"/>
      <c r="D3428" s="282"/>
      <c r="E3428" s="833"/>
    </row>
    <row r="3429" spans="1:5" x14ac:dyDescent="0.35">
      <c r="A3429" s="281"/>
      <c r="B3429" s="279"/>
      <c r="C3429" s="850"/>
      <c r="D3429" s="282"/>
      <c r="E3429" s="833"/>
    </row>
    <row r="3430" spans="1:5" x14ac:dyDescent="0.35">
      <c r="A3430" s="281"/>
      <c r="B3430" s="279"/>
      <c r="C3430" s="850"/>
      <c r="D3430" s="282"/>
      <c r="E3430" s="833"/>
    </row>
    <row r="3431" spans="1:5" x14ac:dyDescent="0.35">
      <c r="A3431" s="281"/>
      <c r="B3431" s="279"/>
      <c r="C3431" s="850"/>
      <c r="D3431" s="282"/>
      <c r="E3431" s="833"/>
    </row>
    <row r="3432" spans="1:5" x14ac:dyDescent="0.35">
      <c r="A3432" s="281"/>
      <c r="B3432" s="279"/>
      <c r="C3432" s="850"/>
      <c r="D3432" s="282"/>
      <c r="E3432" s="833"/>
    </row>
    <row r="3433" spans="1:5" x14ac:dyDescent="0.35">
      <c r="A3433" s="281"/>
      <c r="B3433" s="279"/>
      <c r="C3433" s="850"/>
      <c r="D3433" s="282"/>
      <c r="E3433" s="833"/>
    </row>
    <row r="3434" spans="1:5" x14ac:dyDescent="0.35">
      <c r="A3434" s="281"/>
      <c r="B3434" s="279"/>
      <c r="C3434" s="850"/>
      <c r="D3434" s="282"/>
      <c r="E3434" s="833"/>
    </row>
    <row r="3435" spans="1:5" x14ac:dyDescent="0.35">
      <c r="A3435" s="281"/>
      <c r="B3435" s="279"/>
      <c r="C3435" s="850"/>
      <c r="D3435" s="282"/>
      <c r="E3435" s="833"/>
    </row>
    <row r="3436" spans="1:5" x14ac:dyDescent="0.35">
      <c r="A3436" s="281"/>
      <c r="B3436" s="279"/>
      <c r="C3436" s="850"/>
      <c r="D3436" s="282"/>
      <c r="E3436" s="833"/>
    </row>
    <row r="3437" spans="1:5" x14ac:dyDescent="0.35">
      <c r="A3437" s="281"/>
      <c r="B3437" s="279"/>
      <c r="C3437" s="850"/>
      <c r="D3437" s="282"/>
      <c r="E3437" s="833"/>
    </row>
    <row r="3438" spans="1:5" x14ac:dyDescent="0.35">
      <c r="A3438" s="281"/>
      <c r="B3438" s="279"/>
      <c r="C3438" s="850"/>
      <c r="D3438" s="282"/>
      <c r="E3438" s="833"/>
    </row>
    <row r="3439" spans="1:5" x14ac:dyDescent="0.35">
      <c r="A3439" s="281"/>
      <c r="B3439" s="279"/>
      <c r="C3439" s="850"/>
      <c r="D3439" s="282"/>
      <c r="E3439" s="833"/>
    </row>
    <row r="3440" spans="1:5" x14ac:dyDescent="0.35">
      <c r="A3440" s="281"/>
      <c r="B3440" s="279"/>
      <c r="C3440" s="850"/>
      <c r="D3440" s="282"/>
      <c r="E3440" s="833"/>
    </row>
    <row r="3441" spans="1:5" x14ac:dyDescent="0.35">
      <c r="A3441" s="281"/>
      <c r="B3441" s="279"/>
      <c r="C3441" s="850"/>
      <c r="D3441" s="282"/>
      <c r="E3441" s="833"/>
    </row>
    <row r="3442" spans="1:5" x14ac:dyDescent="0.35">
      <c r="A3442" s="281"/>
      <c r="B3442" s="279"/>
      <c r="C3442" s="850"/>
      <c r="D3442" s="282"/>
      <c r="E3442" s="833"/>
    </row>
    <row r="3443" spans="1:5" x14ac:dyDescent="0.35">
      <c r="A3443" s="281"/>
      <c r="B3443" s="279"/>
      <c r="C3443" s="850"/>
      <c r="D3443" s="282"/>
      <c r="E3443" s="833"/>
    </row>
    <row r="3444" spans="1:5" x14ac:dyDescent="0.35">
      <c r="A3444" s="281"/>
      <c r="B3444" s="279"/>
      <c r="C3444" s="850"/>
      <c r="D3444" s="282"/>
      <c r="E3444" s="833"/>
    </row>
    <row r="3445" spans="1:5" x14ac:dyDescent="0.35">
      <c r="A3445" s="281"/>
      <c r="B3445" s="279"/>
      <c r="C3445" s="850"/>
      <c r="D3445" s="282"/>
      <c r="E3445" s="833"/>
    </row>
    <row r="3446" spans="1:5" x14ac:dyDescent="0.35">
      <c r="A3446" s="281"/>
      <c r="B3446" s="279"/>
      <c r="C3446" s="850"/>
      <c r="D3446" s="282"/>
      <c r="E3446" s="833"/>
    </row>
    <row r="3447" spans="1:5" x14ac:dyDescent="0.35">
      <c r="A3447" s="281"/>
      <c r="B3447" s="279"/>
      <c r="C3447" s="850"/>
      <c r="D3447" s="282"/>
      <c r="E3447" s="833"/>
    </row>
    <row r="3448" spans="1:5" x14ac:dyDescent="0.35">
      <c r="A3448" s="281"/>
      <c r="B3448" s="279"/>
      <c r="C3448" s="850"/>
      <c r="D3448" s="282"/>
      <c r="E3448" s="833"/>
    </row>
    <row r="3449" spans="1:5" x14ac:dyDescent="0.35">
      <c r="A3449" s="281"/>
      <c r="B3449" s="279"/>
      <c r="C3449" s="850"/>
      <c r="D3449" s="282"/>
      <c r="E3449" s="833"/>
    </row>
    <row r="3450" spans="1:5" x14ac:dyDescent="0.35">
      <c r="A3450" s="281"/>
      <c r="B3450" s="279"/>
      <c r="C3450" s="850"/>
      <c r="D3450" s="282"/>
      <c r="E3450" s="833"/>
    </row>
    <row r="3451" spans="1:5" x14ac:dyDescent="0.35">
      <c r="A3451" s="281"/>
      <c r="B3451" s="279"/>
      <c r="C3451" s="850"/>
      <c r="D3451" s="282"/>
      <c r="E3451" s="833"/>
    </row>
    <row r="3452" spans="1:5" x14ac:dyDescent="0.35">
      <c r="A3452" s="281"/>
      <c r="B3452" s="279"/>
      <c r="C3452" s="850"/>
      <c r="D3452" s="282"/>
      <c r="E3452" s="833"/>
    </row>
    <row r="3453" spans="1:5" x14ac:dyDescent="0.35">
      <c r="A3453" s="281"/>
      <c r="B3453" s="279"/>
      <c r="C3453" s="850"/>
      <c r="D3453" s="282"/>
      <c r="E3453" s="833"/>
    </row>
    <row r="3454" spans="1:5" x14ac:dyDescent="0.35">
      <c r="A3454" s="281"/>
      <c r="B3454" s="279"/>
      <c r="C3454" s="850"/>
      <c r="D3454" s="282"/>
      <c r="E3454" s="833"/>
    </row>
    <row r="3455" spans="1:5" x14ac:dyDescent="0.35">
      <c r="A3455" s="281"/>
      <c r="B3455" s="279"/>
      <c r="C3455" s="850"/>
      <c r="D3455" s="282"/>
      <c r="E3455" s="833"/>
    </row>
    <row r="3456" spans="1:5" x14ac:dyDescent="0.35">
      <c r="A3456" s="281"/>
      <c r="B3456" s="279"/>
      <c r="C3456" s="850"/>
      <c r="D3456" s="282"/>
      <c r="E3456" s="833"/>
    </row>
    <row r="3457" spans="1:5" x14ac:dyDescent="0.35">
      <c r="A3457" s="281"/>
      <c r="B3457" s="279"/>
      <c r="C3457" s="850"/>
      <c r="D3457" s="282"/>
      <c r="E3457" s="833"/>
    </row>
    <row r="3458" spans="1:5" x14ac:dyDescent="0.35">
      <c r="A3458" s="281"/>
      <c r="B3458" s="279"/>
      <c r="C3458" s="850"/>
      <c r="D3458" s="282"/>
      <c r="E3458" s="833"/>
    </row>
    <row r="3459" spans="1:5" x14ac:dyDescent="0.35">
      <c r="A3459" s="281"/>
      <c r="B3459" s="279"/>
      <c r="C3459" s="850"/>
      <c r="D3459" s="282"/>
      <c r="E3459" s="833"/>
    </row>
    <row r="3460" spans="1:5" x14ac:dyDescent="0.35">
      <c r="A3460" s="281"/>
      <c r="B3460" s="279"/>
      <c r="C3460" s="850"/>
      <c r="D3460" s="282"/>
      <c r="E3460" s="833"/>
    </row>
    <row r="3461" spans="1:5" x14ac:dyDescent="0.35">
      <c r="A3461" s="281"/>
      <c r="B3461" s="279"/>
      <c r="C3461" s="850"/>
      <c r="D3461" s="282"/>
      <c r="E3461" s="833"/>
    </row>
    <row r="3462" spans="1:5" x14ac:dyDescent="0.35">
      <c r="A3462" s="281"/>
      <c r="B3462" s="279"/>
      <c r="C3462" s="850"/>
      <c r="D3462" s="282"/>
      <c r="E3462" s="833"/>
    </row>
    <row r="3463" spans="1:5" x14ac:dyDescent="0.35">
      <c r="A3463" s="281"/>
      <c r="B3463" s="279"/>
      <c r="C3463" s="850"/>
      <c r="D3463" s="282"/>
      <c r="E3463" s="833"/>
    </row>
    <row r="3464" spans="1:5" x14ac:dyDescent="0.35">
      <c r="A3464" s="281"/>
      <c r="B3464" s="279"/>
      <c r="C3464" s="850"/>
      <c r="D3464" s="282"/>
      <c r="E3464" s="833"/>
    </row>
    <row r="3465" spans="1:5" x14ac:dyDescent="0.35">
      <c r="A3465" s="281"/>
      <c r="B3465" s="279"/>
      <c r="C3465" s="850"/>
      <c r="D3465" s="282"/>
      <c r="E3465" s="833"/>
    </row>
    <row r="3466" spans="1:5" x14ac:dyDescent="0.35">
      <c r="A3466" s="281"/>
      <c r="B3466" s="279"/>
      <c r="C3466" s="850"/>
      <c r="D3466" s="282"/>
      <c r="E3466" s="833"/>
    </row>
    <row r="3467" spans="1:5" x14ac:dyDescent="0.35">
      <c r="A3467" s="281"/>
      <c r="B3467" s="279"/>
      <c r="C3467" s="850"/>
      <c r="D3467" s="282"/>
      <c r="E3467" s="833"/>
    </row>
    <row r="3468" spans="1:5" x14ac:dyDescent="0.35">
      <c r="A3468" s="281"/>
      <c r="B3468" s="279"/>
      <c r="C3468" s="850"/>
      <c r="D3468" s="282"/>
      <c r="E3468" s="833"/>
    </row>
    <row r="3469" spans="1:5" x14ac:dyDescent="0.35">
      <c r="A3469" s="281"/>
      <c r="B3469" s="279"/>
      <c r="C3469" s="850"/>
      <c r="D3469" s="282"/>
      <c r="E3469" s="833"/>
    </row>
    <row r="3470" spans="1:5" x14ac:dyDescent="0.35">
      <c r="A3470" s="281"/>
      <c r="B3470" s="279"/>
      <c r="C3470" s="850"/>
      <c r="D3470" s="282"/>
      <c r="E3470" s="833"/>
    </row>
    <row r="3471" spans="1:5" x14ac:dyDescent="0.35">
      <c r="A3471" s="281"/>
      <c r="B3471" s="279"/>
      <c r="C3471" s="850"/>
      <c r="D3471" s="282"/>
      <c r="E3471" s="833"/>
    </row>
    <row r="3472" spans="1:5" x14ac:dyDescent="0.35">
      <c r="A3472" s="281"/>
      <c r="B3472" s="279"/>
      <c r="C3472" s="850"/>
      <c r="D3472" s="282"/>
      <c r="E3472" s="833"/>
    </row>
    <row r="3473" spans="1:5" x14ac:dyDescent="0.35">
      <c r="A3473" s="281"/>
      <c r="B3473" s="279"/>
      <c r="C3473" s="850"/>
      <c r="D3473" s="282"/>
      <c r="E3473" s="833"/>
    </row>
    <row r="3474" spans="1:5" x14ac:dyDescent="0.35">
      <c r="A3474" s="281"/>
      <c r="B3474" s="279"/>
      <c r="C3474" s="850"/>
      <c r="D3474" s="282"/>
      <c r="E3474" s="833"/>
    </row>
    <row r="3475" spans="1:5" x14ac:dyDescent="0.35">
      <c r="A3475" s="281"/>
      <c r="B3475" s="279"/>
      <c r="C3475" s="850"/>
      <c r="D3475" s="282"/>
      <c r="E3475" s="833"/>
    </row>
    <row r="3476" spans="1:5" x14ac:dyDescent="0.35">
      <c r="A3476" s="281"/>
      <c r="B3476" s="279"/>
      <c r="C3476" s="850"/>
      <c r="D3476" s="282"/>
      <c r="E3476" s="833"/>
    </row>
    <row r="3477" spans="1:5" x14ac:dyDescent="0.35">
      <c r="A3477" s="281"/>
      <c r="B3477" s="279"/>
      <c r="C3477" s="850"/>
      <c r="D3477" s="282"/>
      <c r="E3477" s="833"/>
    </row>
    <row r="3478" spans="1:5" x14ac:dyDescent="0.35">
      <c r="A3478" s="281"/>
      <c r="B3478" s="279"/>
      <c r="C3478" s="850"/>
      <c r="D3478" s="282"/>
      <c r="E3478" s="833"/>
    </row>
    <row r="3479" spans="1:5" x14ac:dyDescent="0.35">
      <c r="A3479" s="281"/>
      <c r="B3479" s="279"/>
      <c r="C3479" s="850"/>
      <c r="D3479" s="282"/>
      <c r="E3479" s="833"/>
    </row>
    <row r="3480" spans="1:5" x14ac:dyDescent="0.35">
      <c r="A3480" s="281"/>
      <c r="B3480" s="279"/>
      <c r="C3480" s="850"/>
      <c r="D3480" s="282"/>
      <c r="E3480" s="833"/>
    </row>
    <row r="3481" spans="1:5" x14ac:dyDescent="0.35">
      <c r="A3481" s="281"/>
      <c r="B3481" s="279"/>
      <c r="C3481" s="850"/>
      <c r="D3481" s="282"/>
      <c r="E3481" s="833"/>
    </row>
    <row r="3482" spans="1:5" x14ac:dyDescent="0.35">
      <c r="A3482" s="281"/>
      <c r="B3482" s="279"/>
      <c r="C3482" s="850"/>
      <c r="D3482" s="282"/>
      <c r="E3482" s="833"/>
    </row>
    <row r="3483" spans="1:5" x14ac:dyDescent="0.35">
      <c r="A3483" s="281"/>
      <c r="B3483" s="279"/>
      <c r="C3483" s="850"/>
      <c r="D3483" s="282"/>
      <c r="E3483" s="833"/>
    </row>
    <row r="3484" spans="1:5" x14ac:dyDescent="0.35">
      <c r="A3484" s="281"/>
      <c r="B3484" s="279"/>
      <c r="C3484" s="850"/>
      <c r="D3484" s="282"/>
      <c r="E3484" s="833"/>
    </row>
    <row r="3485" spans="1:5" x14ac:dyDescent="0.35">
      <c r="A3485" s="281"/>
      <c r="B3485" s="279"/>
      <c r="C3485" s="850"/>
      <c r="D3485" s="282"/>
      <c r="E3485" s="833"/>
    </row>
    <row r="3486" spans="1:5" x14ac:dyDescent="0.35">
      <c r="A3486" s="281"/>
      <c r="B3486" s="279"/>
      <c r="C3486" s="850"/>
      <c r="D3486" s="282"/>
      <c r="E3486" s="833"/>
    </row>
    <row r="3487" spans="1:5" x14ac:dyDescent="0.35">
      <c r="A3487" s="281"/>
      <c r="B3487" s="279"/>
      <c r="C3487" s="850"/>
      <c r="D3487" s="282"/>
      <c r="E3487" s="833"/>
    </row>
    <row r="3488" spans="1:5" x14ac:dyDescent="0.35">
      <c r="A3488" s="281"/>
      <c r="B3488" s="279"/>
      <c r="C3488" s="850"/>
      <c r="D3488" s="282"/>
      <c r="E3488" s="833"/>
    </row>
    <row r="3489" spans="1:5" x14ac:dyDescent="0.35">
      <c r="A3489" s="281"/>
      <c r="B3489" s="279"/>
      <c r="C3489" s="850"/>
      <c r="D3489" s="282"/>
      <c r="E3489" s="833"/>
    </row>
    <row r="3490" spans="1:5" x14ac:dyDescent="0.35">
      <c r="A3490" s="281"/>
      <c r="B3490" s="279"/>
      <c r="C3490" s="850"/>
      <c r="D3490" s="282"/>
      <c r="E3490" s="833"/>
    </row>
    <row r="3491" spans="1:5" x14ac:dyDescent="0.35">
      <c r="A3491" s="281"/>
      <c r="B3491" s="279"/>
      <c r="C3491" s="850"/>
      <c r="D3491" s="282"/>
      <c r="E3491" s="833"/>
    </row>
    <row r="3492" spans="1:5" x14ac:dyDescent="0.35">
      <c r="A3492" s="281"/>
      <c r="B3492" s="279"/>
      <c r="C3492" s="850"/>
      <c r="D3492" s="282"/>
      <c r="E3492" s="833"/>
    </row>
    <row r="3493" spans="1:5" x14ac:dyDescent="0.35">
      <c r="A3493" s="281"/>
      <c r="B3493" s="279"/>
      <c r="C3493" s="850"/>
      <c r="D3493" s="282"/>
      <c r="E3493" s="833"/>
    </row>
    <row r="3494" spans="1:5" x14ac:dyDescent="0.35">
      <c r="A3494" s="281"/>
      <c r="B3494" s="279"/>
      <c r="C3494" s="850"/>
      <c r="D3494" s="282"/>
      <c r="E3494" s="833"/>
    </row>
    <row r="3495" spans="1:5" x14ac:dyDescent="0.35">
      <c r="A3495" s="281"/>
      <c r="B3495" s="279"/>
      <c r="C3495" s="850"/>
      <c r="D3495" s="282"/>
      <c r="E3495" s="833"/>
    </row>
    <row r="3496" spans="1:5" x14ac:dyDescent="0.35">
      <c r="A3496" s="281"/>
      <c r="B3496" s="279"/>
      <c r="C3496" s="850"/>
      <c r="D3496" s="282"/>
      <c r="E3496" s="833"/>
    </row>
    <row r="3497" spans="1:5" x14ac:dyDescent="0.35">
      <c r="A3497" s="281"/>
      <c r="B3497" s="279"/>
      <c r="C3497" s="850"/>
      <c r="D3497" s="282"/>
      <c r="E3497" s="833"/>
    </row>
    <row r="3498" spans="1:5" x14ac:dyDescent="0.35">
      <c r="A3498" s="281"/>
      <c r="B3498" s="279"/>
      <c r="C3498" s="850"/>
      <c r="D3498" s="282"/>
      <c r="E3498" s="833"/>
    </row>
    <row r="3499" spans="1:5" x14ac:dyDescent="0.35">
      <c r="A3499" s="281"/>
      <c r="B3499" s="279"/>
      <c r="C3499" s="850"/>
      <c r="D3499" s="282"/>
      <c r="E3499" s="833"/>
    </row>
    <row r="3500" spans="1:5" x14ac:dyDescent="0.35">
      <c r="A3500" s="281"/>
      <c r="B3500" s="279"/>
      <c r="C3500" s="850"/>
      <c r="D3500" s="282"/>
      <c r="E3500" s="833"/>
    </row>
    <row r="3501" spans="1:5" x14ac:dyDescent="0.35">
      <c r="A3501" s="281"/>
      <c r="B3501" s="279"/>
      <c r="C3501" s="850"/>
      <c r="D3501" s="282"/>
      <c r="E3501" s="833"/>
    </row>
    <row r="3502" spans="1:5" x14ac:dyDescent="0.35">
      <c r="A3502" s="281"/>
      <c r="B3502" s="279"/>
      <c r="C3502" s="850"/>
      <c r="D3502" s="282"/>
      <c r="E3502" s="833"/>
    </row>
    <row r="3503" spans="1:5" x14ac:dyDescent="0.35">
      <c r="A3503" s="281"/>
      <c r="B3503" s="279"/>
      <c r="C3503" s="850"/>
      <c r="D3503" s="282"/>
      <c r="E3503" s="833"/>
    </row>
    <row r="3504" spans="1:5" x14ac:dyDescent="0.35">
      <c r="A3504" s="281"/>
      <c r="B3504" s="279"/>
      <c r="C3504" s="850"/>
      <c r="D3504" s="282"/>
      <c r="E3504" s="833"/>
    </row>
    <row r="3505" spans="1:5" x14ac:dyDescent="0.35">
      <c r="A3505" s="281"/>
      <c r="B3505" s="279"/>
      <c r="C3505" s="850"/>
      <c r="D3505" s="282"/>
      <c r="E3505" s="833"/>
    </row>
    <row r="3506" spans="1:5" x14ac:dyDescent="0.35">
      <c r="A3506" s="281"/>
      <c r="B3506" s="279"/>
      <c r="C3506" s="850"/>
      <c r="D3506" s="282"/>
      <c r="E3506" s="833"/>
    </row>
    <row r="3507" spans="1:5" x14ac:dyDescent="0.35">
      <c r="A3507" s="281"/>
      <c r="B3507" s="279"/>
      <c r="C3507" s="850"/>
      <c r="D3507" s="282"/>
      <c r="E3507" s="833"/>
    </row>
    <row r="3508" spans="1:5" x14ac:dyDescent="0.35">
      <c r="A3508" s="281"/>
      <c r="B3508" s="279"/>
      <c r="C3508" s="850"/>
      <c r="D3508" s="282"/>
      <c r="E3508" s="833"/>
    </row>
    <row r="3509" spans="1:5" x14ac:dyDescent="0.35">
      <c r="A3509" s="281"/>
      <c r="B3509" s="279"/>
      <c r="C3509" s="850"/>
      <c r="D3509" s="282"/>
      <c r="E3509" s="833"/>
    </row>
    <row r="3510" spans="1:5" x14ac:dyDescent="0.35">
      <c r="A3510" s="281"/>
      <c r="B3510" s="279"/>
      <c r="C3510" s="850"/>
      <c r="D3510" s="282"/>
      <c r="E3510" s="833"/>
    </row>
    <row r="3511" spans="1:5" x14ac:dyDescent="0.35">
      <c r="A3511" s="281"/>
      <c r="B3511" s="279"/>
      <c r="C3511" s="850"/>
      <c r="D3511" s="282"/>
      <c r="E3511" s="833"/>
    </row>
    <row r="3512" spans="1:5" x14ac:dyDescent="0.35">
      <c r="A3512" s="281"/>
      <c r="B3512" s="279"/>
      <c r="C3512" s="850"/>
      <c r="D3512" s="282"/>
      <c r="E3512" s="833"/>
    </row>
    <row r="3513" spans="1:5" x14ac:dyDescent="0.35">
      <c r="A3513" s="281"/>
      <c r="B3513" s="279"/>
      <c r="C3513" s="850"/>
      <c r="D3513" s="282"/>
      <c r="E3513" s="833"/>
    </row>
    <row r="3514" spans="1:5" x14ac:dyDescent="0.35">
      <c r="A3514" s="281"/>
      <c r="B3514" s="279"/>
      <c r="C3514" s="850"/>
      <c r="D3514" s="282"/>
      <c r="E3514" s="833"/>
    </row>
    <row r="3515" spans="1:5" x14ac:dyDescent="0.35">
      <c r="A3515" s="281"/>
      <c r="B3515" s="279"/>
      <c r="C3515" s="850"/>
      <c r="D3515" s="282"/>
      <c r="E3515" s="833"/>
    </row>
    <row r="3516" spans="1:5" x14ac:dyDescent="0.35">
      <c r="A3516" s="281"/>
      <c r="B3516" s="279"/>
      <c r="C3516" s="850"/>
      <c r="D3516" s="282"/>
      <c r="E3516" s="833"/>
    </row>
    <row r="3517" spans="1:5" x14ac:dyDescent="0.35">
      <c r="A3517" s="281"/>
      <c r="B3517" s="279"/>
      <c r="C3517" s="850"/>
      <c r="D3517" s="282"/>
      <c r="E3517" s="833"/>
    </row>
    <row r="3518" spans="1:5" x14ac:dyDescent="0.35">
      <c r="A3518" s="281"/>
      <c r="B3518" s="279"/>
      <c r="C3518" s="850"/>
      <c r="D3518" s="282"/>
      <c r="E3518" s="833"/>
    </row>
    <row r="3519" spans="1:5" x14ac:dyDescent="0.35">
      <c r="A3519" s="281"/>
      <c r="B3519" s="279"/>
      <c r="C3519" s="850"/>
      <c r="D3519" s="282"/>
      <c r="E3519" s="833"/>
    </row>
    <row r="3520" spans="1:5" x14ac:dyDescent="0.35">
      <c r="A3520" s="281"/>
      <c r="B3520" s="279"/>
      <c r="C3520" s="850"/>
      <c r="D3520" s="282"/>
      <c r="E3520" s="833"/>
    </row>
    <row r="3521" spans="1:5" x14ac:dyDescent="0.35">
      <c r="A3521" s="281"/>
      <c r="B3521" s="279"/>
      <c r="C3521" s="850"/>
      <c r="D3521" s="282"/>
      <c r="E3521" s="833"/>
    </row>
    <row r="3522" spans="1:5" x14ac:dyDescent="0.35">
      <c r="A3522" s="281"/>
      <c r="B3522" s="279"/>
      <c r="C3522" s="850"/>
      <c r="D3522" s="282"/>
      <c r="E3522" s="833"/>
    </row>
    <row r="3523" spans="1:5" x14ac:dyDescent="0.35">
      <c r="A3523" s="281"/>
      <c r="B3523" s="279"/>
      <c r="C3523" s="850"/>
      <c r="D3523" s="282"/>
      <c r="E3523" s="833"/>
    </row>
    <row r="3524" spans="1:5" x14ac:dyDescent="0.35">
      <c r="A3524" s="281"/>
      <c r="B3524" s="279"/>
      <c r="C3524" s="850"/>
      <c r="D3524" s="282"/>
      <c r="E3524" s="833"/>
    </row>
    <row r="3525" spans="1:5" x14ac:dyDescent="0.35">
      <c r="A3525" s="281"/>
      <c r="B3525" s="279"/>
      <c r="C3525" s="850"/>
      <c r="D3525" s="282"/>
      <c r="E3525" s="833"/>
    </row>
    <row r="3526" spans="1:5" x14ac:dyDescent="0.35">
      <c r="A3526" s="281"/>
      <c r="B3526" s="279"/>
      <c r="C3526" s="850"/>
      <c r="D3526" s="282"/>
      <c r="E3526" s="833"/>
    </row>
    <row r="3527" spans="1:5" x14ac:dyDescent="0.35">
      <c r="A3527" s="281"/>
      <c r="B3527" s="279"/>
      <c r="C3527" s="850"/>
      <c r="D3527" s="282"/>
      <c r="E3527" s="833"/>
    </row>
    <row r="3528" spans="1:5" x14ac:dyDescent="0.35">
      <c r="A3528" s="281"/>
      <c r="B3528" s="279"/>
      <c r="C3528" s="850"/>
      <c r="D3528" s="282"/>
      <c r="E3528" s="833"/>
    </row>
    <row r="3529" spans="1:5" x14ac:dyDescent="0.35">
      <c r="A3529" s="281"/>
      <c r="B3529" s="279"/>
      <c r="C3529" s="850"/>
      <c r="D3529" s="282"/>
      <c r="E3529" s="833"/>
    </row>
    <row r="3530" spans="1:5" x14ac:dyDescent="0.35">
      <c r="A3530" s="281"/>
      <c r="B3530" s="279"/>
      <c r="C3530" s="850"/>
      <c r="D3530" s="282"/>
      <c r="E3530" s="833"/>
    </row>
    <row r="3531" spans="1:5" x14ac:dyDescent="0.35">
      <c r="A3531" s="281"/>
      <c r="B3531" s="279"/>
      <c r="C3531" s="850"/>
      <c r="D3531" s="282"/>
      <c r="E3531" s="833"/>
    </row>
    <row r="3532" spans="1:5" x14ac:dyDescent="0.35">
      <c r="A3532" s="281"/>
      <c r="B3532" s="279"/>
      <c r="C3532" s="850"/>
      <c r="D3532" s="282"/>
      <c r="E3532" s="833"/>
    </row>
    <row r="3533" spans="1:5" x14ac:dyDescent="0.35">
      <c r="A3533" s="281"/>
      <c r="B3533" s="279"/>
      <c r="C3533" s="850"/>
      <c r="D3533" s="282"/>
      <c r="E3533" s="833"/>
    </row>
    <row r="3534" spans="1:5" x14ac:dyDescent="0.35">
      <c r="A3534" s="281"/>
      <c r="B3534" s="279"/>
      <c r="C3534" s="850"/>
      <c r="D3534" s="282"/>
      <c r="E3534" s="833"/>
    </row>
    <row r="3535" spans="1:5" x14ac:dyDescent="0.35">
      <c r="A3535" s="281"/>
      <c r="B3535" s="279"/>
      <c r="C3535" s="850"/>
      <c r="D3535" s="282"/>
      <c r="E3535" s="833"/>
    </row>
    <row r="3536" spans="1:5" x14ac:dyDescent="0.35">
      <c r="A3536" s="281"/>
      <c r="B3536" s="279"/>
      <c r="C3536" s="850"/>
      <c r="D3536" s="282"/>
      <c r="E3536" s="833"/>
    </row>
    <row r="3537" spans="1:5" x14ac:dyDescent="0.35">
      <c r="A3537" s="281"/>
      <c r="B3537" s="279"/>
      <c r="C3537" s="850"/>
      <c r="D3537" s="282"/>
      <c r="E3537" s="833"/>
    </row>
    <row r="3538" spans="1:5" x14ac:dyDescent="0.35">
      <c r="A3538" s="281"/>
      <c r="B3538" s="279"/>
      <c r="C3538" s="850"/>
      <c r="D3538" s="282"/>
      <c r="E3538" s="833"/>
    </row>
    <row r="3539" spans="1:5" x14ac:dyDescent="0.35">
      <c r="A3539" s="281"/>
      <c r="B3539" s="279"/>
      <c r="C3539" s="850"/>
      <c r="D3539" s="282"/>
      <c r="E3539" s="833"/>
    </row>
    <row r="3540" spans="1:5" x14ac:dyDescent="0.35">
      <c r="A3540" s="281"/>
      <c r="B3540" s="279"/>
      <c r="C3540" s="850"/>
      <c r="D3540" s="282"/>
      <c r="E3540" s="833"/>
    </row>
    <row r="3541" spans="1:5" x14ac:dyDescent="0.35">
      <c r="A3541" s="281"/>
      <c r="B3541" s="279"/>
      <c r="C3541" s="850"/>
      <c r="D3541" s="282"/>
      <c r="E3541" s="833"/>
    </row>
    <row r="3542" spans="1:5" x14ac:dyDescent="0.35">
      <c r="A3542" s="281"/>
      <c r="B3542" s="279"/>
      <c r="C3542" s="850"/>
      <c r="D3542" s="282"/>
      <c r="E3542" s="833"/>
    </row>
    <row r="3543" spans="1:5" x14ac:dyDescent="0.35">
      <c r="A3543" s="281"/>
      <c r="B3543" s="279"/>
      <c r="C3543" s="850"/>
      <c r="D3543" s="282"/>
      <c r="E3543" s="833"/>
    </row>
    <row r="3544" spans="1:5" x14ac:dyDescent="0.35">
      <c r="A3544" s="281"/>
      <c r="B3544" s="279"/>
      <c r="C3544" s="850"/>
      <c r="D3544" s="282"/>
      <c r="E3544" s="833"/>
    </row>
    <row r="3545" spans="1:5" x14ac:dyDescent="0.35">
      <c r="A3545" s="281"/>
      <c r="B3545" s="279"/>
      <c r="C3545" s="850"/>
      <c r="D3545" s="282"/>
      <c r="E3545" s="833"/>
    </row>
    <row r="3546" spans="1:5" x14ac:dyDescent="0.35">
      <c r="A3546" s="281"/>
      <c r="B3546" s="279"/>
      <c r="C3546" s="850"/>
      <c r="D3546" s="282"/>
      <c r="E3546" s="833"/>
    </row>
    <row r="3547" spans="1:5" x14ac:dyDescent="0.35">
      <c r="A3547" s="281"/>
      <c r="B3547" s="279"/>
      <c r="C3547" s="850"/>
      <c r="D3547" s="282"/>
      <c r="E3547" s="833"/>
    </row>
    <row r="3548" spans="1:5" x14ac:dyDescent="0.35">
      <c r="A3548" s="281"/>
      <c r="B3548" s="279"/>
      <c r="C3548" s="850"/>
      <c r="D3548" s="282"/>
      <c r="E3548" s="833"/>
    </row>
    <row r="3549" spans="1:5" x14ac:dyDescent="0.35">
      <c r="A3549" s="281"/>
      <c r="B3549" s="279"/>
      <c r="C3549" s="850"/>
      <c r="D3549" s="282"/>
      <c r="E3549" s="833"/>
    </row>
    <row r="3550" spans="1:5" x14ac:dyDescent="0.35">
      <c r="A3550" s="281"/>
      <c r="B3550" s="279"/>
      <c r="C3550" s="850"/>
      <c r="D3550" s="282"/>
      <c r="E3550" s="833"/>
    </row>
    <row r="3551" spans="1:5" x14ac:dyDescent="0.35">
      <c r="A3551" s="281"/>
      <c r="B3551" s="279"/>
      <c r="C3551" s="850"/>
      <c r="D3551" s="282"/>
      <c r="E3551" s="833"/>
    </row>
    <row r="3552" spans="1:5" x14ac:dyDescent="0.35">
      <c r="A3552" s="281"/>
      <c r="B3552" s="279"/>
      <c r="C3552" s="850"/>
      <c r="D3552" s="282"/>
      <c r="E3552" s="833"/>
    </row>
    <row r="3553" spans="1:5" x14ac:dyDescent="0.35">
      <c r="A3553" s="281"/>
      <c r="B3553" s="279"/>
      <c r="C3553" s="850"/>
      <c r="D3553" s="282"/>
      <c r="E3553" s="833"/>
    </row>
    <row r="3554" spans="1:5" x14ac:dyDescent="0.35">
      <c r="A3554" s="281"/>
      <c r="B3554" s="279"/>
      <c r="C3554" s="850"/>
      <c r="D3554" s="282"/>
      <c r="E3554" s="833"/>
    </row>
    <row r="3555" spans="1:5" x14ac:dyDescent="0.35">
      <c r="A3555" s="281"/>
      <c r="B3555" s="279"/>
      <c r="C3555" s="850"/>
      <c r="D3555" s="282"/>
      <c r="E3555" s="833"/>
    </row>
    <row r="3556" spans="1:5" x14ac:dyDescent="0.35">
      <c r="A3556" s="281"/>
      <c r="B3556" s="279"/>
      <c r="C3556" s="850"/>
      <c r="D3556" s="282"/>
      <c r="E3556" s="833"/>
    </row>
    <row r="3557" spans="1:5" x14ac:dyDescent="0.35">
      <c r="A3557" s="281"/>
      <c r="B3557" s="279"/>
      <c r="C3557" s="850"/>
      <c r="D3557" s="282"/>
      <c r="E3557" s="833"/>
    </row>
    <row r="3558" spans="1:5" x14ac:dyDescent="0.35">
      <c r="A3558" s="281"/>
      <c r="B3558" s="279"/>
      <c r="C3558" s="850"/>
      <c r="D3558" s="282"/>
      <c r="E3558" s="833"/>
    </row>
    <row r="3559" spans="1:5" x14ac:dyDescent="0.35">
      <c r="A3559" s="281"/>
      <c r="B3559" s="279"/>
      <c r="C3559" s="850"/>
      <c r="D3559" s="282"/>
      <c r="E3559" s="833"/>
    </row>
    <row r="3560" spans="1:5" x14ac:dyDescent="0.35">
      <c r="A3560" s="281"/>
      <c r="B3560" s="279"/>
      <c r="C3560" s="850"/>
      <c r="D3560" s="282"/>
      <c r="E3560" s="833"/>
    </row>
    <row r="3561" spans="1:5" x14ac:dyDescent="0.35">
      <c r="A3561" s="281"/>
      <c r="B3561" s="279"/>
      <c r="C3561" s="850"/>
      <c r="D3561" s="282"/>
      <c r="E3561" s="833"/>
    </row>
    <row r="3562" spans="1:5" x14ac:dyDescent="0.35">
      <c r="A3562" s="281"/>
      <c r="B3562" s="279"/>
      <c r="C3562" s="850"/>
      <c r="D3562" s="282"/>
      <c r="E3562" s="833"/>
    </row>
    <row r="3563" spans="1:5" x14ac:dyDescent="0.35">
      <c r="A3563" s="281"/>
      <c r="B3563" s="279"/>
      <c r="C3563" s="850"/>
      <c r="D3563" s="282"/>
      <c r="E3563" s="833"/>
    </row>
    <row r="3564" spans="1:5" x14ac:dyDescent="0.35">
      <c r="A3564" s="281"/>
      <c r="B3564" s="279"/>
      <c r="C3564" s="850"/>
      <c r="D3564" s="282"/>
      <c r="E3564" s="833"/>
    </row>
    <row r="3565" spans="1:5" x14ac:dyDescent="0.35">
      <c r="A3565" s="281"/>
      <c r="B3565" s="279"/>
      <c r="C3565" s="850"/>
      <c r="D3565" s="282"/>
      <c r="E3565" s="833"/>
    </row>
    <row r="3566" spans="1:5" x14ac:dyDescent="0.35">
      <c r="A3566" s="281"/>
      <c r="B3566" s="279"/>
      <c r="C3566" s="850"/>
      <c r="D3566" s="282"/>
      <c r="E3566" s="833"/>
    </row>
    <row r="3567" spans="1:5" x14ac:dyDescent="0.35">
      <c r="A3567" s="281"/>
      <c r="B3567" s="279"/>
      <c r="C3567" s="850"/>
      <c r="D3567" s="282"/>
      <c r="E3567" s="833"/>
    </row>
    <row r="3568" spans="1:5" x14ac:dyDescent="0.35">
      <c r="A3568" s="281"/>
      <c r="B3568" s="279"/>
      <c r="C3568" s="850"/>
      <c r="D3568" s="282"/>
      <c r="E3568" s="833"/>
    </row>
    <row r="3569" spans="1:5" x14ac:dyDescent="0.35">
      <c r="A3569" s="281"/>
      <c r="B3569" s="279"/>
      <c r="C3569" s="850"/>
      <c r="D3569" s="282"/>
      <c r="E3569" s="833"/>
    </row>
    <row r="3570" spans="1:5" x14ac:dyDescent="0.35">
      <c r="A3570" s="281"/>
      <c r="B3570" s="279"/>
      <c r="C3570" s="850"/>
      <c r="D3570" s="282"/>
      <c r="E3570" s="833"/>
    </row>
    <row r="3571" spans="1:5" x14ac:dyDescent="0.35">
      <c r="A3571" s="281"/>
      <c r="B3571" s="279"/>
      <c r="C3571" s="850"/>
      <c r="D3571" s="282"/>
      <c r="E3571" s="833"/>
    </row>
    <row r="3572" spans="1:5" x14ac:dyDescent="0.35">
      <c r="A3572" s="281"/>
      <c r="B3572" s="279"/>
      <c r="C3572" s="850"/>
      <c r="D3572" s="282"/>
      <c r="E3572" s="833"/>
    </row>
    <row r="3573" spans="1:5" x14ac:dyDescent="0.35">
      <c r="A3573" s="281"/>
      <c r="B3573" s="279"/>
      <c r="C3573" s="850"/>
      <c r="D3573" s="282"/>
      <c r="E3573" s="833"/>
    </row>
    <row r="3574" spans="1:5" x14ac:dyDescent="0.35">
      <c r="A3574" s="281"/>
      <c r="B3574" s="279"/>
      <c r="C3574" s="850"/>
      <c r="D3574" s="282"/>
      <c r="E3574" s="833"/>
    </row>
    <row r="3575" spans="1:5" x14ac:dyDescent="0.35">
      <c r="A3575" s="281"/>
      <c r="B3575" s="279"/>
      <c r="C3575" s="850"/>
      <c r="D3575" s="282"/>
      <c r="E3575" s="833"/>
    </row>
    <row r="3576" spans="1:5" x14ac:dyDescent="0.35">
      <c r="A3576" s="281"/>
      <c r="B3576" s="279"/>
      <c r="C3576" s="850"/>
      <c r="D3576" s="282"/>
      <c r="E3576" s="833"/>
    </row>
    <row r="3577" spans="1:5" x14ac:dyDescent="0.35">
      <c r="A3577" s="281"/>
      <c r="B3577" s="279"/>
      <c r="C3577" s="850"/>
      <c r="D3577" s="282"/>
      <c r="E3577" s="833"/>
    </row>
    <row r="3578" spans="1:5" x14ac:dyDescent="0.35">
      <c r="A3578" s="281"/>
      <c r="B3578" s="279"/>
      <c r="C3578" s="850"/>
      <c r="D3578" s="282"/>
      <c r="E3578" s="833"/>
    </row>
    <row r="3579" spans="1:5" x14ac:dyDescent="0.35">
      <c r="A3579" s="281"/>
      <c r="B3579" s="279"/>
      <c r="C3579" s="850"/>
      <c r="D3579" s="282"/>
      <c r="E3579" s="833"/>
    </row>
    <row r="3580" spans="1:5" x14ac:dyDescent="0.35">
      <c r="A3580" s="281"/>
      <c r="B3580" s="279"/>
      <c r="C3580" s="850"/>
      <c r="D3580" s="282"/>
      <c r="E3580" s="833"/>
    </row>
    <row r="3581" spans="1:5" x14ac:dyDescent="0.35">
      <c r="A3581" s="281"/>
      <c r="B3581" s="279"/>
      <c r="C3581" s="850"/>
      <c r="D3581" s="282"/>
      <c r="E3581" s="833"/>
    </row>
    <row r="3582" spans="1:5" x14ac:dyDescent="0.35">
      <c r="A3582" s="281"/>
      <c r="B3582" s="279"/>
      <c r="C3582" s="850"/>
      <c r="D3582" s="282"/>
      <c r="E3582" s="833"/>
    </row>
    <row r="3583" spans="1:5" x14ac:dyDescent="0.35">
      <c r="A3583" s="281"/>
      <c r="B3583" s="279"/>
      <c r="C3583" s="850"/>
      <c r="D3583" s="282"/>
      <c r="E3583" s="833"/>
    </row>
    <row r="3584" spans="1:5" x14ac:dyDescent="0.35">
      <c r="A3584" s="281"/>
      <c r="B3584" s="279"/>
      <c r="C3584" s="850"/>
      <c r="D3584" s="282"/>
      <c r="E3584" s="833"/>
    </row>
    <row r="3585" spans="1:5" x14ac:dyDescent="0.35">
      <c r="A3585" s="281"/>
      <c r="B3585" s="279"/>
      <c r="C3585" s="850"/>
      <c r="D3585" s="282"/>
      <c r="E3585" s="833"/>
    </row>
    <row r="3586" spans="1:5" x14ac:dyDescent="0.35">
      <c r="A3586" s="281"/>
      <c r="B3586" s="279"/>
      <c r="C3586" s="850"/>
      <c r="D3586" s="282"/>
      <c r="E3586" s="833"/>
    </row>
    <row r="3587" spans="1:5" x14ac:dyDescent="0.35">
      <c r="A3587" s="281"/>
      <c r="B3587" s="279"/>
      <c r="C3587" s="850"/>
      <c r="D3587" s="282"/>
      <c r="E3587" s="833"/>
    </row>
    <row r="3588" spans="1:5" x14ac:dyDescent="0.35">
      <c r="A3588" s="281"/>
      <c r="B3588" s="279"/>
      <c r="C3588" s="850"/>
      <c r="D3588" s="282"/>
      <c r="E3588" s="833"/>
    </row>
    <row r="3589" spans="1:5" x14ac:dyDescent="0.35">
      <c r="A3589" s="281"/>
      <c r="B3589" s="279"/>
      <c r="C3589" s="850"/>
      <c r="D3589" s="282"/>
      <c r="E3589" s="833"/>
    </row>
    <row r="3590" spans="1:5" x14ac:dyDescent="0.35">
      <c r="A3590" s="281"/>
      <c r="B3590" s="279"/>
      <c r="C3590" s="850"/>
      <c r="D3590" s="282"/>
      <c r="E3590" s="833"/>
    </row>
    <row r="3591" spans="1:5" x14ac:dyDescent="0.35">
      <c r="A3591" s="281"/>
      <c r="B3591" s="279"/>
      <c r="C3591" s="850"/>
      <c r="D3591" s="282"/>
      <c r="E3591" s="833"/>
    </row>
    <row r="3592" spans="1:5" x14ac:dyDescent="0.35">
      <c r="A3592" s="281"/>
      <c r="B3592" s="279"/>
      <c r="C3592" s="850"/>
      <c r="D3592" s="282"/>
      <c r="E3592" s="833"/>
    </row>
    <row r="3593" spans="1:5" x14ac:dyDescent="0.35">
      <c r="A3593" s="281"/>
      <c r="B3593" s="279"/>
      <c r="C3593" s="850"/>
      <c r="D3593" s="282"/>
      <c r="E3593" s="833"/>
    </row>
    <row r="3594" spans="1:5" x14ac:dyDescent="0.35">
      <c r="A3594" s="281"/>
      <c r="B3594" s="279"/>
      <c r="C3594" s="850"/>
      <c r="D3594" s="282"/>
      <c r="E3594" s="833"/>
    </row>
    <row r="3595" spans="1:5" x14ac:dyDescent="0.35">
      <c r="A3595" s="281"/>
      <c r="B3595" s="279"/>
      <c r="C3595" s="850"/>
      <c r="D3595" s="282"/>
      <c r="E3595" s="833"/>
    </row>
    <row r="3596" spans="1:5" x14ac:dyDescent="0.35">
      <c r="A3596" s="281"/>
      <c r="B3596" s="279"/>
      <c r="C3596" s="850"/>
      <c r="D3596" s="282"/>
      <c r="E3596" s="833"/>
    </row>
    <row r="3597" spans="1:5" x14ac:dyDescent="0.35">
      <c r="A3597" s="281"/>
      <c r="B3597" s="279"/>
      <c r="C3597" s="850"/>
      <c r="D3597" s="282"/>
      <c r="E3597" s="833"/>
    </row>
    <row r="3598" spans="1:5" x14ac:dyDescent="0.35">
      <c r="A3598" s="281"/>
      <c r="B3598" s="279"/>
      <c r="C3598" s="850"/>
      <c r="D3598" s="282"/>
      <c r="E3598" s="833"/>
    </row>
    <row r="3599" spans="1:5" x14ac:dyDescent="0.35">
      <c r="A3599" s="281"/>
      <c r="B3599" s="279"/>
      <c r="C3599" s="850"/>
      <c r="D3599" s="282"/>
      <c r="E3599" s="833"/>
    </row>
    <row r="3600" spans="1:5" x14ac:dyDescent="0.35">
      <c r="A3600" s="281"/>
      <c r="B3600" s="279"/>
      <c r="C3600" s="850"/>
      <c r="D3600" s="282"/>
      <c r="E3600" s="833"/>
    </row>
    <row r="3601" spans="1:5" x14ac:dyDescent="0.35">
      <c r="A3601" s="281"/>
      <c r="B3601" s="279"/>
      <c r="C3601" s="850"/>
      <c r="D3601" s="282"/>
      <c r="E3601" s="833"/>
    </row>
    <row r="3602" spans="1:5" x14ac:dyDescent="0.35">
      <c r="A3602" s="281"/>
      <c r="B3602" s="279"/>
      <c r="C3602" s="850"/>
      <c r="D3602" s="282"/>
      <c r="E3602" s="833"/>
    </row>
    <row r="3603" spans="1:5" x14ac:dyDescent="0.35">
      <c r="A3603" s="281"/>
      <c r="B3603" s="279"/>
      <c r="C3603" s="850"/>
      <c r="D3603" s="282"/>
      <c r="E3603" s="833"/>
    </row>
    <row r="3604" spans="1:5" x14ac:dyDescent="0.35">
      <c r="A3604" s="281"/>
      <c r="B3604" s="279"/>
      <c r="C3604" s="850"/>
      <c r="D3604" s="282"/>
      <c r="E3604" s="833"/>
    </row>
    <row r="3605" spans="1:5" x14ac:dyDescent="0.35">
      <c r="A3605" s="281"/>
      <c r="B3605" s="279"/>
      <c r="C3605" s="850"/>
      <c r="D3605" s="282"/>
      <c r="E3605" s="833"/>
    </row>
    <row r="3606" spans="1:5" x14ac:dyDescent="0.35">
      <c r="A3606" s="281"/>
      <c r="B3606" s="279"/>
      <c r="C3606" s="850"/>
      <c r="D3606" s="282"/>
      <c r="E3606" s="833"/>
    </row>
    <row r="3607" spans="1:5" x14ac:dyDescent="0.35">
      <c r="A3607" s="281"/>
      <c r="B3607" s="279"/>
      <c r="C3607" s="850"/>
      <c r="D3607" s="282"/>
      <c r="E3607" s="833"/>
    </row>
    <row r="3608" spans="1:5" x14ac:dyDescent="0.35">
      <c r="A3608" s="281"/>
      <c r="B3608" s="279"/>
      <c r="C3608" s="850"/>
      <c r="D3608" s="282"/>
      <c r="E3608" s="833"/>
    </row>
    <row r="3609" spans="1:5" x14ac:dyDescent="0.35">
      <c r="A3609" s="281"/>
      <c r="B3609" s="279"/>
      <c r="C3609" s="850"/>
      <c r="D3609" s="282"/>
      <c r="E3609" s="833"/>
    </row>
    <row r="3610" spans="1:5" x14ac:dyDescent="0.35">
      <c r="A3610" s="281"/>
      <c r="B3610" s="279"/>
      <c r="C3610" s="850"/>
      <c r="D3610" s="282"/>
      <c r="E3610" s="833"/>
    </row>
    <row r="3611" spans="1:5" x14ac:dyDescent="0.35">
      <c r="A3611" s="281"/>
      <c r="B3611" s="279"/>
      <c r="C3611" s="850"/>
      <c r="D3611" s="282"/>
      <c r="E3611" s="833"/>
    </row>
    <row r="3612" spans="1:5" x14ac:dyDescent="0.35">
      <c r="A3612" s="281"/>
      <c r="B3612" s="279"/>
      <c r="C3612" s="850"/>
      <c r="D3612" s="282"/>
      <c r="E3612" s="833"/>
    </row>
    <row r="3613" spans="1:5" x14ac:dyDescent="0.35">
      <c r="A3613" s="281"/>
      <c r="B3613" s="279"/>
      <c r="C3613" s="850"/>
      <c r="D3613" s="282"/>
      <c r="E3613" s="833"/>
    </row>
    <row r="3614" spans="1:5" x14ac:dyDescent="0.35">
      <c r="A3614" s="281"/>
      <c r="B3614" s="279"/>
      <c r="C3614" s="850"/>
      <c r="D3614" s="282"/>
      <c r="E3614" s="833"/>
    </row>
    <row r="3615" spans="1:5" x14ac:dyDescent="0.35">
      <c r="A3615" s="281"/>
      <c r="B3615" s="279"/>
      <c r="C3615" s="850"/>
      <c r="D3615" s="282"/>
      <c r="E3615" s="833"/>
    </row>
    <row r="3616" spans="1:5" x14ac:dyDescent="0.35">
      <c r="A3616" s="281"/>
      <c r="B3616" s="279"/>
      <c r="C3616" s="850"/>
      <c r="D3616" s="282"/>
      <c r="E3616" s="833"/>
    </row>
    <row r="3617" spans="1:5" x14ac:dyDescent="0.35">
      <c r="A3617" s="281"/>
      <c r="B3617" s="279"/>
      <c r="C3617" s="850"/>
      <c r="D3617" s="282"/>
      <c r="E3617" s="833"/>
    </row>
    <row r="3618" spans="1:5" x14ac:dyDescent="0.35">
      <c r="A3618" s="281"/>
      <c r="B3618" s="279"/>
      <c r="C3618" s="850"/>
      <c r="D3618" s="282"/>
      <c r="E3618" s="833"/>
    </row>
    <row r="3619" spans="1:5" x14ac:dyDescent="0.35">
      <c r="A3619" s="281"/>
      <c r="B3619" s="279"/>
      <c r="C3619" s="850"/>
      <c r="D3619" s="282"/>
      <c r="E3619" s="833"/>
    </row>
    <row r="3620" spans="1:5" x14ac:dyDescent="0.35">
      <c r="A3620" s="281"/>
      <c r="B3620" s="279"/>
      <c r="C3620" s="850"/>
      <c r="D3620" s="282"/>
      <c r="E3620" s="833"/>
    </row>
    <row r="3621" spans="1:5" x14ac:dyDescent="0.35">
      <c r="A3621" s="281"/>
      <c r="B3621" s="279"/>
      <c r="C3621" s="850"/>
      <c r="D3621" s="282"/>
      <c r="E3621" s="833"/>
    </row>
    <row r="3622" spans="1:5" x14ac:dyDescent="0.35">
      <c r="A3622" s="281"/>
      <c r="B3622" s="279"/>
      <c r="C3622" s="850"/>
      <c r="D3622" s="282"/>
      <c r="E3622" s="833"/>
    </row>
    <row r="3623" spans="1:5" x14ac:dyDescent="0.35">
      <c r="A3623" s="281"/>
      <c r="B3623" s="279"/>
      <c r="C3623" s="850"/>
      <c r="D3623" s="282"/>
      <c r="E3623" s="833"/>
    </row>
    <row r="3624" spans="1:5" x14ac:dyDescent="0.35">
      <c r="A3624" s="281"/>
      <c r="B3624" s="279"/>
      <c r="C3624" s="850"/>
      <c r="D3624" s="282"/>
      <c r="E3624" s="833"/>
    </row>
    <row r="3625" spans="1:5" x14ac:dyDescent="0.35">
      <c r="A3625" s="281"/>
      <c r="B3625" s="279"/>
      <c r="C3625" s="850"/>
      <c r="D3625" s="282"/>
      <c r="E3625" s="833"/>
    </row>
    <row r="3626" spans="1:5" x14ac:dyDescent="0.35">
      <c r="A3626" s="281"/>
      <c r="B3626" s="279"/>
      <c r="C3626" s="850"/>
      <c r="D3626" s="282"/>
      <c r="E3626" s="833"/>
    </row>
    <row r="3627" spans="1:5" x14ac:dyDescent="0.35">
      <c r="A3627" s="281"/>
      <c r="B3627" s="279"/>
      <c r="C3627" s="850"/>
      <c r="D3627" s="282"/>
      <c r="E3627" s="833"/>
    </row>
    <row r="3628" spans="1:5" x14ac:dyDescent="0.35">
      <c r="A3628" s="281"/>
      <c r="B3628" s="279"/>
      <c r="C3628" s="850"/>
      <c r="D3628" s="282"/>
      <c r="E3628" s="833"/>
    </row>
    <row r="3629" spans="1:5" x14ac:dyDescent="0.35">
      <c r="A3629" s="281"/>
      <c r="B3629" s="279"/>
      <c r="C3629" s="850"/>
      <c r="D3629" s="282"/>
      <c r="E3629" s="833"/>
    </row>
    <row r="3630" spans="1:5" x14ac:dyDescent="0.35">
      <c r="A3630" s="281"/>
      <c r="B3630" s="279"/>
      <c r="C3630" s="850"/>
      <c r="D3630" s="282"/>
      <c r="E3630" s="833"/>
    </row>
    <row r="3631" spans="1:5" x14ac:dyDescent="0.35">
      <c r="A3631" s="281"/>
      <c r="B3631" s="279"/>
      <c r="C3631" s="850"/>
      <c r="D3631" s="282"/>
      <c r="E3631" s="833"/>
    </row>
    <row r="3632" spans="1:5" x14ac:dyDescent="0.35">
      <c r="A3632" s="281"/>
      <c r="B3632" s="279"/>
      <c r="C3632" s="850"/>
      <c r="D3632" s="282"/>
      <c r="E3632" s="833"/>
    </row>
    <row r="3633" spans="1:5" x14ac:dyDescent="0.35">
      <c r="A3633" s="281"/>
      <c r="B3633" s="279"/>
      <c r="C3633" s="850"/>
      <c r="D3633" s="282"/>
      <c r="E3633" s="833"/>
    </row>
    <row r="3634" spans="1:5" x14ac:dyDescent="0.35">
      <c r="A3634" s="281"/>
      <c r="B3634" s="279"/>
      <c r="C3634" s="850"/>
      <c r="D3634" s="282"/>
      <c r="E3634" s="833"/>
    </row>
    <row r="3635" spans="1:5" x14ac:dyDescent="0.35">
      <c r="A3635" s="281"/>
      <c r="B3635" s="279"/>
      <c r="C3635" s="850"/>
      <c r="D3635" s="282"/>
      <c r="E3635" s="833"/>
    </row>
    <row r="3636" spans="1:5" x14ac:dyDescent="0.35">
      <c r="A3636" s="281"/>
      <c r="B3636" s="279"/>
      <c r="C3636" s="850"/>
      <c r="D3636" s="282"/>
      <c r="E3636" s="833"/>
    </row>
    <row r="3637" spans="1:5" x14ac:dyDescent="0.35">
      <c r="A3637" s="281"/>
      <c r="B3637" s="279"/>
      <c r="C3637" s="850"/>
      <c r="D3637" s="282"/>
      <c r="E3637" s="833"/>
    </row>
    <row r="3638" spans="1:5" x14ac:dyDescent="0.35">
      <c r="A3638" s="281"/>
      <c r="B3638" s="279"/>
      <c r="C3638" s="850"/>
      <c r="D3638" s="282"/>
      <c r="E3638" s="833"/>
    </row>
    <row r="3639" spans="1:5" x14ac:dyDescent="0.35">
      <c r="A3639" s="281"/>
      <c r="B3639" s="279"/>
      <c r="C3639" s="850"/>
      <c r="D3639" s="282"/>
      <c r="E3639" s="833"/>
    </row>
    <row r="3640" spans="1:5" x14ac:dyDescent="0.35">
      <c r="A3640" s="281"/>
      <c r="B3640" s="279"/>
      <c r="C3640" s="850"/>
      <c r="D3640" s="282"/>
      <c r="E3640" s="833"/>
    </row>
    <row r="3641" spans="1:5" x14ac:dyDescent="0.35">
      <c r="A3641" s="281"/>
      <c r="B3641" s="279"/>
      <c r="C3641" s="850"/>
      <c r="D3641" s="282"/>
      <c r="E3641" s="833"/>
    </row>
    <row r="3642" spans="1:5" x14ac:dyDescent="0.35">
      <c r="A3642" s="281"/>
      <c r="B3642" s="279"/>
      <c r="C3642" s="850"/>
      <c r="D3642" s="282"/>
      <c r="E3642" s="833"/>
    </row>
    <row r="3643" spans="1:5" x14ac:dyDescent="0.35">
      <c r="A3643" s="281"/>
      <c r="B3643" s="279"/>
      <c r="C3643" s="850"/>
      <c r="D3643" s="282"/>
      <c r="E3643" s="833"/>
    </row>
    <row r="3644" spans="1:5" x14ac:dyDescent="0.35">
      <c r="A3644" s="281"/>
      <c r="B3644" s="279"/>
      <c r="C3644" s="850"/>
      <c r="D3644" s="282"/>
      <c r="E3644" s="833"/>
    </row>
    <row r="3645" spans="1:5" x14ac:dyDescent="0.35">
      <c r="A3645" s="281"/>
      <c r="B3645" s="279"/>
      <c r="C3645" s="850"/>
      <c r="D3645" s="282"/>
      <c r="E3645" s="833"/>
    </row>
    <row r="3646" spans="1:5" x14ac:dyDescent="0.35">
      <c r="A3646" s="281"/>
      <c r="B3646" s="279"/>
      <c r="C3646" s="850"/>
      <c r="D3646" s="282"/>
      <c r="E3646" s="833"/>
    </row>
    <row r="3647" spans="1:5" x14ac:dyDescent="0.35">
      <c r="A3647" s="281"/>
      <c r="B3647" s="279"/>
      <c r="C3647" s="850"/>
      <c r="D3647" s="282"/>
      <c r="E3647" s="833"/>
    </row>
    <row r="3648" spans="1:5" x14ac:dyDescent="0.35">
      <c r="A3648" s="281"/>
      <c r="B3648" s="279"/>
      <c r="C3648" s="850"/>
      <c r="D3648" s="282"/>
      <c r="E3648" s="833"/>
    </row>
    <row r="3649" spans="1:5" x14ac:dyDescent="0.35">
      <c r="A3649" s="281"/>
      <c r="B3649" s="279"/>
      <c r="C3649" s="850"/>
      <c r="D3649" s="282"/>
      <c r="E3649" s="833"/>
    </row>
    <row r="3650" spans="1:5" x14ac:dyDescent="0.35">
      <c r="A3650" s="281"/>
      <c r="B3650" s="279"/>
      <c r="C3650" s="850"/>
      <c r="D3650" s="282"/>
      <c r="E3650" s="833"/>
    </row>
    <row r="3651" spans="1:5" x14ac:dyDescent="0.35">
      <c r="A3651" s="281"/>
      <c r="B3651" s="279"/>
      <c r="C3651" s="850"/>
      <c r="D3651" s="282"/>
      <c r="E3651" s="833"/>
    </row>
    <row r="3652" spans="1:5" x14ac:dyDescent="0.35">
      <c r="A3652" s="281"/>
      <c r="B3652" s="279"/>
      <c r="C3652" s="850"/>
      <c r="D3652" s="282"/>
      <c r="E3652" s="833"/>
    </row>
    <row r="3653" spans="1:5" x14ac:dyDescent="0.35">
      <c r="A3653" s="281"/>
      <c r="B3653" s="279"/>
      <c r="C3653" s="850"/>
      <c r="D3653" s="282"/>
      <c r="E3653" s="833"/>
    </row>
    <row r="3654" spans="1:5" x14ac:dyDescent="0.35">
      <c r="A3654" s="281"/>
      <c r="B3654" s="279"/>
      <c r="C3654" s="850"/>
      <c r="D3654" s="282"/>
      <c r="E3654" s="833"/>
    </row>
    <row r="3655" spans="1:5" x14ac:dyDescent="0.35">
      <c r="A3655" s="281"/>
      <c r="B3655" s="279"/>
      <c r="C3655" s="850"/>
      <c r="D3655" s="282"/>
      <c r="E3655" s="833"/>
    </row>
    <row r="3656" spans="1:5" x14ac:dyDescent="0.35">
      <c r="A3656" s="281"/>
      <c r="B3656" s="279"/>
      <c r="C3656" s="850"/>
      <c r="D3656" s="282"/>
      <c r="E3656" s="833"/>
    </row>
    <row r="3657" spans="1:5" x14ac:dyDescent="0.35">
      <c r="A3657" s="281"/>
      <c r="B3657" s="279"/>
      <c r="C3657" s="850"/>
      <c r="D3657" s="282"/>
      <c r="E3657" s="833"/>
    </row>
    <row r="3658" spans="1:5" x14ac:dyDescent="0.35">
      <c r="A3658" s="281"/>
      <c r="B3658" s="279"/>
      <c r="C3658" s="850"/>
      <c r="D3658" s="282"/>
      <c r="E3658" s="833"/>
    </row>
    <row r="3659" spans="1:5" x14ac:dyDescent="0.35">
      <c r="A3659" s="281"/>
      <c r="B3659" s="279"/>
      <c r="C3659" s="850"/>
      <c r="D3659" s="282"/>
      <c r="E3659" s="833"/>
    </row>
    <row r="3660" spans="1:5" x14ac:dyDescent="0.35">
      <c r="A3660" s="281"/>
      <c r="B3660" s="279"/>
      <c r="C3660" s="850"/>
      <c r="D3660" s="282"/>
      <c r="E3660" s="833"/>
    </row>
    <row r="3661" spans="1:5" x14ac:dyDescent="0.35">
      <c r="A3661" s="281"/>
      <c r="B3661" s="279"/>
      <c r="C3661" s="850"/>
      <c r="D3661" s="282"/>
      <c r="E3661" s="833"/>
    </row>
    <row r="3662" spans="1:5" x14ac:dyDescent="0.35">
      <c r="A3662" s="281"/>
      <c r="B3662" s="279"/>
      <c r="C3662" s="850"/>
      <c r="D3662" s="282"/>
      <c r="E3662" s="833"/>
    </row>
    <row r="3663" spans="1:5" x14ac:dyDescent="0.35">
      <c r="A3663" s="281"/>
      <c r="B3663" s="279"/>
      <c r="C3663" s="850"/>
      <c r="D3663" s="282"/>
      <c r="E3663" s="833"/>
    </row>
    <row r="3664" spans="1:5" x14ac:dyDescent="0.35">
      <c r="A3664" s="281"/>
      <c r="B3664" s="279"/>
      <c r="C3664" s="850"/>
      <c r="D3664" s="282"/>
      <c r="E3664" s="833"/>
    </row>
    <row r="3665" spans="1:5" x14ac:dyDescent="0.35">
      <c r="A3665" s="281"/>
      <c r="B3665" s="279"/>
      <c r="C3665" s="850"/>
      <c r="D3665" s="282"/>
      <c r="E3665" s="833"/>
    </row>
    <row r="3666" spans="1:5" x14ac:dyDescent="0.35">
      <c r="A3666" s="281"/>
      <c r="B3666" s="279"/>
      <c r="C3666" s="850"/>
      <c r="D3666" s="282"/>
      <c r="E3666" s="833"/>
    </row>
    <row r="3667" spans="1:5" x14ac:dyDescent="0.35">
      <c r="A3667" s="281"/>
      <c r="B3667" s="279"/>
      <c r="C3667" s="850"/>
      <c r="D3667" s="282"/>
      <c r="E3667" s="833"/>
    </row>
    <row r="3668" spans="1:5" x14ac:dyDescent="0.35">
      <c r="A3668" s="281"/>
      <c r="B3668" s="279"/>
      <c r="C3668" s="850"/>
      <c r="D3668" s="282"/>
      <c r="E3668" s="833"/>
    </row>
    <row r="3669" spans="1:5" x14ac:dyDescent="0.35">
      <c r="A3669" s="281"/>
      <c r="B3669" s="279"/>
      <c r="C3669" s="850"/>
      <c r="D3669" s="282"/>
      <c r="E3669" s="833"/>
    </row>
    <row r="3670" spans="1:5" x14ac:dyDescent="0.35">
      <c r="A3670" s="281"/>
      <c r="B3670" s="279"/>
      <c r="C3670" s="850"/>
      <c r="D3670" s="282"/>
      <c r="E3670" s="833"/>
    </row>
    <row r="3671" spans="1:5" x14ac:dyDescent="0.35">
      <c r="A3671" s="281"/>
      <c r="B3671" s="279"/>
      <c r="C3671" s="850"/>
      <c r="D3671" s="282"/>
      <c r="E3671" s="833"/>
    </row>
    <row r="3672" spans="1:5" x14ac:dyDescent="0.35">
      <c r="A3672" s="281"/>
      <c r="B3672" s="279"/>
      <c r="C3672" s="850"/>
      <c r="D3672" s="282"/>
      <c r="E3672" s="833"/>
    </row>
    <row r="3673" spans="1:5" x14ac:dyDescent="0.35">
      <c r="A3673" s="281"/>
      <c r="B3673" s="279"/>
      <c r="C3673" s="850"/>
      <c r="D3673" s="282"/>
      <c r="E3673" s="833"/>
    </row>
    <row r="3674" spans="1:5" x14ac:dyDescent="0.35">
      <c r="A3674" s="281"/>
      <c r="B3674" s="279"/>
      <c r="C3674" s="850"/>
      <c r="D3674" s="282"/>
      <c r="E3674" s="833"/>
    </row>
    <row r="3675" spans="1:5" x14ac:dyDescent="0.35">
      <c r="A3675" s="281"/>
      <c r="B3675" s="279"/>
      <c r="C3675" s="850"/>
      <c r="D3675" s="282"/>
      <c r="E3675" s="833"/>
    </row>
    <row r="3676" spans="1:5" x14ac:dyDescent="0.35">
      <c r="A3676" s="281"/>
      <c r="B3676" s="279"/>
      <c r="C3676" s="850"/>
      <c r="D3676" s="282"/>
      <c r="E3676" s="833"/>
    </row>
    <row r="3677" spans="1:5" x14ac:dyDescent="0.35">
      <c r="A3677" s="281"/>
      <c r="B3677" s="279"/>
      <c r="C3677" s="850"/>
      <c r="D3677" s="282"/>
      <c r="E3677" s="833"/>
    </row>
    <row r="3678" spans="1:5" x14ac:dyDescent="0.35">
      <c r="A3678" s="281"/>
      <c r="B3678" s="279"/>
      <c r="C3678" s="850"/>
      <c r="D3678" s="282"/>
      <c r="E3678" s="833"/>
    </row>
    <row r="3679" spans="1:5" x14ac:dyDescent="0.35">
      <c r="A3679" s="281"/>
      <c r="B3679" s="279"/>
      <c r="C3679" s="850"/>
      <c r="D3679" s="282"/>
      <c r="E3679" s="833"/>
    </row>
    <row r="3680" spans="1:5" x14ac:dyDescent="0.35">
      <c r="A3680" s="281"/>
      <c r="B3680" s="279"/>
      <c r="C3680" s="850"/>
      <c r="D3680" s="282"/>
      <c r="E3680" s="833"/>
    </row>
    <row r="3681" spans="1:5" x14ac:dyDescent="0.35">
      <c r="A3681" s="281"/>
      <c r="B3681" s="279"/>
      <c r="C3681" s="850"/>
      <c r="D3681" s="282"/>
      <c r="E3681" s="833"/>
    </row>
    <row r="3682" spans="1:5" x14ac:dyDescent="0.35">
      <c r="A3682" s="281"/>
      <c r="B3682" s="279"/>
      <c r="C3682" s="850"/>
      <c r="D3682" s="282"/>
      <c r="E3682" s="833"/>
    </row>
    <row r="3683" spans="1:5" x14ac:dyDescent="0.35">
      <c r="A3683" s="281"/>
      <c r="B3683" s="279"/>
      <c r="C3683" s="850"/>
      <c r="D3683" s="282"/>
      <c r="E3683" s="833"/>
    </row>
    <row r="3684" spans="1:5" x14ac:dyDescent="0.35">
      <c r="A3684" s="281"/>
      <c r="B3684" s="279"/>
      <c r="C3684" s="850"/>
      <c r="D3684" s="282"/>
      <c r="E3684" s="833"/>
    </row>
    <row r="3685" spans="1:5" x14ac:dyDescent="0.35">
      <c r="A3685" s="281"/>
      <c r="B3685" s="279"/>
      <c r="C3685" s="850"/>
      <c r="D3685" s="282"/>
      <c r="E3685" s="833"/>
    </row>
    <row r="3686" spans="1:5" x14ac:dyDescent="0.35">
      <c r="A3686" s="281"/>
      <c r="B3686" s="279"/>
      <c r="C3686" s="850"/>
      <c r="D3686" s="282"/>
      <c r="E3686" s="833"/>
    </row>
    <row r="3687" spans="1:5" x14ac:dyDescent="0.35">
      <c r="A3687" s="281"/>
      <c r="B3687" s="279"/>
      <c r="C3687" s="850"/>
      <c r="D3687" s="282"/>
      <c r="E3687" s="833"/>
    </row>
    <row r="3688" spans="1:5" x14ac:dyDescent="0.35">
      <c r="A3688" s="281"/>
      <c r="B3688" s="279"/>
      <c r="C3688" s="850"/>
      <c r="D3688" s="282"/>
      <c r="E3688" s="833"/>
    </row>
    <row r="3689" spans="1:5" x14ac:dyDescent="0.35">
      <c r="A3689" s="281"/>
      <c r="B3689" s="279"/>
      <c r="C3689" s="850"/>
      <c r="D3689" s="282"/>
      <c r="E3689" s="833"/>
    </row>
    <row r="3690" spans="1:5" x14ac:dyDescent="0.35">
      <c r="A3690" s="281"/>
      <c r="B3690" s="279"/>
      <c r="C3690" s="850"/>
      <c r="D3690" s="282"/>
      <c r="E3690" s="833"/>
    </row>
    <row r="3691" spans="1:5" x14ac:dyDescent="0.35">
      <c r="A3691" s="281"/>
      <c r="B3691" s="279"/>
      <c r="C3691" s="850"/>
      <c r="D3691" s="282"/>
      <c r="E3691" s="833"/>
    </row>
    <row r="3692" spans="1:5" x14ac:dyDescent="0.35">
      <c r="A3692" s="281"/>
      <c r="B3692" s="279"/>
      <c r="C3692" s="850"/>
      <c r="D3692" s="282"/>
      <c r="E3692" s="833"/>
    </row>
    <row r="3693" spans="1:5" x14ac:dyDescent="0.35">
      <c r="A3693" s="281"/>
      <c r="B3693" s="279"/>
      <c r="C3693" s="850"/>
      <c r="D3693" s="282"/>
      <c r="E3693" s="833"/>
    </row>
    <row r="3694" spans="1:5" x14ac:dyDescent="0.35">
      <c r="A3694" s="281"/>
      <c r="B3694" s="279"/>
      <c r="C3694" s="850"/>
      <c r="D3694" s="282"/>
      <c r="E3694" s="833"/>
    </row>
    <row r="3695" spans="1:5" x14ac:dyDescent="0.35">
      <c r="A3695" s="281"/>
      <c r="B3695" s="279"/>
      <c r="C3695" s="850"/>
      <c r="D3695" s="282"/>
      <c r="E3695" s="833"/>
    </row>
    <row r="3696" spans="1:5" x14ac:dyDescent="0.35">
      <c r="A3696" s="281"/>
      <c r="B3696" s="279"/>
      <c r="C3696" s="850"/>
      <c r="D3696" s="282"/>
      <c r="E3696" s="833"/>
    </row>
    <row r="3697" spans="1:5" x14ac:dyDescent="0.35">
      <c r="A3697" s="281"/>
      <c r="B3697" s="279"/>
      <c r="C3697" s="850"/>
      <c r="D3697" s="282"/>
      <c r="E3697" s="833"/>
    </row>
    <row r="3698" spans="1:5" x14ac:dyDescent="0.35">
      <c r="A3698" s="281"/>
      <c r="B3698" s="279"/>
      <c r="C3698" s="850"/>
      <c r="D3698" s="282"/>
      <c r="E3698" s="833"/>
    </row>
    <row r="3699" spans="1:5" x14ac:dyDescent="0.35">
      <c r="A3699" s="281"/>
      <c r="B3699" s="279"/>
      <c r="C3699" s="850"/>
      <c r="D3699" s="282"/>
      <c r="E3699" s="833"/>
    </row>
    <row r="3700" spans="1:5" x14ac:dyDescent="0.35">
      <c r="A3700" s="281"/>
      <c r="B3700" s="279"/>
      <c r="C3700" s="850"/>
      <c r="D3700" s="282"/>
      <c r="E3700" s="833"/>
    </row>
    <row r="3701" spans="1:5" x14ac:dyDescent="0.35">
      <c r="A3701" s="281"/>
      <c r="B3701" s="279"/>
      <c r="C3701" s="850"/>
      <c r="D3701" s="282"/>
      <c r="E3701" s="833"/>
    </row>
    <row r="3702" spans="1:5" x14ac:dyDescent="0.35">
      <c r="A3702" s="281"/>
      <c r="B3702" s="279"/>
      <c r="C3702" s="850"/>
      <c r="D3702" s="282"/>
      <c r="E3702" s="833"/>
    </row>
    <row r="3703" spans="1:5" x14ac:dyDescent="0.35">
      <c r="A3703" s="281"/>
      <c r="B3703" s="279"/>
      <c r="C3703" s="850"/>
      <c r="D3703" s="282"/>
      <c r="E3703" s="833"/>
    </row>
    <row r="3704" spans="1:5" x14ac:dyDescent="0.35">
      <c r="A3704" s="281"/>
      <c r="B3704" s="279"/>
      <c r="C3704" s="850"/>
      <c r="D3704" s="282"/>
      <c r="E3704" s="833"/>
    </row>
    <row r="3705" spans="1:5" x14ac:dyDescent="0.35">
      <c r="A3705" s="281"/>
      <c r="B3705" s="279"/>
      <c r="C3705" s="850"/>
      <c r="D3705" s="282"/>
      <c r="E3705" s="833"/>
    </row>
    <row r="3706" spans="1:5" x14ac:dyDescent="0.35">
      <c r="A3706" s="281"/>
      <c r="B3706" s="279"/>
      <c r="C3706" s="850"/>
      <c r="D3706" s="282"/>
      <c r="E3706" s="833"/>
    </row>
    <row r="3707" spans="1:5" x14ac:dyDescent="0.35">
      <c r="A3707" s="281"/>
      <c r="B3707" s="279"/>
      <c r="C3707" s="850"/>
      <c r="D3707" s="282"/>
      <c r="E3707" s="833"/>
    </row>
    <row r="3708" spans="1:5" x14ac:dyDescent="0.35">
      <c r="A3708" s="281"/>
      <c r="B3708" s="279"/>
      <c r="C3708" s="850"/>
      <c r="D3708" s="282"/>
      <c r="E3708" s="833"/>
    </row>
    <row r="3709" spans="1:5" x14ac:dyDescent="0.35">
      <c r="A3709" s="281"/>
      <c r="B3709" s="279"/>
      <c r="C3709" s="850"/>
      <c r="D3709" s="282"/>
      <c r="E3709" s="833"/>
    </row>
    <row r="3710" spans="1:5" x14ac:dyDescent="0.35">
      <c r="A3710" s="281"/>
      <c r="B3710" s="279"/>
      <c r="C3710" s="850"/>
      <c r="D3710" s="282"/>
      <c r="E3710" s="833"/>
    </row>
    <row r="3711" spans="1:5" x14ac:dyDescent="0.35">
      <c r="A3711" s="281"/>
      <c r="B3711" s="279"/>
      <c r="C3711" s="850"/>
      <c r="D3711" s="282"/>
      <c r="E3711" s="833"/>
    </row>
    <row r="3712" spans="1:5" x14ac:dyDescent="0.35">
      <c r="A3712" s="281"/>
      <c r="B3712" s="279"/>
      <c r="C3712" s="850"/>
      <c r="D3712" s="282"/>
      <c r="E3712" s="833"/>
    </row>
    <row r="3713" spans="1:5" x14ac:dyDescent="0.35">
      <c r="A3713" s="281"/>
      <c r="B3713" s="279"/>
      <c r="C3713" s="850"/>
      <c r="D3713" s="282"/>
      <c r="E3713" s="833"/>
    </row>
    <row r="3714" spans="1:5" x14ac:dyDescent="0.35">
      <c r="A3714" s="281"/>
      <c r="B3714" s="279"/>
      <c r="C3714" s="850"/>
      <c r="D3714" s="282"/>
      <c r="E3714" s="833"/>
    </row>
    <row r="3715" spans="1:5" x14ac:dyDescent="0.35">
      <c r="A3715" s="281"/>
      <c r="B3715" s="279"/>
      <c r="C3715" s="850"/>
      <c r="D3715" s="282"/>
      <c r="E3715" s="833"/>
    </row>
    <row r="3716" spans="1:5" x14ac:dyDescent="0.35">
      <c r="A3716" s="281"/>
      <c r="B3716" s="279"/>
      <c r="C3716" s="850"/>
      <c r="D3716" s="282"/>
      <c r="E3716" s="833"/>
    </row>
    <row r="3717" spans="1:5" x14ac:dyDescent="0.35">
      <c r="A3717" s="281"/>
      <c r="B3717" s="279"/>
      <c r="C3717" s="850"/>
      <c r="D3717" s="282"/>
      <c r="E3717" s="833"/>
    </row>
    <row r="3718" spans="1:5" x14ac:dyDescent="0.35">
      <c r="A3718" s="281"/>
      <c r="B3718" s="279"/>
      <c r="C3718" s="850"/>
      <c r="D3718" s="282"/>
      <c r="E3718" s="833"/>
    </row>
    <row r="3719" spans="1:5" x14ac:dyDescent="0.35">
      <c r="A3719" s="281"/>
      <c r="B3719" s="279"/>
      <c r="C3719" s="850"/>
      <c r="D3719" s="282"/>
      <c r="E3719" s="833"/>
    </row>
    <row r="3720" spans="1:5" x14ac:dyDescent="0.35">
      <c r="A3720" s="281"/>
      <c r="B3720" s="279"/>
      <c r="C3720" s="850"/>
      <c r="D3720" s="282"/>
      <c r="E3720" s="833"/>
    </row>
    <row r="3721" spans="1:5" x14ac:dyDescent="0.35">
      <c r="A3721" s="281"/>
      <c r="B3721" s="279"/>
      <c r="C3721" s="850"/>
      <c r="D3721" s="282"/>
      <c r="E3721" s="833"/>
    </row>
    <row r="3722" spans="1:5" x14ac:dyDescent="0.35">
      <c r="A3722" s="281"/>
      <c r="B3722" s="279"/>
      <c r="C3722" s="850"/>
      <c r="D3722" s="282"/>
      <c r="E3722" s="833"/>
    </row>
    <row r="3723" spans="1:5" x14ac:dyDescent="0.35">
      <c r="A3723" s="281"/>
      <c r="B3723" s="279"/>
      <c r="C3723" s="850"/>
      <c r="D3723" s="282"/>
      <c r="E3723" s="833"/>
    </row>
    <row r="3724" spans="1:5" x14ac:dyDescent="0.35">
      <c r="A3724" s="281"/>
      <c r="B3724" s="279"/>
      <c r="C3724" s="850"/>
      <c r="D3724" s="282"/>
      <c r="E3724" s="833"/>
    </row>
    <row r="3725" spans="1:5" x14ac:dyDescent="0.35">
      <c r="A3725" s="281"/>
      <c r="B3725" s="279"/>
      <c r="C3725" s="850"/>
      <c r="D3725" s="282"/>
      <c r="E3725" s="833"/>
    </row>
    <row r="3726" spans="1:5" x14ac:dyDescent="0.35">
      <c r="A3726" s="281"/>
      <c r="B3726" s="279"/>
      <c r="C3726" s="850"/>
      <c r="D3726" s="282"/>
      <c r="E3726" s="833"/>
    </row>
    <row r="3727" spans="1:5" x14ac:dyDescent="0.35">
      <c r="A3727" s="281"/>
      <c r="B3727" s="279"/>
      <c r="C3727" s="850"/>
      <c r="D3727" s="282"/>
      <c r="E3727" s="833"/>
    </row>
    <row r="3728" spans="1:5" x14ac:dyDescent="0.35">
      <c r="A3728" s="281"/>
      <c r="B3728" s="279"/>
      <c r="C3728" s="850"/>
      <c r="D3728" s="282"/>
      <c r="E3728" s="833"/>
    </row>
    <row r="3729" spans="1:5" x14ac:dyDescent="0.35">
      <c r="A3729" s="281"/>
      <c r="B3729" s="279"/>
      <c r="C3729" s="850"/>
      <c r="D3729" s="282"/>
      <c r="E3729" s="833"/>
    </row>
    <row r="3730" spans="1:5" x14ac:dyDescent="0.35">
      <c r="A3730" s="281"/>
      <c r="B3730" s="279"/>
      <c r="C3730" s="850"/>
      <c r="D3730" s="282"/>
      <c r="E3730" s="833"/>
    </row>
    <row r="3731" spans="1:5" x14ac:dyDescent="0.35">
      <c r="A3731" s="281"/>
      <c r="B3731" s="279"/>
      <c r="C3731" s="850"/>
      <c r="D3731" s="282"/>
      <c r="E3731" s="833"/>
    </row>
    <row r="3732" spans="1:5" x14ac:dyDescent="0.35">
      <c r="A3732" s="281"/>
      <c r="B3732" s="279"/>
      <c r="C3732" s="850"/>
      <c r="D3732" s="282"/>
      <c r="E3732" s="833"/>
    </row>
    <row r="3733" spans="1:5" x14ac:dyDescent="0.35">
      <c r="A3733" s="281"/>
      <c r="B3733" s="279"/>
      <c r="C3733" s="850"/>
      <c r="D3733" s="282"/>
      <c r="E3733" s="833"/>
    </row>
    <row r="3734" spans="1:5" x14ac:dyDescent="0.35">
      <c r="A3734" s="281"/>
      <c r="B3734" s="279"/>
      <c r="C3734" s="850"/>
      <c r="D3734" s="282"/>
      <c r="E3734" s="833"/>
    </row>
    <row r="3735" spans="1:5" x14ac:dyDescent="0.35">
      <c r="A3735" s="281"/>
      <c r="B3735" s="279"/>
      <c r="C3735" s="850"/>
      <c r="D3735" s="282"/>
      <c r="E3735" s="833"/>
    </row>
    <row r="3736" spans="1:5" x14ac:dyDescent="0.35">
      <c r="A3736" s="281"/>
      <c r="B3736" s="279"/>
      <c r="C3736" s="850"/>
      <c r="D3736" s="282"/>
      <c r="E3736" s="833"/>
    </row>
    <row r="3737" spans="1:5" x14ac:dyDescent="0.35">
      <c r="A3737" s="281"/>
      <c r="B3737" s="279"/>
      <c r="C3737" s="850"/>
      <c r="D3737" s="282"/>
      <c r="E3737" s="833"/>
    </row>
    <row r="3738" spans="1:5" x14ac:dyDescent="0.35">
      <c r="A3738" s="281"/>
      <c r="B3738" s="279"/>
      <c r="C3738" s="850"/>
      <c r="D3738" s="282"/>
      <c r="E3738" s="833"/>
    </row>
    <row r="3739" spans="1:5" x14ac:dyDescent="0.35">
      <c r="A3739" s="281"/>
      <c r="B3739" s="279"/>
      <c r="C3739" s="850"/>
      <c r="D3739" s="282"/>
      <c r="E3739" s="833"/>
    </row>
    <row r="3740" spans="1:5" x14ac:dyDescent="0.35">
      <c r="A3740" s="281"/>
      <c r="B3740" s="279"/>
      <c r="C3740" s="850"/>
      <c r="D3740" s="282"/>
      <c r="E3740" s="833"/>
    </row>
    <row r="3741" spans="1:5" x14ac:dyDescent="0.35">
      <c r="A3741" s="281"/>
      <c r="B3741" s="279"/>
      <c r="C3741" s="850"/>
      <c r="D3741" s="282"/>
      <c r="E3741" s="833"/>
    </row>
    <row r="3742" spans="1:5" x14ac:dyDescent="0.35">
      <c r="A3742" s="281"/>
      <c r="B3742" s="279"/>
      <c r="C3742" s="850"/>
      <c r="D3742" s="282"/>
      <c r="E3742" s="833"/>
    </row>
    <row r="3743" spans="1:5" x14ac:dyDescent="0.35">
      <c r="A3743" s="281"/>
      <c r="B3743" s="279"/>
      <c r="C3743" s="850"/>
      <c r="D3743" s="282"/>
      <c r="E3743" s="833"/>
    </row>
    <row r="3744" spans="1:5" x14ac:dyDescent="0.35">
      <c r="A3744" s="281"/>
      <c r="B3744" s="279"/>
      <c r="C3744" s="850"/>
      <c r="D3744" s="282"/>
      <c r="E3744" s="833"/>
    </row>
    <row r="3745" spans="1:5" x14ac:dyDescent="0.35">
      <c r="A3745" s="281"/>
      <c r="B3745" s="279"/>
      <c r="C3745" s="850"/>
      <c r="D3745" s="282"/>
      <c r="E3745" s="833"/>
    </row>
    <row r="3746" spans="1:5" x14ac:dyDescent="0.35">
      <c r="A3746" s="281"/>
      <c r="B3746" s="279"/>
      <c r="C3746" s="850"/>
      <c r="D3746" s="282"/>
      <c r="E3746" s="833"/>
    </row>
    <row r="3747" spans="1:5" x14ac:dyDescent="0.35">
      <c r="A3747" s="281"/>
      <c r="B3747" s="279"/>
      <c r="C3747" s="850"/>
      <c r="D3747" s="282"/>
      <c r="E3747" s="833"/>
    </row>
    <row r="3748" spans="1:5" x14ac:dyDescent="0.35">
      <c r="A3748" s="281"/>
      <c r="B3748" s="279"/>
      <c r="C3748" s="850"/>
      <c r="D3748" s="282"/>
      <c r="E3748" s="833"/>
    </row>
    <row r="3749" spans="1:5" x14ac:dyDescent="0.35">
      <c r="A3749" s="281"/>
      <c r="B3749" s="279"/>
      <c r="C3749" s="850"/>
      <c r="D3749" s="282"/>
      <c r="E3749" s="833"/>
    </row>
    <row r="3750" spans="1:5" x14ac:dyDescent="0.35">
      <c r="A3750" s="281"/>
      <c r="B3750" s="279"/>
      <c r="C3750" s="850"/>
      <c r="D3750" s="282"/>
      <c r="E3750" s="833"/>
    </row>
    <row r="3751" spans="1:5" x14ac:dyDescent="0.35">
      <c r="A3751" s="281"/>
      <c r="B3751" s="279"/>
      <c r="C3751" s="850"/>
      <c r="D3751" s="282"/>
      <c r="E3751" s="833"/>
    </row>
    <row r="3752" spans="1:5" x14ac:dyDescent="0.35">
      <c r="A3752" s="281"/>
      <c r="B3752" s="279"/>
      <c r="C3752" s="850"/>
      <c r="D3752" s="282"/>
      <c r="E3752" s="833"/>
    </row>
    <row r="3753" spans="1:5" x14ac:dyDescent="0.35">
      <c r="A3753" s="281"/>
      <c r="B3753" s="279"/>
      <c r="C3753" s="850"/>
      <c r="D3753" s="282"/>
      <c r="E3753" s="833"/>
    </row>
    <row r="3754" spans="1:5" x14ac:dyDescent="0.35">
      <c r="A3754" s="281"/>
      <c r="B3754" s="279"/>
      <c r="C3754" s="850"/>
      <c r="D3754" s="282"/>
      <c r="E3754" s="833"/>
    </row>
    <row r="3755" spans="1:5" x14ac:dyDescent="0.35">
      <c r="A3755" s="281"/>
      <c r="B3755" s="279"/>
      <c r="C3755" s="850"/>
      <c r="D3755" s="282"/>
      <c r="E3755" s="833"/>
    </row>
    <row r="3756" spans="1:5" x14ac:dyDescent="0.35">
      <c r="A3756" s="281"/>
      <c r="B3756" s="279"/>
      <c r="C3756" s="850"/>
      <c r="D3756" s="282"/>
      <c r="E3756" s="833"/>
    </row>
    <row r="3757" spans="1:5" x14ac:dyDescent="0.35">
      <c r="A3757" s="281"/>
      <c r="B3757" s="279"/>
      <c r="C3757" s="850"/>
      <c r="D3757" s="282"/>
      <c r="E3757" s="833"/>
    </row>
    <row r="3758" spans="1:5" x14ac:dyDescent="0.35">
      <c r="A3758" s="281"/>
      <c r="B3758" s="279"/>
      <c r="C3758" s="850"/>
      <c r="D3758" s="282"/>
      <c r="E3758" s="833"/>
    </row>
    <row r="3759" spans="1:5" x14ac:dyDescent="0.35">
      <c r="A3759" s="281"/>
      <c r="B3759" s="279"/>
      <c r="C3759" s="850"/>
      <c r="D3759" s="282"/>
      <c r="E3759" s="833"/>
    </row>
    <row r="3760" spans="1:5" x14ac:dyDescent="0.35">
      <c r="A3760" s="281"/>
      <c r="B3760" s="279"/>
      <c r="C3760" s="850"/>
      <c r="D3760" s="282"/>
      <c r="E3760" s="833"/>
    </row>
    <row r="3761" spans="1:5" x14ac:dyDescent="0.35">
      <c r="A3761" s="281"/>
      <c r="B3761" s="279"/>
      <c r="C3761" s="850"/>
      <c r="D3761" s="282"/>
      <c r="E3761" s="833"/>
    </row>
    <row r="3762" spans="1:5" x14ac:dyDescent="0.35">
      <c r="A3762" s="281"/>
      <c r="B3762" s="279"/>
      <c r="C3762" s="850"/>
      <c r="D3762" s="282"/>
      <c r="E3762" s="833"/>
    </row>
    <row r="3763" spans="1:5" x14ac:dyDescent="0.35">
      <c r="A3763" s="281"/>
      <c r="B3763" s="279"/>
      <c r="C3763" s="850"/>
      <c r="D3763" s="282"/>
      <c r="E3763" s="833"/>
    </row>
    <row r="3764" spans="1:5" x14ac:dyDescent="0.35">
      <c r="A3764" s="281"/>
      <c r="B3764" s="279"/>
      <c r="C3764" s="850"/>
      <c r="D3764" s="282"/>
      <c r="E3764" s="833"/>
    </row>
    <row r="3765" spans="1:5" x14ac:dyDescent="0.35">
      <c r="A3765" s="281"/>
      <c r="B3765" s="279"/>
      <c r="C3765" s="850"/>
      <c r="D3765" s="282"/>
      <c r="E3765" s="833"/>
    </row>
    <row r="3766" spans="1:5" x14ac:dyDescent="0.35">
      <c r="A3766" s="281"/>
      <c r="B3766" s="279"/>
      <c r="C3766" s="850"/>
      <c r="D3766" s="282"/>
      <c r="E3766" s="833"/>
    </row>
    <row r="3767" spans="1:5" x14ac:dyDescent="0.35">
      <c r="A3767" s="281"/>
      <c r="B3767" s="279"/>
      <c r="C3767" s="850"/>
      <c r="D3767" s="282"/>
      <c r="E3767" s="833"/>
    </row>
    <row r="3768" spans="1:5" x14ac:dyDescent="0.35">
      <c r="A3768" s="281"/>
      <c r="B3768" s="279"/>
      <c r="C3768" s="850"/>
      <c r="D3768" s="282"/>
      <c r="E3768" s="833"/>
    </row>
    <row r="3769" spans="1:5" x14ac:dyDescent="0.35">
      <c r="A3769" s="281"/>
      <c r="B3769" s="279"/>
      <c r="C3769" s="850"/>
      <c r="D3769" s="282"/>
      <c r="E3769" s="833"/>
    </row>
    <row r="3770" spans="1:5" x14ac:dyDescent="0.35">
      <c r="A3770" s="281"/>
      <c r="B3770" s="279"/>
      <c r="C3770" s="850"/>
      <c r="D3770" s="282"/>
      <c r="E3770" s="833"/>
    </row>
    <row r="3771" spans="1:5" x14ac:dyDescent="0.35">
      <c r="A3771" s="281"/>
      <c r="B3771" s="279"/>
      <c r="C3771" s="850"/>
      <c r="D3771" s="282"/>
      <c r="E3771" s="833"/>
    </row>
    <row r="3772" spans="1:5" x14ac:dyDescent="0.35">
      <c r="A3772" s="281"/>
      <c r="B3772" s="279"/>
      <c r="C3772" s="850"/>
      <c r="D3772" s="282"/>
      <c r="E3772" s="833"/>
    </row>
    <row r="3773" spans="1:5" x14ac:dyDescent="0.35">
      <c r="A3773" s="281"/>
      <c r="B3773" s="279"/>
      <c r="C3773" s="850"/>
      <c r="D3773" s="282"/>
      <c r="E3773" s="833"/>
    </row>
    <row r="3774" spans="1:5" x14ac:dyDescent="0.35">
      <c r="A3774" s="281"/>
      <c r="B3774" s="279"/>
      <c r="C3774" s="850"/>
      <c r="D3774" s="282"/>
      <c r="E3774" s="833"/>
    </row>
    <row r="3775" spans="1:5" x14ac:dyDescent="0.35">
      <c r="A3775" s="281"/>
      <c r="B3775" s="279"/>
      <c r="C3775" s="850"/>
      <c r="D3775" s="282"/>
      <c r="E3775" s="833"/>
    </row>
    <row r="3776" spans="1:5" x14ac:dyDescent="0.35">
      <c r="A3776" s="281"/>
      <c r="B3776" s="279"/>
      <c r="C3776" s="850"/>
      <c r="D3776" s="282"/>
      <c r="E3776" s="833"/>
    </row>
    <row r="3777" spans="1:5" x14ac:dyDescent="0.35">
      <c r="A3777" s="281"/>
      <c r="B3777" s="279"/>
      <c r="C3777" s="850"/>
      <c r="D3777" s="282"/>
      <c r="E3777" s="833"/>
    </row>
    <row r="3778" spans="1:5" x14ac:dyDescent="0.35">
      <c r="A3778" s="281"/>
      <c r="B3778" s="279"/>
      <c r="C3778" s="850"/>
      <c r="D3778" s="282"/>
      <c r="E3778" s="833"/>
    </row>
    <row r="3779" spans="1:5" x14ac:dyDescent="0.35">
      <c r="A3779" s="281"/>
      <c r="B3779" s="279"/>
      <c r="C3779" s="850"/>
      <c r="D3779" s="282"/>
      <c r="E3779" s="833"/>
    </row>
    <row r="3780" spans="1:5" x14ac:dyDescent="0.35">
      <c r="A3780" s="281"/>
      <c r="B3780" s="279"/>
      <c r="C3780" s="850"/>
      <c r="D3780" s="282"/>
      <c r="E3780" s="833"/>
    </row>
    <row r="3781" spans="1:5" x14ac:dyDescent="0.35">
      <c r="A3781" s="281"/>
      <c r="B3781" s="279"/>
      <c r="C3781" s="850"/>
      <c r="D3781" s="282"/>
      <c r="E3781" s="833"/>
    </row>
    <row r="3782" spans="1:5" x14ac:dyDescent="0.35">
      <c r="A3782" s="281"/>
      <c r="B3782" s="279"/>
      <c r="C3782" s="850"/>
      <c r="D3782" s="282"/>
      <c r="E3782" s="833"/>
    </row>
    <row r="3783" spans="1:5" x14ac:dyDescent="0.35">
      <c r="A3783" s="281"/>
      <c r="B3783" s="279"/>
      <c r="C3783" s="850"/>
      <c r="D3783" s="282"/>
      <c r="E3783" s="833"/>
    </row>
    <row r="3784" spans="1:5" x14ac:dyDescent="0.35">
      <c r="A3784" s="281"/>
      <c r="B3784" s="279"/>
      <c r="C3784" s="850"/>
      <c r="D3784" s="282"/>
      <c r="E3784" s="833"/>
    </row>
    <row r="3785" spans="1:5" x14ac:dyDescent="0.35">
      <c r="A3785" s="281"/>
      <c r="B3785" s="279"/>
      <c r="C3785" s="850"/>
      <c r="D3785" s="282"/>
      <c r="E3785" s="833"/>
    </row>
    <row r="3786" spans="1:5" x14ac:dyDescent="0.35">
      <c r="A3786" s="281"/>
      <c r="B3786" s="279"/>
      <c r="C3786" s="850"/>
      <c r="D3786" s="282"/>
      <c r="E3786" s="833"/>
    </row>
    <row r="3787" spans="1:5" x14ac:dyDescent="0.35">
      <c r="A3787" s="281"/>
      <c r="B3787" s="279"/>
      <c r="C3787" s="850"/>
      <c r="D3787" s="282"/>
      <c r="E3787" s="833"/>
    </row>
    <row r="3788" spans="1:5" x14ac:dyDescent="0.35">
      <c r="A3788" s="281"/>
      <c r="B3788" s="279"/>
      <c r="C3788" s="850"/>
      <c r="D3788" s="282"/>
      <c r="E3788" s="833"/>
    </row>
    <row r="3789" spans="1:5" x14ac:dyDescent="0.35">
      <c r="A3789" s="281"/>
      <c r="B3789" s="279"/>
      <c r="C3789" s="850"/>
      <c r="D3789" s="282"/>
      <c r="E3789" s="833"/>
    </row>
    <row r="3790" spans="1:5" x14ac:dyDescent="0.35">
      <c r="A3790" s="281"/>
      <c r="B3790" s="279"/>
      <c r="C3790" s="850"/>
      <c r="D3790" s="282"/>
      <c r="E3790" s="833"/>
    </row>
    <row r="3791" spans="1:5" x14ac:dyDescent="0.35">
      <c r="A3791" s="281"/>
      <c r="B3791" s="279"/>
      <c r="C3791" s="850"/>
      <c r="D3791" s="282"/>
      <c r="E3791" s="833"/>
    </row>
    <row r="3792" spans="1:5" x14ac:dyDescent="0.35">
      <c r="A3792" s="281"/>
      <c r="B3792" s="279"/>
      <c r="C3792" s="850"/>
      <c r="D3792" s="282"/>
      <c r="E3792" s="833"/>
    </row>
    <row r="3793" spans="1:5" x14ac:dyDescent="0.35">
      <c r="A3793" s="281"/>
      <c r="B3793" s="279"/>
      <c r="C3793" s="850"/>
      <c r="D3793" s="282"/>
      <c r="E3793" s="833"/>
    </row>
    <row r="3794" spans="1:5" x14ac:dyDescent="0.35">
      <c r="A3794" s="281"/>
      <c r="B3794" s="279"/>
      <c r="C3794" s="850"/>
      <c r="D3794" s="282"/>
      <c r="E3794" s="833"/>
    </row>
    <row r="3795" spans="1:5" x14ac:dyDescent="0.35">
      <c r="A3795" s="281"/>
      <c r="B3795" s="279"/>
      <c r="C3795" s="850"/>
      <c r="D3795" s="282"/>
      <c r="E3795" s="833"/>
    </row>
    <row r="3796" spans="1:5" x14ac:dyDescent="0.35">
      <c r="A3796" s="281"/>
      <c r="B3796" s="279"/>
      <c r="C3796" s="850"/>
      <c r="D3796" s="282"/>
      <c r="E3796" s="833"/>
    </row>
    <row r="3797" spans="1:5" x14ac:dyDescent="0.35">
      <c r="A3797" s="281"/>
      <c r="B3797" s="279"/>
      <c r="C3797" s="850"/>
      <c r="D3797" s="282"/>
      <c r="E3797" s="833"/>
    </row>
    <row r="3798" spans="1:5" x14ac:dyDescent="0.35">
      <c r="A3798" s="281"/>
      <c r="B3798" s="279"/>
      <c r="C3798" s="850"/>
      <c r="D3798" s="282"/>
      <c r="E3798" s="833"/>
    </row>
    <row r="3799" spans="1:5" x14ac:dyDescent="0.35">
      <c r="A3799" s="281"/>
      <c r="B3799" s="279"/>
      <c r="C3799" s="850"/>
      <c r="D3799" s="282"/>
      <c r="E3799" s="833"/>
    </row>
    <row r="3800" spans="1:5" x14ac:dyDescent="0.35">
      <c r="A3800" s="281"/>
      <c r="B3800" s="279"/>
      <c r="C3800" s="850"/>
      <c r="D3800" s="282"/>
      <c r="E3800" s="833"/>
    </row>
    <row r="3801" spans="1:5" x14ac:dyDescent="0.35">
      <c r="A3801" s="281"/>
      <c r="B3801" s="279"/>
      <c r="C3801" s="850"/>
      <c r="D3801" s="282"/>
      <c r="E3801" s="833"/>
    </row>
    <row r="3802" spans="1:5" x14ac:dyDescent="0.35">
      <c r="A3802" s="281"/>
      <c r="B3802" s="279"/>
      <c r="C3802" s="850"/>
      <c r="D3802" s="282"/>
      <c r="E3802" s="833"/>
    </row>
    <row r="3803" spans="1:5" x14ac:dyDescent="0.35">
      <c r="A3803" s="281"/>
      <c r="B3803" s="279"/>
      <c r="C3803" s="850"/>
      <c r="D3803" s="282"/>
      <c r="E3803" s="833"/>
    </row>
    <row r="3804" spans="1:5" x14ac:dyDescent="0.35">
      <c r="A3804" s="281"/>
      <c r="B3804" s="279"/>
      <c r="C3804" s="850"/>
      <c r="D3804" s="282"/>
      <c r="E3804" s="833"/>
    </row>
    <row r="3805" spans="1:5" x14ac:dyDescent="0.35">
      <c r="A3805" s="281"/>
      <c r="B3805" s="279"/>
      <c r="C3805" s="850"/>
      <c r="D3805" s="282"/>
      <c r="E3805" s="833"/>
    </row>
    <row r="3806" spans="1:5" x14ac:dyDescent="0.35">
      <c r="A3806" s="281"/>
      <c r="B3806" s="279"/>
      <c r="C3806" s="850"/>
      <c r="D3806" s="282"/>
      <c r="E3806" s="833"/>
    </row>
    <row r="3807" spans="1:5" x14ac:dyDescent="0.35">
      <c r="A3807" s="281"/>
      <c r="B3807" s="279"/>
      <c r="C3807" s="850"/>
      <c r="D3807" s="282"/>
      <c r="E3807" s="833"/>
    </row>
    <row r="3808" spans="1:5" x14ac:dyDescent="0.35">
      <c r="A3808" s="281"/>
      <c r="B3808" s="279"/>
      <c r="C3808" s="850"/>
      <c r="D3808" s="282"/>
      <c r="E3808" s="833"/>
    </row>
    <row r="3809" spans="1:5" x14ac:dyDescent="0.35">
      <c r="A3809" s="281"/>
      <c r="B3809" s="279"/>
      <c r="C3809" s="850"/>
      <c r="D3809" s="282"/>
      <c r="E3809" s="833"/>
    </row>
    <row r="3810" spans="1:5" x14ac:dyDescent="0.35">
      <c r="A3810" s="281"/>
      <c r="B3810" s="279"/>
      <c r="C3810" s="850"/>
      <c r="D3810" s="282"/>
      <c r="E3810" s="833"/>
    </row>
    <row r="3811" spans="1:5" x14ac:dyDescent="0.35">
      <c r="A3811" s="281"/>
      <c r="B3811" s="279"/>
      <c r="C3811" s="850"/>
      <c r="D3811" s="282"/>
      <c r="E3811" s="833"/>
    </row>
    <row r="3812" spans="1:5" x14ac:dyDescent="0.35">
      <c r="A3812" s="281"/>
      <c r="B3812" s="279"/>
      <c r="C3812" s="850"/>
      <c r="D3812" s="282"/>
      <c r="E3812" s="833"/>
    </row>
    <row r="3813" spans="1:5" x14ac:dyDescent="0.35">
      <c r="A3813" s="281"/>
      <c r="B3813" s="279"/>
      <c r="C3813" s="850"/>
      <c r="D3813" s="282"/>
      <c r="E3813" s="833"/>
    </row>
    <row r="3814" spans="1:5" x14ac:dyDescent="0.35">
      <c r="A3814" s="281"/>
      <c r="B3814" s="279"/>
      <c r="C3814" s="850"/>
      <c r="D3814" s="282"/>
      <c r="E3814" s="833"/>
    </row>
    <row r="3815" spans="1:5" x14ac:dyDescent="0.35">
      <c r="A3815" s="281"/>
      <c r="B3815" s="279"/>
      <c r="C3815" s="850"/>
      <c r="D3815" s="282"/>
      <c r="E3815" s="833"/>
    </row>
    <row r="3816" spans="1:5" x14ac:dyDescent="0.35">
      <c r="A3816" s="281"/>
      <c r="B3816" s="279"/>
      <c r="C3816" s="850"/>
      <c r="D3816" s="282"/>
      <c r="E3816" s="833"/>
    </row>
    <row r="3817" spans="1:5" x14ac:dyDescent="0.35">
      <c r="A3817" s="281"/>
      <c r="B3817" s="279"/>
      <c r="C3817" s="850"/>
      <c r="D3817" s="282"/>
      <c r="E3817" s="833"/>
    </row>
    <row r="3818" spans="1:5" x14ac:dyDescent="0.35">
      <c r="A3818" s="281"/>
      <c r="B3818" s="279"/>
      <c r="C3818" s="850"/>
      <c r="D3818" s="282"/>
      <c r="E3818" s="833"/>
    </row>
    <row r="3819" spans="1:5" x14ac:dyDescent="0.35">
      <c r="A3819" s="281"/>
      <c r="B3819" s="279"/>
      <c r="C3819" s="850"/>
      <c r="D3819" s="282"/>
      <c r="E3819" s="833"/>
    </row>
    <row r="3820" spans="1:5" x14ac:dyDescent="0.35">
      <c r="A3820" s="281"/>
      <c r="B3820" s="279"/>
      <c r="C3820" s="850"/>
      <c r="D3820" s="282"/>
      <c r="E3820" s="833"/>
    </row>
    <row r="3821" spans="1:5" x14ac:dyDescent="0.35">
      <c r="A3821" s="281"/>
      <c r="B3821" s="279"/>
      <c r="C3821" s="850"/>
      <c r="D3821" s="282"/>
      <c r="E3821" s="833"/>
    </row>
    <row r="3822" spans="1:5" x14ac:dyDescent="0.35">
      <c r="A3822" s="281"/>
      <c r="B3822" s="279"/>
      <c r="C3822" s="850"/>
      <c r="D3822" s="282"/>
      <c r="E3822" s="833"/>
    </row>
    <row r="3823" spans="1:5" x14ac:dyDescent="0.35">
      <c r="A3823" s="281"/>
      <c r="B3823" s="279"/>
      <c r="C3823" s="850"/>
      <c r="D3823" s="282"/>
      <c r="E3823" s="833"/>
    </row>
    <row r="3824" spans="1:5" x14ac:dyDescent="0.35">
      <c r="A3824" s="281"/>
      <c r="B3824" s="279"/>
      <c r="C3824" s="850"/>
      <c r="D3824" s="282"/>
      <c r="E3824" s="833"/>
    </row>
    <row r="3825" spans="1:5" x14ac:dyDescent="0.35">
      <c r="A3825" s="281"/>
      <c r="B3825" s="279"/>
      <c r="C3825" s="850"/>
      <c r="D3825" s="282"/>
      <c r="E3825" s="833"/>
    </row>
    <row r="3826" spans="1:5" x14ac:dyDescent="0.35">
      <c r="A3826" s="281"/>
      <c r="B3826" s="279"/>
      <c r="C3826" s="850"/>
      <c r="D3826" s="282"/>
      <c r="E3826" s="833"/>
    </row>
    <row r="3827" spans="1:5" x14ac:dyDescent="0.35">
      <c r="A3827" s="281"/>
      <c r="B3827" s="279"/>
      <c r="C3827" s="850"/>
      <c r="D3827" s="282"/>
      <c r="E3827" s="833"/>
    </row>
    <row r="3828" spans="1:5" x14ac:dyDescent="0.35">
      <c r="A3828" s="281"/>
      <c r="B3828" s="279"/>
      <c r="C3828" s="850"/>
      <c r="D3828" s="282"/>
      <c r="E3828" s="833"/>
    </row>
    <row r="3829" spans="1:5" x14ac:dyDescent="0.35">
      <c r="A3829" s="281"/>
      <c r="B3829" s="279"/>
      <c r="C3829" s="850"/>
      <c r="D3829" s="282"/>
      <c r="E3829" s="833"/>
    </row>
    <row r="3830" spans="1:5" x14ac:dyDescent="0.35">
      <c r="A3830" s="281"/>
      <c r="B3830" s="279"/>
      <c r="C3830" s="850"/>
      <c r="D3830" s="282"/>
      <c r="E3830" s="833"/>
    </row>
    <row r="3831" spans="1:5" x14ac:dyDescent="0.35">
      <c r="A3831" s="281"/>
      <c r="B3831" s="279"/>
      <c r="C3831" s="850"/>
      <c r="D3831" s="282"/>
      <c r="E3831" s="833"/>
    </row>
    <row r="3832" spans="1:5" x14ac:dyDescent="0.35">
      <c r="A3832" s="281"/>
      <c r="B3832" s="279"/>
      <c r="C3832" s="850"/>
      <c r="D3832" s="282"/>
      <c r="E3832" s="833"/>
    </row>
    <row r="3833" spans="1:5" x14ac:dyDescent="0.35">
      <c r="A3833" s="281"/>
      <c r="B3833" s="279"/>
      <c r="C3833" s="850"/>
      <c r="D3833" s="282"/>
      <c r="E3833" s="833"/>
    </row>
    <row r="3834" spans="1:5" x14ac:dyDescent="0.35">
      <c r="A3834" s="281"/>
      <c r="B3834" s="279"/>
      <c r="C3834" s="850"/>
      <c r="D3834" s="282"/>
      <c r="E3834" s="833"/>
    </row>
    <row r="3835" spans="1:5" x14ac:dyDescent="0.35">
      <c r="A3835" s="281"/>
      <c r="B3835" s="279"/>
      <c r="C3835" s="850"/>
      <c r="D3835" s="282"/>
      <c r="E3835" s="833"/>
    </row>
    <row r="3836" spans="1:5" x14ac:dyDescent="0.35">
      <c r="A3836" s="281"/>
      <c r="B3836" s="279"/>
      <c r="C3836" s="850"/>
      <c r="D3836" s="282"/>
      <c r="E3836" s="833"/>
    </row>
    <row r="3837" spans="1:5" x14ac:dyDescent="0.35">
      <c r="A3837" s="281"/>
      <c r="B3837" s="279"/>
      <c r="C3837" s="850"/>
      <c r="D3837" s="282"/>
      <c r="E3837" s="833"/>
    </row>
    <row r="3838" spans="1:5" x14ac:dyDescent="0.35">
      <c r="A3838" s="281"/>
      <c r="B3838" s="279"/>
      <c r="C3838" s="850"/>
      <c r="D3838" s="282"/>
      <c r="E3838" s="833"/>
    </row>
    <row r="3839" spans="1:5" x14ac:dyDescent="0.35">
      <c r="A3839" s="281"/>
      <c r="B3839" s="279"/>
      <c r="C3839" s="850"/>
      <c r="D3839" s="282"/>
      <c r="E3839" s="833"/>
    </row>
    <row r="3840" spans="1:5" x14ac:dyDescent="0.35">
      <c r="A3840" s="281"/>
      <c r="B3840" s="279"/>
      <c r="C3840" s="850"/>
      <c r="D3840" s="282"/>
      <c r="E3840" s="833"/>
    </row>
    <row r="3841" spans="1:5" x14ac:dyDescent="0.35">
      <c r="A3841" s="281"/>
      <c r="B3841" s="279"/>
      <c r="C3841" s="850"/>
      <c r="D3841" s="282"/>
      <c r="E3841" s="833"/>
    </row>
    <row r="3842" spans="1:5" x14ac:dyDescent="0.35">
      <c r="A3842" s="281"/>
      <c r="B3842" s="279"/>
      <c r="C3842" s="850"/>
      <c r="D3842" s="282"/>
      <c r="E3842" s="833"/>
    </row>
    <row r="3843" spans="1:5" x14ac:dyDescent="0.35">
      <c r="A3843" s="281"/>
      <c r="B3843" s="279"/>
      <c r="C3843" s="850"/>
      <c r="D3843" s="282"/>
      <c r="E3843" s="833"/>
    </row>
    <row r="3844" spans="1:5" x14ac:dyDescent="0.35">
      <c r="A3844" s="281"/>
      <c r="B3844" s="279"/>
      <c r="C3844" s="850"/>
      <c r="D3844" s="282"/>
      <c r="E3844" s="833"/>
    </row>
    <row r="3845" spans="1:5" x14ac:dyDescent="0.35">
      <c r="A3845" s="281"/>
      <c r="B3845" s="279"/>
      <c r="C3845" s="850"/>
      <c r="D3845" s="282"/>
      <c r="E3845" s="833"/>
    </row>
    <row r="3846" spans="1:5" x14ac:dyDescent="0.35">
      <c r="A3846" s="281"/>
      <c r="B3846" s="279"/>
      <c r="C3846" s="850"/>
      <c r="D3846" s="282"/>
      <c r="E3846" s="833"/>
    </row>
    <row r="3847" spans="1:5" x14ac:dyDescent="0.35">
      <c r="A3847" s="281"/>
      <c r="B3847" s="279"/>
      <c r="C3847" s="850"/>
      <c r="D3847" s="282"/>
      <c r="E3847" s="833"/>
    </row>
    <row r="3848" spans="1:5" x14ac:dyDescent="0.35">
      <c r="A3848" s="281"/>
      <c r="B3848" s="279"/>
      <c r="C3848" s="850"/>
      <c r="D3848" s="282"/>
      <c r="E3848" s="833"/>
    </row>
    <row r="3849" spans="1:5" x14ac:dyDescent="0.35">
      <c r="A3849" s="281"/>
      <c r="B3849" s="279"/>
      <c r="C3849" s="850"/>
      <c r="D3849" s="282"/>
      <c r="E3849" s="833"/>
    </row>
    <row r="3850" spans="1:5" x14ac:dyDescent="0.35">
      <c r="A3850" s="281"/>
      <c r="B3850" s="279"/>
      <c r="C3850" s="850"/>
      <c r="D3850" s="282"/>
      <c r="E3850" s="833"/>
    </row>
    <row r="3851" spans="1:5" x14ac:dyDescent="0.35">
      <c r="A3851" s="281"/>
      <c r="B3851" s="279"/>
      <c r="C3851" s="850"/>
      <c r="D3851" s="282"/>
      <c r="E3851" s="833"/>
    </row>
    <row r="3852" spans="1:5" x14ac:dyDescent="0.35">
      <c r="A3852" s="281"/>
      <c r="B3852" s="279"/>
      <c r="C3852" s="850"/>
      <c r="D3852" s="282"/>
      <c r="E3852" s="833"/>
    </row>
    <row r="3853" spans="1:5" x14ac:dyDescent="0.35">
      <c r="A3853" s="281"/>
      <c r="B3853" s="279"/>
      <c r="C3853" s="850"/>
      <c r="D3853" s="282"/>
      <c r="E3853" s="833"/>
    </row>
    <row r="3854" spans="1:5" x14ac:dyDescent="0.35">
      <c r="A3854" s="281"/>
      <c r="B3854" s="279"/>
      <c r="C3854" s="850"/>
      <c r="D3854" s="282"/>
      <c r="E3854" s="833"/>
    </row>
    <row r="3855" spans="1:5" x14ac:dyDescent="0.35">
      <c r="A3855" s="281"/>
      <c r="B3855" s="279"/>
      <c r="C3855" s="850"/>
      <c r="D3855" s="282"/>
      <c r="E3855" s="833"/>
    </row>
    <row r="3856" spans="1:5" x14ac:dyDescent="0.35">
      <c r="A3856" s="281"/>
      <c r="B3856" s="279"/>
      <c r="C3856" s="850"/>
      <c r="D3856" s="282"/>
      <c r="E3856" s="833"/>
    </row>
    <row r="3857" spans="1:5" x14ac:dyDescent="0.35">
      <c r="A3857" s="281"/>
      <c r="B3857" s="279"/>
      <c r="C3857" s="850"/>
      <c r="D3857" s="282"/>
      <c r="E3857" s="833"/>
    </row>
    <row r="3858" spans="1:5" x14ac:dyDescent="0.35">
      <c r="A3858" s="281"/>
      <c r="B3858" s="279"/>
      <c r="C3858" s="850"/>
      <c r="D3858" s="282"/>
      <c r="E3858" s="833"/>
    </row>
    <row r="3859" spans="1:5" x14ac:dyDescent="0.35">
      <c r="A3859" s="281"/>
      <c r="B3859" s="279"/>
      <c r="C3859" s="850"/>
      <c r="D3859" s="282"/>
      <c r="E3859" s="833"/>
    </row>
    <row r="3860" spans="1:5" x14ac:dyDescent="0.35">
      <c r="A3860" s="281"/>
      <c r="B3860" s="279"/>
      <c r="C3860" s="850"/>
      <c r="D3860" s="282"/>
      <c r="E3860" s="833"/>
    </row>
    <row r="3861" spans="1:5" x14ac:dyDescent="0.35">
      <c r="A3861" s="281"/>
      <c r="B3861" s="279"/>
      <c r="C3861" s="850"/>
      <c r="D3861" s="282"/>
      <c r="E3861" s="833"/>
    </row>
    <row r="3862" spans="1:5" x14ac:dyDescent="0.35">
      <c r="A3862" s="281"/>
      <c r="B3862" s="279"/>
      <c r="C3862" s="850"/>
      <c r="D3862" s="282"/>
      <c r="E3862" s="833"/>
    </row>
    <row r="3863" spans="1:5" x14ac:dyDescent="0.35">
      <c r="A3863" s="281"/>
      <c r="B3863" s="279"/>
      <c r="C3863" s="850"/>
      <c r="D3863" s="282"/>
      <c r="E3863" s="833"/>
    </row>
    <row r="3864" spans="1:5" x14ac:dyDescent="0.35">
      <c r="A3864" s="281"/>
      <c r="B3864" s="279"/>
      <c r="C3864" s="850"/>
      <c r="D3864" s="282"/>
      <c r="E3864" s="833"/>
    </row>
    <row r="3865" spans="1:5" x14ac:dyDescent="0.35">
      <c r="A3865" s="281"/>
      <c r="B3865" s="279"/>
      <c r="C3865" s="850"/>
      <c r="D3865" s="282"/>
      <c r="E3865" s="833"/>
    </row>
    <row r="3866" spans="1:5" x14ac:dyDescent="0.35">
      <c r="A3866" s="281"/>
      <c r="B3866" s="279"/>
      <c r="C3866" s="850"/>
      <c r="D3866" s="282"/>
      <c r="E3866" s="833"/>
    </row>
    <row r="3867" spans="1:5" x14ac:dyDescent="0.35">
      <c r="A3867" s="281"/>
      <c r="B3867" s="279"/>
      <c r="C3867" s="850"/>
      <c r="D3867" s="282"/>
      <c r="E3867" s="833"/>
    </row>
    <row r="3868" spans="1:5" x14ac:dyDescent="0.35">
      <c r="A3868" s="281"/>
      <c r="B3868" s="279"/>
      <c r="C3868" s="850"/>
      <c r="D3868" s="282"/>
      <c r="E3868" s="833"/>
    </row>
    <row r="3869" spans="1:5" x14ac:dyDescent="0.35">
      <c r="A3869" s="281"/>
      <c r="B3869" s="279"/>
      <c r="C3869" s="850"/>
      <c r="D3869" s="282"/>
      <c r="E3869" s="833"/>
    </row>
    <row r="3870" spans="1:5" x14ac:dyDescent="0.35">
      <c r="A3870" s="281"/>
      <c r="B3870" s="279"/>
      <c r="C3870" s="850"/>
      <c r="D3870" s="282"/>
      <c r="E3870" s="833"/>
    </row>
    <row r="3871" spans="1:5" x14ac:dyDescent="0.35">
      <c r="A3871" s="281"/>
      <c r="B3871" s="279"/>
      <c r="C3871" s="850"/>
      <c r="D3871" s="282"/>
      <c r="E3871" s="833"/>
    </row>
    <row r="3872" spans="1:5" x14ac:dyDescent="0.35">
      <c r="A3872" s="281"/>
      <c r="B3872" s="279"/>
      <c r="C3872" s="850"/>
      <c r="D3872" s="282"/>
      <c r="E3872" s="833"/>
    </row>
    <row r="3873" spans="1:5" x14ac:dyDescent="0.35">
      <c r="A3873" s="281"/>
      <c r="B3873" s="279"/>
      <c r="C3873" s="850"/>
      <c r="D3873" s="282"/>
      <c r="E3873" s="833"/>
    </row>
    <row r="3874" spans="1:5" x14ac:dyDescent="0.35">
      <c r="A3874" s="281"/>
      <c r="B3874" s="279"/>
      <c r="C3874" s="850"/>
      <c r="D3874" s="282"/>
      <c r="E3874" s="833"/>
    </row>
    <row r="3875" spans="1:5" x14ac:dyDescent="0.35">
      <c r="A3875" s="281"/>
      <c r="B3875" s="279"/>
      <c r="C3875" s="850"/>
      <c r="D3875" s="282"/>
      <c r="E3875" s="833"/>
    </row>
    <row r="3876" spans="1:5" x14ac:dyDescent="0.35">
      <c r="A3876" s="281"/>
      <c r="B3876" s="279"/>
      <c r="C3876" s="850"/>
      <c r="D3876" s="282"/>
      <c r="E3876" s="833"/>
    </row>
    <row r="3877" spans="1:5" x14ac:dyDescent="0.35">
      <c r="A3877" s="281"/>
      <c r="B3877" s="279"/>
      <c r="C3877" s="850"/>
      <c r="D3877" s="282"/>
      <c r="E3877" s="833"/>
    </row>
    <row r="3878" spans="1:5" x14ac:dyDescent="0.35">
      <c r="A3878" s="281"/>
      <c r="B3878" s="279"/>
      <c r="C3878" s="850"/>
      <c r="D3878" s="282"/>
      <c r="E3878" s="833"/>
    </row>
    <row r="3879" spans="1:5" x14ac:dyDescent="0.35">
      <c r="A3879" s="281"/>
      <c r="B3879" s="279"/>
      <c r="C3879" s="850"/>
      <c r="D3879" s="282"/>
      <c r="E3879" s="833"/>
    </row>
    <row r="3880" spans="1:5" x14ac:dyDescent="0.35">
      <c r="A3880" s="281"/>
      <c r="B3880" s="279"/>
      <c r="C3880" s="850"/>
      <c r="D3880" s="282"/>
      <c r="E3880" s="833"/>
    </row>
    <row r="3881" spans="1:5" x14ac:dyDescent="0.35">
      <c r="A3881" s="281"/>
      <c r="B3881" s="279"/>
      <c r="C3881" s="850"/>
      <c r="D3881" s="282"/>
      <c r="E3881" s="833"/>
    </row>
    <row r="3882" spans="1:5" x14ac:dyDescent="0.35">
      <c r="A3882" s="281"/>
      <c r="B3882" s="279"/>
      <c r="C3882" s="850"/>
      <c r="D3882" s="282"/>
      <c r="E3882" s="833"/>
    </row>
    <row r="3883" spans="1:5" x14ac:dyDescent="0.35">
      <c r="A3883" s="281"/>
      <c r="B3883" s="279"/>
      <c r="C3883" s="850"/>
      <c r="D3883" s="282"/>
      <c r="E3883" s="833"/>
    </row>
    <row r="3884" spans="1:5" x14ac:dyDescent="0.35">
      <c r="A3884" s="281"/>
      <c r="B3884" s="279"/>
      <c r="C3884" s="850"/>
      <c r="D3884" s="282"/>
      <c r="E3884" s="833"/>
    </row>
    <row r="3885" spans="1:5" x14ac:dyDescent="0.35">
      <c r="A3885" s="281"/>
      <c r="B3885" s="279"/>
      <c r="C3885" s="850"/>
      <c r="D3885" s="282"/>
      <c r="E3885" s="833"/>
    </row>
    <row r="3886" spans="1:5" x14ac:dyDescent="0.35">
      <c r="A3886" s="281"/>
      <c r="B3886" s="279"/>
      <c r="C3886" s="850"/>
      <c r="D3886" s="282"/>
      <c r="E3886" s="833"/>
    </row>
    <row r="3887" spans="1:5" x14ac:dyDescent="0.35">
      <c r="A3887" s="281"/>
      <c r="B3887" s="279"/>
      <c r="C3887" s="850"/>
      <c r="D3887" s="282"/>
      <c r="E3887" s="833"/>
    </row>
    <row r="3888" spans="1:5" x14ac:dyDescent="0.35">
      <c r="A3888" s="281"/>
      <c r="B3888" s="279"/>
      <c r="C3888" s="850"/>
      <c r="D3888" s="282"/>
      <c r="E3888" s="833"/>
    </row>
    <row r="3889" spans="1:5" x14ac:dyDescent="0.35">
      <c r="A3889" s="281"/>
      <c r="B3889" s="279"/>
      <c r="C3889" s="850"/>
      <c r="D3889" s="282"/>
      <c r="E3889" s="833"/>
    </row>
    <row r="3890" spans="1:5" x14ac:dyDescent="0.35">
      <c r="A3890" s="281"/>
      <c r="B3890" s="279"/>
      <c r="C3890" s="850"/>
      <c r="D3890" s="282"/>
      <c r="E3890" s="833"/>
    </row>
    <row r="3891" spans="1:5" x14ac:dyDescent="0.35">
      <c r="A3891" s="281"/>
      <c r="B3891" s="279"/>
      <c r="C3891" s="850"/>
      <c r="D3891" s="282"/>
      <c r="E3891" s="833"/>
    </row>
    <row r="3892" spans="1:5" x14ac:dyDescent="0.35">
      <c r="A3892" s="281"/>
      <c r="B3892" s="279"/>
      <c r="C3892" s="850"/>
      <c r="D3892" s="282"/>
      <c r="E3892" s="833"/>
    </row>
    <row r="3893" spans="1:5" x14ac:dyDescent="0.35">
      <c r="A3893" s="281"/>
      <c r="B3893" s="279"/>
      <c r="C3893" s="850"/>
      <c r="D3893" s="282"/>
      <c r="E3893" s="833"/>
    </row>
    <row r="3894" spans="1:5" x14ac:dyDescent="0.35">
      <c r="A3894" s="281"/>
      <c r="B3894" s="279"/>
      <c r="C3894" s="850"/>
      <c r="D3894" s="282"/>
      <c r="E3894" s="833"/>
    </row>
    <row r="3895" spans="1:5" x14ac:dyDescent="0.35">
      <c r="A3895" s="281"/>
      <c r="B3895" s="279"/>
      <c r="C3895" s="850"/>
      <c r="D3895" s="282"/>
      <c r="E3895" s="833"/>
    </row>
    <row r="3896" spans="1:5" x14ac:dyDescent="0.35">
      <c r="A3896" s="281"/>
      <c r="B3896" s="279"/>
      <c r="C3896" s="850"/>
      <c r="D3896" s="282"/>
      <c r="E3896" s="833"/>
    </row>
    <row r="3897" spans="1:5" x14ac:dyDescent="0.35">
      <c r="A3897" s="281"/>
      <c r="B3897" s="279"/>
      <c r="C3897" s="850"/>
      <c r="D3897" s="282"/>
      <c r="E3897" s="833"/>
    </row>
    <row r="3898" spans="1:5" x14ac:dyDescent="0.35">
      <c r="A3898" s="281"/>
      <c r="B3898" s="279"/>
      <c r="C3898" s="850"/>
      <c r="D3898" s="282"/>
      <c r="E3898" s="833"/>
    </row>
    <row r="3899" spans="1:5" x14ac:dyDescent="0.35">
      <c r="A3899" s="281"/>
      <c r="B3899" s="279"/>
      <c r="C3899" s="850"/>
      <c r="D3899" s="282"/>
      <c r="E3899" s="833"/>
    </row>
    <row r="3900" spans="1:5" x14ac:dyDescent="0.35">
      <c r="A3900" s="281"/>
      <c r="B3900" s="279"/>
      <c r="C3900" s="850"/>
      <c r="D3900" s="282"/>
      <c r="E3900" s="833"/>
    </row>
    <row r="3901" spans="1:5" x14ac:dyDescent="0.35">
      <c r="A3901" s="281"/>
      <c r="B3901" s="279"/>
      <c r="C3901" s="850"/>
      <c r="D3901" s="282"/>
      <c r="E3901" s="833"/>
    </row>
    <row r="3902" spans="1:5" x14ac:dyDescent="0.35">
      <c r="A3902" s="281"/>
      <c r="B3902" s="279"/>
      <c r="C3902" s="850"/>
      <c r="D3902" s="282"/>
      <c r="E3902" s="833"/>
    </row>
    <row r="3903" spans="1:5" x14ac:dyDescent="0.35">
      <c r="A3903" s="281"/>
      <c r="B3903" s="279"/>
      <c r="C3903" s="850"/>
      <c r="D3903" s="282"/>
      <c r="E3903" s="833"/>
    </row>
    <row r="3904" spans="1:5" x14ac:dyDescent="0.35">
      <c r="A3904" s="281"/>
      <c r="B3904" s="279"/>
      <c r="C3904" s="850"/>
      <c r="D3904" s="282"/>
      <c r="E3904" s="833"/>
    </row>
    <row r="3905" spans="1:5" x14ac:dyDescent="0.35">
      <c r="A3905" s="281"/>
      <c r="B3905" s="279"/>
      <c r="C3905" s="850"/>
      <c r="D3905" s="282"/>
      <c r="E3905" s="833"/>
    </row>
    <row r="3906" spans="1:5" x14ac:dyDescent="0.35">
      <c r="A3906" s="281"/>
      <c r="B3906" s="279"/>
      <c r="C3906" s="850"/>
      <c r="D3906" s="282"/>
      <c r="E3906" s="833"/>
    </row>
    <row r="3907" spans="1:5" x14ac:dyDescent="0.35">
      <c r="A3907" s="281"/>
      <c r="B3907" s="279"/>
      <c r="C3907" s="850"/>
      <c r="D3907" s="282"/>
      <c r="E3907" s="833"/>
    </row>
    <row r="3908" spans="1:5" x14ac:dyDescent="0.35">
      <c r="A3908" s="281"/>
      <c r="B3908" s="279"/>
      <c r="C3908" s="850"/>
      <c r="D3908" s="282"/>
      <c r="E3908" s="833"/>
    </row>
    <row r="3909" spans="1:5" x14ac:dyDescent="0.35">
      <c r="A3909" s="281"/>
      <c r="B3909" s="279"/>
      <c r="C3909" s="850"/>
      <c r="D3909" s="282"/>
      <c r="E3909" s="833"/>
    </row>
    <row r="3910" spans="1:5" x14ac:dyDescent="0.35">
      <c r="A3910" s="281"/>
      <c r="B3910" s="279"/>
      <c r="C3910" s="850"/>
      <c r="D3910" s="282"/>
      <c r="E3910" s="833"/>
    </row>
    <row r="3911" spans="1:5" x14ac:dyDescent="0.35">
      <c r="A3911" s="281"/>
      <c r="B3911" s="279"/>
      <c r="C3911" s="850"/>
      <c r="D3911" s="282"/>
      <c r="E3911" s="833"/>
    </row>
    <row r="3912" spans="1:5" x14ac:dyDescent="0.35">
      <c r="A3912" s="281"/>
      <c r="B3912" s="279"/>
      <c r="C3912" s="850"/>
      <c r="D3912" s="282"/>
      <c r="E3912" s="833"/>
    </row>
    <row r="3913" spans="1:5" x14ac:dyDescent="0.35">
      <c r="A3913" s="281"/>
      <c r="B3913" s="279"/>
      <c r="C3913" s="850"/>
      <c r="D3913" s="282"/>
      <c r="E3913" s="833"/>
    </row>
    <row r="3914" spans="1:5" x14ac:dyDescent="0.35">
      <c r="A3914" s="281"/>
      <c r="B3914" s="279"/>
      <c r="C3914" s="850"/>
      <c r="D3914" s="282"/>
      <c r="E3914" s="833"/>
    </row>
    <row r="3915" spans="1:5" x14ac:dyDescent="0.35">
      <c r="A3915" s="281"/>
      <c r="B3915" s="279"/>
      <c r="C3915" s="850"/>
      <c r="D3915" s="282"/>
      <c r="E3915" s="833"/>
    </row>
    <row r="3916" spans="1:5" x14ac:dyDescent="0.35">
      <c r="A3916" s="281"/>
      <c r="B3916" s="279"/>
      <c r="C3916" s="850"/>
      <c r="D3916" s="282"/>
      <c r="E3916" s="833"/>
    </row>
    <row r="3917" spans="1:5" x14ac:dyDescent="0.35">
      <c r="A3917" s="281"/>
      <c r="B3917" s="279"/>
      <c r="C3917" s="850"/>
      <c r="D3917" s="282"/>
      <c r="E3917" s="833"/>
    </row>
    <row r="3918" spans="1:5" x14ac:dyDescent="0.35">
      <c r="A3918" s="281"/>
      <c r="B3918" s="279"/>
      <c r="C3918" s="850"/>
      <c r="D3918" s="282"/>
      <c r="E3918" s="833"/>
    </row>
    <row r="3919" spans="1:5" x14ac:dyDescent="0.35">
      <c r="A3919" s="281"/>
      <c r="B3919" s="279"/>
      <c r="C3919" s="850"/>
      <c r="D3919" s="282"/>
      <c r="E3919" s="833"/>
    </row>
    <row r="3920" spans="1:5" x14ac:dyDescent="0.35">
      <c r="A3920" s="281"/>
      <c r="B3920" s="279"/>
      <c r="C3920" s="850"/>
      <c r="D3920" s="282"/>
      <c r="E3920" s="833"/>
    </row>
    <row r="3921" spans="1:5" x14ac:dyDescent="0.35">
      <c r="A3921" s="281"/>
      <c r="B3921" s="279"/>
      <c r="C3921" s="850"/>
      <c r="D3921" s="282"/>
      <c r="E3921" s="833"/>
    </row>
    <row r="3922" spans="1:5" x14ac:dyDescent="0.35">
      <c r="A3922" s="281"/>
      <c r="B3922" s="279"/>
      <c r="C3922" s="850"/>
      <c r="D3922" s="282"/>
      <c r="E3922" s="833"/>
    </row>
    <row r="3923" spans="1:5" x14ac:dyDescent="0.35">
      <c r="A3923" s="281"/>
      <c r="B3923" s="279"/>
      <c r="C3923" s="850"/>
      <c r="D3923" s="282"/>
      <c r="E3923" s="833"/>
    </row>
    <row r="3924" spans="1:5" x14ac:dyDescent="0.35">
      <c r="A3924" s="281"/>
      <c r="B3924" s="279"/>
      <c r="C3924" s="850"/>
      <c r="D3924" s="282"/>
      <c r="E3924" s="833"/>
    </row>
    <row r="3925" spans="1:5" x14ac:dyDescent="0.35">
      <c r="A3925" s="281"/>
      <c r="B3925" s="279"/>
      <c r="C3925" s="850"/>
      <c r="D3925" s="282"/>
      <c r="E3925" s="833"/>
    </row>
    <row r="3926" spans="1:5" x14ac:dyDescent="0.35">
      <c r="A3926" s="281"/>
      <c r="B3926" s="279"/>
      <c r="C3926" s="850"/>
      <c r="D3926" s="282"/>
      <c r="E3926" s="833"/>
    </row>
    <row r="3927" spans="1:5" x14ac:dyDescent="0.35">
      <c r="A3927" s="281"/>
      <c r="B3927" s="279"/>
      <c r="C3927" s="850"/>
      <c r="D3927" s="282"/>
      <c r="E3927" s="833"/>
    </row>
    <row r="3928" spans="1:5" x14ac:dyDescent="0.35">
      <c r="A3928" s="281"/>
      <c r="B3928" s="279"/>
      <c r="C3928" s="850"/>
      <c r="D3928" s="282"/>
      <c r="E3928" s="833"/>
    </row>
    <row r="3929" spans="1:5" x14ac:dyDescent="0.35">
      <c r="A3929" s="281"/>
      <c r="B3929" s="279"/>
      <c r="C3929" s="850"/>
      <c r="D3929" s="282"/>
      <c r="E3929" s="833"/>
    </row>
    <row r="3930" spans="1:5" x14ac:dyDescent="0.35">
      <c r="A3930" s="281"/>
      <c r="B3930" s="279"/>
      <c r="C3930" s="850"/>
      <c r="D3930" s="282"/>
      <c r="E3930" s="833"/>
    </row>
    <row r="3931" spans="1:5" x14ac:dyDescent="0.35">
      <c r="A3931" s="281"/>
      <c r="B3931" s="279"/>
      <c r="C3931" s="850"/>
      <c r="D3931" s="282"/>
      <c r="E3931" s="833"/>
    </row>
    <row r="3932" spans="1:5" x14ac:dyDescent="0.35">
      <c r="A3932" s="281"/>
      <c r="B3932" s="279"/>
      <c r="C3932" s="850"/>
      <c r="D3932" s="282"/>
      <c r="E3932" s="833"/>
    </row>
    <row r="3933" spans="1:5" x14ac:dyDescent="0.35">
      <c r="A3933" s="281"/>
      <c r="B3933" s="279"/>
      <c r="C3933" s="850"/>
      <c r="D3933" s="282"/>
      <c r="E3933" s="833"/>
    </row>
    <row r="3934" spans="1:5" x14ac:dyDescent="0.35">
      <c r="A3934" s="281"/>
      <c r="B3934" s="279"/>
      <c r="C3934" s="850"/>
      <c r="D3934" s="282"/>
      <c r="E3934" s="833"/>
    </row>
    <row r="3935" spans="1:5" x14ac:dyDescent="0.35">
      <c r="A3935" s="281"/>
      <c r="B3935" s="279"/>
      <c r="C3935" s="850"/>
      <c r="D3935" s="282"/>
      <c r="E3935" s="833"/>
    </row>
    <row r="3936" spans="1:5" x14ac:dyDescent="0.35">
      <c r="A3936" s="281"/>
      <c r="B3936" s="279"/>
      <c r="C3936" s="850"/>
      <c r="D3936" s="282"/>
      <c r="E3936" s="833"/>
    </row>
    <row r="3937" spans="1:5" x14ac:dyDescent="0.35">
      <c r="A3937" s="281"/>
      <c r="B3937" s="279"/>
      <c r="C3937" s="850"/>
      <c r="D3937" s="282"/>
      <c r="E3937" s="833"/>
    </row>
    <row r="3938" spans="1:5" x14ac:dyDescent="0.35">
      <c r="A3938" s="281"/>
      <c r="B3938" s="279"/>
      <c r="C3938" s="850"/>
      <c r="D3938" s="282"/>
      <c r="E3938" s="833"/>
    </row>
    <row r="3939" spans="1:5" x14ac:dyDescent="0.35">
      <c r="A3939" s="281"/>
      <c r="B3939" s="279"/>
      <c r="C3939" s="850"/>
      <c r="D3939" s="282"/>
      <c r="E3939" s="833"/>
    </row>
    <row r="3940" spans="1:5" x14ac:dyDescent="0.35">
      <c r="A3940" s="281"/>
      <c r="B3940" s="279"/>
      <c r="C3940" s="850"/>
      <c r="D3940" s="282"/>
      <c r="E3940" s="833"/>
    </row>
    <row r="3941" spans="1:5" x14ac:dyDescent="0.35">
      <c r="A3941" s="281"/>
      <c r="B3941" s="279"/>
      <c r="C3941" s="850"/>
      <c r="D3941" s="282"/>
      <c r="E3941" s="833"/>
    </row>
    <row r="3942" spans="1:5" x14ac:dyDescent="0.35">
      <c r="A3942" s="281"/>
      <c r="B3942" s="279"/>
      <c r="C3942" s="850"/>
      <c r="D3942" s="282"/>
      <c r="E3942" s="833"/>
    </row>
    <row r="3943" spans="1:5" x14ac:dyDescent="0.35">
      <c r="A3943" s="281"/>
      <c r="B3943" s="279"/>
      <c r="C3943" s="850"/>
      <c r="D3943" s="282"/>
      <c r="E3943" s="833"/>
    </row>
    <row r="3944" spans="1:5" x14ac:dyDescent="0.35">
      <c r="A3944" s="281"/>
      <c r="B3944" s="279"/>
      <c r="C3944" s="850"/>
      <c r="D3944" s="282"/>
      <c r="E3944" s="833"/>
    </row>
    <row r="3945" spans="1:5" x14ac:dyDescent="0.35">
      <c r="A3945" s="281"/>
      <c r="B3945" s="279"/>
      <c r="C3945" s="850"/>
      <c r="D3945" s="282"/>
      <c r="E3945" s="833"/>
    </row>
    <row r="3946" spans="1:5" x14ac:dyDescent="0.35">
      <c r="A3946" s="281"/>
      <c r="B3946" s="279"/>
      <c r="C3946" s="850"/>
      <c r="D3946" s="282"/>
      <c r="E3946" s="833"/>
    </row>
    <row r="3947" spans="1:5" x14ac:dyDescent="0.35">
      <c r="A3947" s="281"/>
      <c r="B3947" s="279"/>
      <c r="C3947" s="850"/>
      <c r="D3947" s="282"/>
      <c r="E3947" s="833"/>
    </row>
    <row r="3948" spans="1:5" x14ac:dyDescent="0.35">
      <c r="A3948" s="281"/>
      <c r="B3948" s="279"/>
      <c r="C3948" s="850"/>
      <c r="D3948" s="282"/>
      <c r="E3948" s="833"/>
    </row>
    <row r="3949" spans="1:5" x14ac:dyDescent="0.35">
      <c r="A3949" s="281"/>
      <c r="B3949" s="279"/>
      <c r="C3949" s="850"/>
      <c r="D3949" s="282"/>
      <c r="E3949" s="833"/>
    </row>
    <row r="3950" spans="1:5" x14ac:dyDescent="0.35">
      <c r="A3950" s="281"/>
      <c r="B3950" s="279"/>
      <c r="C3950" s="850"/>
      <c r="D3950" s="282"/>
      <c r="E3950" s="833"/>
    </row>
    <row r="3951" spans="1:5" x14ac:dyDescent="0.35">
      <c r="A3951" s="281"/>
      <c r="B3951" s="279"/>
      <c r="C3951" s="850"/>
      <c r="D3951" s="282"/>
      <c r="E3951" s="833"/>
    </row>
    <row r="3952" spans="1:5" x14ac:dyDescent="0.35">
      <c r="A3952" s="281"/>
      <c r="B3952" s="279"/>
      <c r="C3952" s="850"/>
      <c r="D3952" s="282"/>
      <c r="E3952" s="833"/>
    </row>
    <row r="3953" spans="1:5" x14ac:dyDescent="0.35">
      <c r="A3953" s="281"/>
      <c r="B3953" s="279"/>
      <c r="C3953" s="850"/>
      <c r="D3953" s="282"/>
      <c r="E3953" s="833"/>
    </row>
    <row r="3954" spans="1:5" x14ac:dyDescent="0.35">
      <c r="A3954" s="281"/>
      <c r="B3954" s="279"/>
      <c r="C3954" s="850"/>
      <c r="D3954" s="282"/>
      <c r="E3954" s="833"/>
    </row>
    <row r="3955" spans="1:5" x14ac:dyDescent="0.35">
      <c r="A3955" s="281"/>
      <c r="B3955" s="279"/>
      <c r="C3955" s="850"/>
      <c r="D3955" s="282"/>
      <c r="E3955" s="833"/>
    </row>
    <row r="3956" spans="1:5" x14ac:dyDescent="0.35">
      <c r="A3956" s="281"/>
      <c r="B3956" s="279"/>
      <c r="C3956" s="850"/>
      <c r="D3956" s="282"/>
      <c r="E3956" s="833"/>
    </row>
    <row r="3957" spans="1:5" x14ac:dyDescent="0.35">
      <c r="A3957" s="281"/>
      <c r="B3957" s="279"/>
      <c r="C3957" s="850"/>
      <c r="D3957" s="282"/>
      <c r="E3957" s="833"/>
    </row>
    <row r="3958" spans="1:5" x14ac:dyDescent="0.35">
      <c r="A3958" s="281"/>
      <c r="B3958" s="279"/>
      <c r="C3958" s="850"/>
      <c r="D3958" s="282"/>
      <c r="E3958" s="833"/>
    </row>
    <row r="3959" spans="1:5" x14ac:dyDescent="0.35">
      <c r="A3959" s="281"/>
      <c r="B3959" s="279"/>
      <c r="C3959" s="850"/>
      <c r="D3959" s="282"/>
      <c r="E3959" s="833"/>
    </row>
    <row r="3960" spans="1:5" x14ac:dyDescent="0.35">
      <c r="A3960" s="281"/>
      <c r="B3960" s="279"/>
      <c r="C3960" s="850"/>
      <c r="D3960" s="282"/>
      <c r="E3960" s="833"/>
    </row>
    <row r="3961" spans="1:5" x14ac:dyDescent="0.35">
      <c r="A3961" s="281"/>
      <c r="B3961" s="279"/>
      <c r="C3961" s="850"/>
      <c r="D3961" s="282"/>
      <c r="E3961" s="833"/>
    </row>
    <row r="3962" spans="1:5" x14ac:dyDescent="0.35">
      <c r="A3962" s="281"/>
      <c r="B3962" s="279"/>
      <c r="C3962" s="850"/>
      <c r="D3962" s="282"/>
      <c r="E3962" s="833"/>
    </row>
    <row r="3963" spans="1:5" x14ac:dyDescent="0.35">
      <c r="A3963" s="281"/>
      <c r="B3963" s="279"/>
      <c r="C3963" s="850"/>
      <c r="D3963" s="282"/>
      <c r="E3963" s="833"/>
    </row>
    <row r="3964" spans="1:5" x14ac:dyDescent="0.35">
      <c r="A3964" s="281"/>
      <c r="B3964" s="279"/>
      <c r="C3964" s="850"/>
      <c r="D3964" s="282"/>
      <c r="E3964" s="833"/>
    </row>
    <row r="3965" spans="1:5" x14ac:dyDescent="0.35">
      <c r="A3965" s="281"/>
      <c r="B3965" s="279"/>
      <c r="C3965" s="850"/>
      <c r="D3965" s="282"/>
      <c r="E3965" s="833"/>
    </row>
    <row r="3966" spans="1:5" x14ac:dyDescent="0.35">
      <c r="A3966" s="281"/>
      <c r="B3966" s="279"/>
      <c r="C3966" s="850"/>
      <c r="D3966" s="282"/>
      <c r="E3966" s="833"/>
    </row>
    <row r="3967" spans="1:5" x14ac:dyDescent="0.35">
      <c r="A3967" s="281"/>
      <c r="B3967" s="279"/>
      <c r="C3967" s="850"/>
      <c r="D3967" s="282"/>
      <c r="E3967" s="833"/>
    </row>
    <row r="3968" spans="1:5" x14ac:dyDescent="0.35">
      <c r="A3968" s="281"/>
      <c r="B3968" s="279"/>
      <c r="C3968" s="850"/>
      <c r="D3968" s="282"/>
      <c r="E3968" s="833"/>
    </row>
    <row r="3969" spans="1:5" x14ac:dyDescent="0.35">
      <c r="A3969" s="281"/>
      <c r="B3969" s="279"/>
      <c r="C3969" s="850"/>
      <c r="D3969" s="282"/>
      <c r="E3969" s="833"/>
    </row>
    <row r="3970" spans="1:5" x14ac:dyDescent="0.35">
      <c r="A3970" s="281"/>
      <c r="B3970" s="279"/>
      <c r="C3970" s="850"/>
      <c r="D3970" s="282"/>
      <c r="E3970" s="833"/>
    </row>
    <row r="3971" spans="1:5" x14ac:dyDescent="0.35">
      <c r="A3971" s="281"/>
      <c r="B3971" s="279"/>
      <c r="C3971" s="850"/>
      <c r="D3971" s="282"/>
      <c r="E3971" s="833"/>
    </row>
    <row r="3972" spans="1:5" x14ac:dyDescent="0.35">
      <c r="A3972" s="281"/>
      <c r="B3972" s="279"/>
      <c r="C3972" s="850"/>
      <c r="D3972" s="282"/>
      <c r="E3972" s="833"/>
    </row>
    <row r="3973" spans="1:5" x14ac:dyDescent="0.35">
      <c r="A3973" s="281"/>
      <c r="B3973" s="279"/>
      <c r="C3973" s="850"/>
      <c r="D3973" s="282"/>
      <c r="E3973" s="833"/>
    </row>
    <row r="3974" spans="1:5" x14ac:dyDescent="0.35">
      <c r="A3974" s="281"/>
      <c r="B3974" s="279"/>
      <c r="C3974" s="850"/>
      <c r="D3974" s="282"/>
      <c r="E3974" s="833"/>
    </row>
    <row r="3975" spans="1:5" x14ac:dyDescent="0.35">
      <c r="A3975" s="281"/>
      <c r="B3975" s="279"/>
      <c r="C3975" s="850"/>
      <c r="D3975" s="282"/>
      <c r="E3975" s="833"/>
    </row>
    <row r="3976" spans="1:5" x14ac:dyDescent="0.35">
      <c r="A3976" s="281"/>
      <c r="B3976" s="279"/>
      <c r="C3976" s="850"/>
      <c r="D3976" s="282"/>
      <c r="E3976" s="833"/>
    </row>
    <row r="3977" spans="1:5" x14ac:dyDescent="0.35">
      <c r="A3977" s="281"/>
      <c r="B3977" s="279"/>
      <c r="C3977" s="850"/>
      <c r="D3977" s="282"/>
      <c r="E3977" s="833"/>
    </row>
    <row r="3978" spans="1:5" x14ac:dyDescent="0.35">
      <c r="A3978" s="281"/>
      <c r="B3978" s="279"/>
      <c r="C3978" s="850"/>
      <c r="D3978" s="282"/>
      <c r="E3978" s="833"/>
    </row>
    <row r="3979" spans="1:5" x14ac:dyDescent="0.35">
      <c r="A3979" s="281"/>
      <c r="B3979" s="279"/>
      <c r="C3979" s="850"/>
      <c r="D3979" s="282"/>
      <c r="E3979" s="833"/>
    </row>
    <row r="3980" spans="1:5" x14ac:dyDescent="0.35">
      <c r="A3980" s="281"/>
      <c r="B3980" s="279"/>
      <c r="C3980" s="850"/>
      <c r="D3980" s="282"/>
      <c r="E3980" s="833"/>
    </row>
    <row r="3981" spans="1:5" x14ac:dyDescent="0.35">
      <c r="A3981" s="281"/>
      <c r="B3981" s="279"/>
      <c r="C3981" s="850"/>
      <c r="D3981" s="282"/>
      <c r="E3981" s="833"/>
    </row>
    <row r="3982" spans="1:5" x14ac:dyDescent="0.35">
      <c r="A3982" s="281"/>
      <c r="B3982" s="279"/>
      <c r="C3982" s="850"/>
      <c r="D3982" s="282"/>
      <c r="E3982" s="833"/>
    </row>
    <row r="3983" spans="1:5" x14ac:dyDescent="0.35">
      <c r="A3983" s="281"/>
      <c r="B3983" s="279"/>
      <c r="C3983" s="850"/>
      <c r="D3983" s="282"/>
      <c r="E3983" s="833"/>
    </row>
    <row r="3984" spans="1:5" x14ac:dyDescent="0.35">
      <c r="A3984" s="281"/>
      <c r="B3984" s="279"/>
      <c r="C3984" s="850"/>
      <c r="D3984" s="282"/>
      <c r="E3984" s="833"/>
    </row>
    <row r="3985" spans="1:5" x14ac:dyDescent="0.35">
      <c r="A3985" s="281"/>
      <c r="B3985" s="279"/>
      <c r="C3985" s="850"/>
      <c r="D3985" s="282"/>
      <c r="E3985" s="833"/>
    </row>
    <row r="3986" spans="1:5" x14ac:dyDescent="0.35">
      <c r="A3986" s="281"/>
      <c r="B3986" s="279"/>
      <c r="C3986" s="850"/>
      <c r="D3986" s="282"/>
      <c r="E3986" s="833"/>
    </row>
    <row r="3987" spans="1:5" x14ac:dyDescent="0.35">
      <c r="A3987" s="281"/>
      <c r="B3987" s="279"/>
      <c r="C3987" s="850"/>
      <c r="D3987" s="282"/>
      <c r="E3987" s="833"/>
    </row>
    <row r="3988" spans="1:5" x14ac:dyDescent="0.35">
      <c r="A3988" s="281"/>
      <c r="B3988" s="279"/>
      <c r="C3988" s="850"/>
      <c r="D3988" s="282"/>
      <c r="E3988" s="833"/>
    </row>
    <row r="3989" spans="1:5" x14ac:dyDescent="0.35">
      <c r="A3989" s="281"/>
      <c r="B3989" s="279"/>
      <c r="C3989" s="850"/>
      <c r="D3989" s="282"/>
      <c r="E3989" s="833"/>
    </row>
    <row r="3990" spans="1:5" x14ac:dyDescent="0.35">
      <c r="A3990" s="281"/>
      <c r="B3990" s="279"/>
      <c r="C3990" s="850"/>
      <c r="D3990" s="282"/>
      <c r="E3990" s="833"/>
    </row>
    <row r="3991" spans="1:5" x14ac:dyDescent="0.35">
      <c r="A3991" s="281"/>
      <c r="B3991" s="279"/>
      <c r="C3991" s="850"/>
      <c r="D3991" s="282"/>
      <c r="E3991" s="833"/>
    </row>
    <row r="3992" spans="1:5" x14ac:dyDescent="0.35">
      <c r="A3992" s="281"/>
      <c r="B3992" s="279"/>
      <c r="C3992" s="850"/>
      <c r="D3992" s="282"/>
      <c r="E3992" s="833"/>
    </row>
    <row r="3993" spans="1:5" x14ac:dyDescent="0.35">
      <c r="A3993" s="281"/>
      <c r="B3993" s="279"/>
      <c r="C3993" s="850"/>
      <c r="D3993" s="282"/>
      <c r="E3993" s="833"/>
    </row>
    <row r="3994" spans="1:5" x14ac:dyDescent="0.35">
      <c r="A3994" s="281"/>
      <c r="B3994" s="279"/>
      <c r="C3994" s="850"/>
      <c r="D3994" s="282"/>
      <c r="E3994" s="833"/>
    </row>
    <row r="3995" spans="1:5" x14ac:dyDescent="0.35">
      <c r="A3995" s="281"/>
      <c r="B3995" s="279"/>
      <c r="C3995" s="850"/>
      <c r="D3995" s="282"/>
      <c r="E3995" s="833"/>
    </row>
    <row r="3996" spans="1:5" x14ac:dyDescent="0.35">
      <c r="A3996" s="281"/>
      <c r="B3996" s="279"/>
      <c r="C3996" s="850"/>
      <c r="D3996" s="282"/>
      <c r="E3996" s="833"/>
    </row>
    <row r="3997" spans="1:5" x14ac:dyDescent="0.35">
      <c r="A3997" s="281"/>
      <c r="B3997" s="279"/>
      <c r="C3997" s="850"/>
      <c r="D3997" s="282"/>
      <c r="E3997" s="833"/>
    </row>
    <row r="3998" spans="1:5" x14ac:dyDescent="0.35">
      <c r="A3998" s="281"/>
      <c r="B3998" s="279"/>
      <c r="C3998" s="850"/>
      <c r="D3998" s="282"/>
      <c r="E3998" s="833"/>
    </row>
    <row r="3999" spans="1:5" x14ac:dyDescent="0.35">
      <c r="A3999" s="281"/>
      <c r="B3999" s="279"/>
      <c r="C3999" s="850"/>
      <c r="D3999" s="282"/>
      <c r="E3999" s="833"/>
    </row>
    <row r="4000" spans="1:5" x14ac:dyDescent="0.35">
      <c r="A4000" s="281"/>
      <c r="B4000" s="279"/>
      <c r="C4000" s="850"/>
      <c r="D4000" s="282"/>
      <c r="E4000" s="833"/>
    </row>
    <row r="4001" spans="1:5" x14ac:dyDescent="0.35">
      <c r="A4001" s="281"/>
      <c r="B4001" s="279"/>
      <c r="C4001" s="850"/>
      <c r="D4001" s="282"/>
      <c r="E4001" s="833"/>
    </row>
    <row r="4002" spans="1:5" x14ac:dyDescent="0.35">
      <c r="A4002" s="281"/>
      <c r="B4002" s="279"/>
      <c r="C4002" s="850"/>
      <c r="D4002" s="282"/>
      <c r="E4002" s="833"/>
    </row>
    <row r="4003" spans="1:5" x14ac:dyDescent="0.35">
      <c r="A4003" s="281"/>
      <c r="B4003" s="279"/>
      <c r="C4003" s="850"/>
      <c r="D4003" s="282"/>
      <c r="E4003" s="833"/>
    </row>
    <row r="4004" spans="1:5" x14ac:dyDescent="0.35">
      <c r="A4004" s="281"/>
      <c r="B4004" s="279"/>
      <c r="C4004" s="850"/>
      <c r="D4004" s="282"/>
      <c r="E4004" s="833"/>
    </row>
    <row r="4005" spans="1:5" x14ac:dyDescent="0.35">
      <c r="A4005" s="281"/>
      <c r="B4005" s="279"/>
      <c r="C4005" s="850"/>
      <c r="D4005" s="282"/>
      <c r="E4005" s="833"/>
    </row>
    <row r="4006" spans="1:5" x14ac:dyDescent="0.35">
      <c r="A4006" s="281"/>
      <c r="B4006" s="279"/>
      <c r="C4006" s="850"/>
      <c r="D4006" s="282"/>
      <c r="E4006" s="833"/>
    </row>
    <row r="4007" spans="1:5" x14ac:dyDescent="0.35">
      <c r="A4007" s="281"/>
      <c r="B4007" s="279"/>
      <c r="C4007" s="850"/>
      <c r="D4007" s="282"/>
      <c r="E4007" s="833"/>
    </row>
    <row r="4008" spans="1:5" x14ac:dyDescent="0.35">
      <c r="A4008" s="281"/>
      <c r="B4008" s="279"/>
      <c r="C4008" s="850"/>
      <c r="D4008" s="282"/>
      <c r="E4008" s="833"/>
    </row>
    <row r="4009" spans="1:5" x14ac:dyDescent="0.35">
      <c r="A4009" s="281"/>
      <c r="B4009" s="279"/>
      <c r="C4009" s="850"/>
      <c r="D4009" s="282"/>
      <c r="E4009" s="833"/>
    </row>
    <row r="4010" spans="1:5" x14ac:dyDescent="0.35">
      <c r="A4010" s="281"/>
      <c r="B4010" s="279"/>
      <c r="C4010" s="850"/>
      <c r="D4010" s="282"/>
      <c r="E4010" s="833"/>
    </row>
    <row r="4011" spans="1:5" x14ac:dyDescent="0.35">
      <c r="A4011" s="281"/>
      <c r="B4011" s="279"/>
      <c r="C4011" s="850"/>
      <c r="D4011" s="282"/>
      <c r="E4011" s="833"/>
    </row>
    <row r="4012" spans="1:5" x14ac:dyDescent="0.35">
      <c r="A4012" s="281"/>
      <c r="B4012" s="279"/>
      <c r="C4012" s="850"/>
      <c r="D4012" s="282"/>
      <c r="E4012" s="833"/>
    </row>
    <row r="4013" spans="1:5" x14ac:dyDescent="0.35">
      <c r="A4013" s="281"/>
      <c r="B4013" s="279"/>
      <c r="C4013" s="850"/>
      <c r="D4013" s="282"/>
      <c r="E4013" s="833"/>
    </row>
    <row r="4014" spans="1:5" x14ac:dyDescent="0.35">
      <c r="A4014" s="281"/>
      <c r="B4014" s="279"/>
      <c r="C4014" s="850"/>
      <c r="D4014" s="282"/>
      <c r="E4014" s="833"/>
    </row>
    <row r="4015" spans="1:5" x14ac:dyDescent="0.35">
      <c r="A4015" s="281"/>
      <c r="B4015" s="279"/>
      <c r="C4015" s="850"/>
      <c r="D4015" s="282"/>
      <c r="E4015" s="833"/>
    </row>
    <row r="4016" spans="1:5" x14ac:dyDescent="0.35">
      <c r="A4016" s="281"/>
      <c r="B4016" s="279"/>
      <c r="C4016" s="850"/>
      <c r="D4016" s="282"/>
      <c r="E4016" s="833"/>
    </row>
    <row r="4017" spans="1:5" x14ac:dyDescent="0.35">
      <c r="A4017" s="281"/>
      <c r="B4017" s="279"/>
      <c r="C4017" s="850"/>
      <c r="D4017" s="282"/>
      <c r="E4017" s="833"/>
    </row>
    <row r="4018" spans="1:5" x14ac:dyDescent="0.35">
      <c r="A4018" s="281"/>
      <c r="B4018" s="279"/>
      <c r="C4018" s="850"/>
      <c r="D4018" s="282"/>
      <c r="E4018" s="833"/>
    </row>
    <row r="4019" spans="1:5" x14ac:dyDescent="0.35">
      <c r="A4019" s="281"/>
      <c r="B4019" s="279"/>
      <c r="C4019" s="850"/>
      <c r="D4019" s="282"/>
      <c r="E4019" s="833"/>
    </row>
    <row r="4020" spans="1:5" x14ac:dyDescent="0.35">
      <c r="A4020" s="281"/>
      <c r="B4020" s="279"/>
      <c r="C4020" s="850"/>
      <c r="D4020" s="282"/>
      <c r="E4020" s="833"/>
    </row>
    <row r="4021" spans="1:5" x14ac:dyDescent="0.35">
      <c r="A4021" s="281"/>
      <c r="B4021" s="279"/>
      <c r="C4021" s="850"/>
      <c r="D4021" s="282"/>
      <c r="E4021" s="833"/>
    </row>
    <row r="4022" spans="1:5" x14ac:dyDescent="0.35">
      <c r="A4022" s="281"/>
      <c r="B4022" s="279"/>
      <c r="C4022" s="850"/>
      <c r="D4022" s="282"/>
      <c r="E4022" s="833"/>
    </row>
    <row r="4023" spans="1:5" x14ac:dyDescent="0.35">
      <c r="A4023" s="281"/>
      <c r="B4023" s="279"/>
      <c r="C4023" s="850"/>
      <c r="D4023" s="282"/>
      <c r="E4023" s="833"/>
    </row>
    <row r="4024" spans="1:5" x14ac:dyDescent="0.35">
      <c r="A4024" s="281"/>
      <c r="B4024" s="279"/>
      <c r="C4024" s="850"/>
      <c r="D4024" s="282"/>
      <c r="E4024" s="833"/>
    </row>
    <row r="4025" spans="1:5" x14ac:dyDescent="0.35">
      <c r="A4025" s="281"/>
      <c r="B4025" s="279"/>
      <c r="C4025" s="850"/>
      <c r="D4025" s="282"/>
      <c r="E4025" s="833"/>
    </row>
    <row r="4026" spans="1:5" x14ac:dyDescent="0.35">
      <c r="A4026" s="281"/>
      <c r="B4026" s="279"/>
      <c r="C4026" s="850"/>
      <c r="D4026" s="282"/>
      <c r="E4026" s="833"/>
    </row>
    <row r="4027" spans="1:5" x14ac:dyDescent="0.35">
      <c r="A4027" s="281"/>
      <c r="B4027" s="279"/>
      <c r="C4027" s="850"/>
      <c r="D4027" s="282"/>
      <c r="E4027" s="833"/>
    </row>
    <row r="4028" spans="1:5" x14ac:dyDescent="0.35">
      <c r="A4028" s="281"/>
      <c r="B4028" s="279"/>
      <c r="C4028" s="850"/>
      <c r="D4028" s="282"/>
      <c r="E4028" s="833"/>
    </row>
    <row r="4029" spans="1:5" x14ac:dyDescent="0.35">
      <c r="A4029" s="281"/>
      <c r="B4029" s="279"/>
      <c r="C4029" s="850"/>
      <c r="D4029" s="282"/>
      <c r="E4029" s="833"/>
    </row>
    <row r="4030" spans="1:5" x14ac:dyDescent="0.35">
      <c r="A4030" s="281"/>
      <c r="B4030" s="279"/>
      <c r="C4030" s="850"/>
      <c r="D4030" s="282"/>
      <c r="E4030" s="833"/>
    </row>
    <row r="4031" spans="1:5" x14ac:dyDescent="0.35">
      <c r="A4031" s="281"/>
      <c r="B4031" s="279"/>
      <c r="C4031" s="850"/>
      <c r="D4031" s="282"/>
      <c r="E4031" s="833"/>
    </row>
    <row r="4032" spans="1:5" x14ac:dyDescent="0.35">
      <c r="A4032" s="281"/>
      <c r="B4032" s="279"/>
      <c r="C4032" s="850"/>
      <c r="D4032" s="282"/>
      <c r="E4032" s="833"/>
    </row>
    <row r="4033" spans="1:5" x14ac:dyDescent="0.35">
      <c r="A4033" s="281"/>
      <c r="B4033" s="279"/>
      <c r="C4033" s="850"/>
      <c r="D4033" s="282"/>
      <c r="E4033" s="833"/>
    </row>
    <row r="4034" spans="1:5" x14ac:dyDescent="0.35">
      <c r="A4034" s="281"/>
      <c r="B4034" s="279"/>
      <c r="C4034" s="850"/>
      <c r="D4034" s="282"/>
      <c r="E4034" s="833"/>
    </row>
    <row r="4035" spans="1:5" x14ac:dyDescent="0.35">
      <c r="A4035" s="281"/>
      <c r="B4035" s="279"/>
      <c r="C4035" s="850"/>
      <c r="D4035" s="282"/>
      <c r="E4035" s="833"/>
    </row>
    <row r="4036" spans="1:5" x14ac:dyDescent="0.35">
      <c r="A4036" s="281"/>
      <c r="B4036" s="279"/>
      <c r="C4036" s="850"/>
      <c r="D4036" s="282"/>
      <c r="E4036" s="833"/>
    </row>
    <row r="4037" spans="1:5" x14ac:dyDescent="0.35">
      <c r="A4037" s="281"/>
      <c r="B4037" s="279"/>
      <c r="C4037" s="850"/>
      <c r="D4037" s="282"/>
      <c r="E4037" s="833"/>
    </row>
    <row r="4038" spans="1:5" x14ac:dyDescent="0.35">
      <c r="A4038" s="281"/>
      <c r="B4038" s="279"/>
      <c r="C4038" s="850"/>
      <c r="D4038" s="282"/>
      <c r="E4038" s="833"/>
    </row>
    <row r="4039" spans="1:5" x14ac:dyDescent="0.35">
      <c r="A4039" s="281"/>
      <c r="B4039" s="279"/>
      <c r="C4039" s="850"/>
      <c r="D4039" s="282"/>
      <c r="E4039" s="833"/>
    </row>
    <row r="4040" spans="1:5" x14ac:dyDescent="0.35">
      <c r="A4040" s="281"/>
      <c r="B4040" s="279"/>
      <c r="C4040" s="850"/>
      <c r="D4040" s="282"/>
      <c r="E4040" s="833"/>
    </row>
    <row r="4041" spans="1:5" x14ac:dyDescent="0.35">
      <c r="A4041" s="281"/>
      <c r="B4041" s="279"/>
      <c r="C4041" s="850"/>
      <c r="D4041" s="282"/>
      <c r="E4041" s="833"/>
    </row>
    <row r="4042" spans="1:5" x14ac:dyDescent="0.35">
      <c r="A4042" s="281"/>
      <c r="B4042" s="279"/>
      <c r="C4042" s="850"/>
      <c r="D4042" s="282"/>
      <c r="E4042" s="833"/>
    </row>
    <row r="4043" spans="1:5" x14ac:dyDescent="0.35">
      <c r="A4043" s="281"/>
      <c r="B4043" s="279"/>
      <c r="C4043" s="850"/>
      <c r="D4043" s="282"/>
      <c r="E4043" s="833"/>
    </row>
    <row r="4044" spans="1:5" x14ac:dyDescent="0.35">
      <c r="A4044" s="281"/>
      <c r="B4044" s="279"/>
      <c r="C4044" s="850"/>
      <c r="D4044" s="282"/>
      <c r="E4044" s="833"/>
    </row>
    <row r="4045" spans="1:5" x14ac:dyDescent="0.35">
      <c r="A4045" s="281"/>
      <c r="B4045" s="279"/>
      <c r="C4045" s="850"/>
      <c r="D4045" s="282"/>
      <c r="E4045" s="833"/>
    </row>
    <row r="4046" spans="1:5" x14ac:dyDescent="0.35">
      <c r="A4046" s="281"/>
      <c r="B4046" s="279"/>
      <c r="C4046" s="850"/>
      <c r="D4046" s="282"/>
      <c r="E4046" s="833"/>
    </row>
    <row r="4047" spans="1:5" x14ac:dyDescent="0.35">
      <c r="A4047" s="281"/>
      <c r="B4047" s="279"/>
      <c r="C4047" s="850"/>
      <c r="D4047" s="282"/>
      <c r="E4047" s="833"/>
    </row>
    <row r="4048" spans="1:5" x14ac:dyDescent="0.35">
      <c r="A4048" s="281"/>
      <c r="B4048" s="279"/>
      <c r="C4048" s="850"/>
      <c r="D4048" s="282"/>
      <c r="E4048" s="833"/>
    </row>
    <row r="4049" spans="1:5" x14ac:dyDescent="0.35">
      <c r="A4049" s="281"/>
      <c r="B4049" s="279"/>
      <c r="C4049" s="850"/>
      <c r="D4049" s="282"/>
      <c r="E4049" s="833"/>
    </row>
    <row r="4050" spans="1:5" x14ac:dyDescent="0.35">
      <c r="A4050" s="281"/>
      <c r="B4050" s="279"/>
      <c r="C4050" s="850"/>
      <c r="D4050" s="282"/>
      <c r="E4050" s="833"/>
    </row>
    <row r="4051" spans="1:5" x14ac:dyDescent="0.35">
      <c r="A4051" s="281"/>
      <c r="B4051" s="279"/>
      <c r="C4051" s="850"/>
      <c r="D4051" s="282"/>
      <c r="E4051" s="833"/>
    </row>
    <row r="4052" spans="1:5" x14ac:dyDescent="0.35">
      <c r="A4052" s="281"/>
      <c r="B4052" s="279"/>
      <c r="C4052" s="850"/>
      <c r="D4052" s="282"/>
      <c r="E4052" s="833"/>
    </row>
    <row r="4053" spans="1:5" x14ac:dyDescent="0.35">
      <c r="A4053" s="281"/>
      <c r="B4053" s="279"/>
      <c r="C4053" s="850"/>
      <c r="D4053" s="282"/>
      <c r="E4053" s="833"/>
    </row>
    <row r="4054" spans="1:5" x14ac:dyDescent="0.35">
      <c r="A4054" s="281"/>
      <c r="B4054" s="279"/>
      <c r="C4054" s="850"/>
      <c r="D4054" s="282"/>
      <c r="E4054" s="833"/>
    </row>
    <row r="4055" spans="1:5" x14ac:dyDescent="0.35">
      <c r="A4055" s="281"/>
      <c r="B4055" s="279"/>
      <c r="C4055" s="850"/>
      <c r="D4055" s="282"/>
      <c r="E4055" s="833"/>
    </row>
    <row r="4056" spans="1:5" x14ac:dyDescent="0.35">
      <c r="A4056" s="281"/>
      <c r="B4056" s="279"/>
      <c r="C4056" s="850"/>
      <c r="D4056" s="282"/>
      <c r="E4056" s="833"/>
    </row>
    <row r="4057" spans="1:5" x14ac:dyDescent="0.35">
      <c r="A4057" s="281"/>
      <c r="B4057" s="279"/>
      <c r="C4057" s="850"/>
      <c r="D4057" s="282"/>
      <c r="E4057" s="833"/>
    </row>
    <row r="4058" spans="1:5" x14ac:dyDescent="0.35">
      <c r="A4058" s="281"/>
      <c r="B4058" s="279"/>
      <c r="C4058" s="850"/>
      <c r="D4058" s="282"/>
      <c r="E4058" s="833"/>
    </row>
    <row r="4059" spans="1:5" x14ac:dyDescent="0.35">
      <c r="A4059" s="281"/>
      <c r="B4059" s="279"/>
      <c r="C4059" s="850"/>
      <c r="D4059" s="282"/>
      <c r="E4059" s="833"/>
    </row>
    <row r="4060" spans="1:5" x14ac:dyDescent="0.35">
      <c r="A4060" s="281"/>
      <c r="B4060" s="279"/>
      <c r="C4060" s="850"/>
      <c r="D4060" s="282"/>
      <c r="E4060" s="833"/>
    </row>
    <row r="4061" spans="1:5" x14ac:dyDescent="0.35">
      <c r="A4061" s="281"/>
      <c r="B4061" s="279"/>
      <c r="C4061" s="850"/>
      <c r="D4061" s="282"/>
      <c r="E4061" s="833"/>
    </row>
    <row r="4062" spans="1:5" x14ac:dyDescent="0.35">
      <c r="A4062" s="281"/>
      <c r="B4062" s="279"/>
      <c r="C4062" s="850"/>
      <c r="D4062" s="282"/>
      <c r="E4062" s="833"/>
    </row>
    <row r="4063" spans="1:5" x14ac:dyDescent="0.35">
      <c r="A4063" s="281"/>
      <c r="B4063" s="279"/>
      <c r="C4063" s="850"/>
      <c r="D4063" s="282"/>
      <c r="E4063" s="833"/>
    </row>
    <row r="4064" spans="1:5" x14ac:dyDescent="0.35">
      <c r="A4064" s="281"/>
      <c r="B4064" s="279"/>
      <c r="C4064" s="850"/>
      <c r="D4064" s="282"/>
      <c r="E4064" s="833"/>
    </row>
    <row r="4065" spans="1:5" x14ac:dyDescent="0.35">
      <c r="A4065" s="281"/>
      <c r="B4065" s="279"/>
      <c r="C4065" s="850"/>
      <c r="D4065" s="282"/>
      <c r="E4065" s="833"/>
    </row>
    <row r="4066" spans="1:5" x14ac:dyDescent="0.35">
      <c r="A4066" s="281"/>
      <c r="B4066" s="279"/>
      <c r="C4066" s="850"/>
      <c r="D4066" s="282"/>
      <c r="E4066" s="833"/>
    </row>
    <row r="4067" spans="1:5" x14ac:dyDescent="0.35">
      <c r="A4067" s="281"/>
      <c r="B4067" s="279"/>
      <c r="C4067" s="850"/>
      <c r="D4067" s="282"/>
      <c r="E4067" s="833"/>
    </row>
    <row r="4068" spans="1:5" x14ac:dyDescent="0.35">
      <c r="A4068" s="281"/>
      <c r="B4068" s="279"/>
      <c r="C4068" s="850"/>
      <c r="D4068" s="282"/>
      <c r="E4068" s="833"/>
    </row>
    <row r="4069" spans="1:5" x14ac:dyDescent="0.35">
      <c r="A4069" s="281"/>
      <c r="B4069" s="279"/>
      <c r="C4069" s="850"/>
      <c r="D4069" s="282"/>
      <c r="E4069" s="833"/>
    </row>
    <row r="4070" spans="1:5" x14ac:dyDescent="0.35">
      <c r="A4070" s="281"/>
      <c r="B4070" s="279"/>
      <c r="C4070" s="850"/>
      <c r="D4070" s="282"/>
      <c r="E4070" s="833"/>
    </row>
    <row r="4071" spans="1:5" x14ac:dyDescent="0.35">
      <c r="A4071" s="281"/>
      <c r="B4071" s="279"/>
      <c r="C4071" s="850"/>
      <c r="D4071" s="282"/>
      <c r="E4071" s="833"/>
    </row>
    <row r="4072" spans="1:5" x14ac:dyDescent="0.35">
      <c r="A4072" s="281"/>
      <c r="B4072" s="279"/>
      <c r="C4072" s="850"/>
      <c r="D4072" s="282"/>
      <c r="E4072" s="833"/>
    </row>
    <row r="4073" spans="1:5" x14ac:dyDescent="0.35">
      <c r="A4073" s="281"/>
      <c r="B4073" s="279"/>
      <c r="C4073" s="850"/>
      <c r="D4073" s="282"/>
      <c r="E4073" s="833"/>
    </row>
    <row r="4074" spans="1:5" x14ac:dyDescent="0.35">
      <c r="A4074" s="281"/>
      <c r="B4074" s="279"/>
      <c r="C4074" s="850"/>
      <c r="D4074" s="282"/>
      <c r="E4074" s="833"/>
    </row>
    <row r="4075" spans="1:5" x14ac:dyDescent="0.35">
      <c r="A4075" s="281"/>
      <c r="B4075" s="279"/>
      <c r="C4075" s="850"/>
      <c r="D4075" s="282"/>
      <c r="E4075" s="833"/>
    </row>
    <row r="4076" spans="1:5" x14ac:dyDescent="0.35">
      <c r="A4076" s="281"/>
      <c r="B4076" s="279"/>
      <c r="C4076" s="850"/>
      <c r="D4076" s="282"/>
      <c r="E4076" s="833"/>
    </row>
    <row r="4077" spans="1:5" x14ac:dyDescent="0.35">
      <c r="A4077" s="281"/>
      <c r="B4077" s="279"/>
      <c r="C4077" s="850"/>
      <c r="D4077" s="282"/>
      <c r="E4077" s="833"/>
    </row>
    <row r="4078" spans="1:5" x14ac:dyDescent="0.35">
      <c r="A4078" s="281"/>
      <c r="B4078" s="279"/>
      <c r="C4078" s="850"/>
      <c r="D4078" s="282"/>
      <c r="E4078" s="833"/>
    </row>
    <row r="4079" spans="1:5" x14ac:dyDescent="0.35">
      <c r="A4079" s="281"/>
      <c r="B4079" s="279"/>
      <c r="C4079" s="850"/>
      <c r="D4079" s="282"/>
      <c r="E4079" s="833"/>
    </row>
    <row r="4080" spans="1:5" x14ac:dyDescent="0.35">
      <c r="A4080" s="281"/>
      <c r="B4080" s="279"/>
      <c r="C4080" s="850"/>
      <c r="D4080" s="282"/>
      <c r="E4080" s="833"/>
    </row>
    <row r="4081" spans="1:5" x14ac:dyDescent="0.35">
      <c r="A4081" s="281"/>
      <c r="B4081" s="279"/>
      <c r="C4081" s="850"/>
      <c r="D4081" s="282"/>
      <c r="E4081" s="833"/>
    </row>
    <row r="4082" spans="1:5" x14ac:dyDescent="0.35">
      <c r="A4082" s="281"/>
      <c r="B4082" s="279"/>
      <c r="C4082" s="850"/>
      <c r="D4082" s="282"/>
      <c r="E4082" s="833"/>
    </row>
    <row r="4083" spans="1:5" x14ac:dyDescent="0.35">
      <c r="A4083" s="281"/>
      <c r="B4083" s="279"/>
      <c r="C4083" s="850"/>
      <c r="D4083" s="282"/>
      <c r="E4083" s="833"/>
    </row>
    <row r="4084" spans="1:5" x14ac:dyDescent="0.35">
      <c r="A4084" s="281"/>
      <c r="B4084" s="279"/>
      <c r="C4084" s="850"/>
      <c r="D4084" s="282"/>
      <c r="E4084" s="833"/>
    </row>
    <row r="4085" spans="1:5" x14ac:dyDescent="0.35">
      <c r="A4085" s="281"/>
      <c r="B4085" s="279"/>
      <c r="C4085" s="850"/>
      <c r="D4085" s="282"/>
      <c r="E4085" s="833"/>
    </row>
    <row r="4086" spans="1:5" x14ac:dyDescent="0.35">
      <c r="A4086" s="281"/>
      <c r="B4086" s="279"/>
      <c r="C4086" s="850"/>
      <c r="D4086" s="282"/>
      <c r="E4086" s="833"/>
    </row>
    <row r="4087" spans="1:5" x14ac:dyDescent="0.35">
      <c r="A4087" s="281"/>
      <c r="B4087" s="279"/>
      <c r="C4087" s="850"/>
      <c r="D4087" s="282"/>
      <c r="E4087" s="833"/>
    </row>
    <row r="4088" spans="1:5" x14ac:dyDescent="0.35">
      <c r="A4088" s="281"/>
      <c r="B4088" s="279"/>
      <c r="C4088" s="850"/>
      <c r="D4088" s="282"/>
      <c r="E4088" s="833"/>
    </row>
    <row r="4089" spans="1:5" x14ac:dyDescent="0.35">
      <c r="A4089" s="281"/>
      <c r="B4089" s="279"/>
      <c r="C4089" s="850"/>
      <c r="D4089" s="282"/>
      <c r="E4089" s="833"/>
    </row>
    <row r="4090" spans="1:5" x14ac:dyDescent="0.35">
      <c r="A4090" s="281"/>
      <c r="B4090" s="279"/>
      <c r="C4090" s="850"/>
      <c r="D4090" s="282"/>
      <c r="E4090" s="833"/>
    </row>
    <row r="4091" spans="1:5" x14ac:dyDescent="0.35">
      <c r="A4091" s="281"/>
      <c r="B4091" s="279"/>
      <c r="C4091" s="850"/>
      <c r="D4091" s="282"/>
      <c r="E4091" s="833"/>
    </row>
    <row r="4092" spans="1:5" x14ac:dyDescent="0.35">
      <c r="A4092" s="281"/>
      <c r="B4092" s="279"/>
      <c r="C4092" s="850"/>
      <c r="D4092" s="282"/>
      <c r="E4092" s="833"/>
    </row>
    <row r="4093" spans="1:5" x14ac:dyDescent="0.35">
      <c r="A4093" s="281"/>
      <c r="B4093" s="279"/>
      <c r="C4093" s="850"/>
      <c r="D4093" s="282"/>
      <c r="E4093" s="833"/>
    </row>
    <row r="4094" spans="1:5" x14ac:dyDescent="0.35">
      <c r="A4094" s="281"/>
      <c r="B4094" s="279"/>
      <c r="C4094" s="850"/>
      <c r="D4094" s="282"/>
      <c r="E4094" s="833"/>
    </row>
    <row r="4095" spans="1:5" x14ac:dyDescent="0.35">
      <c r="A4095" s="281"/>
      <c r="B4095" s="279"/>
      <c r="C4095" s="850"/>
      <c r="D4095" s="282"/>
      <c r="E4095" s="833"/>
    </row>
    <row r="4096" spans="1:5" x14ac:dyDescent="0.35">
      <c r="A4096" s="281"/>
      <c r="B4096" s="279"/>
      <c r="C4096" s="850"/>
      <c r="D4096" s="282"/>
      <c r="E4096" s="833"/>
    </row>
    <row r="4097" spans="1:5" x14ac:dyDescent="0.35">
      <c r="A4097" s="281"/>
      <c r="B4097" s="279"/>
      <c r="C4097" s="850"/>
      <c r="D4097" s="282"/>
      <c r="E4097" s="833"/>
    </row>
    <row r="4098" spans="1:5" x14ac:dyDescent="0.35">
      <c r="A4098" s="281"/>
      <c r="B4098" s="279"/>
      <c r="C4098" s="850"/>
      <c r="D4098" s="282"/>
      <c r="E4098" s="833"/>
    </row>
    <row r="4099" spans="1:5" x14ac:dyDescent="0.35">
      <c r="A4099" s="281"/>
      <c r="B4099" s="279"/>
      <c r="C4099" s="850"/>
      <c r="D4099" s="282"/>
      <c r="E4099" s="833"/>
    </row>
    <row r="4100" spans="1:5" x14ac:dyDescent="0.35">
      <c r="A4100" s="281"/>
      <c r="B4100" s="279"/>
      <c r="C4100" s="850"/>
      <c r="D4100" s="282"/>
      <c r="E4100" s="833"/>
    </row>
    <row r="4101" spans="1:5" x14ac:dyDescent="0.35">
      <c r="A4101" s="281"/>
      <c r="B4101" s="279"/>
      <c r="C4101" s="850"/>
      <c r="D4101" s="282"/>
      <c r="E4101" s="833"/>
    </row>
    <row r="4102" spans="1:5" x14ac:dyDescent="0.35">
      <c r="A4102" s="281"/>
      <c r="B4102" s="279"/>
      <c r="C4102" s="850"/>
      <c r="D4102" s="282"/>
      <c r="E4102" s="833"/>
    </row>
    <row r="4103" spans="1:5" x14ac:dyDescent="0.35">
      <c r="A4103" s="281"/>
      <c r="B4103" s="279"/>
      <c r="C4103" s="850"/>
      <c r="D4103" s="282"/>
      <c r="E4103" s="833"/>
    </row>
    <row r="4104" spans="1:5" x14ac:dyDescent="0.35">
      <c r="A4104" s="281"/>
      <c r="B4104" s="279"/>
      <c r="C4104" s="850"/>
      <c r="D4104" s="282"/>
      <c r="E4104" s="833"/>
    </row>
    <row r="4105" spans="1:5" x14ac:dyDescent="0.35">
      <c r="A4105" s="281"/>
      <c r="B4105" s="279"/>
      <c r="C4105" s="850"/>
      <c r="D4105" s="282"/>
      <c r="E4105" s="833"/>
    </row>
    <row r="4106" spans="1:5" x14ac:dyDescent="0.35">
      <c r="A4106" s="281"/>
      <c r="B4106" s="279"/>
      <c r="C4106" s="850"/>
      <c r="D4106" s="282"/>
      <c r="E4106" s="833"/>
    </row>
    <row r="4107" spans="1:5" x14ac:dyDescent="0.35">
      <c r="A4107" s="281"/>
      <c r="B4107" s="279"/>
      <c r="C4107" s="850"/>
      <c r="D4107" s="282"/>
      <c r="E4107" s="833"/>
    </row>
    <row r="4108" spans="1:5" x14ac:dyDescent="0.35">
      <c r="A4108" s="281"/>
      <c r="B4108" s="279"/>
      <c r="C4108" s="850"/>
      <c r="D4108" s="282"/>
      <c r="E4108" s="833"/>
    </row>
    <row r="4109" spans="1:5" x14ac:dyDescent="0.35">
      <c r="A4109" s="281"/>
      <c r="B4109" s="279"/>
      <c r="C4109" s="850"/>
      <c r="D4109" s="282"/>
      <c r="E4109" s="833"/>
    </row>
    <row r="4110" spans="1:5" x14ac:dyDescent="0.35">
      <c r="A4110" s="281"/>
      <c r="B4110" s="279"/>
      <c r="C4110" s="850"/>
      <c r="D4110" s="282"/>
      <c r="E4110" s="833"/>
    </row>
    <row r="4111" spans="1:5" x14ac:dyDescent="0.35">
      <c r="A4111" s="281"/>
      <c r="B4111" s="279"/>
      <c r="C4111" s="850"/>
      <c r="D4111" s="282"/>
      <c r="E4111" s="833"/>
    </row>
    <row r="4112" spans="1:5" x14ac:dyDescent="0.35">
      <c r="A4112" s="281"/>
      <c r="B4112" s="279"/>
      <c r="C4112" s="850"/>
      <c r="D4112" s="282"/>
      <c r="E4112" s="833"/>
    </row>
    <row r="4113" spans="1:5" x14ac:dyDescent="0.35">
      <c r="A4113" s="281"/>
      <c r="B4113" s="279"/>
      <c r="C4113" s="850"/>
      <c r="D4113" s="282"/>
      <c r="E4113" s="833"/>
    </row>
    <row r="4114" spans="1:5" x14ac:dyDescent="0.35">
      <c r="A4114" s="281"/>
      <c r="B4114" s="279"/>
      <c r="C4114" s="850"/>
      <c r="D4114" s="282"/>
      <c r="E4114" s="833"/>
    </row>
    <row r="4115" spans="1:5" x14ac:dyDescent="0.35">
      <c r="A4115" s="281"/>
      <c r="B4115" s="279"/>
      <c r="C4115" s="850"/>
      <c r="D4115" s="282"/>
      <c r="E4115" s="833"/>
    </row>
    <row r="4116" spans="1:5" x14ac:dyDescent="0.35">
      <c r="A4116" s="281"/>
      <c r="B4116" s="279"/>
      <c r="C4116" s="850"/>
      <c r="D4116" s="282"/>
      <c r="E4116" s="833"/>
    </row>
    <row r="4117" spans="1:5" x14ac:dyDescent="0.35">
      <c r="A4117" s="281"/>
      <c r="B4117" s="279"/>
      <c r="C4117" s="850"/>
      <c r="D4117" s="282"/>
      <c r="E4117" s="833"/>
    </row>
    <row r="4118" spans="1:5" x14ac:dyDescent="0.35">
      <c r="A4118" s="281"/>
      <c r="B4118" s="279"/>
      <c r="C4118" s="850"/>
      <c r="D4118" s="282"/>
      <c r="E4118" s="833"/>
    </row>
    <row r="4119" spans="1:5" x14ac:dyDescent="0.35">
      <c r="A4119" s="281"/>
      <c r="B4119" s="279"/>
      <c r="C4119" s="850"/>
      <c r="D4119" s="282"/>
      <c r="E4119" s="833"/>
    </row>
    <row r="4120" spans="1:5" x14ac:dyDescent="0.35">
      <c r="A4120" s="281"/>
      <c r="B4120" s="279"/>
      <c r="C4120" s="850"/>
      <c r="D4120" s="282"/>
      <c r="E4120" s="833"/>
    </row>
    <row r="4121" spans="1:5" x14ac:dyDescent="0.35">
      <c r="A4121" s="281"/>
      <c r="B4121" s="279"/>
      <c r="C4121" s="850"/>
      <c r="D4121" s="282"/>
      <c r="E4121" s="833"/>
    </row>
    <row r="4122" spans="1:5" x14ac:dyDescent="0.35">
      <c r="A4122" s="281"/>
      <c r="B4122" s="279"/>
      <c r="C4122" s="850"/>
      <c r="D4122" s="282"/>
      <c r="E4122" s="833"/>
    </row>
    <row r="4123" spans="1:5" x14ac:dyDescent="0.35">
      <c r="A4123" s="281"/>
      <c r="B4123" s="279"/>
      <c r="C4123" s="850"/>
      <c r="D4123" s="282"/>
      <c r="E4123" s="833"/>
    </row>
    <row r="4124" spans="1:5" x14ac:dyDescent="0.35">
      <c r="A4124" s="281"/>
      <c r="B4124" s="279"/>
      <c r="C4124" s="850"/>
      <c r="D4124" s="282"/>
      <c r="E4124" s="833"/>
    </row>
    <row r="4125" spans="1:5" x14ac:dyDescent="0.35">
      <c r="A4125" s="281"/>
      <c r="B4125" s="279"/>
      <c r="C4125" s="850"/>
      <c r="D4125" s="282"/>
      <c r="E4125" s="833"/>
    </row>
    <row r="4126" spans="1:5" x14ac:dyDescent="0.35">
      <c r="A4126" s="281"/>
      <c r="B4126" s="279"/>
      <c r="C4126" s="850"/>
      <c r="D4126" s="282"/>
      <c r="E4126" s="833"/>
    </row>
    <row r="4127" spans="1:5" x14ac:dyDescent="0.35">
      <c r="A4127" s="281"/>
      <c r="B4127" s="279"/>
      <c r="C4127" s="850"/>
      <c r="D4127" s="282"/>
      <c r="E4127" s="833"/>
    </row>
    <row r="4128" spans="1:5" x14ac:dyDescent="0.35">
      <c r="A4128" s="281"/>
      <c r="B4128" s="279"/>
      <c r="C4128" s="850"/>
      <c r="D4128" s="282"/>
      <c r="E4128" s="833"/>
    </row>
    <row r="4129" spans="1:5" x14ac:dyDescent="0.35">
      <c r="A4129" s="281"/>
      <c r="B4129" s="279"/>
      <c r="C4129" s="850"/>
      <c r="D4129" s="282"/>
      <c r="E4129" s="833"/>
    </row>
    <row r="4130" spans="1:5" x14ac:dyDescent="0.35">
      <c r="A4130" s="281"/>
      <c r="B4130" s="279"/>
      <c r="C4130" s="850"/>
      <c r="D4130" s="282"/>
      <c r="E4130" s="833"/>
    </row>
    <row r="4131" spans="1:5" x14ac:dyDescent="0.35">
      <c r="A4131" s="281"/>
      <c r="B4131" s="279"/>
      <c r="C4131" s="850"/>
      <c r="D4131" s="282"/>
      <c r="E4131" s="833"/>
    </row>
    <row r="4132" spans="1:5" x14ac:dyDescent="0.35">
      <c r="A4132" s="281"/>
      <c r="B4132" s="279"/>
      <c r="C4132" s="850"/>
      <c r="D4132" s="282"/>
      <c r="E4132" s="833"/>
    </row>
    <row r="4133" spans="1:5" x14ac:dyDescent="0.35">
      <c r="A4133" s="281"/>
      <c r="B4133" s="279"/>
      <c r="C4133" s="850"/>
      <c r="D4133" s="282"/>
      <c r="E4133" s="833"/>
    </row>
    <row r="4134" spans="1:5" x14ac:dyDescent="0.35">
      <c r="A4134" s="281"/>
      <c r="B4134" s="279"/>
      <c r="C4134" s="850"/>
      <c r="D4134" s="282"/>
      <c r="E4134" s="833"/>
    </row>
    <row r="4135" spans="1:5" x14ac:dyDescent="0.35">
      <c r="A4135" s="281"/>
      <c r="B4135" s="279"/>
      <c r="C4135" s="850"/>
      <c r="D4135" s="282"/>
      <c r="E4135" s="833"/>
    </row>
    <row r="4136" spans="1:5" x14ac:dyDescent="0.35">
      <c r="A4136" s="281"/>
      <c r="B4136" s="279"/>
      <c r="C4136" s="850"/>
      <c r="D4136" s="282"/>
      <c r="E4136" s="833"/>
    </row>
    <row r="4137" spans="1:5" x14ac:dyDescent="0.35">
      <c r="A4137" s="281"/>
      <c r="B4137" s="279"/>
      <c r="C4137" s="850"/>
      <c r="D4137" s="282"/>
      <c r="E4137" s="833"/>
    </row>
    <row r="4138" spans="1:5" x14ac:dyDescent="0.35">
      <c r="A4138" s="281"/>
      <c r="B4138" s="279"/>
      <c r="C4138" s="850"/>
      <c r="D4138" s="282"/>
      <c r="E4138" s="833"/>
    </row>
    <row r="4139" spans="1:5" x14ac:dyDescent="0.35">
      <c r="A4139" s="281"/>
      <c r="B4139" s="279"/>
      <c r="C4139" s="850"/>
      <c r="D4139" s="282"/>
      <c r="E4139" s="833"/>
    </row>
    <row r="4140" spans="1:5" x14ac:dyDescent="0.35">
      <c r="A4140" s="281"/>
      <c r="B4140" s="279"/>
      <c r="C4140" s="850"/>
      <c r="D4140" s="282"/>
      <c r="E4140" s="833"/>
    </row>
    <row r="4141" spans="1:5" x14ac:dyDescent="0.35">
      <c r="A4141" s="281"/>
      <c r="B4141" s="279"/>
      <c r="C4141" s="850"/>
      <c r="D4141" s="282"/>
      <c r="E4141" s="833"/>
    </row>
    <row r="4142" spans="1:5" x14ac:dyDescent="0.35">
      <c r="A4142" s="281"/>
      <c r="B4142" s="279"/>
      <c r="C4142" s="850"/>
      <c r="D4142" s="282"/>
      <c r="E4142" s="833"/>
    </row>
    <row r="4143" spans="1:5" x14ac:dyDescent="0.35">
      <c r="A4143" s="281"/>
      <c r="B4143" s="279"/>
      <c r="C4143" s="850"/>
      <c r="D4143" s="282"/>
      <c r="E4143" s="833"/>
    </row>
    <row r="4144" spans="1:5" x14ac:dyDescent="0.35">
      <c r="A4144" s="281"/>
      <c r="B4144" s="279"/>
      <c r="C4144" s="850"/>
      <c r="D4144" s="282"/>
      <c r="E4144" s="833"/>
    </row>
    <row r="4145" spans="1:5" x14ac:dyDescent="0.35">
      <c r="A4145" s="281"/>
      <c r="B4145" s="279"/>
      <c r="C4145" s="850"/>
      <c r="D4145" s="282"/>
      <c r="E4145" s="833"/>
    </row>
    <row r="4146" spans="1:5" x14ac:dyDescent="0.35">
      <c r="A4146" s="281"/>
      <c r="B4146" s="279"/>
      <c r="C4146" s="850"/>
      <c r="D4146" s="282"/>
      <c r="E4146" s="833"/>
    </row>
    <row r="4147" spans="1:5" x14ac:dyDescent="0.35">
      <c r="A4147" s="281"/>
      <c r="B4147" s="279"/>
      <c r="C4147" s="850"/>
      <c r="D4147" s="282"/>
      <c r="E4147" s="833"/>
    </row>
    <row r="4148" spans="1:5" x14ac:dyDescent="0.35">
      <c r="A4148" s="281"/>
      <c r="B4148" s="279"/>
      <c r="C4148" s="850"/>
      <c r="D4148" s="282"/>
      <c r="E4148" s="833"/>
    </row>
    <row r="4149" spans="1:5" x14ac:dyDescent="0.35">
      <c r="A4149" s="281"/>
      <c r="B4149" s="279"/>
      <c r="C4149" s="850"/>
      <c r="D4149" s="282"/>
      <c r="E4149" s="833"/>
    </row>
    <row r="4150" spans="1:5" x14ac:dyDescent="0.35">
      <c r="A4150" s="281"/>
      <c r="B4150" s="279"/>
      <c r="C4150" s="850"/>
      <c r="D4150" s="282"/>
      <c r="E4150" s="833"/>
    </row>
    <row r="4151" spans="1:5" x14ac:dyDescent="0.35">
      <c r="A4151" s="281"/>
      <c r="B4151" s="279"/>
      <c r="C4151" s="850"/>
      <c r="D4151" s="282"/>
      <c r="E4151" s="833"/>
    </row>
    <row r="4152" spans="1:5" x14ac:dyDescent="0.35">
      <c r="A4152" s="281"/>
      <c r="B4152" s="279"/>
      <c r="C4152" s="850"/>
      <c r="D4152" s="282"/>
      <c r="E4152" s="833"/>
    </row>
    <row r="4153" spans="1:5" x14ac:dyDescent="0.35">
      <c r="A4153" s="281"/>
      <c r="B4153" s="279"/>
      <c r="C4153" s="850"/>
      <c r="D4153" s="282"/>
      <c r="E4153" s="833"/>
    </row>
    <row r="4154" spans="1:5" x14ac:dyDescent="0.35">
      <c r="A4154" s="281"/>
      <c r="B4154" s="279"/>
      <c r="C4154" s="850"/>
      <c r="D4154" s="282"/>
      <c r="E4154" s="833"/>
    </row>
    <row r="4155" spans="1:5" x14ac:dyDescent="0.35">
      <c r="A4155" s="281"/>
      <c r="B4155" s="279"/>
      <c r="C4155" s="850"/>
      <c r="D4155" s="282"/>
      <c r="E4155" s="833"/>
    </row>
    <row r="4156" spans="1:5" x14ac:dyDescent="0.35">
      <c r="A4156" s="281"/>
      <c r="B4156" s="279"/>
      <c r="C4156" s="850"/>
      <c r="D4156" s="282"/>
      <c r="E4156" s="833"/>
    </row>
    <row r="4157" spans="1:5" x14ac:dyDescent="0.35">
      <c r="A4157" s="281"/>
      <c r="B4157" s="279"/>
      <c r="C4157" s="850"/>
      <c r="D4157" s="282"/>
      <c r="E4157" s="833"/>
    </row>
    <row r="4158" spans="1:5" x14ac:dyDescent="0.35">
      <c r="A4158" s="281"/>
      <c r="B4158" s="279"/>
      <c r="C4158" s="850"/>
      <c r="D4158" s="282"/>
      <c r="E4158" s="833"/>
    </row>
    <row r="4159" spans="1:5" x14ac:dyDescent="0.35">
      <c r="A4159" s="281"/>
      <c r="B4159" s="279"/>
      <c r="C4159" s="850"/>
      <c r="D4159" s="282"/>
      <c r="E4159" s="833"/>
    </row>
    <row r="4160" spans="1:5" x14ac:dyDescent="0.35">
      <c r="A4160" s="281"/>
      <c r="B4160" s="279"/>
      <c r="C4160" s="850"/>
      <c r="D4160" s="282"/>
      <c r="E4160" s="833"/>
    </row>
    <row r="4161" spans="1:5" x14ac:dyDescent="0.35">
      <c r="A4161" s="281"/>
      <c r="B4161" s="279"/>
      <c r="C4161" s="850"/>
      <c r="D4161" s="282"/>
      <c r="E4161" s="833"/>
    </row>
    <row r="4162" spans="1:5" x14ac:dyDescent="0.35">
      <c r="A4162" s="281"/>
      <c r="B4162" s="279"/>
      <c r="C4162" s="850"/>
      <c r="D4162" s="282"/>
      <c r="E4162" s="833"/>
    </row>
    <row r="4163" spans="1:5" x14ac:dyDescent="0.35">
      <c r="A4163" s="281"/>
      <c r="B4163" s="279"/>
      <c r="C4163" s="850"/>
      <c r="D4163" s="282"/>
      <c r="E4163" s="833"/>
    </row>
    <row r="4164" spans="1:5" x14ac:dyDescent="0.35">
      <c r="A4164" s="281"/>
      <c r="B4164" s="279"/>
      <c r="C4164" s="850"/>
      <c r="D4164" s="282"/>
      <c r="E4164" s="833"/>
    </row>
    <row r="4165" spans="1:5" x14ac:dyDescent="0.35">
      <c r="A4165" s="281"/>
      <c r="B4165" s="279"/>
      <c r="C4165" s="850"/>
      <c r="D4165" s="282"/>
      <c r="E4165" s="833"/>
    </row>
    <row r="4166" spans="1:5" x14ac:dyDescent="0.35">
      <c r="A4166" s="281"/>
      <c r="B4166" s="279"/>
      <c r="C4166" s="850"/>
      <c r="D4166" s="282"/>
      <c r="E4166" s="833"/>
    </row>
    <row r="4167" spans="1:5" x14ac:dyDescent="0.35">
      <c r="A4167" s="281"/>
      <c r="B4167" s="279"/>
      <c r="C4167" s="850"/>
      <c r="D4167" s="282"/>
      <c r="E4167" s="833"/>
    </row>
    <row r="4168" spans="1:5" x14ac:dyDescent="0.35">
      <c r="A4168" s="281"/>
      <c r="B4168" s="279"/>
      <c r="C4168" s="850"/>
      <c r="D4168" s="282"/>
      <c r="E4168" s="833"/>
    </row>
    <row r="4169" spans="1:5" x14ac:dyDescent="0.35">
      <c r="A4169" s="281"/>
      <c r="B4169" s="279"/>
      <c r="C4169" s="850"/>
      <c r="D4169" s="282"/>
      <c r="E4169" s="833"/>
    </row>
    <row r="4170" spans="1:5" x14ac:dyDescent="0.35">
      <c r="A4170" s="281"/>
      <c r="B4170" s="279"/>
      <c r="C4170" s="850"/>
      <c r="D4170" s="282"/>
      <c r="E4170" s="833"/>
    </row>
    <row r="4171" spans="1:5" x14ac:dyDescent="0.35">
      <c r="A4171" s="281"/>
      <c r="B4171" s="279"/>
      <c r="C4171" s="850"/>
      <c r="D4171" s="282"/>
      <c r="E4171" s="833"/>
    </row>
    <row r="4172" spans="1:5" x14ac:dyDescent="0.35">
      <c r="A4172" s="281"/>
      <c r="B4172" s="279"/>
      <c r="C4172" s="850"/>
      <c r="D4172" s="282"/>
      <c r="E4172" s="833"/>
    </row>
    <row r="4173" spans="1:5" x14ac:dyDescent="0.35">
      <c r="A4173" s="281"/>
      <c r="B4173" s="279"/>
      <c r="C4173" s="850"/>
      <c r="D4173" s="282"/>
      <c r="E4173" s="833"/>
    </row>
    <row r="4174" spans="1:5" x14ac:dyDescent="0.35">
      <c r="A4174" s="281"/>
      <c r="B4174" s="279"/>
      <c r="C4174" s="850"/>
      <c r="D4174" s="282"/>
      <c r="E4174" s="833"/>
    </row>
    <row r="4175" spans="1:5" x14ac:dyDescent="0.35">
      <c r="A4175" s="281"/>
      <c r="B4175" s="279"/>
      <c r="C4175" s="850"/>
      <c r="D4175" s="282"/>
      <c r="E4175" s="833"/>
    </row>
    <row r="4176" spans="1:5" x14ac:dyDescent="0.35">
      <c r="A4176" s="281"/>
      <c r="B4176" s="279"/>
      <c r="C4176" s="850"/>
      <c r="D4176" s="282"/>
      <c r="E4176" s="833"/>
    </row>
    <row r="4177" spans="1:5" x14ac:dyDescent="0.35">
      <c r="A4177" s="281"/>
      <c r="B4177" s="279"/>
      <c r="C4177" s="850"/>
      <c r="D4177" s="282"/>
      <c r="E4177" s="833"/>
    </row>
    <row r="4178" spans="1:5" x14ac:dyDescent="0.35">
      <c r="A4178" s="281"/>
      <c r="B4178" s="279"/>
      <c r="C4178" s="850"/>
      <c r="D4178" s="282"/>
      <c r="E4178" s="833"/>
    </row>
    <row r="4179" spans="1:5" x14ac:dyDescent="0.35">
      <c r="A4179" s="281"/>
      <c r="B4179" s="279"/>
      <c r="C4179" s="850"/>
      <c r="D4179" s="282"/>
      <c r="E4179" s="833"/>
    </row>
    <row r="4180" spans="1:5" x14ac:dyDescent="0.35">
      <c r="A4180" s="281"/>
      <c r="B4180" s="279"/>
      <c r="C4180" s="850"/>
      <c r="D4180" s="282"/>
      <c r="E4180" s="833"/>
    </row>
    <row r="4181" spans="1:5" x14ac:dyDescent="0.35">
      <c r="A4181" s="281"/>
      <c r="B4181" s="279"/>
      <c r="C4181" s="850"/>
      <c r="D4181" s="282"/>
      <c r="E4181" s="833"/>
    </row>
    <row r="4182" spans="1:5" x14ac:dyDescent="0.35">
      <c r="A4182" s="281"/>
      <c r="B4182" s="279"/>
      <c r="C4182" s="850"/>
      <c r="D4182" s="282"/>
      <c r="E4182" s="833"/>
    </row>
    <row r="4183" spans="1:5" x14ac:dyDescent="0.35">
      <c r="A4183" s="281"/>
      <c r="B4183" s="279"/>
      <c r="C4183" s="850"/>
      <c r="D4183" s="282"/>
      <c r="E4183" s="833"/>
    </row>
    <row r="4184" spans="1:5" x14ac:dyDescent="0.35">
      <c r="A4184" s="281"/>
      <c r="B4184" s="279"/>
      <c r="C4184" s="850"/>
      <c r="D4184" s="282"/>
      <c r="E4184" s="833"/>
    </row>
    <row r="4185" spans="1:5" x14ac:dyDescent="0.35">
      <c r="A4185" s="281"/>
      <c r="B4185" s="279"/>
      <c r="C4185" s="850"/>
      <c r="D4185" s="282"/>
      <c r="E4185" s="833"/>
    </row>
    <row r="4186" spans="1:5" x14ac:dyDescent="0.35">
      <c r="A4186" s="281"/>
      <c r="B4186" s="279"/>
      <c r="C4186" s="850"/>
      <c r="D4186" s="282"/>
      <c r="E4186" s="833"/>
    </row>
    <row r="4187" spans="1:5" x14ac:dyDescent="0.35">
      <c r="A4187" s="281"/>
      <c r="B4187" s="279"/>
      <c r="C4187" s="850"/>
      <c r="D4187" s="282"/>
      <c r="E4187" s="833"/>
    </row>
    <row r="4188" spans="1:5" x14ac:dyDescent="0.35">
      <c r="A4188" s="281"/>
      <c r="B4188" s="279"/>
      <c r="C4188" s="850"/>
      <c r="D4188" s="282"/>
      <c r="E4188" s="833"/>
    </row>
    <row r="4189" spans="1:5" x14ac:dyDescent="0.35">
      <c r="A4189" s="281"/>
      <c r="B4189" s="279"/>
      <c r="C4189" s="850"/>
      <c r="D4189" s="282"/>
      <c r="E4189" s="833"/>
    </row>
    <row r="4190" spans="1:5" x14ac:dyDescent="0.35">
      <c r="A4190" s="281"/>
      <c r="B4190" s="279"/>
      <c r="C4190" s="850"/>
      <c r="D4190" s="282"/>
      <c r="E4190" s="833"/>
    </row>
    <row r="4191" spans="1:5" x14ac:dyDescent="0.35">
      <c r="A4191" s="281"/>
      <c r="B4191" s="279"/>
      <c r="C4191" s="850"/>
      <c r="D4191" s="282"/>
      <c r="E4191" s="833"/>
    </row>
    <row r="4192" spans="1:5" x14ac:dyDescent="0.35">
      <c r="A4192" s="281"/>
      <c r="B4192" s="279"/>
      <c r="C4192" s="850"/>
      <c r="D4192" s="282"/>
      <c r="E4192" s="833"/>
    </row>
    <row r="4193" spans="1:5" x14ac:dyDescent="0.35">
      <c r="A4193" s="281"/>
      <c r="B4193" s="279"/>
      <c r="C4193" s="850"/>
      <c r="D4193" s="282"/>
      <c r="E4193" s="833"/>
    </row>
    <row r="4194" spans="1:5" x14ac:dyDescent="0.35">
      <c r="A4194" s="281"/>
      <c r="B4194" s="279"/>
      <c r="C4194" s="850"/>
      <c r="D4194" s="282"/>
      <c r="E4194" s="833"/>
    </row>
    <row r="4195" spans="1:5" x14ac:dyDescent="0.35">
      <c r="A4195" s="281"/>
      <c r="B4195" s="279"/>
      <c r="C4195" s="850"/>
      <c r="D4195" s="282"/>
      <c r="E4195" s="833"/>
    </row>
    <row r="4196" spans="1:5" x14ac:dyDescent="0.35">
      <c r="A4196" s="281"/>
      <c r="B4196" s="279"/>
      <c r="C4196" s="850"/>
      <c r="D4196" s="282"/>
      <c r="E4196" s="833"/>
    </row>
    <row r="4197" spans="1:5" x14ac:dyDescent="0.35">
      <c r="A4197" s="281"/>
      <c r="B4197" s="279"/>
      <c r="C4197" s="850"/>
      <c r="D4197" s="282"/>
      <c r="E4197" s="833"/>
    </row>
    <row r="4198" spans="1:5" x14ac:dyDescent="0.35">
      <c r="A4198" s="281"/>
      <c r="B4198" s="279"/>
      <c r="C4198" s="850"/>
      <c r="D4198" s="282"/>
      <c r="E4198" s="833"/>
    </row>
    <row r="4199" spans="1:5" x14ac:dyDescent="0.35">
      <c r="A4199" s="281"/>
      <c r="B4199" s="279"/>
      <c r="C4199" s="850"/>
      <c r="D4199" s="282"/>
      <c r="E4199" s="833"/>
    </row>
    <row r="4200" spans="1:5" x14ac:dyDescent="0.35">
      <c r="A4200" s="281"/>
      <c r="B4200" s="279"/>
      <c r="C4200" s="850"/>
      <c r="D4200" s="282"/>
      <c r="E4200" s="833"/>
    </row>
    <row r="4201" spans="1:5" x14ac:dyDescent="0.35">
      <c r="A4201" s="281"/>
      <c r="B4201" s="279"/>
      <c r="C4201" s="850"/>
      <c r="D4201" s="282"/>
      <c r="E4201" s="833"/>
    </row>
    <row r="4202" spans="1:5" x14ac:dyDescent="0.35">
      <c r="A4202" s="281"/>
      <c r="B4202" s="279"/>
      <c r="C4202" s="850"/>
      <c r="D4202" s="282"/>
      <c r="E4202" s="833"/>
    </row>
    <row r="4203" spans="1:5" x14ac:dyDescent="0.35">
      <c r="A4203" s="281"/>
      <c r="B4203" s="279"/>
      <c r="C4203" s="850"/>
      <c r="D4203" s="282"/>
      <c r="E4203" s="833"/>
    </row>
    <row r="4204" spans="1:5" x14ac:dyDescent="0.35">
      <c r="A4204" s="281"/>
      <c r="B4204" s="279"/>
      <c r="C4204" s="850"/>
      <c r="D4204" s="282"/>
      <c r="E4204" s="833"/>
    </row>
    <row r="4205" spans="1:5" x14ac:dyDescent="0.35">
      <c r="A4205" s="281"/>
      <c r="B4205" s="279"/>
      <c r="C4205" s="850"/>
      <c r="D4205" s="282"/>
      <c r="E4205" s="833"/>
    </row>
    <row r="4206" spans="1:5" x14ac:dyDescent="0.35">
      <c r="A4206" s="281"/>
      <c r="B4206" s="279"/>
      <c r="C4206" s="850"/>
      <c r="D4206" s="282"/>
      <c r="E4206" s="833"/>
    </row>
    <row r="4207" spans="1:5" x14ac:dyDescent="0.35">
      <c r="A4207" s="281"/>
      <c r="B4207" s="279"/>
      <c r="C4207" s="850"/>
      <c r="D4207" s="282"/>
      <c r="E4207" s="833"/>
    </row>
    <row r="4208" spans="1:5" x14ac:dyDescent="0.35">
      <c r="A4208" s="281"/>
      <c r="B4208" s="279"/>
      <c r="C4208" s="850"/>
      <c r="D4208" s="282"/>
      <c r="E4208" s="833"/>
    </row>
    <row r="4209" spans="1:5" x14ac:dyDescent="0.35">
      <c r="A4209" s="281"/>
      <c r="B4209" s="279"/>
      <c r="C4209" s="850"/>
      <c r="D4209" s="282"/>
      <c r="E4209" s="833"/>
    </row>
    <row r="4210" spans="1:5" x14ac:dyDescent="0.35">
      <c r="A4210" s="281"/>
      <c r="B4210" s="279"/>
      <c r="C4210" s="850"/>
      <c r="D4210" s="282"/>
      <c r="E4210" s="833"/>
    </row>
    <row r="4211" spans="1:5" x14ac:dyDescent="0.35">
      <c r="A4211" s="281"/>
      <c r="B4211" s="279"/>
      <c r="C4211" s="850"/>
      <c r="D4211" s="282"/>
      <c r="E4211" s="833"/>
    </row>
    <row r="4212" spans="1:5" x14ac:dyDescent="0.35">
      <c r="A4212" s="281"/>
      <c r="B4212" s="279"/>
      <c r="C4212" s="850"/>
      <c r="D4212" s="282"/>
      <c r="E4212" s="833"/>
    </row>
    <row r="4213" spans="1:5" x14ac:dyDescent="0.35">
      <c r="A4213" s="281"/>
      <c r="B4213" s="279"/>
      <c r="C4213" s="850"/>
      <c r="D4213" s="282"/>
      <c r="E4213" s="833"/>
    </row>
    <row r="4214" spans="1:5" x14ac:dyDescent="0.35">
      <c r="A4214" s="281"/>
      <c r="B4214" s="279"/>
      <c r="C4214" s="850"/>
      <c r="D4214" s="282"/>
      <c r="E4214" s="833"/>
    </row>
    <row r="4215" spans="1:5" x14ac:dyDescent="0.35">
      <c r="A4215" s="281"/>
      <c r="B4215" s="279"/>
      <c r="C4215" s="850"/>
      <c r="D4215" s="282"/>
      <c r="E4215" s="833"/>
    </row>
    <row r="4216" spans="1:5" x14ac:dyDescent="0.35">
      <c r="A4216" s="281"/>
      <c r="B4216" s="279"/>
      <c r="C4216" s="850"/>
      <c r="D4216" s="282"/>
      <c r="E4216" s="833"/>
    </row>
    <row r="4217" spans="1:5" x14ac:dyDescent="0.35">
      <c r="A4217" s="281"/>
      <c r="B4217" s="279"/>
      <c r="C4217" s="850"/>
      <c r="D4217" s="282"/>
      <c r="E4217" s="833"/>
    </row>
    <row r="4218" spans="1:5" x14ac:dyDescent="0.35">
      <c r="A4218" s="281"/>
      <c r="B4218" s="279"/>
      <c r="C4218" s="850"/>
      <c r="D4218" s="282"/>
      <c r="E4218" s="833"/>
    </row>
    <row r="4219" spans="1:5" x14ac:dyDescent="0.35">
      <c r="A4219" s="281"/>
      <c r="B4219" s="279"/>
      <c r="C4219" s="850"/>
      <c r="D4219" s="282"/>
      <c r="E4219" s="833"/>
    </row>
    <row r="4220" spans="1:5" x14ac:dyDescent="0.35">
      <c r="A4220" s="281"/>
      <c r="B4220" s="279"/>
      <c r="C4220" s="850"/>
      <c r="D4220" s="282"/>
      <c r="E4220" s="833"/>
    </row>
    <row r="4221" spans="1:5" x14ac:dyDescent="0.35">
      <c r="A4221" s="281"/>
      <c r="B4221" s="279"/>
      <c r="C4221" s="850"/>
      <c r="D4221" s="282"/>
      <c r="E4221" s="833"/>
    </row>
    <row r="4222" spans="1:5" x14ac:dyDescent="0.35">
      <c r="A4222" s="281"/>
      <c r="B4222" s="279"/>
      <c r="C4222" s="850"/>
      <c r="D4222" s="282"/>
      <c r="E4222" s="833"/>
    </row>
    <row r="4223" spans="1:5" x14ac:dyDescent="0.35">
      <c r="A4223" s="281"/>
      <c r="B4223" s="279"/>
      <c r="C4223" s="850"/>
      <c r="D4223" s="282"/>
      <c r="E4223" s="833"/>
    </row>
    <row r="4224" spans="1:5" x14ac:dyDescent="0.35">
      <c r="A4224" s="281"/>
      <c r="B4224" s="279"/>
      <c r="C4224" s="850"/>
      <c r="D4224" s="282"/>
      <c r="E4224" s="833"/>
    </row>
    <row r="4225" spans="1:5" x14ac:dyDescent="0.35">
      <c r="A4225" s="281"/>
      <c r="B4225" s="279"/>
      <c r="C4225" s="850"/>
      <c r="D4225" s="282"/>
      <c r="E4225" s="833"/>
    </row>
    <row r="4226" spans="1:5" x14ac:dyDescent="0.35">
      <c r="A4226" s="281"/>
      <c r="B4226" s="279"/>
      <c r="C4226" s="850"/>
      <c r="D4226" s="282"/>
      <c r="E4226" s="833"/>
    </row>
    <row r="4227" spans="1:5" x14ac:dyDescent="0.35">
      <c r="A4227" s="281"/>
      <c r="B4227" s="279"/>
      <c r="C4227" s="850"/>
      <c r="D4227" s="282"/>
      <c r="E4227" s="833"/>
    </row>
    <row r="4228" spans="1:5" x14ac:dyDescent="0.35">
      <c r="A4228" s="281"/>
      <c r="B4228" s="279"/>
      <c r="C4228" s="850"/>
      <c r="D4228" s="282"/>
      <c r="E4228" s="833"/>
    </row>
    <row r="4229" spans="1:5" x14ac:dyDescent="0.35">
      <c r="A4229" s="281"/>
      <c r="B4229" s="279"/>
      <c r="C4229" s="850"/>
      <c r="D4229" s="282"/>
      <c r="E4229" s="833"/>
    </row>
    <row r="4230" spans="1:5" x14ac:dyDescent="0.35">
      <c r="A4230" s="281"/>
      <c r="B4230" s="279"/>
      <c r="C4230" s="850"/>
      <c r="D4230" s="282"/>
      <c r="E4230" s="833"/>
    </row>
    <row r="4231" spans="1:5" x14ac:dyDescent="0.35">
      <c r="A4231" s="281"/>
      <c r="B4231" s="279"/>
      <c r="C4231" s="850"/>
      <c r="D4231" s="282"/>
      <c r="E4231" s="833"/>
    </row>
    <row r="4232" spans="1:5" x14ac:dyDescent="0.35">
      <c r="A4232" s="281"/>
      <c r="B4232" s="279"/>
      <c r="C4232" s="850"/>
      <c r="D4232" s="282"/>
      <c r="E4232" s="833"/>
    </row>
    <row r="4233" spans="1:5" x14ac:dyDescent="0.35">
      <c r="A4233" s="281"/>
      <c r="B4233" s="279"/>
      <c r="C4233" s="850"/>
      <c r="D4233" s="282"/>
      <c r="E4233" s="833"/>
    </row>
    <row r="4234" spans="1:5" x14ac:dyDescent="0.35">
      <c r="A4234" s="281"/>
      <c r="B4234" s="279"/>
      <c r="C4234" s="850"/>
      <c r="D4234" s="282"/>
      <c r="E4234" s="833"/>
    </row>
    <row r="4235" spans="1:5" x14ac:dyDescent="0.35">
      <c r="A4235" s="281"/>
      <c r="B4235" s="279"/>
      <c r="C4235" s="850"/>
      <c r="D4235" s="282"/>
      <c r="E4235" s="833"/>
    </row>
    <row r="4236" spans="1:5" x14ac:dyDescent="0.35">
      <c r="A4236" s="281"/>
      <c r="B4236" s="279"/>
      <c r="C4236" s="850"/>
      <c r="D4236" s="282"/>
      <c r="E4236" s="833"/>
    </row>
    <row r="4237" spans="1:5" x14ac:dyDescent="0.35">
      <c r="A4237" s="281"/>
      <c r="B4237" s="279"/>
      <c r="C4237" s="850"/>
      <c r="D4237" s="282"/>
      <c r="E4237" s="833"/>
    </row>
    <row r="4238" spans="1:5" x14ac:dyDescent="0.35">
      <c r="A4238" s="281"/>
      <c r="B4238" s="279"/>
      <c r="C4238" s="850"/>
      <c r="D4238" s="282"/>
      <c r="E4238" s="833"/>
    </row>
    <row r="4239" spans="1:5" x14ac:dyDescent="0.35">
      <c r="A4239" s="281"/>
      <c r="B4239" s="279"/>
      <c r="C4239" s="850"/>
      <c r="D4239" s="282"/>
      <c r="E4239" s="833"/>
    </row>
    <row r="4240" spans="1:5" x14ac:dyDescent="0.35">
      <c r="A4240" s="281"/>
      <c r="B4240" s="279"/>
      <c r="C4240" s="850"/>
      <c r="D4240" s="282"/>
      <c r="E4240" s="833"/>
    </row>
    <row r="4241" spans="1:5" x14ac:dyDescent="0.35">
      <c r="A4241" s="281"/>
      <c r="B4241" s="279"/>
      <c r="C4241" s="850"/>
      <c r="D4241" s="282"/>
      <c r="E4241" s="833"/>
    </row>
    <row r="4242" spans="1:5" x14ac:dyDescent="0.35">
      <c r="A4242" s="281"/>
      <c r="B4242" s="279"/>
      <c r="C4242" s="850"/>
      <c r="D4242" s="282"/>
      <c r="E4242" s="833"/>
    </row>
    <row r="4243" spans="1:5" x14ac:dyDescent="0.35">
      <c r="A4243" s="281"/>
      <c r="B4243" s="279"/>
      <c r="C4243" s="850"/>
      <c r="D4243" s="282"/>
      <c r="E4243" s="833"/>
    </row>
    <row r="4244" spans="1:5" x14ac:dyDescent="0.35">
      <c r="A4244" s="281"/>
      <c r="B4244" s="279"/>
      <c r="C4244" s="850"/>
      <c r="D4244" s="282"/>
      <c r="E4244" s="833"/>
    </row>
    <row r="4245" spans="1:5" x14ac:dyDescent="0.35">
      <c r="A4245" s="281"/>
      <c r="B4245" s="279"/>
      <c r="C4245" s="850"/>
      <c r="D4245" s="282"/>
      <c r="E4245" s="833"/>
    </row>
    <row r="4246" spans="1:5" x14ac:dyDescent="0.35">
      <c r="A4246" s="281"/>
      <c r="B4246" s="279"/>
      <c r="C4246" s="850"/>
      <c r="D4246" s="282"/>
      <c r="E4246" s="833"/>
    </row>
    <row r="4247" spans="1:5" x14ac:dyDescent="0.35">
      <c r="A4247" s="281"/>
      <c r="B4247" s="279"/>
      <c r="C4247" s="850"/>
      <c r="D4247" s="282"/>
      <c r="E4247" s="833"/>
    </row>
    <row r="4248" spans="1:5" x14ac:dyDescent="0.35">
      <c r="A4248" s="281"/>
      <c r="B4248" s="279"/>
      <c r="C4248" s="850"/>
      <c r="D4248" s="282"/>
      <c r="E4248" s="833"/>
    </row>
    <row r="4249" spans="1:5" x14ac:dyDescent="0.35">
      <c r="A4249" s="281"/>
      <c r="B4249" s="279"/>
      <c r="C4249" s="850"/>
      <c r="D4249" s="282"/>
      <c r="E4249" s="833"/>
    </row>
    <row r="4250" spans="1:5" x14ac:dyDescent="0.35">
      <c r="A4250" s="281"/>
      <c r="B4250" s="279"/>
      <c r="C4250" s="850"/>
      <c r="D4250" s="282"/>
      <c r="E4250" s="833"/>
    </row>
    <row r="4251" spans="1:5" x14ac:dyDescent="0.35">
      <c r="A4251" s="281"/>
      <c r="B4251" s="279"/>
      <c r="C4251" s="850"/>
      <c r="D4251" s="282"/>
      <c r="E4251" s="833"/>
    </row>
    <row r="4252" spans="1:5" x14ac:dyDescent="0.35">
      <c r="A4252" s="281"/>
      <c r="B4252" s="279"/>
      <c r="C4252" s="850"/>
      <c r="D4252" s="282"/>
      <c r="E4252" s="833"/>
    </row>
    <row r="4253" spans="1:5" x14ac:dyDescent="0.35">
      <c r="A4253" s="281"/>
      <c r="B4253" s="279"/>
      <c r="C4253" s="850"/>
      <c r="D4253" s="282"/>
      <c r="E4253" s="833"/>
    </row>
    <row r="4254" spans="1:5" x14ac:dyDescent="0.35">
      <c r="A4254" s="281"/>
      <c r="B4254" s="279"/>
      <c r="C4254" s="850"/>
      <c r="D4254" s="282"/>
      <c r="E4254" s="833"/>
    </row>
    <row r="4255" spans="1:5" x14ac:dyDescent="0.35">
      <c r="A4255" s="281"/>
      <c r="B4255" s="279"/>
      <c r="C4255" s="850"/>
      <c r="D4255" s="282"/>
      <c r="E4255" s="833"/>
    </row>
    <row r="4256" spans="1:5" x14ac:dyDescent="0.35">
      <c r="A4256" s="281"/>
      <c r="B4256" s="279"/>
      <c r="C4256" s="850"/>
      <c r="D4256" s="282"/>
      <c r="E4256" s="833"/>
    </row>
    <row r="4257" spans="1:5" x14ac:dyDescent="0.35">
      <c r="A4257" s="281"/>
      <c r="B4257" s="279"/>
      <c r="C4257" s="850"/>
      <c r="D4257" s="282"/>
      <c r="E4257" s="833"/>
    </row>
    <row r="4258" spans="1:5" x14ac:dyDescent="0.35">
      <c r="A4258" s="281"/>
      <c r="B4258" s="279"/>
      <c r="C4258" s="850"/>
      <c r="D4258" s="282"/>
      <c r="E4258" s="833"/>
    </row>
    <row r="4259" spans="1:5" x14ac:dyDescent="0.35">
      <c r="A4259" s="281"/>
      <c r="B4259" s="279"/>
      <c r="C4259" s="850"/>
      <c r="D4259" s="282"/>
      <c r="E4259" s="833"/>
    </row>
    <row r="4260" spans="1:5" x14ac:dyDescent="0.35">
      <c r="A4260" s="281"/>
      <c r="B4260" s="279"/>
      <c r="C4260" s="850"/>
      <c r="D4260" s="282"/>
      <c r="E4260" s="833"/>
    </row>
    <row r="4261" spans="1:5" x14ac:dyDescent="0.35">
      <c r="A4261" s="281"/>
      <c r="B4261" s="279"/>
      <c r="C4261" s="850"/>
      <c r="D4261" s="282"/>
      <c r="E4261" s="833"/>
    </row>
    <row r="4262" spans="1:5" x14ac:dyDescent="0.35">
      <c r="A4262" s="281"/>
      <c r="B4262" s="279"/>
      <c r="C4262" s="850"/>
      <c r="D4262" s="282"/>
      <c r="E4262" s="833"/>
    </row>
    <row r="4263" spans="1:5" x14ac:dyDescent="0.35">
      <c r="A4263" s="281"/>
      <c r="B4263" s="279"/>
      <c r="C4263" s="850"/>
      <c r="D4263" s="282"/>
      <c r="E4263" s="833"/>
    </row>
    <row r="4264" spans="1:5" x14ac:dyDescent="0.35">
      <c r="A4264" s="281"/>
      <c r="B4264" s="279"/>
      <c r="C4264" s="850"/>
      <c r="D4264" s="282"/>
      <c r="E4264" s="833"/>
    </row>
    <row r="4265" spans="1:5" x14ac:dyDescent="0.35">
      <c r="A4265" s="281"/>
      <c r="B4265" s="279"/>
      <c r="C4265" s="850"/>
      <c r="D4265" s="282"/>
      <c r="E4265" s="833"/>
    </row>
    <row r="4266" spans="1:5" x14ac:dyDescent="0.35">
      <c r="A4266" s="281"/>
      <c r="B4266" s="279"/>
      <c r="C4266" s="850"/>
      <c r="D4266" s="282"/>
      <c r="E4266" s="833"/>
    </row>
    <row r="4267" spans="1:5" x14ac:dyDescent="0.35">
      <c r="A4267" s="281"/>
      <c r="B4267" s="279"/>
      <c r="C4267" s="850"/>
      <c r="D4267" s="282"/>
      <c r="E4267" s="833"/>
    </row>
    <row r="4268" spans="1:5" x14ac:dyDescent="0.35">
      <c r="A4268" s="281"/>
      <c r="B4268" s="279"/>
      <c r="C4268" s="850"/>
      <c r="D4268" s="282"/>
      <c r="E4268" s="833"/>
    </row>
    <row r="4269" spans="1:5" x14ac:dyDescent="0.35">
      <c r="A4269" s="281"/>
      <c r="B4269" s="279"/>
      <c r="C4269" s="850"/>
      <c r="D4269" s="282"/>
      <c r="E4269" s="833"/>
    </row>
    <row r="4270" spans="1:5" x14ac:dyDescent="0.35">
      <c r="A4270" s="281"/>
      <c r="B4270" s="279"/>
      <c r="C4270" s="850"/>
      <c r="D4270" s="282"/>
      <c r="E4270" s="833"/>
    </row>
    <row r="4271" spans="1:5" x14ac:dyDescent="0.35">
      <c r="A4271" s="281"/>
      <c r="B4271" s="279"/>
      <c r="C4271" s="850"/>
      <c r="D4271" s="282"/>
      <c r="E4271" s="833"/>
    </row>
    <row r="4272" spans="1:5" x14ac:dyDescent="0.35">
      <c r="A4272" s="281"/>
      <c r="B4272" s="279"/>
      <c r="C4272" s="850"/>
      <c r="D4272" s="282"/>
      <c r="E4272" s="833"/>
    </row>
    <row r="4273" spans="1:5" x14ac:dyDescent="0.35">
      <c r="A4273" s="281"/>
      <c r="B4273" s="279"/>
      <c r="C4273" s="850"/>
      <c r="D4273" s="282"/>
      <c r="E4273" s="833"/>
    </row>
    <row r="4274" spans="1:5" x14ac:dyDescent="0.35">
      <c r="A4274" s="281"/>
      <c r="B4274" s="279"/>
      <c r="C4274" s="850"/>
      <c r="D4274" s="282"/>
      <c r="E4274" s="833"/>
    </row>
    <row r="4275" spans="1:5" x14ac:dyDescent="0.35">
      <c r="A4275" s="281"/>
      <c r="B4275" s="279"/>
      <c r="C4275" s="850"/>
      <c r="D4275" s="282"/>
      <c r="E4275" s="833"/>
    </row>
    <row r="4276" spans="1:5" x14ac:dyDescent="0.35">
      <c r="A4276" s="281"/>
      <c r="B4276" s="279"/>
      <c r="C4276" s="850"/>
      <c r="D4276" s="282"/>
      <c r="E4276" s="833"/>
    </row>
    <row r="4277" spans="1:5" x14ac:dyDescent="0.35">
      <c r="A4277" s="281"/>
      <c r="B4277" s="279"/>
      <c r="C4277" s="850"/>
      <c r="D4277" s="282"/>
      <c r="E4277" s="833"/>
    </row>
    <row r="4278" spans="1:5" x14ac:dyDescent="0.35">
      <c r="A4278" s="281"/>
      <c r="B4278" s="279"/>
      <c r="C4278" s="850"/>
      <c r="D4278" s="282"/>
      <c r="E4278" s="833"/>
    </row>
    <row r="4279" spans="1:5" x14ac:dyDescent="0.35">
      <c r="A4279" s="281"/>
      <c r="B4279" s="279"/>
      <c r="C4279" s="850"/>
      <c r="D4279" s="282"/>
      <c r="E4279" s="833"/>
    </row>
    <row r="4280" spans="1:5" x14ac:dyDescent="0.35">
      <c r="A4280" s="281"/>
      <c r="B4280" s="279"/>
      <c r="C4280" s="850"/>
      <c r="D4280" s="282"/>
      <c r="E4280" s="833"/>
    </row>
    <row r="4281" spans="1:5" x14ac:dyDescent="0.35">
      <c r="A4281" s="281"/>
      <c r="B4281" s="279"/>
      <c r="C4281" s="850"/>
      <c r="D4281" s="282"/>
      <c r="E4281" s="833"/>
    </row>
    <row r="4282" spans="1:5" x14ac:dyDescent="0.35">
      <c r="A4282" s="281"/>
      <c r="B4282" s="279"/>
      <c r="C4282" s="850"/>
      <c r="D4282" s="282"/>
      <c r="E4282" s="833"/>
    </row>
    <row r="4283" spans="1:5" x14ac:dyDescent="0.35">
      <c r="A4283" s="281"/>
      <c r="B4283" s="279"/>
      <c r="C4283" s="850"/>
      <c r="D4283" s="282"/>
      <c r="E4283" s="833"/>
    </row>
    <row r="4284" spans="1:5" x14ac:dyDescent="0.35">
      <c r="A4284" s="281"/>
      <c r="B4284" s="279"/>
      <c r="C4284" s="850"/>
      <c r="D4284" s="282"/>
      <c r="E4284" s="833"/>
    </row>
    <row r="4285" spans="1:5" x14ac:dyDescent="0.35">
      <c r="A4285" s="281"/>
      <c r="B4285" s="279"/>
      <c r="C4285" s="850"/>
      <c r="D4285" s="282"/>
      <c r="E4285" s="833"/>
    </row>
    <row r="4286" spans="1:5" x14ac:dyDescent="0.35">
      <c r="A4286" s="281"/>
      <c r="B4286" s="279"/>
      <c r="C4286" s="850"/>
      <c r="D4286" s="282"/>
      <c r="E4286" s="833"/>
    </row>
    <row r="4287" spans="1:5" x14ac:dyDescent="0.35">
      <c r="A4287" s="281"/>
      <c r="B4287" s="279"/>
      <c r="C4287" s="850"/>
      <c r="D4287" s="282"/>
      <c r="E4287" s="833"/>
    </row>
    <row r="4288" spans="1:5" x14ac:dyDescent="0.35">
      <c r="A4288" s="281"/>
      <c r="B4288" s="279"/>
      <c r="C4288" s="850"/>
      <c r="D4288" s="282"/>
      <c r="E4288" s="833"/>
    </row>
    <row r="4289" spans="1:5" x14ac:dyDescent="0.35">
      <c r="A4289" s="281"/>
      <c r="B4289" s="279"/>
      <c r="C4289" s="850"/>
      <c r="D4289" s="282"/>
      <c r="E4289" s="833"/>
    </row>
    <row r="4290" spans="1:5" x14ac:dyDescent="0.35">
      <c r="A4290" s="281"/>
      <c r="B4290" s="279"/>
      <c r="C4290" s="850"/>
      <c r="D4290" s="282"/>
      <c r="E4290" s="833"/>
    </row>
    <row r="4291" spans="1:5" x14ac:dyDescent="0.35">
      <c r="A4291" s="281"/>
      <c r="B4291" s="279"/>
      <c r="C4291" s="850"/>
      <c r="D4291" s="282"/>
      <c r="E4291" s="833"/>
    </row>
    <row r="4292" spans="1:5" x14ac:dyDescent="0.35">
      <c r="A4292" s="281"/>
      <c r="B4292" s="279"/>
      <c r="C4292" s="850"/>
      <c r="D4292" s="282"/>
      <c r="E4292" s="833"/>
    </row>
    <row r="4293" spans="1:5" x14ac:dyDescent="0.35">
      <c r="A4293" s="281"/>
      <c r="B4293" s="279"/>
      <c r="C4293" s="850"/>
      <c r="D4293" s="282"/>
      <c r="E4293" s="833"/>
    </row>
    <row r="4294" spans="1:5" x14ac:dyDescent="0.35">
      <c r="A4294" s="281"/>
      <c r="B4294" s="279"/>
      <c r="C4294" s="850"/>
      <c r="D4294" s="282"/>
      <c r="E4294" s="833"/>
    </row>
    <row r="4295" spans="1:5" x14ac:dyDescent="0.35">
      <c r="A4295" s="281"/>
      <c r="B4295" s="279"/>
      <c r="C4295" s="850"/>
      <c r="D4295" s="282"/>
      <c r="E4295" s="833"/>
    </row>
    <row r="4296" spans="1:5" x14ac:dyDescent="0.35">
      <c r="A4296" s="281"/>
      <c r="B4296" s="279"/>
      <c r="C4296" s="850"/>
      <c r="D4296" s="282"/>
      <c r="E4296" s="833"/>
    </row>
    <row r="4297" spans="1:5" x14ac:dyDescent="0.35">
      <c r="A4297" s="281"/>
      <c r="B4297" s="279"/>
      <c r="C4297" s="850"/>
      <c r="D4297" s="282"/>
      <c r="E4297" s="833"/>
    </row>
    <row r="4298" spans="1:5" x14ac:dyDescent="0.35">
      <c r="A4298" s="281"/>
      <c r="B4298" s="279"/>
      <c r="C4298" s="850"/>
      <c r="D4298" s="282"/>
      <c r="E4298" s="833"/>
    </row>
    <row r="4299" spans="1:5" x14ac:dyDescent="0.35">
      <c r="A4299" s="281"/>
      <c r="B4299" s="279"/>
      <c r="C4299" s="850"/>
      <c r="D4299" s="282"/>
      <c r="E4299" s="833"/>
    </row>
    <row r="4300" spans="1:5" x14ac:dyDescent="0.35">
      <c r="A4300" s="281"/>
      <c r="B4300" s="279"/>
      <c r="C4300" s="850"/>
      <c r="D4300" s="282"/>
      <c r="E4300" s="833"/>
    </row>
    <row r="4301" spans="1:5" x14ac:dyDescent="0.35">
      <c r="A4301" s="281"/>
      <c r="B4301" s="279"/>
      <c r="C4301" s="850"/>
      <c r="D4301" s="282"/>
      <c r="E4301" s="833"/>
    </row>
    <row r="4302" spans="1:5" x14ac:dyDescent="0.35">
      <c r="A4302" s="281"/>
      <c r="B4302" s="279"/>
      <c r="C4302" s="850"/>
      <c r="D4302" s="282"/>
      <c r="E4302" s="833"/>
    </row>
    <row r="4303" spans="1:5" x14ac:dyDescent="0.35">
      <c r="A4303" s="281"/>
      <c r="B4303" s="279"/>
      <c r="C4303" s="850"/>
      <c r="D4303" s="282"/>
      <c r="E4303" s="833"/>
    </row>
    <row r="4304" spans="1:5" x14ac:dyDescent="0.35">
      <c r="A4304" s="281"/>
      <c r="B4304" s="279"/>
      <c r="C4304" s="850"/>
      <c r="D4304" s="282"/>
      <c r="E4304" s="833"/>
    </row>
    <row r="4305" spans="1:5" x14ac:dyDescent="0.35">
      <c r="A4305" s="281"/>
      <c r="B4305" s="279"/>
      <c r="C4305" s="850"/>
      <c r="D4305" s="282"/>
      <c r="E4305" s="833"/>
    </row>
    <row r="4306" spans="1:5" x14ac:dyDescent="0.35">
      <c r="A4306" s="281"/>
      <c r="B4306" s="279"/>
      <c r="C4306" s="850"/>
      <c r="D4306" s="282"/>
      <c r="E4306" s="833"/>
    </row>
    <row r="4307" spans="1:5" x14ac:dyDescent="0.35">
      <c r="A4307" s="281"/>
      <c r="B4307" s="279"/>
      <c r="C4307" s="850"/>
      <c r="D4307" s="282"/>
      <c r="E4307" s="833"/>
    </row>
    <row r="4308" spans="1:5" x14ac:dyDescent="0.35">
      <c r="A4308" s="281"/>
      <c r="B4308" s="279"/>
      <c r="C4308" s="850"/>
      <c r="D4308" s="282"/>
      <c r="E4308" s="833"/>
    </row>
    <row r="4309" spans="1:5" x14ac:dyDescent="0.35">
      <c r="A4309" s="281"/>
      <c r="B4309" s="279"/>
      <c r="C4309" s="850"/>
      <c r="D4309" s="282"/>
      <c r="E4309" s="833"/>
    </row>
    <row r="4310" spans="1:5" x14ac:dyDescent="0.35">
      <c r="A4310" s="281"/>
      <c r="B4310" s="279"/>
      <c r="C4310" s="850"/>
      <c r="D4310" s="282"/>
      <c r="E4310" s="833"/>
    </row>
    <row r="4311" spans="1:5" x14ac:dyDescent="0.35">
      <c r="A4311" s="281"/>
      <c r="B4311" s="279"/>
      <c r="C4311" s="850"/>
      <c r="D4311" s="282"/>
      <c r="E4311" s="833"/>
    </row>
    <row r="4312" spans="1:5" x14ac:dyDescent="0.35">
      <c r="A4312" s="281"/>
      <c r="B4312" s="279"/>
      <c r="C4312" s="850"/>
      <c r="D4312" s="282"/>
      <c r="E4312" s="833"/>
    </row>
    <row r="4313" spans="1:5" x14ac:dyDescent="0.35">
      <c r="A4313" s="281"/>
      <c r="B4313" s="279"/>
      <c r="C4313" s="850"/>
      <c r="D4313" s="282"/>
      <c r="E4313" s="833"/>
    </row>
    <row r="4314" spans="1:5" x14ac:dyDescent="0.35">
      <c r="A4314" s="281"/>
      <c r="B4314" s="279"/>
      <c r="C4314" s="850"/>
      <c r="D4314" s="282"/>
      <c r="E4314" s="833"/>
    </row>
    <row r="4315" spans="1:5" x14ac:dyDescent="0.35">
      <c r="A4315" s="281"/>
      <c r="B4315" s="279"/>
      <c r="C4315" s="850"/>
      <c r="D4315" s="282"/>
      <c r="E4315" s="833"/>
    </row>
    <row r="4316" spans="1:5" x14ac:dyDescent="0.35">
      <c r="A4316" s="281"/>
      <c r="B4316" s="279"/>
      <c r="C4316" s="850"/>
      <c r="D4316" s="282"/>
      <c r="E4316" s="833"/>
    </row>
    <row r="4317" spans="1:5" x14ac:dyDescent="0.35">
      <c r="A4317" s="281"/>
      <c r="B4317" s="279"/>
      <c r="C4317" s="850"/>
      <c r="D4317" s="282"/>
      <c r="E4317" s="833"/>
    </row>
    <row r="4318" spans="1:5" x14ac:dyDescent="0.35">
      <c r="A4318" s="281"/>
      <c r="B4318" s="279"/>
      <c r="C4318" s="850"/>
      <c r="D4318" s="282"/>
      <c r="E4318" s="833"/>
    </row>
    <row r="4319" spans="1:5" x14ac:dyDescent="0.35">
      <c r="A4319" s="281"/>
      <c r="B4319" s="279"/>
      <c r="C4319" s="850"/>
      <c r="D4319" s="282"/>
      <c r="E4319" s="833"/>
    </row>
    <row r="4320" spans="1:5" x14ac:dyDescent="0.35">
      <c r="A4320" s="281"/>
      <c r="B4320" s="279"/>
      <c r="C4320" s="850"/>
      <c r="D4320" s="282"/>
      <c r="E4320" s="833"/>
    </row>
    <row r="4321" spans="1:5" x14ac:dyDescent="0.35">
      <c r="A4321" s="281"/>
      <c r="B4321" s="279"/>
      <c r="C4321" s="850"/>
      <c r="D4321" s="282"/>
      <c r="E4321" s="833"/>
    </row>
    <row r="4322" spans="1:5" x14ac:dyDescent="0.35">
      <c r="A4322" s="281"/>
      <c r="B4322" s="279"/>
      <c r="C4322" s="850"/>
      <c r="D4322" s="282"/>
      <c r="E4322" s="833"/>
    </row>
    <row r="4323" spans="1:5" x14ac:dyDescent="0.35">
      <c r="A4323" s="281"/>
      <c r="B4323" s="279"/>
      <c r="C4323" s="850"/>
      <c r="D4323" s="282"/>
      <c r="E4323" s="833"/>
    </row>
    <row r="4324" spans="1:5" x14ac:dyDescent="0.35">
      <c r="A4324" s="281"/>
      <c r="B4324" s="279"/>
      <c r="C4324" s="850"/>
      <c r="D4324" s="282"/>
      <c r="E4324" s="833"/>
    </row>
    <row r="4325" spans="1:5" x14ac:dyDescent="0.35">
      <c r="A4325" s="281"/>
      <c r="B4325" s="279"/>
      <c r="C4325" s="850"/>
      <c r="D4325" s="282"/>
      <c r="E4325" s="833"/>
    </row>
    <row r="4326" spans="1:5" x14ac:dyDescent="0.35">
      <c r="A4326" s="281"/>
      <c r="B4326" s="279"/>
      <c r="C4326" s="850"/>
      <c r="D4326" s="282"/>
      <c r="E4326" s="833"/>
    </row>
    <row r="4327" spans="1:5" x14ac:dyDescent="0.35">
      <c r="A4327" s="281"/>
      <c r="B4327" s="279"/>
      <c r="C4327" s="850"/>
      <c r="D4327" s="282"/>
      <c r="E4327" s="833"/>
    </row>
    <row r="4328" spans="1:5" x14ac:dyDescent="0.35">
      <c r="A4328" s="281"/>
      <c r="B4328" s="279"/>
      <c r="C4328" s="850"/>
      <c r="D4328" s="282"/>
      <c r="E4328" s="833"/>
    </row>
    <row r="4329" spans="1:5" x14ac:dyDescent="0.35">
      <c r="A4329" s="281"/>
      <c r="B4329" s="279"/>
      <c r="C4329" s="850"/>
      <c r="D4329" s="282"/>
      <c r="E4329" s="833"/>
    </row>
    <row r="4330" spans="1:5" x14ac:dyDescent="0.35">
      <c r="A4330" s="281"/>
      <c r="B4330" s="279"/>
      <c r="C4330" s="850"/>
      <c r="D4330" s="282"/>
      <c r="E4330" s="833"/>
    </row>
    <row r="4331" spans="1:5" x14ac:dyDescent="0.35">
      <c r="A4331" s="281"/>
      <c r="B4331" s="279"/>
      <c r="C4331" s="850"/>
      <c r="D4331" s="282"/>
      <c r="E4331" s="833"/>
    </row>
    <row r="4332" spans="1:5" x14ac:dyDescent="0.35">
      <c r="A4332" s="281"/>
      <c r="B4332" s="279"/>
      <c r="C4332" s="850"/>
      <c r="D4332" s="282"/>
      <c r="E4332" s="833"/>
    </row>
    <row r="4333" spans="1:5" x14ac:dyDescent="0.35">
      <c r="A4333" s="281"/>
      <c r="B4333" s="279"/>
      <c r="C4333" s="850"/>
      <c r="D4333" s="282"/>
      <c r="E4333" s="833"/>
    </row>
    <row r="4334" spans="1:5" x14ac:dyDescent="0.35">
      <c r="A4334" s="281"/>
      <c r="B4334" s="279"/>
      <c r="C4334" s="850"/>
      <c r="D4334" s="282"/>
      <c r="E4334" s="833"/>
    </row>
    <row r="4335" spans="1:5" x14ac:dyDescent="0.35">
      <c r="A4335" s="281"/>
      <c r="B4335" s="279"/>
      <c r="C4335" s="850"/>
      <c r="D4335" s="282"/>
      <c r="E4335" s="833"/>
    </row>
    <row r="4336" spans="1:5" x14ac:dyDescent="0.35">
      <c r="A4336" s="281"/>
      <c r="B4336" s="279"/>
      <c r="C4336" s="850"/>
      <c r="D4336" s="282"/>
      <c r="E4336" s="833"/>
    </row>
    <row r="4337" spans="1:5" x14ac:dyDescent="0.35">
      <c r="A4337" s="281"/>
      <c r="B4337" s="279"/>
      <c r="C4337" s="850"/>
      <c r="D4337" s="282"/>
      <c r="E4337" s="833"/>
    </row>
    <row r="4338" spans="1:5" x14ac:dyDescent="0.35">
      <c r="A4338" s="281"/>
      <c r="B4338" s="279"/>
      <c r="C4338" s="850"/>
      <c r="D4338" s="282"/>
      <c r="E4338" s="833"/>
    </row>
    <row r="4339" spans="1:5" x14ac:dyDescent="0.35">
      <c r="A4339" s="281"/>
      <c r="B4339" s="279"/>
      <c r="C4339" s="850"/>
      <c r="D4339" s="282"/>
      <c r="E4339" s="833"/>
    </row>
    <row r="4340" spans="1:5" x14ac:dyDescent="0.35">
      <c r="A4340" s="281"/>
      <c r="B4340" s="279"/>
      <c r="C4340" s="850"/>
      <c r="D4340" s="282"/>
      <c r="E4340" s="833"/>
    </row>
    <row r="4341" spans="1:5" x14ac:dyDescent="0.35">
      <c r="A4341" s="281"/>
      <c r="B4341" s="279"/>
      <c r="C4341" s="850"/>
      <c r="D4341" s="282"/>
      <c r="E4341" s="833"/>
    </row>
    <row r="4342" spans="1:5" x14ac:dyDescent="0.35">
      <c r="A4342" s="281"/>
      <c r="B4342" s="279"/>
      <c r="C4342" s="850"/>
      <c r="D4342" s="282"/>
      <c r="E4342" s="833"/>
    </row>
    <row r="4343" spans="1:5" x14ac:dyDescent="0.35">
      <c r="A4343" s="281"/>
      <c r="B4343" s="279"/>
      <c r="C4343" s="850"/>
      <c r="D4343" s="282"/>
      <c r="E4343" s="833"/>
    </row>
    <row r="4344" spans="1:5" x14ac:dyDescent="0.35">
      <c r="A4344" s="281"/>
      <c r="B4344" s="279"/>
      <c r="C4344" s="850"/>
      <c r="D4344" s="282"/>
      <c r="E4344" s="833"/>
    </row>
    <row r="4345" spans="1:5" x14ac:dyDescent="0.35">
      <c r="A4345" s="281"/>
      <c r="B4345" s="279"/>
      <c r="C4345" s="850"/>
      <c r="D4345" s="282"/>
      <c r="E4345" s="833"/>
    </row>
    <row r="4346" spans="1:5" x14ac:dyDescent="0.35">
      <c r="A4346" s="281"/>
      <c r="B4346" s="279"/>
      <c r="C4346" s="850"/>
      <c r="D4346" s="282"/>
      <c r="E4346" s="833"/>
    </row>
    <row r="4347" spans="1:5" x14ac:dyDescent="0.35">
      <c r="A4347" s="281"/>
      <c r="B4347" s="279"/>
      <c r="C4347" s="850"/>
      <c r="D4347" s="282"/>
      <c r="E4347" s="833"/>
    </row>
    <row r="4348" spans="1:5" x14ac:dyDescent="0.35">
      <c r="A4348" s="281"/>
      <c r="B4348" s="279"/>
      <c r="C4348" s="850"/>
      <c r="D4348" s="282"/>
      <c r="E4348" s="833"/>
    </row>
    <row r="4349" spans="1:5" x14ac:dyDescent="0.35">
      <c r="A4349" s="281"/>
      <c r="B4349" s="279"/>
      <c r="C4349" s="850"/>
      <c r="D4349" s="282"/>
      <c r="E4349" s="833"/>
    </row>
    <row r="4350" spans="1:5" x14ac:dyDescent="0.35">
      <c r="A4350" s="281"/>
      <c r="B4350" s="279"/>
      <c r="C4350" s="850"/>
      <c r="D4350" s="282"/>
      <c r="E4350" s="833"/>
    </row>
    <row r="4351" spans="1:5" x14ac:dyDescent="0.35">
      <c r="A4351" s="281"/>
      <c r="B4351" s="279"/>
      <c r="C4351" s="850"/>
      <c r="D4351" s="282"/>
      <c r="E4351" s="833"/>
    </row>
    <row r="4352" spans="1:5" x14ac:dyDescent="0.35">
      <c r="A4352" s="281"/>
      <c r="B4352" s="279"/>
      <c r="C4352" s="850"/>
      <c r="D4352" s="282"/>
      <c r="E4352" s="833"/>
    </row>
    <row r="4353" spans="1:5" x14ac:dyDescent="0.35">
      <c r="A4353" s="281"/>
      <c r="B4353" s="279"/>
      <c r="C4353" s="850"/>
      <c r="D4353" s="282"/>
      <c r="E4353" s="833"/>
    </row>
    <row r="4354" spans="1:5" x14ac:dyDescent="0.35">
      <c r="A4354" s="281"/>
      <c r="B4354" s="279"/>
      <c r="C4354" s="850"/>
      <c r="D4354" s="282"/>
      <c r="E4354" s="833"/>
    </row>
    <row r="4355" spans="1:5" x14ac:dyDescent="0.35">
      <c r="A4355" s="281"/>
      <c r="B4355" s="279"/>
      <c r="C4355" s="850"/>
      <c r="D4355" s="282"/>
      <c r="E4355" s="833"/>
    </row>
    <row r="4356" spans="1:5" x14ac:dyDescent="0.35">
      <c r="A4356" s="281"/>
      <c r="B4356" s="279"/>
      <c r="C4356" s="850"/>
      <c r="D4356" s="282"/>
      <c r="E4356" s="833"/>
    </row>
    <row r="4357" spans="1:5" x14ac:dyDescent="0.35">
      <c r="A4357" s="281"/>
      <c r="B4357" s="279"/>
      <c r="C4357" s="850"/>
      <c r="D4357" s="282"/>
      <c r="E4357" s="833"/>
    </row>
    <row r="4358" spans="1:5" x14ac:dyDescent="0.35">
      <c r="A4358" s="281"/>
      <c r="B4358" s="279"/>
      <c r="C4358" s="850"/>
      <c r="D4358" s="282"/>
      <c r="E4358" s="833"/>
    </row>
    <row r="4359" spans="1:5" x14ac:dyDescent="0.35">
      <c r="A4359" s="281"/>
      <c r="B4359" s="279"/>
      <c r="C4359" s="850"/>
      <c r="D4359" s="282"/>
      <c r="E4359" s="833"/>
    </row>
    <row r="4360" spans="1:5" x14ac:dyDescent="0.35">
      <c r="A4360" s="281"/>
      <c r="B4360" s="279"/>
      <c r="C4360" s="850"/>
      <c r="D4360" s="282"/>
      <c r="E4360" s="833"/>
    </row>
    <row r="4361" spans="1:5" x14ac:dyDescent="0.35">
      <c r="A4361" s="281"/>
      <c r="B4361" s="279"/>
      <c r="C4361" s="850"/>
      <c r="D4361" s="282"/>
      <c r="E4361" s="833"/>
    </row>
    <row r="4362" spans="1:5" x14ac:dyDescent="0.35">
      <c r="A4362" s="281"/>
      <c r="B4362" s="279"/>
      <c r="C4362" s="850"/>
      <c r="D4362" s="282"/>
      <c r="E4362" s="833"/>
    </row>
    <row r="4363" spans="1:5" x14ac:dyDescent="0.35">
      <c r="A4363" s="281"/>
      <c r="B4363" s="279"/>
      <c r="C4363" s="850"/>
      <c r="D4363" s="282"/>
      <c r="E4363" s="833"/>
    </row>
    <row r="4364" spans="1:5" x14ac:dyDescent="0.35">
      <c r="A4364" s="281"/>
      <c r="B4364" s="279"/>
      <c r="C4364" s="850"/>
      <c r="D4364" s="282"/>
      <c r="E4364" s="833"/>
    </row>
    <row r="4365" spans="1:5" x14ac:dyDescent="0.35">
      <c r="A4365" s="281"/>
      <c r="B4365" s="279"/>
      <c r="C4365" s="850"/>
      <c r="D4365" s="282"/>
      <c r="E4365" s="833"/>
    </row>
    <row r="4366" spans="1:5" x14ac:dyDescent="0.35">
      <c r="A4366" s="281"/>
      <c r="B4366" s="279"/>
      <c r="C4366" s="850"/>
      <c r="D4366" s="282"/>
      <c r="E4366" s="833"/>
    </row>
    <row r="4367" spans="1:5" x14ac:dyDescent="0.35">
      <c r="A4367" s="281"/>
      <c r="B4367" s="279"/>
      <c r="C4367" s="850"/>
      <c r="D4367" s="282"/>
      <c r="E4367" s="833"/>
    </row>
    <row r="4368" spans="1:5" x14ac:dyDescent="0.35">
      <c r="A4368" s="281"/>
      <c r="B4368" s="279"/>
      <c r="C4368" s="850"/>
      <c r="D4368" s="282"/>
      <c r="E4368" s="833"/>
    </row>
    <row r="4369" spans="1:5" x14ac:dyDescent="0.35">
      <c r="A4369" s="281"/>
      <c r="B4369" s="279"/>
      <c r="C4369" s="850"/>
      <c r="D4369" s="282"/>
      <c r="E4369" s="833"/>
    </row>
    <row r="4370" spans="1:5" x14ac:dyDescent="0.35">
      <c r="A4370" s="281"/>
      <c r="B4370" s="279"/>
      <c r="C4370" s="850"/>
      <c r="D4370" s="282"/>
      <c r="E4370" s="833"/>
    </row>
    <row r="4371" spans="1:5" x14ac:dyDescent="0.35">
      <c r="A4371" s="281"/>
      <c r="B4371" s="279"/>
      <c r="C4371" s="850"/>
      <c r="D4371" s="282"/>
      <c r="E4371" s="833"/>
    </row>
    <row r="4372" spans="1:5" x14ac:dyDescent="0.35">
      <c r="A4372" s="281"/>
      <c r="B4372" s="279"/>
      <c r="C4372" s="850"/>
      <c r="D4372" s="282"/>
      <c r="E4372" s="833"/>
    </row>
    <row r="4373" spans="1:5" x14ac:dyDescent="0.35">
      <c r="A4373" s="281"/>
      <c r="B4373" s="279"/>
      <c r="C4373" s="850"/>
      <c r="D4373" s="282"/>
      <c r="E4373" s="833"/>
    </row>
    <row r="4374" spans="1:5" x14ac:dyDescent="0.35">
      <c r="A4374" s="281"/>
      <c r="B4374" s="279"/>
      <c r="C4374" s="850"/>
      <c r="D4374" s="282"/>
      <c r="E4374" s="833"/>
    </row>
    <row r="4375" spans="1:5" x14ac:dyDescent="0.35">
      <c r="A4375" s="281"/>
      <c r="B4375" s="279"/>
      <c r="C4375" s="850"/>
      <c r="D4375" s="282"/>
      <c r="E4375" s="833"/>
    </row>
    <row r="4376" spans="1:5" x14ac:dyDescent="0.35">
      <c r="A4376" s="281"/>
      <c r="B4376" s="279"/>
      <c r="C4376" s="850"/>
      <c r="D4376" s="282"/>
      <c r="E4376" s="833"/>
    </row>
    <row r="4377" spans="1:5" x14ac:dyDescent="0.35">
      <c r="A4377" s="281"/>
      <c r="B4377" s="279"/>
      <c r="C4377" s="850"/>
      <c r="D4377" s="282"/>
      <c r="E4377" s="833"/>
    </row>
    <row r="4378" spans="1:5" x14ac:dyDescent="0.35">
      <c r="A4378" s="281"/>
      <c r="B4378" s="279"/>
      <c r="C4378" s="850"/>
      <c r="D4378" s="282"/>
      <c r="E4378" s="833"/>
    </row>
    <row r="4379" spans="1:5" x14ac:dyDescent="0.35">
      <c r="A4379" s="281"/>
      <c r="B4379" s="279"/>
      <c r="C4379" s="850"/>
      <c r="D4379" s="282"/>
      <c r="E4379" s="833"/>
    </row>
    <row r="4380" spans="1:5" x14ac:dyDescent="0.35">
      <c r="A4380" s="281"/>
      <c r="B4380" s="279"/>
      <c r="C4380" s="850"/>
      <c r="D4380" s="282"/>
      <c r="E4380" s="833"/>
    </row>
    <row r="4381" spans="1:5" x14ac:dyDescent="0.35">
      <c r="A4381" s="281"/>
      <c r="B4381" s="279"/>
      <c r="C4381" s="850"/>
      <c r="D4381" s="282"/>
      <c r="E4381" s="833"/>
    </row>
    <row r="4382" spans="1:5" x14ac:dyDescent="0.35">
      <c r="A4382" s="281"/>
      <c r="B4382" s="279"/>
      <c r="C4382" s="850"/>
      <c r="D4382" s="282"/>
      <c r="E4382" s="833"/>
    </row>
    <row r="4383" spans="1:5" x14ac:dyDescent="0.35">
      <c r="A4383" s="281"/>
      <c r="B4383" s="279"/>
      <c r="C4383" s="850"/>
      <c r="D4383" s="282"/>
      <c r="E4383" s="833"/>
    </row>
    <row r="4384" spans="1:5" x14ac:dyDescent="0.35">
      <c r="A4384" s="281"/>
      <c r="B4384" s="279"/>
      <c r="C4384" s="850"/>
      <c r="D4384" s="282"/>
      <c r="E4384" s="833"/>
    </row>
    <row r="4385" spans="1:5" x14ac:dyDescent="0.35">
      <c r="A4385" s="281"/>
      <c r="B4385" s="279"/>
      <c r="C4385" s="850"/>
      <c r="D4385" s="282"/>
      <c r="E4385" s="833"/>
    </row>
    <row r="4386" spans="1:5" x14ac:dyDescent="0.35">
      <c r="A4386" s="281"/>
      <c r="B4386" s="279"/>
      <c r="C4386" s="850"/>
      <c r="D4386" s="282"/>
      <c r="E4386" s="833"/>
    </row>
    <row r="4387" spans="1:5" x14ac:dyDescent="0.35">
      <c r="A4387" s="281"/>
      <c r="B4387" s="279"/>
      <c r="C4387" s="850"/>
      <c r="D4387" s="282"/>
      <c r="E4387" s="833"/>
    </row>
    <row r="4388" spans="1:5" x14ac:dyDescent="0.35">
      <c r="A4388" s="281"/>
      <c r="B4388" s="279"/>
      <c r="C4388" s="850"/>
      <c r="D4388" s="282"/>
      <c r="E4388" s="833"/>
    </row>
    <row r="4389" spans="1:5" x14ac:dyDescent="0.35">
      <c r="A4389" s="281"/>
      <c r="B4389" s="279"/>
      <c r="C4389" s="850"/>
      <c r="D4389" s="282"/>
      <c r="E4389" s="833"/>
    </row>
    <row r="4390" spans="1:5" x14ac:dyDescent="0.35">
      <c r="A4390" s="281"/>
      <c r="B4390" s="279"/>
      <c r="C4390" s="850"/>
      <c r="D4390" s="282"/>
      <c r="E4390" s="833"/>
    </row>
    <row r="4391" spans="1:5" x14ac:dyDescent="0.35">
      <c r="A4391" s="281"/>
      <c r="B4391" s="279"/>
      <c r="C4391" s="850"/>
      <c r="D4391" s="282"/>
      <c r="E4391" s="833"/>
    </row>
    <row r="4392" spans="1:5" x14ac:dyDescent="0.35">
      <c r="A4392" s="281"/>
      <c r="B4392" s="279"/>
      <c r="C4392" s="850"/>
      <c r="D4392" s="282"/>
      <c r="E4392" s="833"/>
    </row>
    <row r="4393" spans="1:5" x14ac:dyDescent="0.35">
      <c r="A4393" s="281"/>
      <c r="B4393" s="279"/>
      <c r="C4393" s="850"/>
      <c r="D4393" s="282"/>
      <c r="E4393" s="833"/>
    </row>
    <row r="4394" spans="1:5" x14ac:dyDescent="0.35">
      <c r="A4394" s="281"/>
      <c r="B4394" s="279"/>
      <c r="C4394" s="850"/>
      <c r="D4394" s="282"/>
      <c r="E4394" s="833"/>
    </row>
    <row r="4395" spans="1:5" x14ac:dyDescent="0.35">
      <c r="A4395" s="281"/>
      <c r="B4395" s="279"/>
      <c r="C4395" s="850"/>
      <c r="D4395" s="282"/>
      <c r="E4395" s="833"/>
    </row>
    <row r="4396" spans="1:5" x14ac:dyDescent="0.35">
      <c r="A4396" s="281"/>
      <c r="B4396" s="279"/>
      <c r="C4396" s="850"/>
      <c r="D4396" s="282"/>
      <c r="E4396" s="833"/>
    </row>
    <row r="4397" spans="1:5" x14ac:dyDescent="0.35">
      <c r="A4397" s="281"/>
      <c r="B4397" s="279"/>
      <c r="C4397" s="850"/>
      <c r="D4397" s="282"/>
      <c r="E4397" s="833"/>
    </row>
    <row r="4398" spans="1:5" x14ac:dyDescent="0.35">
      <c r="A4398" s="281"/>
      <c r="B4398" s="279"/>
      <c r="C4398" s="850"/>
      <c r="D4398" s="282"/>
      <c r="E4398" s="833"/>
    </row>
    <row r="4399" spans="1:5" x14ac:dyDescent="0.35">
      <c r="A4399" s="281"/>
      <c r="B4399" s="279"/>
      <c r="C4399" s="850"/>
      <c r="D4399" s="282"/>
      <c r="E4399" s="833"/>
    </row>
    <row r="4400" spans="1:5" x14ac:dyDescent="0.35">
      <c r="A4400" s="281"/>
      <c r="B4400" s="279"/>
      <c r="C4400" s="850"/>
      <c r="D4400" s="282"/>
      <c r="E4400" s="833"/>
    </row>
    <row r="4401" spans="1:5" x14ac:dyDescent="0.35">
      <c r="A4401" s="281"/>
      <c r="B4401" s="279"/>
      <c r="C4401" s="850"/>
      <c r="D4401" s="282"/>
      <c r="E4401" s="833"/>
    </row>
    <row r="4402" spans="1:5" x14ac:dyDescent="0.35">
      <c r="A4402" s="281"/>
      <c r="B4402" s="279"/>
      <c r="C4402" s="850"/>
      <c r="D4402" s="282"/>
      <c r="E4402" s="833"/>
    </row>
    <row r="4403" spans="1:5" x14ac:dyDescent="0.35">
      <c r="A4403" s="281"/>
      <c r="B4403" s="279"/>
      <c r="C4403" s="850"/>
      <c r="D4403" s="282"/>
      <c r="E4403" s="833"/>
    </row>
    <row r="4404" spans="1:5" x14ac:dyDescent="0.35">
      <c r="A4404" s="281"/>
      <c r="B4404" s="279"/>
      <c r="C4404" s="850"/>
      <c r="D4404" s="282"/>
      <c r="E4404" s="833"/>
    </row>
    <row r="4405" spans="1:5" x14ac:dyDescent="0.35">
      <c r="A4405" s="281"/>
      <c r="B4405" s="279"/>
      <c r="C4405" s="850"/>
      <c r="D4405" s="282"/>
      <c r="E4405" s="833"/>
    </row>
    <row r="4406" spans="1:5" x14ac:dyDescent="0.35">
      <c r="A4406" s="281"/>
      <c r="B4406" s="279"/>
      <c r="C4406" s="850"/>
      <c r="D4406" s="282"/>
      <c r="E4406" s="833"/>
    </row>
    <row r="4407" spans="1:5" x14ac:dyDescent="0.35">
      <c r="A4407" s="281"/>
      <c r="B4407" s="279"/>
      <c r="C4407" s="850"/>
      <c r="D4407" s="282"/>
      <c r="E4407" s="833"/>
    </row>
    <row r="4408" spans="1:5" x14ac:dyDescent="0.35">
      <c r="A4408" s="281"/>
      <c r="B4408" s="279"/>
      <c r="C4408" s="850"/>
      <c r="D4408" s="282"/>
      <c r="E4408" s="833"/>
    </row>
    <row r="4409" spans="1:5" x14ac:dyDescent="0.35">
      <c r="A4409" s="281"/>
      <c r="B4409" s="279"/>
      <c r="C4409" s="850"/>
      <c r="D4409" s="282"/>
      <c r="E4409" s="833"/>
    </row>
    <row r="4410" spans="1:5" x14ac:dyDescent="0.35">
      <c r="A4410" s="281"/>
      <c r="B4410" s="279"/>
      <c r="C4410" s="850"/>
      <c r="D4410" s="282"/>
      <c r="E4410" s="833"/>
    </row>
    <row r="4411" spans="1:5" x14ac:dyDescent="0.35">
      <c r="A4411" s="281"/>
      <c r="B4411" s="279"/>
      <c r="C4411" s="850"/>
      <c r="D4411" s="282"/>
      <c r="E4411" s="833"/>
    </row>
    <row r="4412" spans="1:5" x14ac:dyDescent="0.35">
      <c r="A4412" s="281"/>
      <c r="B4412" s="279"/>
      <c r="C4412" s="850"/>
      <c r="D4412" s="282"/>
      <c r="E4412" s="833"/>
    </row>
    <row r="4413" spans="1:5" x14ac:dyDescent="0.35">
      <c r="A4413" s="281"/>
      <c r="B4413" s="279"/>
      <c r="C4413" s="850"/>
      <c r="D4413" s="282"/>
      <c r="E4413" s="833"/>
    </row>
    <row r="4414" spans="1:5" x14ac:dyDescent="0.35">
      <c r="A4414" s="281"/>
      <c r="B4414" s="279"/>
      <c r="C4414" s="850"/>
      <c r="D4414" s="282"/>
      <c r="E4414" s="833"/>
    </row>
    <row r="4415" spans="1:5" x14ac:dyDescent="0.35">
      <c r="A4415" s="281"/>
      <c r="B4415" s="279"/>
      <c r="C4415" s="850"/>
      <c r="D4415" s="282"/>
      <c r="E4415" s="833"/>
    </row>
    <row r="4416" spans="1:5" x14ac:dyDescent="0.35">
      <c r="A4416" s="281"/>
      <c r="B4416" s="279"/>
      <c r="C4416" s="850"/>
      <c r="D4416" s="282"/>
      <c r="E4416" s="833"/>
    </row>
    <row r="4417" spans="1:5" x14ac:dyDescent="0.35">
      <c r="A4417" s="281"/>
      <c r="B4417" s="279"/>
      <c r="C4417" s="850"/>
      <c r="D4417" s="282"/>
      <c r="E4417" s="833"/>
    </row>
    <row r="4418" spans="1:5" x14ac:dyDescent="0.35">
      <c r="A4418" s="281"/>
      <c r="B4418" s="279"/>
      <c r="C4418" s="850"/>
      <c r="D4418" s="282"/>
      <c r="E4418" s="833"/>
    </row>
    <row r="4419" spans="1:5" x14ac:dyDescent="0.35">
      <c r="A4419" s="281"/>
      <c r="B4419" s="279"/>
      <c r="C4419" s="850"/>
      <c r="D4419" s="282"/>
      <c r="E4419" s="833"/>
    </row>
    <row r="4420" spans="1:5" x14ac:dyDescent="0.35">
      <c r="A4420" s="281"/>
      <c r="B4420" s="279"/>
      <c r="C4420" s="850"/>
      <c r="D4420" s="282"/>
      <c r="E4420" s="833"/>
    </row>
    <row r="4421" spans="1:5" x14ac:dyDescent="0.35">
      <c r="A4421" s="281"/>
      <c r="B4421" s="279"/>
      <c r="C4421" s="850"/>
      <c r="D4421" s="282"/>
      <c r="E4421" s="833"/>
    </row>
    <row r="4422" spans="1:5" x14ac:dyDescent="0.35">
      <c r="A4422" s="281"/>
      <c r="B4422" s="279"/>
      <c r="C4422" s="850"/>
      <c r="D4422" s="282"/>
      <c r="E4422" s="833"/>
    </row>
    <row r="4423" spans="1:5" x14ac:dyDescent="0.35">
      <c r="A4423" s="281"/>
      <c r="B4423" s="279"/>
      <c r="C4423" s="850"/>
      <c r="D4423" s="282"/>
      <c r="E4423" s="833"/>
    </row>
    <row r="4424" spans="1:5" x14ac:dyDescent="0.35">
      <c r="A4424" s="281"/>
      <c r="B4424" s="279"/>
      <c r="C4424" s="850"/>
      <c r="D4424" s="282"/>
      <c r="E4424" s="833"/>
    </row>
    <row r="4425" spans="1:5" x14ac:dyDescent="0.35">
      <c r="A4425" s="281"/>
      <c r="B4425" s="279"/>
      <c r="C4425" s="850"/>
      <c r="D4425" s="282"/>
      <c r="E4425" s="833"/>
    </row>
    <row r="4426" spans="1:5" x14ac:dyDescent="0.35">
      <c r="A4426" s="281"/>
      <c r="B4426" s="279"/>
      <c r="C4426" s="850"/>
      <c r="D4426" s="282"/>
      <c r="E4426" s="833"/>
    </row>
    <row r="4427" spans="1:5" x14ac:dyDescent="0.35">
      <c r="A4427" s="281"/>
      <c r="B4427" s="279"/>
      <c r="C4427" s="850"/>
      <c r="D4427" s="282"/>
      <c r="E4427" s="833"/>
    </row>
    <row r="4428" spans="1:5" x14ac:dyDescent="0.35">
      <c r="A4428" s="281"/>
      <c r="B4428" s="279"/>
      <c r="C4428" s="850"/>
      <c r="D4428" s="282"/>
      <c r="E4428" s="833"/>
    </row>
    <row r="4429" spans="1:5" x14ac:dyDescent="0.35">
      <c r="A4429" s="281"/>
      <c r="B4429" s="279"/>
      <c r="C4429" s="850"/>
      <c r="D4429" s="282"/>
      <c r="E4429" s="833"/>
    </row>
    <row r="4430" spans="1:5" x14ac:dyDescent="0.35">
      <c r="A4430" s="281"/>
      <c r="B4430" s="279"/>
      <c r="C4430" s="850"/>
      <c r="D4430" s="282"/>
      <c r="E4430" s="833"/>
    </row>
    <row r="4431" spans="1:5" x14ac:dyDescent="0.35">
      <c r="A4431" s="281"/>
      <c r="B4431" s="279"/>
      <c r="C4431" s="850"/>
      <c r="D4431" s="282"/>
      <c r="E4431" s="833"/>
    </row>
    <row r="4432" spans="1:5" x14ac:dyDescent="0.35">
      <c r="A4432" s="281"/>
      <c r="B4432" s="279"/>
      <c r="C4432" s="850"/>
      <c r="D4432" s="282"/>
      <c r="E4432" s="833"/>
    </row>
    <row r="4433" spans="1:5" x14ac:dyDescent="0.35">
      <c r="A4433" s="281"/>
      <c r="B4433" s="279"/>
      <c r="C4433" s="850"/>
      <c r="D4433" s="282"/>
      <c r="E4433" s="833"/>
    </row>
    <row r="4434" spans="1:5" x14ac:dyDescent="0.35">
      <c r="A4434" s="281"/>
      <c r="B4434" s="279"/>
      <c r="C4434" s="850"/>
      <c r="D4434" s="282"/>
      <c r="E4434" s="833"/>
    </row>
    <row r="4435" spans="1:5" x14ac:dyDescent="0.35">
      <c r="A4435" s="281"/>
      <c r="B4435" s="279"/>
      <c r="C4435" s="850"/>
      <c r="D4435" s="282"/>
      <c r="E4435" s="833"/>
    </row>
    <row r="4436" spans="1:5" x14ac:dyDescent="0.35">
      <c r="A4436" s="281"/>
      <c r="B4436" s="279"/>
      <c r="C4436" s="850"/>
      <c r="D4436" s="282"/>
      <c r="E4436" s="833"/>
    </row>
    <row r="4437" spans="1:5" x14ac:dyDescent="0.35">
      <c r="A4437" s="281"/>
      <c r="B4437" s="279"/>
      <c r="C4437" s="850"/>
      <c r="D4437" s="282"/>
      <c r="E4437" s="833"/>
    </row>
    <row r="4438" spans="1:5" x14ac:dyDescent="0.35">
      <c r="A4438" s="281"/>
      <c r="B4438" s="279"/>
      <c r="C4438" s="850"/>
      <c r="D4438" s="282"/>
      <c r="E4438" s="833"/>
    </row>
    <row r="4439" spans="1:5" x14ac:dyDescent="0.35">
      <c r="A4439" s="281"/>
      <c r="B4439" s="279"/>
      <c r="C4439" s="850"/>
      <c r="D4439" s="282"/>
      <c r="E4439" s="833"/>
    </row>
    <row r="4440" spans="1:5" x14ac:dyDescent="0.35">
      <c r="A4440" s="281"/>
      <c r="B4440" s="279"/>
      <c r="C4440" s="850"/>
      <c r="D4440" s="282"/>
      <c r="E4440" s="833"/>
    </row>
    <row r="4441" spans="1:5" x14ac:dyDescent="0.35">
      <c r="A4441" s="281"/>
      <c r="B4441" s="279"/>
      <c r="C4441" s="850"/>
      <c r="D4441" s="282"/>
      <c r="E4441" s="833"/>
    </row>
    <row r="4442" spans="1:5" x14ac:dyDescent="0.35">
      <c r="A4442" s="281"/>
      <c r="B4442" s="279"/>
      <c r="C4442" s="850"/>
      <c r="D4442" s="282"/>
      <c r="E4442" s="833"/>
    </row>
    <row r="4443" spans="1:5" x14ac:dyDescent="0.35">
      <c r="A4443" s="281"/>
      <c r="B4443" s="279"/>
      <c r="C4443" s="850"/>
      <c r="D4443" s="282"/>
      <c r="E4443" s="833"/>
    </row>
    <row r="4444" spans="1:5" x14ac:dyDescent="0.35">
      <c r="A4444" s="281"/>
      <c r="B4444" s="279"/>
      <c r="C4444" s="850"/>
      <c r="D4444" s="282"/>
      <c r="E4444" s="833"/>
    </row>
    <row r="4445" spans="1:5" x14ac:dyDescent="0.35">
      <c r="A4445" s="281"/>
      <c r="B4445" s="279"/>
      <c r="C4445" s="850"/>
      <c r="D4445" s="282"/>
      <c r="E4445" s="833"/>
    </row>
    <row r="4446" spans="1:5" x14ac:dyDescent="0.35">
      <c r="A4446" s="281"/>
      <c r="B4446" s="279"/>
      <c r="C4446" s="850"/>
      <c r="D4446" s="282"/>
      <c r="E4446" s="833"/>
    </row>
    <row r="4447" spans="1:5" x14ac:dyDescent="0.35">
      <c r="A4447" s="281"/>
      <c r="B4447" s="279"/>
      <c r="C4447" s="850"/>
      <c r="D4447" s="282"/>
      <c r="E4447" s="833"/>
    </row>
    <row r="4448" spans="1:5" x14ac:dyDescent="0.35">
      <c r="A4448" s="281"/>
      <c r="B4448" s="279"/>
      <c r="C4448" s="850"/>
      <c r="D4448" s="282"/>
      <c r="E4448" s="833"/>
    </row>
    <row r="4449" spans="1:5" x14ac:dyDescent="0.35">
      <c r="A4449" s="281"/>
      <c r="B4449" s="279"/>
      <c r="C4449" s="850"/>
      <c r="D4449" s="282"/>
      <c r="E4449" s="833"/>
    </row>
    <row r="4450" spans="1:5" x14ac:dyDescent="0.35">
      <c r="A4450" s="281"/>
      <c r="B4450" s="279"/>
      <c r="C4450" s="850"/>
      <c r="D4450" s="282"/>
      <c r="E4450" s="833"/>
    </row>
    <row r="4451" spans="1:5" x14ac:dyDescent="0.35">
      <c r="A4451" s="281"/>
      <c r="B4451" s="279"/>
      <c r="C4451" s="850"/>
      <c r="D4451" s="282"/>
      <c r="E4451" s="833"/>
    </row>
    <row r="4452" spans="1:5" x14ac:dyDescent="0.35">
      <c r="A4452" s="281"/>
      <c r="B4452" s="279"/>
      <c r="C4452" s="850"/>
      <c r="D4452" s="282"/>
      <c r="E4452" s="833"/>
    </row>
    <row r="4453" spans="1:5" x14ac:dyDescent="0.35">
      <c r="A4453" s="281"/>
      <c r="B4453" s="279"/>
      <c r="C4453" s="850"/>
      <c r="D4453" s="282"/>
      <c r="E4453" s="833"/>
    </row>
    <row r="4454" spans="1:5" x14ac:dyDescent="0.35">
      <c r="A4454" s="281"/>
      <c r="B4454" s="279"/>
      <c r="C4454" s="850"/>
      <c r="D4454" s="282"/>
      <c r="E4454" s="833"/>
    </row>
    <row r="4455" spans="1:5" x14ac:dyDescent="0.35">
      <c r="A4455" s="281"/>
      <c r="B4455" s="279"/>
      <c r="C4455" s="850"/>
      <c r="D4455" s="282"/>
      <c r="E4455" s="833"/>
    </row>
    <row r="4456" spans="1:5" x14ac:dyDescent="0.35">
      <c r="A4456" s="281"/>
      <c r="B4456" s="279"/>
      <c r="C4456" s="850"/>
      <c r="D4456" s="282"/>
      <c r="E4456" s="833"/>
    </row>
    <row r="4457" spans="1:5" x14ac:dyDescent="0.35">
      <c r="A4457" s="281"/>
      <c r="B4457" s="279"/>
      <c r="C4457" s="850"/>
      <c r="D4457" s="282"/>
      <c r="E4457" s="833"/>
    </row>
    <row r="4458" spans="1:5" x14ac:dyDescent="0.35">
      <c r="A4458" s="281"/>
      <c r="B4458" s="279"/>
      <c r="C4458" s="850"/>
      <c r="D4458" s="282"/>
      <c r="E4458" s="833"/>
    </row>
    <row r="4459" spans="1:5" x14ac:dyDescent="0.35">
      <c r="A4459" s="281"/>
      <c r="B4459" s="279"/>
      <c r="C4459" s="850"/>
      <c r="D4459" s="282"/>
      <c r="E4459" s="833"/>
    </row>
    <row r="4460" spans="1:5" x14ac:dyDescent="0.35">
      <c r="A4460" s="281"/>
      <c r="B4460" s="279"/>
      <c r="C4460" s="850"/>
      <c r="D4460" s="282"/>
      <c r="E4460" s="833"/>
    </row>
    <row r="4461" spans="1:5" x14ac:dyDescent="0.35">
      <c r="A4461" s="281"/>
      <c r="B4461" s="279"/>
      <c r="C4461" s="850"/>
      <c r="D4461" s="282"/>
      <c r="E4461" s="833"/>
    </row>
    <row r="4462" spans="1:5" x14ac:dyDescent="0.35">
      <c r="A4462" s="281"/>
      <c r="B4462" s="279"/>
      <c r="C4462" s="850"/>
      <c r="D4462" s="282"/>
      <c r="E4462" s="833"/>
    </row>
    <row r="4463" spans="1:5" x14ac:dyDescent="0.35">
      <c r="A4463" s="281"/>
      <c r="B4463" s="279"/>
      <c r="C4463" s="850"/>
      <c r="D4463" s="282"/>
      <c r="E4463" s="833"/>
    </row>
    <row r="4464" spans="1:5" x14ac:dyDescent="0.35">
      <c r="A4464" s="281"/>
      <c r="B4464" s="279"/>
      <c r="C4464" s="850"/>
      <c r="D4464" s="282"/>
      <c r="E4464" s="833"/>
    </row>
    <row r="4465" spans="1:5" x14ac:dyDescent="0.35">
      <c r="A4465" s="281"/>
      <c r="B4465" s="279"/>
      <c r="C4465" s="850"/>
      <c r="D4465" s="282"/>
      <c r="E4465" s="833"/>
    </row>
    <row r="4466" spans="1:5" x14ac:dyDescent="0.35">
      <c r="A4466" s="281"/>
      <c r="B4466" s="279"/>
      <c r="C4466" s="850"/>
      <c r="D4466" s="282"/>
      <c r="E4466" s="833"/>
    </row>
    <row r="4467" spans="1:5" x14ac:dyDescent="0.35">
      <c r="A4467" s="281"/>
      <c r="B4467" s="279"/>
      <c r="C4467" s="850"/>
      <c r="D4467" s="282"/>
      <c r="E4467" s="833"/>
    </row>
    <row r="4468" spans="1:5" x14ac:dyDescent="0.35">
      <c r="A4468" s="281"/>
      <c r="B4468" s="279"/>
      <c r="C4468" s="850"/>
      <c r="D4468" s="282"/>
      <c r="E4468" s="833"/>
    </row>
    <row r="4469" spans="1:5" x14ac:dyDescent="0.35">
      <c r="A4469" s="281"/>
      <c r="B4469" s="279"/>
      <c r="C4469" s="850"/>
      <c r="D4469" s="282"/>
      <c r="E4469" s="833"/>
    </row>
    <row r="4470" spans="1:5" x14ac:dyDescent="0.35">
      <c r="A4470" s="281"/>
      <c r="B4470" s="279"/>
      <c r="C4470" s="850"/>
      <c r="D4470" s="282"/>
      <c r="E4470" s="833"/>
    </row>
    <row r="4471" spans="1:5" x14ac:dyDescent="0.35">
      <c r="A4471" s="281"/>
      <c r="B4471" s="279"/>
      <c r="C4471" s="850"/>
      <c r="D4471" s="282"/>
      <c r="E4471" s="833"/>
    </row>
    <row r="4472" spans="1:5" x14ac:dyDescent="0.35">
      <c r="A4472" s="281"/>
      <c r="B4472" s="279"/>
      <c r="C4472" s="850"/>
      <c r="D4472" s="282"/>
      <c r="E4472" s="833"/>
    </row>
    <row r="4473" spans="1:5" x14ac:dyDescent="0.35">
      <c r="A4473" s="281"/>
      <c r="B4473" s="279"/>
      <c r="C4473" s="850"/>
      <c r="D4473" s="282"/>
      <c r="E4473" s="833"/>
    </row>
    <row r="4474" spans="1:5" x14ac:dyDescent="0.35">
      <c r="A4474" s="281"/>
      <c r="B4474" s="279"/>
      <c r="C4474" s="850"/>
      <c r="D4474" s="282"/>
      <c r="E4474" s="833"/>
    </row>
    <row r="4475" spans="1:5" x14ac:dyDescent="0.35">
      <c r="A4475" s="281"/>
      <c r="B4475" s="279"/>
      <c r="C4475" s="850"/>
      <c r="D4475" s="282"/>
      <c r="E4475" s="833"/>
    </row>
    <row r="4476" spans="1:5" x14ac:dyDescent="0.35">
      <c r="A4476" s="281"/>
      <c r="B4476" s="279"/>
      <c r="C4476" s="850"/>
      <c r="D4476" s="282"/>
      <c r="E4476" s="833"/>
    </row>
    <row r="4477" spans="1:5" x14ac:dyDescent="0.35">
      <c r="A4477" s="281"/>
      <c r="B4477" s="279"/>
      <c r="C4477" s="850"/>
      <c r="D4477" s="282"/>
      <c r="E4477" s="833"/>
    </row>
    <row r="4478" spans="1:5" x14ac:dyDescent="0.35">
      <c r="A4478" s="281"/>
      <c r="B4478" s="279"/>
      <c r="C4478" s="850"/>
      <c r="D4478" s="282"/>
      <c r="E4478" s="833"/>
    </row>
    <row r="4479" spans="1:5" x14ac:dyDescent="0.35">
      <c r="A4479" s="281"/>
      <c r="B4479" s="279"/>
      <c r="C4479" s="850"/>
      <c r="D4479" s="282"/>
      <c r="E4479" s="833"/>
    </row>
    <row r="4480" spans="1:5" x14ac:dyDescent="0.35">
      <c r="A4480" s="281"/>
      <c r="B4480" s="279"/>
      <c r="C4480" s="850"/>
      <c r="D4480" s="282"/>
      <c r="E4480" s="833"/>
    </row>
    <row r="4481" spans="1:5" x14ac:dyDescent="0.35">
      <c r="A4481" s="281"/>
      <c r="B4481" s="279"/>
      <c r="C4481" s="850"/>
      <c r="D4481" s="282"/>
      <c r="E4481" s="833"/>
    </row>
    <row r="4482" spans="1:5" x14ac:dyDescent="0.35">
      <c r="A4482" s="281"/>
      <c r="B4482" s="279"/>
      <c r="C4482" s="850"/>
      <c r="D4482" s="282"/>
      <c r="E4482" s="833"/>
    </row>
    <row r="4483" spans="1:5" x14ac:dyDescent="0.35">
      <c r="A4483" s="281"/>
      <c r="B4483" s="279"/>
      <c r="C4483" s="850"/>
      <c r="D4483" s="282"/>
      <c r="E4483" s="833"/>
    </row>
    <row r="4484" spans="1:5" x14ac:dyDescent="0.35">
      <c r="A4484" s="281"/>
      <c r="B4484" s="279"/>
      <c r="C4484" s="850"/>
      <c r="D4484" s="282"/>
      <c r="E4484" s="833"/>
    </row>
    <row r="4485" spans="1:5" x14ac:dyDescent="0.35">
      <c r="A4485" s="281"/>
      <c r="B4485" s="279"/>
      <c r="C4485" s="850"/>
      <c r="D4485" s="282"/>
      <c r="E4485" s="833"/>
    </row>
    <row r="4486" spans="1:5" x14ac:dyDescent="0.35">
      <c r="A4486" s="281"/>
      <c r="B4486" s="279"/>
      <c r="C4486" s="850"/>
      <c r="D4486" s="282"/>
      <c r="E4486" s="833"/>
    </row>
    <row r="4487" spans="1:5" x14ac:dyDescent="0.35">
      <c r="A4487" s="285"/>
      <c r="B4487" s="286"/>
      <c r="C4487" s="851"/>
      <c r="D4487" s="287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rgb="FF7030A0"/>
  </sheetPr>
  <dimension ref="A1:V30"/>
  <sheetViews>
    <sheetView workbookViewId="0">
      <pane ySplit="4" topLeftCell="A5" activePane="bottomLeft" state="frozen"/>
      <selection activeCell="E1" sqref="E1"/>
      <selection pane="bottomLeft" activeCell="A15" sqref="A15:R15"/>
    </sheetView>
  </sheetViews>
  <sheetFormatPr baseColWidth="10" defaultColWidth="11.36328125" defaultRowHeight="14.5" x14ac:dyDescent="0.35"/>
  <cols>
    <col min="1" max="1" width="6" style="222" bestFit="1" customWidth="1"/>
    <col min="2" max="2" width="5" style="222" bestFit="1" customWidth="1"/>
    <col min="3" max="3" width="10.26953125" style="221" bestFit="1" customWidth="1"/>
    <col min="4" max="4" width="7.36328125" style="818" bestFit="1" customWidth="1"/>
    <col min="5" max="5" width="7.08984375" style="627" bestFit="1" customWidth="1"/>
    <col min="6" max="6" width="10.26953125" style="222" bestFit="1" customWidth="1"/>
    <col min="7" max="7" width="12.26953125" style="221" customWidth="1"/>
    <col min="8" max="8" width="12.7265625" style="221" bestFit="1" customWidth="1"/>
    <col min="9" max="9" width="8.36328125" style="221" bestFit="1" customWidth="1"/>
    <col min="10" max="10" width="11.36328125" style="221" bestFit="1" customWidth="1"/>
    <col min="11" max="11" width="9.08984375" style="221" bestFit="1" customWidth="1"/>
    <col min="12" max="12" width="8.7265625" style="1107" bestFit="1" customWidth="1"/>
    <col min="13" max="14" width="11.81640625" style="221" bestFit="1" customWidth="1"/>
    <col min="15" max="15" width="11.81640625" style="220" bestFit="1" customWidth="1"/>
    <col min="16" max="16" width="11.81640625" style="221" bestFit="1" customWidth="1"/>
    <col min="17" max="17" width="7" style="221" bestFit="1" customWidth="1"/>
    <col min="18" max="18" width="6.7265625" style="221" bestFit="1" customWidth="1"/>
    <col min="19" max="19" width="15.08984375" bestFit="1" customWidth="1"/>
    <col min="20" max="20" width="18.6328125" style="221" bestFit="1" customWidth="1"/>
    <col min="21" max="21" width="12" style="221" customWidth="1"/>
    <col min="22" max="22" width="14.36328125" style="221" customWidth="1"/>
    <col min="23" max="16384" width="11.36328125" style="221"/>
  </cols>
  <sheetData>
    <row r="1" spans="1:22" x14ac:dyDescent="0.35">
      <c r="A1" s="1082" t="s">
        <v>1055</v>
      </c>
      <c r="B1" s="1082"/>
      <c r="C1" s="1083">
        <v>44713</v>
      </c>
      <c r="D1" s="1084">
        <v>122.62</v>
      </c>
      <c r="E1" s="1084" t="s">
        <v>1052</v>
      </c>
      <c r="F1" s="1085">
        <f>+D2-D1</f>
        <v>6.68</v>
      </c>
      <c r="G1" s="1086" t="s">
        <v>1061</v>
      </c>
      <c r="H1" s="1087">
        <f ca="1">+Plazo_TenParcial-M4</f>
        <v>0</v>
      </c>
      <c r="I1" s="1085">
        <v>133.66</v>
      </c>
      <c r="J1" s="1085">
        <f>+I1-I2</f>
        <v>0.22</v>
      </c>
      <c r="K1" s="1089">
        <v>1</v>
      </c>
      <c r="L1" s="1103"/>
      <c r="M1" s="1088"/>
      <c r="N1" s="1088"/>
      <c r="O1" s="1084"/>
      <c r="P1" s="1088"/>
      <c r="Q1" s="1088"/>
      <c r="R1" s="1088"/>
    </row>
    <row r="2" spans="1:22" x14ac:dyDescent="0.35">
      <c r="A2" s="1082" t="s">
        <v>912</v>
      </c>
      <c r="B2" s="1082"/>
      <c r="C2" s="1083">
        <v>44743</v>
      </c>
      <c r="D2" s="1084">
        <v>129.30000000000001</v>
      </c>
      <c r="E2" s="1082" t="s">
        <v>1057</v>
      </c>
      <c r="F2" s="1090">
        <f>+(F1*100/D1)/100</f>
        <v>5.45E-2</v>
      </c>
      <c r="G2" s="1088" t="s">
        <v>1062</v>
      </c>
      <c r="H2" s="1091">
        <f ca="1">+H3/3</f>
        <v>0</v>
      </c>
      <c r="I2" s="1085">
        <v>133.44</v>
      </c>
      <c r="J2" s="1092">
        <f>+((J1*1/I2))/K1</f>
        <v>1.64868E-3</v>
      </c>
      <c r="K2" s="1048"/>
      <c r="L2" s="1104"/>
      <c r="M2" s="1086"/>
      <c r="N2" s="1086"/>
      <c r="O2" s="1086"/>
      <c r="P2" s="1086"/>
      <c r="Q2" s="1088"/>
      <c r="R2" s="1088"/>
    </row>
    <row r="3" spans="1:22" x14ac:dyDescent="0.35">
      <c r="A3" s="1082" t="s">
        <v>1056</v>
      </c>
      <c r="B3" s="1082"/>
      <c r="C3" s="1083">
        <v>44774</v>
      </c>
      <c r="D3" s="1089">
        <f>+D2+(+D2*F2)</f>
        <v>136.34684999999999</v>
      </c>
      <c r="E3" s="1082" t="s">
        <v>1058</v>
      </c>
      <c r="F3" s="1090">
        <f>+F2/30</f>
        <v>1.8E-3</v>
      </c>
      <c r="G3" s="1088" t="s">
        <v>1059</v>
      </c>
      <c r="H3" s="1091">
        <f ca="1">+Plazo_TenFinal-Plazo_TenInicial</f>
        <v>0</v>
      </c>
      <c r="I3" s="1093"/>
      <c r="J3" s="1094">
        <f>(+J2*30)</f>
        <v>4.9460400000000002E-2</v>
      </c>
      <c r="K3" s="1048"/>
      <c r="L3" s="1104" t="s">
        <v>839</v>
      </c>
      <c r="M3" s="1048" t="s">
        <v>1064</v>
      </c>
      <c r="N3" s="1048" t="s">
        <v>1060</v>
      </c>
      <c r="O3" s="1047" t="s">
        <v>1063</v>
      </c>
      <c r="P3" s="1048" t="s">
        <v>1065</v>
      </c>
      <c r="Q3" s="1088"/>
      <c r="R3" s="1088"/>
    </row>
    <row r="4" spans="1:22" x14ac:dyDescent="0.35">
      <c r="A4" s="1095" t="s">
        <v>142</v>
      </c>
      <c r="B4" s="1095"/>
      <c r="C4" s="1095" t="s">
        <v>66</v>
      </c>
      <c r="D4" s="1096" t="s">
        <v>736</v>
      </c>
      <c r="E4" s="1095"/>
      <c r="F4" s="1095" t="s">
        <v>737</v>
      </c>
      <c r="G4" s="1095" t="s">
        <v>67</v>
      </c>
      <c r="H4" s="1095" t="s">
        <v>1049</v>
      </c>
      <c r="I4" s="1097" t="s">
        <v>1068</v>
      </c>
      <c r="J4" s="1093">
        <f>CtzU</f>
        <v>133.66</v>
      </c>
      <c r="K4" s="1098"/>
      <c r="L4" s="1105">
        <f ca="1">SUM(L5:L30)</f>
        <v>0</v>
      </c>
      <c r="M4" s="1049">
        <f ca="1">SUM(M5:M30)</f>
        <v>0</v>
      </c>
      <c r="N4" s="1049">
        <f ca="1">SUM(N5:N30)</f>
        <v>0</v>
      </c>
      <c r="O4" s="1049">
        <f ca="1">SUM(O5:O30)</f>
        <v>0</v>
      </c>
      <c r="P4" s="1049">
        <f ca="1">SUM(P5:P30)</f>
        <v>0</v>
      </c>
      <c r="Q4" s="1048" t="s">
        <v>1074</v>
      </c>
      <c r="R4" s="1048" t="s">
        <v>736</v>
      </c>
    </row>
    <row r="5" spans="1:22" x14ac:dyDescent="0.35">
      <c r="A5" s="1156" t="s">
        <v>1050</v>
      </c>
      <c r="B5" s="1156" t="str">
        <f>UPPER(TEXT(C5,"ddd"))</f>
        <v>VI</v>
      </c>
      <c r="C5" s="1157">
        <v>44659</v>
      </c>
      <c r="D5" s="1158">
        <v>90</v>
      </c>
      <c r="E5" s="1156" t="str">
        <f>UPPER(TEXT(F5,"ddd"))</f>
        <v>JU</v>
      </c>
      <c r="F5" s="1159">
        <f>+C5+D5</f>
        <v>44749</v>
      </c>
      <c r="G5" s="1160">
        <v>5000</v>
      </c>
      <c r="H5" s="1161">
        <v>45.48</v>
      </c>
      <c r="I5" s="1161">
        <f>+G5/H5</f>
        <v>109.94</v>
      </c>
      <c r="J5" s="1161">
        <v>130.59</v>
      </c>
      <c r="K5" s="1162">
        <f>+J5*H5</f>
        <v>5939.23</v>
      </c>
      <c r="L5" s="1163">
        <f ca="1">IF(TODAY()&lt;F5,IF(TODAY()&gt;=C5,H5,0),0)</f>
        <v>0</v>
      </c>
      <c r="M5" s="1161">
        <f ca="1">IF(TODAY()&lt;F5,IF(TODAY()&gt;=C5,G5,0),0)</f>
        <v>0</v>
      </c>
      <c r="N5" s="1161">
        <f ca="1">IF(TODAY()&lt;F5,IF(TODAY()&gt;=C5,K5,0),0)</f>
        <v>0</v>
      </c>
      <c r="O5" s="1158" t="b">
        <f ca="1">IF(TODAY()&lt;F5,IF(TODAY()&gt;=C5,(((Q5) *$F$3)*M5)+M5,0))</f>
        <v>0</v>
      </c>
      <c r="P5" s="1161">
        <f t="shared" ref="P5:P30" ca="1" si="0">IF(TODAY()&lt;F5,IF(TODAY()&gt;=C5,(+(D5*$F$3)*M5)+G5,0),0)</f>
        <v>0</v>
      </c>
      <c r="Q5" s="1164">
        <f t="shared" ref="Q5:Q30" ca="1" si="1">IF(R5&gt;0,IF(R5&lt;=30,30,   IF(R5&lt;=60,60,   IF(R5&lt;=90,90,0)  )   ),0)</f>
        <v>0</v>
      </c>
      <c r="R5" s="1164">
        <f ca="1">+TODAY()-C5</f>
        <v>106</v>
      </c>
      <c r="T5" s="220"/>
      <c r="U5" s="220"/>
      <c r="V5" s="220"/>
    </row>
    <row r="6" spans="1:22" x14ac:dyDescent="0.35">
      <c r="A6" s="1156" t="s">
        <v>1051</v>
      </c>
      <c r="B6" s="1156" t="str">
        <f t="shared" ref="B6:B16" si="2">UPPER(TEXT(C6,"ddd"))</f>
        <v>MI</v>
      </c>
      <c r="C6" s="1157">
        <v>44664</v>
      </c>
      <c r="D6" s="1158">
        <v>90</v>
      </c>
      <c r="E6" s="1156" t="str">
        <f t="shared" ref="E6:E16" si="3">UPPER(TEXT(F6,"ddd"))</f>
        <v>MA</v>
      </c>
      <c r="F6" s="1159">
        <f>+C6+D6</f>
        <v>44754</v>
      </c>
      <c r="G6" s="1160">
        <v>5049.1899999999996</v>
      </c>
      <c r="H6" s="1161">
        <v>45.48</v>
      </c>
      <c r="I6" s="1161">
        <f t="shared" ref="I6:I16" si="4">+G6/H6</f>
        <v>111.02</v>
      </c>
      <c r="J6" s="1161">
        <v>131.68</v>
      </c>
      <c r="K6" s="1162">
        <f t="shared" ref="K6:K7" si="5">+J6*H6</f>
        <v>5988.81</v>
      </c>
      <c r="L6" s="1163">
        <f t="shared" ref="L6:L14" ca="1" si="6">IF(TODAY()&lt;F6,IF(TODAY()&gt;=C6,H6,0),0)</f>
        <v>0</v>
      </c>
      <c r="M6" s="1161">
        <f t="shared" ref="M6:M14" ca="1" si="7">IF(TODAY()&lt;F6,IF(TODAY()&gt;=C6,G6,0),0)</f>
        <v>0</v>
      </c>
      <c r="N6" s="1161">
        <f t="shared" ref="N6:N14" ca="1" si="8">IF(TODAY()&lt;F6,IF(TODAY()&gt;=C6,K6,0),0)</f>
        <v>0</v>
      </c>
      <c r="O6" s="1161" t="b">
        <f ca="1">IF(TODAY()&lt;F6,IF(TODAY()&gt;=C6,(((Q6) *$F$3)*M6)+M6,0))</f>
        <v>0</v>
      </c>
      <c r="P6" s="1161">
        <f t="shared" ca="1" si="0"/>
        <v>0</v>
      </c>
      <c r="Q6" s="1164">
        <f t="shared" ca="1" si="1"/>
        <v>0</v>
      </c>
      <c r="R6" s="1164">
        <f t="shared" ref="R6:R30" ca="1" si="9">+TODAY()-C6</f>
        <v>101</v>
      </c>
      <c r="T6" s="220"/>
      <c r="U6" s="220"/>
      <c r="V6" s="220"/>
    </row>
    <row r="7" spans="1:22" x14ac:dyDescent="0.35">
      <c r="A7" s="1156" t="s">
        <v>1051</v>
      </c>
      <c r="B7" s="1156" t="str">
        <f t="shared" si="2"/>
        <v>JU</v>
      </c>
      <c r="C7" s="1157">
        <v>44672</v>
      </c>
      <c r="D7" s="1158">
        <v>90</v>
      </c>
      <c r="E7" s="1156" t="str">
        <f t="shared" si="3"/>
        <v>MI</v>
      </c>
      <c r="F7" s="1159">
        <f>+C7+D7</f>
        <v>44762</v>
      </c>
      <c r="G7" s="1160">
        <v>30000</v>
      </c>
      <c r="H7" s="1161">
        <v>266.14999999999998</v>
      </c>
      <c r="I7" s="1161">
        <f t="shared" si="4"/>
        <v>112.72</v>
      </c>
      <c r="J7" s="1161">
        <v>133.44</v>
      </c>
      <c r="K7" s="1162">
        <f t="shared" si="5"/>
        <v>35515.06</v>
      </c>
      <c r="L7" s="1163">
        <f t="shared" ca="1" si="6"/>
        <v>0</v>
      </c>
      <c r="M7" s="1161">
        <f t="shared" ca="1" si="7"/>
        <v>0</v>
      </c>
      <c r="N7" s="1161">
        <f t="shared" ca="1" si="8"/>
        <v>0</v>
      </c>
      <c r="O7" s="1161" t="b">
        <f ca="1">IF(TODAY()&lt;F7,IF(TODAY()&gt;=C7,(((Q7) *$F$3)*M7)+M7,0))</f>
        <v>0</v>
      </c>
      <c r="P7" s="1161">
        <f t="shared" ca="1" si="0"/>
        <v>0</v>
      </c>
      <c r="Q7" s="1164">
        <f t="shared" ca="1" si="1"/>
        <v>0</v>
      </c>
      <c r="R7" s="1164">
        <f t="shared" ca="1" si="9"/>
        <v>93</v>
      </c>
      <c r="T7" s="220"/>
      <c r="U7" s="220"/>
      <c r="V7" s="220"/>
    </row>
    <row r="8" spans="1:22" x14ac:dyDescent="0.35">
      <c r="A8" s="1156" t="s">
        <v>1051</v>
      </c>
      <c r="B8" s="1156" t="str">
        <f t="shared" si="2"/>
        <v>JU</v>
      </c>
      <c r="C8" s="1157">
        <v>44686</v>
      </c>
      <c r="D8" s="1158">
        <v>75</v>
      </c>
      <c r="E8" s="1156" t="str">
        <f t="shared" si="3"/>
        <v>MA</v>
      </c>
      <c r="F8" s="1159">
        <f>+C8+D8</f>
        <v>44761</v>
      </c>
      <c r="G8" s="1160">
        <v>12000</v>
      </c>
      <c r="H8" s="1161">
        <v>103.28</v>
      </c>
      <c r="I8" s="1161">
        <f t="shared" si="4"/>
        <v>116.19</v>
      </c>
      <c r="J8" s="1161">
        <f t="shared" ref="J8:J18" si="10">+K8/H8</f>
        <v>125.98</v>
      </c>
      <c r="K8" s="1162">
        <v>13010.97</v>
      </c>
      <c r="L8" s="1163">
        <f t="shared" ca="1" si="6"/>
        <v>0</v>
      </c>
      <c r="M8" s="1161">
        <f t="shared" ca="1" si="7"/>
        <v>0</v>
      </c>
      <c r="N8" s="1161">
        <f t="shared" ca="1" si="8"/>
        <v>0</v>
      </c>
      <c r="O8" s="1161" t="b">
        <f t="shared" ref="O8:O16" ca="1" si="11">IF(TODAY()&lt;F8,IF(TODAY()&gt;=C8,(((Q8) *$F$3)*M8)+M8,0))</f>
        <v>0</v>
      </c>
      <c r="P8" s="1161">
        <f t="shared" ca="1" si="0"/>
        <v>0</v>
      </c>
      <c r="Q8" s="1164">
        <f t="shared" ca="1" si="1"/>
        <v>90</v>
      </c>
      <c r="R8" s="1164">
        <f t="shared" ca="1" si="9"/>
        <v>79</v>
      </c>
      <c r="T8" s="220"/>
      <c r="U8" s="220"/>
      <c r="V8" s="220"/>
    </row>
    <row r="9" spans="1:22" x14ac:dyDescent="0.35">
      <c r="A9" s="1156" t="s">
        <v>1051</v>
      </c>
      <c r="B9" s="1156" t="str">
        <f t="shared" si="2"/>
        <v>VI</v>
      </c>
      <c r="C9" s="1157">
        <v>44687</v>
      </c>
      <c r="D9" s="1158">
        <v>74</v>
      </c>
      <c r="E9" s="1156" t="str">
        <f t="shared" si="3"/>
        <v>MA</v>
      </c>
      <c r="F9" s="1159">
        <f t="shared" ref="F9:F30" si="12">+C9+D9</f>
        <v>44761</v>
      </c>
      <c r="G9" s="1160">
        <v>30000</v>
      </c>
      <c r="H9" s="1161">
        <v>257.64</v>
      </c>
      <c r="I9" s="1161">
        <f t="shared" si="4"/>
        <v>116.44</v>
      </c>
      <c r="J9" s="1161">
        <f t="shared" si="10"/>
        <v>126.12</v>
      </c>
      <c r="K9" s="1162">
        <v>32493.7</v>
      </c>
      <c r="L9" s="1163">
        <f t="shared" ca="1" si="6"/>
        <v>0</v>
      </c>
      <c r="M9" s="1161">
        <f t="shared" ca="1" si="7"/>
        <v>0</v>
      </c>
      <c r="N9" s="1161">
        <f t="shared" ca="1" si="8"/>
        <v>0</v>
      </c>
      <c r="O9" s="1161" t="b">
        <f t="shared" ca="1" si="11"/>
        <v>0</v>
      </c>
      <c r="P9" s="1161">
        <f t="shared" ca="1" si="0"/>
        <v>0</v>
      </c>
      <c r="Q9" s="1164">
        <f t="shared" ca="1" si="1"/>
        <v>90</v>
      </c>
      <c r="R9" s="1164">
        <f t="shared" ca="1" si="9"/>
        <v>78</v>
      </c>
      <c r="T9" s="220"/>
      <c r="U9" s="220"/>
      <c r="V9" s="220"/>
    </row>
    <row r="10" spans="1:22" x14ac:dyDescent="0.35">
      <c r="A10" s="1156" t="s">
        <v>1051</v>
      </c>
      <c r="B10" s="1156" t="str">
        <f t="shared" si="2"/>
        <v>LU</v>
      </c>
      <c r="C10" s="1157">
        <v>44690</v>
      </c>
      <c r="D10" s="1158">
        <v>71</v>
      </c>
      <c r="E10" s="1156" t="str">
        <f t="shared" si="3"/>
        <v>MA</v>
      </c>
      <c r="F10" s="1159">
        <f t="shared" ref="F10:F16" si="13">+C10+D10</f>
        <v>44761</v>
      </c>
      <c r="G10" s="1160">
        <v>17700</v>
      </c>
      <c r="H10" s="1161">
        <v>151.68</v>
      </c>
      <c r="I10" s="1161">
        <f t="shared" si="4"/>
        <v>116.69</v>
      </c>
      <c r="J10" s="1161">
        <f t="shared" si="10"/>
        <v>126</v>
      </c>
      <c r="K10" s="1162">
        <v>19111.64</v>
      </c>
      <c r="L10" s="1163">
        <f t="shared" ca="1" si="6"/>
        <v>0</v>
      </c>
      <c r="M10" s="1161">
        <f t="shared" ca="1" si="7"/>
        <v>0</v>
      </c>
      <c r="N10" s="1161">
        <f t="shared" ca="1" si="8"/>
        <v>0</v>
      </c>
      <c r="O10" s="1161" t="b">
        <f t="shared" ca="1" si="11"/>
        <v>0</v>
      </c>
      <c r="P10" s="1161">
        <f t="shared" ca="1" si="0"/>
        <v>0</v>
      </c>
      <c r="Q10" s="1164">
        <f t="shared" ca="1" si="1"/>
        <v>90</v>
      </c>
      <c r="R10" s="1164">
        <f t="shared" ca="1" si="9"/>
        <v>75</v>
      </c>
      <c r="T10" s="220"/>
      <c r="U10" s="220"/>
    </row>
    <row r="11" spans="1:22" x14ac:dyDescent="0.35">
      <c r="A11" s="1156" t="s">
        <v>1051</v>
      </c>
      <c r="B11" s="1156" t="str">
        <f t="shared" si="2"/>
        <v>MA</v>
      </c>
      <c r="C11" s="1157">
        <v>44691</v>
      </c>
      <c r="D11" s="1158">
        <v>70</v>
      </c>
      <c r="E11" s="1156" t="str">
        <f t="shared" si="3"/>
        <v>MA</v>
      </c>
      <c r="F11" s="1159">
        <f t="shared" si="13"/>
        <v>44761</v>
      </c>
      <c r="G11" s="1160">
        <v>10959.02</v>
      </c>
      <c r="H11" s="1161">
        <v>93.31</v>
      </c>
      <c r="I11" s="1161">
        <f t="shared" si="4"/>
        <v>117.45</v>
      </c>
      <c r="J11" s="1161">
        <f t="shared" si="10"/>
        <v>126.68</v>
      </c>
      <c r="K11" s="1162">
        <v>11820.73</v>
      </c>
      <c r="L11" s="1163">
        <f t="shared" ca="1" si="6"/>
        <v>0</v>
      </c>
      <c r="M11" s="1161">
        <f t="shared" ca="1" si="7"/>
        <v>0</v>
      </c>
      <c r="N11" s="1161">
        <f t="shared" ca="1" si="8"/>
        <v>0</v>
      </c>
      <c r="O11" s="1161" t="b">
        <f t="shared" ca="1" si="11"/>
        <v>0</v>
      </c>
      <c r="P11" s="1161">
        <f t="shared" ca="1" si="0"/>
        <v>0</v>
      </c>
      <c r="Q11" s="1164">
        <f t="shared" ca="1" si="1"/>
        <v>90</v>
      </c>
      <c r="R11" s="1164">
        <f t="shared" ca="1" si="9"/>
        <v>74</v>
      </c>
    </row>
    <row r="12" spans="1:22" x14ac:dyDescent="0.35">
      <c r="A12" s="1165" t="s">
        <v>1051</v>
      </c>
      <c r="B12" s="1165" t="str">
        <f t="shared" si="2"/>
        <v>MA</v>
      </c>
      <c r="C12" s="1166">
        <v>44691</v>
      </c>
      <c r="D12" s="1167">
        <v>71</v>
      </c>
      <c r="E12" s="1165" t="str">
        <f t="shared" si="3"/>
        <v>MI</v>
      </c>
      <c r="F12" s="1168">
        <f t="shared" si="13"/>
        <v>44762</v>
      </c>
      <c r="G12" s="1169">
        <v>70000</v>
      </c>
      <c r="H12" s="1170">
        <v>596</v>
      </c>
      <c r="I12" s="1170">
        <f t="shared" si="4"/>
        <v>117.45</v>
      </c>
      <c r="J12" s="1170">
        <f t="shared" si="10"/>
        <v>126.82</v>
      </c>
      <c r="K12" s="1171">
        <v>75582.740000000005</v>
      </c>
      <c r="L12" s="1172">
        <f t="shared" ca="1" si="6"/>
        <v>0</v>
      </c>
      <c r="M12" s="1170">
        <f t="shared" ca="1" si="7"/>
        <v>0</v>
      </c>
      <c r="N12" s="1170">
        <f t="shared" ca="1" si="8"/>
        <v>0</v>
      </c>
      <c r="O12" s="1170" t="b">
        <f t="shared" ca="1" si="11"/>
        <v>0</v>
      </c>
      <c r="P12" s="1170">
        <f t="shared" ca="1" si="0"/>
        <v>0</v>
      </c>
      <c r="Q12" s="1173">
        <f t="shared" ca="1" si="1"/>
        <v>90</v>
      </c>
      <c r="R12" s="1173">
        <f t="shared" ca="1" si="9"/>
        <v>74</v>
      </c>
    </row>
    <row r="13" spans="1:22" x14ac:dyDescent="0.35">
      <c r="A13" s="1156" t="s">
        <v>1051</v>
      </c>
      <c r="B13" s="1156" t="str">
        <f t="shared" si="2"/>
        <v>MA</v>
      </c>
      <c r="C13" s="1157">
        <v>44691</v>
      </c>
      <c r="D13" s="1158">
        <v>72</v>
      </c>
      <c r="E13" s="1156" t="str">
        <f t="shared" si="3"/>
        <v>JU</v>
      </c>
      <c r="F13" s="1159">
        <f t="shared" si="13"/>
        <v>44763</v>
      </c>
      <c r="G13" s="1160">
        <v>70000</v>
      </c>
      <c r="H13" s="1161">
        <v>596</v>
      </c>
      <c r="I13" s="1161">
        <f t="shared" si="4"/>
        <v>117.45</v>
      </c>
      <c r="J13" s="1161">
        <f t="shared" si="10"/>
        <v>126.95</v>
      </c>
      <c r="K13" s="1162">
        <v>75661.37</v>
      </c>
      <c r="L13" s="1163">
        <f t="shared" ca="1" si="6"/>
        <v>0</v>
      </c>
      <c r="M13" s="1161">
        <f t="shared" ca="1" si="7"/>
        <v>0</v>
      </c>
      <c r="N13" s="1161">
        <f t="shared" ca="1" si="8"/>
        <v>0</v>
      </c>
      <c r="O13" s="1161" t="b">
        <f t="shared" ca="1" si="11"/>
        <v>0</v>
      </c>
      <c r="P13" s="1161">
        <f t="shared" ca="1" si="0"/>
        <v>0</v>
      </c>
      <c r="Q13" s="1164">
        <f t="shared" ca="1" si="1"/>
        <v>90</v>
      </c>
      <c r="R13" s="1164">
        <f t="shared" ca="1" si="9"/>
        <v>74</v>
      </c>
    </row>
    <row r="14" spans="1:22" x14ac:dyDescent="0.35">
      <c r="A14" s="1156" t="s">
        <v>1051</v>
      </c>
      <c r="B14" s="1156" t="str">
        <f t="shared" si="2"/>
        <v>MI</v>
      </c>
      <c r="C14" s="1157">
        <v>44692</v>
      </c>
      <c r="D14" s="1158">
        <v>69</v>
      </c>
      <c r="E14" s="1156" t="str">
        <f t="shared" si="3"/>
        <v>MA</v>
      </c>
      <c r="F14" s="1159">
        <f t="shared" si="13"/>
        <v>44761</v>
      </c>
      <c r="G14" s="1160">
        <v>16354</v>
      </c>
      <c r="H14" s="1161">
        <v>138.94999999999999</v>
      </c>
      <c r="I14" s="1161">
        <f t="shared" si="4"/>
        <v>117.7</v>
      </c>
      <c r="J14" s="1161">
        <f t="shared" si="10"/>
        <v>126.82</v>
      </c>
      <c r="K14" s="1162">
        <v>17621.55</v>
      </c>
      <c r="L14" s="1163">
        <f t="shared" ca="1" si="6"/>
        <v>0</v>
      </c>
      <c r="M14" s="1161">
        <f t="shared" ca="1" si="7"/>
        <v>0</v>
      </c>
      <c r="N14" s="1161">
        <f t="shared" ca="1" si="8"/>
        <v>0</v>
      </c>
      <c r="O14" s="1161" t="b">
        <f t="shared" ca="1" si="11"/>
        <v>0</v>
      </c>
      <c r="P14" s="1161">
        <f t="shared" ca="1" si="0"/>
        <v>0</v>
      </c>
      <c r="Q14" s="1164">
        <f t="shared" ca="1" si="1"/>
        <v>90</v>
      </c>
      <c r="R14" s="1164">
        <f t="shared" ca="1" si="9"/>
        <v>73</v>
      </c>
      <c r="T14" s="221">
        <v>41</v>
      </c>
    </row>
    <row r="15" spans="1:22" x14ac:dyDescent="0.35">
      <c r="A15" s="1156" t="s">
        <v>1051</v>
      </c>
      <c r="B15" s="1156" t="str">
        <f t="shared" si="2"/>
        <v>JU</v>
      </c>
      <c r="C15" s="1157">
        <v>44693</v>
      </c>
      <c r="D15" s="1158">
        <v>70</v>
      </c>
      <c r="E15" s="1156" t="str">
        <f t="shared" si="3"/>
        <v>JU</v>
      </c>
      <c r="F15" s="1159">
        <f t="shared" si="13"/>
        <v>44763</v>
      </c>
      <c r="G15" s="1160">
        <v>100000</v>
      </c>
      <c r="H15" s="1161">
        <v>847.74</v>
      </c>
      <c r="I15" s="1161">
        <f t="shared" si="4"/>
        <v>117.96</v>
      </c>
      <c r="J15" s="1161">
        <f t="shared" si="10"/>
        <v>127.24</v>
      </c>
      <c r="K15" s="1162">
        <v>107863.01</v>
      </c>
      <c r="L15" s="1163">
        <f ca="1">IF(TODAY()&lt;F15,IF(TODAY()&gt;=C15,H15,0),0)</f>
        <v>0</v>
      </c>
      <c r="M15" s="1161">
        <f ca="1">IF(TODAY()&lt;F15,IF(TODAY()&gt;=C15,G15,0),0)</f>
        <v>0</v>
      </c>
      <c r="N15" s="1161">
        <f ca="1">IF(TODAY()&lt;F15,IF(TODAY()&gt;=C15,K15,0),0)</f>
        <v>0</v>
      </c>
      <c r="O15" s="1161" t="b">
        <f t="shared" ca="1" si="11"/>
        <v>0</v>
      </c>
      <c r="P15" s="1161">
        <f t="shared" ca="1" si="0"/>
        <v>0</v>
      </c>
      <c r="Q15" s="1164">
        <f t="shared" ca="1" si="1"/>
        <v>90</v>
      </c>
      <c r="R15" s="1164">
        <f t="shared" ca="1" si="9"/>
        <v>72</v>
      </c>
      <c r="S15" s="221"/>
    </row>
    <row r="16" spans="1:22" x14ac:dyDescent="0.35">
      <c r="A16" s="1156" t="s">
        <v>1051</v>
      </c>
      <c r="B16" s="1156" t="str">
        <f t="shared" si="2"/>
        <v>LU</v>
      </c>
      <c r="C16" s="1157">
        <v>44711</v>
      </c>
      <c r="D16" s="1158">
        <v>50</v>
      </c>
      <c r="E16" s="1156" t="str">
        <f t="shared" si="3"/>
        <v>MA</v>
      </c>
      <c r="F16" s="1159">
        <f t="shared" si="13"/>
        <v>44761</v>
      </c>
      <c r="G16" s="1160">
        <v>3000</v>
      </c>
      <c r="H16" s="1161">
        <v>24.65</v>
      </c>
      <c r="I16" s="1161">
        <f t="shared" si="4"/>
        <v>121.7</v>
      </c>
      <c r="J16" s="1161">
        <f t="shared" si="10"/>
        <v>128.87</v>
      </c>
      <c r="K16" s="1162">
        <v>3176.71</v>
      </c>
      <c r="L16" s="1163">
        <f ca="1">IF(TODAY()&lt;F16,IF(TODAY()&gt;=C16,H16,0),0)</f>
        <v>0</v>
      </c>
      <c r="M16" s="1161">
        <f ca="1">IF(TODAY()&lt;F16,IF(TODAY()&gt;=C16,G16,0),0)</f>
        <v>0</v>
      </c>
      <c r="N16" s="1161">
        <f ca="1">IF(TODAY()&lt;F16,IF(TODAY()&gt;=C16,K16,0),0)</f>
        <v>0</v>
      </c>
      <c r="O16" s="1161" t="b">
        <f t="shared" ca="1" si="11"/>
        <v>0</v>
      </c>
      <c r="P16" s="1161">
        <f t="shared" ca="1" si="0"/>
        <v>0</v>
      </c>
      <c r="Q16" s="1164">
        <f t="shared" ca="1" si="1"/>
        <v>60</v>
      </c>
      <c r="R16" s="1164">
        <f t="shared" ca="1" si="9"/>
        <v>54</v>
      </c>
      <c r="S16" s="221"/>
      <c r="T16" s="221">
        <f>+T14/365</f>
        <v>0.112329</v>
      </c>
    </row>
    <row r="17" spans="1:22" x14ac:dyDescent="0.35">
      <c r="A17" s="1156" t="s">
        <v>1051</v>
      </c>
      <c r="B17" s="1156" t="str">
        <f>UPPER(TEXT(C17,"ddd"))</f>
        <v>MI</v>
      </c>
      <c r="C17" s="1159">
        <v>44713</v>
      </c>
      <c r="D17" s="1158">
        <v>48</v>
      </c>
      <c r="E17" s="1156" t="str">
        <f>UPPER(TEXT(F17,"ddd"))</f>
        <v>MA</v>
      </c>
      <c r="F17" s="1159">
        <f t="shared" si="12"/>
        <v>44761</v>
      </c>
      <c r="G17" s="1160">
        <v>21000</v>
      </c>
      <c r="H17" s="1161">
        <v>171.26</v>
      </c>
      <c r="I17" s="1161">
        <f>+G17/H17</f>
        <v>122.62</v>
      </c>
      <c r="J17" s="1161">
        <f t="shared" si="10"/>
        <v>123.72</v>
      </c>
      <c r="K17" s="1162">
        <v>21187.51</v>
      </c>
      <c r="L17" s="1163">
        <f t="shared" ref="L17:L30" ca="1" si="14">IF(TODAY()&lt;F17,IF(TODAY()&gt;=C17,H17,0),0)</f>
        <v>0</v>
      </c>
      <c r="M17" s="1161">
        <f t="shared" ref="M17:M30" ca="1" si="15">IF(TODAY()&lt;F17,IF(TODAY()&gt;=C17,G17,0),0)</f>
        <v>0</v>
      </c>
      <c r="N17" s="1161">
        <f t="shared" ref="N17:N30" ca="1" si="16">IF(TODAY()&lt;F17,IF(TODAY()&gt;=C17,K17,0),0)</f>
        <v>0</v>
      </c>
      <c r="O17" s="1161" t="b">
        <f ca="1">IF(TODAY()&lt;F17,IF(TODAY()&gt;=C17,(((+TODAY()-C17) *$F$3)*M17)+M17,0))</f>
        <v>0</v>
      </c>
      <c r="P17" s="1161">
        <f t="shared" ca="1" si="0"/>
        <v>0</v>
      </c>
      <c r="Q17" s="1164">
        <f t="shared" ca="1" si="1"/>
        <v>60</v>
      </c>
      <c r="R17" s="1164">
        <f t="shared" ca="1" si="9"/>
        <v>52</v>
      </c>
      <c r="S17" s="221"/>
      <c r="T17" s="221">
        <f>+T16/100</f>
        <v>1.1230000000000001E-3</v>
      </c>
      <c r="U17" s="1155"/>
    </row>
    <row r="18" spans="1:22" x14ac:dyDescent="0.35">
      <c r="A18" s="1156" t="s">
        <v>1051</v>
      </c>
      <c r="B18" s="1156" t="str">
        <f t="shared" ref="B18:B30" si="17">UPPER(TEXT(C18,"ddd"))</f>
        <v>MA</v>
      </c>
      <c r="C18" s="1159">
        <v>44726</v>
      </c>
      <c r="D18" s="1158">
        <v>31</v>
      </c>
      <c r="E18" s="1156" t="str">
        <f t="shared" ref="E18:E30" si="18">UPPER(TEXT(F18,"ddd"))</f>
        <v>VI</v>
      </c>
      <c r="F18" s="1159">
        <f t="shared" si="12"/>
        <v>44757</v>
      </c>
      <c r="G18" s="1160">
        <v>275000</v>
      </c>
      <c r="H18" s="1161">
        <v>2188.62</v>
      </c>
      <c r="I18" s="1161">
        <f t="shared" ref="I18:I30" si="19">+G18/H18</f>
        <v>125.65</v>
      </c>
      <c r="J18" s="1161">
        <f t="shared" si="10"/>
        <v>130.24</v>
      </c>
      <c r="K18" s="1162">
        <v>285043.15000000002</v>
      </c>
      <c r="L18" s="1163">
        <f t="shared" ca="1" si="14"/>
        <v>0</v>
      </c>
      <c r="M18" s="1161">
        <f t="shared" ca="1" si="15"/>
        <v>0</v>
      </c>
      <c r="N18" s="1161">
        <f t="shared" ca="1" si="16"/>
        <v>0</v>
      </c>
      <c r="O18" s="1161" t="b">
        <f t="shared" ref="O18:O30" ca="1" si="20">IF(TODAY()&lt;F18,IF(TODAY()&gt;=C18,(((+TODAY()-C18) *$F$3)*M18)+M18,0))</f>
        <v>0</v>
      </c>
      <c r="P18" s="1161">
        <f t="shared" ca="1" si="0"/>
        <v>0</v>
      </c>
      <c r="Q18" s="1164">
        <f t="shared" ca="1" si="1"/>
        <v>60</v>
      </c>
      <c r="R18" s="1164">
        <f t="shared" ca="1" si="9"/>
        <v>39</v>
      </c>
      <c r="T18" s="627">
        <f>+T17*U18</f>
        <v>7.9732999999999998E-2</v>
      </c>
      <c r="U18" s="221">
        <v>71</v>
      </c>
    </row>
    <row r="19" spans="1:22" x14ac:dyDescent="0.35">
      <c r="A19" s="1076" t="s">
        <v>1051</v>
      </c>
      <c r="B19" s="1076" t="str">
        <f t="shared" si="17"/>
        <v>LU</v>
      </c>
      <c r="C19" s="1077">
        <v>44781</v>
      </c>
      <c r="D19" s="1078">
        <v>91</v>
      </c>
      <c r="E19" s="1076" t="str">
        <f t="shared" si="18"/>
        <v>LU</v>
      </c>
      <c r="F19" s="1077">
        <f t="shared" si="12"/>
        <v>44872</v>
      </c>
      <c r="G19" s="1079">
        <v>0</v>
      </c>
      <c r="H19" s="1080">
        <v>1</v>
      </c>
      <c r="I19" s="1080">
        <f t="shared" si="19"/>
        <v>0</v>
      </c>
      <c r="J19" s="1080">
        <f t="shared" ref="J19:J30" si="21">+$J$4</f>
        <v>133.66</v>
      </c>
      <c r="K19" s="1102">
        <f t="shared" ref="K19:K30" si="22">+J19*H19</f>
        <v>133.66</v>
      </c>
      <c r="L19" s="1106">
        <f t="shared" ca="1" si="14"/>
        <v>0</v>
      </c>
      <c r="M19" s="1080">
        <f t="shared" ca="1" si="15"/>
        <v>0</v>
      </c>
      <c r="N19" s="1080">
        <f t="shared" ca="1" si="16"/>
        <v>0</v>
      </c>
      <c r="O19" s="1080">
        <f t="shared" ca="1" si="20"/>
        <v>0</v>
      </c>
      <c r="P19" s="1080">
        <f t="shared" ca="1" si="0"/>
        <v>0</v>
      </c>
      <c r="Q19" s="1081">
        <f t="shared" ca="1" si="1"/>
        <v>0</v>
      </c>
      <c r="R19" s="1081">
        <f t="shared" ca="1" si="9"/>
        <v>-16</v>
      </c>
      <c r="S19" s="221"/>
      <c r="T19" s="221">
        <f>+U19*T18</f>
        <v>5581.31</v>
      </c>
      <c r="U19" s="1155">
        <v>70000</v>
      </c>
    </row>
    <row r="20" spans="1:22" x14ac:dyDescent="0.35">
      <c r="A20" s="1076" t="s">
        <v>1051</v>
      </c>
      <c r="B20" s="1076" t="str">
        <f t="shared" si="17"/>
        <v>MI</v>
      </c>
      <c r="C20" s="1077">
        <v>44783</v>
      </c>
      <c r="D20" s="1078">
        <v>90</v>
      </c>
      <c r="E20" s="1076" t="str">
        <f t="shared" si="18"/>
        <v>MA</v>
      </c>
      <c r="F20" s="1077">
        <f t="shared" si="12"/>
        <v>44873</v>
      </c>
      <c r="G20" s="1079">
        <v>0</v>
      </c>
      <c r="H20" s="1080">
        <v>1</v>
      </c>
      <c r="I20" s="1080">
        <f t="shared" si="19"/>
        <v>0</v>
      </c>
      <c r="J20" s="1080">
        <f t="shared" si="21"/>
        <v>133.66</v>
      </c>
      <c r="K20" s="1102">
        <f t="shared" si="22"/>
        <v>133.66</v>
      </c>
      <c r="L20" s="1106">
        <f t="shared" ca="1" si="14"/>
        <v>0</v>
      </c>
      <c r="M20" s="1080">
        <f t="shared" ca="1" si="15"/>
        <v>0</v>
      </c>
      <c r="N20" s="1080">
        <f t="shared" ca="1" si="16"/>
        <v>0</v>
      </c>
      <c r="O20" s="1080">
        <f t="shared" ca="1" si="20"/>
        <v>0</v>
      </c>
      <c r="P20" s="1080">
        <f t="shared" ca="1" si="0"/>
        <v>0</v>
      </c>
      <c r="Q20" s="1081">
        <f t="shared" ca="1" si="1"/>
        <v>0</v>
      </c>
      <c r="R20" s="1081">
        <f t="shared" ca="1" si="9"/>
        <v>-18</v>
      </c>
      <c r="S20" s="221"/>
      <c r="T20" s="221">
        <f>+T19+U19</f>
        <v>75581.31</v>
      </c>
      <c r="V20" s="817"/>
    </row>
    <row r="21" spans="1:22" x14ac:dyDescent="0.35">
      <c r="A21" s="1076" t="s">
        <v>1051</v>
      </c>
      <c r="B21" s="1076" t="str">
        <f t="shared" si="17"/>
        <v>LU</v>
      </c>
      <c r="C21" s="1077">
        <v>44816</v>
      </c>
      <c r="D21" s="1078">
        <v>91</v>
      </c>
      <c r="E21" s="1076" t="str">
        <f t="shared" si="18"/>
        <v>LU</v>
      </c>
      <c r="F21" s="1077">
        <f t="shared" si="12"/>
        <v>44907</v>
      </c>
      <c r="G21" s="1079">
        <v>0</v>
      </c>
      <c r="H21" s="1080">
        <v>1</v>
      </c>
      <c r="I21" s="1080">
        <f t="shared" si="19"/>
        <v>0</v>
      </c>
      <c r="J21" s="1080">
        <f t="shared" si="21"/>
        <v>133.66</v>
      </c>
      <c r="K21" s="1102">
        <f t="shared" si="22"/>
        <v>133.66</v>
      </c>
      <c r="L21" s="1106">
        <f t="shared" ca="1" si="14"/>
        <v>0</v>
      </c>
      <c r="M21" s="1080">
        <f t="shared" ca="1" si="15"/>
        <v>0</v>
      </c>
      <c r="N21" s="1080">
        <f t="shared" ca="1" si="16"/>
        <v>0</v>
      </c>
      <c r="O21" s="1080">
        <f t="shared" ca="1" si="20"/>
        <v>0</v>
      </c>
      <c r="P21" s="1080">
        <f t="shared" ca="1" si="0"/>
        <v>0</v>
      </c>
      <c r="Q21" s="1081">
        <f t="shared" ca="1" si="1"/>
        <v>0</v>
      </c>
      <c r="R21" s="1081">
        <f t="shared" ca="1" si="9"/>
        <v>-51</v>
      </c>
      <c r="S21" s="221"/>
      <c r="T21" s="221">
        <v>79684.710000000006</v>
      </c>
    </row>
    <row r="22" spans="1:22" x14ac:dyDescent="0.35">
      <c r="A22" s="1076" t="s">
        <v>1051</v>
      </c>
      <c r="B22" s="1076" t="str">
        <f t="shared" si="17"/>
        <v>SÁ</v>
      </c>
      <c r="C22" s="1077">
        <v>45017</v>
      </c>
      <c r="D22" s="1078">
        <v>90</v>
      </c>
      <c r="E22" s="1076" t="str">
        <f t="shared" si="18"/>
        <v>VI</v>
      </c>
      <c r="F22" s="1077">
        <f t="shared" si="12"/>
        <v>45107</v>
      </c>
      <c r="G22" s="1079">
        <v>0</v>
      </c>
      <c r="H22" s="1080">
        <v>1</v>
      </c>
      <c r="I22" s="1080">
        <f t="shared" si="19"/>
        <v>0</v>
      </c>
      <c r="J22" s="1080">
        <f t="shared" si="21"/>
        <v>133.66</v>
      </c>
      <c r="K22" s="1102">
        <f t="shared" si="22"/>
        <v>133.66</v>
      </c>
      <c r="L22" s="1106">
        <f t="shared" ca="1" si="14"/>
        <v>0</v>
      </c>
      <c r="M22" s="1080">
        <f t="shared" ca="1" si="15"/>
        <v>0</v>
      </c>
      <c r="N22" s="1080">
        <f t="shared" ca="1" si="16"/>
        <v>0</v>
      </c>
      <c r="O22" s="1080">
        <f t="shared" ca="1" si="20"/>
        <v>0</v>
      </c>
      <c r="P22" s="1080">
        <f t="shared" ca="1" si="0"/>
        <v>0</v>
      </c>
      <c r="Q22" s="1081">
        <f t="shared" ca="1" si="1"/>
        <v>0</v>
      </c>
      <c r="R22" s="1081">
        <f t="shared" ca="1" si="9"/>
        <v>-252</v>
      </c>
      <c r="S22" s="221"/>
      <c r="T22" s="221">
        <f>+T21-T20</f>
        <v>4103.3999999999996</v>
      </c>
    </row>
    <row r="23" spans="1:22" x14ac:dyDescent="0.35">
      <c r="A23" s="1076" t="s">
        <v>1051</v>
      </c>
      <c r="B23" s="1076" t="str">
        <f t="shared" si="17"/>
        <v>LU</v>
      </c>
      <c r="C23" s="1077">
        <v>45047</v>
      </c>
      <c r="D23" s="1078">
        <v>90</v>
      </c>
      <c r="E23" s="1076" t="str">
        <f t="shared" si="18"/>
        <v>DO</v>
      </c>
      <c r="F23" s="1077">
        <f t="shared" si="12"/>
        <v>45137</v>
      </c>
      <c r="G23" s="1079">
        <v>0</v>
      </c>
      <c r="H23" s="1080">
        <v>1</v>
      </c>
      <c r="I23" s="1080">
        <f t="shared" si="19"/>
        <v>0</v>
      </c>
      <c r="J23" s="1080">
        <f t="shared" si="21"/>
        <v>133.66</v>
      </c>
      <c r="K23" s="1102">
        <f t="shared" si="22"/>
        <v>133.66</v>
      </c>
      <c r="L23" s="1106">
        <f t="shared" ca="1" si="14"/>
        <v>0</v>
      </c>
      <c r="M23" s="1080">
        <f t="shared" ca="1" si="15"/>
        <v>0</v>
      </c>
      <c r="N23" s="1080">
        <f t="shared" ca="1" si="16"/>
        <v>0</v>
      </c>
      <c r="O23" s="1080">
        <f t="shared" ca="1" si="20"/>
        <v>0</v>
      </c>
      <c r="P23" s="1080">
        <f t="shared" ca="1" si="0"/>
        <v>0</v>
      </c>
      <c r="Q23" s="1081">
        <f t="shared" ca="1" si="1"/>
        <v>0</v>
      </c>
      <c r="R23" s="1081">
        <f t="shared" ca="1" si="9"/>
        <v>-282</v>
      </c>
      <c r="S23" s="221"/>
    </row>
    <row r="24" spans="1:22" x14ac:dyDescent="0.35">
      <c r="A24" s="1076" t="s">
        <v>1051</v>
      </c>
      <c r="B24" s="1076" t="str">
        <f t="shared" si="17"/>
        <v>JU</v>
      </c>
      <c r="C24" s="1077">
        <v>45078</v>
      </c>
      <c r="D24" s="1078">
        <v>90</v>
      </c>
      <c r="E24" s="1076" t="str">
        <f t="shared" si="18"/>
        <v>MI</v>
      </c>
      <c r="F24" s="1077">
        <f t="shared" si="12"/>
        <v>45168</v>
      </c>
      <c r="G24" s="1079">
        <v>0</v>
      </c>
      <c r="H24" s="1080">
        <v>1</v>
      </c>
      <c r="I24" s="1080">
        <f t="shared" si="19"/>
        <v>0</v>
      </c>
      <c r="J24" s="1080">
        <f t="shared" si="21"/>
        <v>133.66</v>
      </c>
      <c r="K24" s="1102">
        <f t="shared" si="22"/>
        <v>133.66</v>
      </c>
      <c r="L24" s="1106">
        <f t="shared" ca="1" si="14"/>
        <v>0</v>
      </c>
      <c r="M24" s="1080">
        <f t="shared" ca="1" si="15"/>
        <v>0</v>
      </c>
      <c r="N24" s="1080">
        <f t="shared" ca="1" si="16"/>
        <v>0</v>
      </c>
      <c r="O24" s="1080">
        <f t="shared" ca="1" si="20"/>
        <v>0</v>
      </c>
      <c r="P24" s="1080">
        <f t="shared" ca="1" si="0"/>
        <v>0</v>
      </c>
      <c r="Q24" s="1081">
        <f t="shared" ca="1" si="1"/>
        <v>0</v>
      </c>
      <c r="R24" s="1081">
        <f t="shared" ca="1" si="9"/>
        <v>-313</v>
      </c>
      <c r="S24" s="221"/>
      <c r="T24" s="221">
        <f>3970+3970+5400</f>
        <v>13340</v>
      </c>
    </row>
    <row r="25" spans="1:22" x14ac:dyDescent="0.35">
      <c r="A25" s="1076" t="s">
        <v>1051</v>
      </c>
      <c r="B25" s="1076" t="str">
        <f t="shared" si="17"/>
        <v>SÁ</v>
      </c>
      <c r="C25" s="1077">
        <v>45108</v>
      </c>
      <c r="D25" s="1078">
        <v>90</v>
      </c>
      <c r="E25" s="1076" t="str">
        <f t="shared" si="18"/>
        <v>VI</v>
      </c>
      <c r="F25" s="1077">
        <f t="shared" si="12"/>
        <v>45198</v>
      </c>
      <c r="G25" s="1079">
        <v>0</v>
      </c>
      <c r="H25" s="1080">
        <v>1</v>
      </c>
      <c r="I25" s="1080">
        <f t="shared" si="19"/>
        <v>0</v>
      </c>
      <c r="J25" s="1080">
        <f t="shared" si="21"/>
        <v>133.66</v>
      </c>
      <c r="K25" s="1102">
        <f t="shared" si="22"/>
        <v>133.66</v>
      </c>
      <c r="L25" s="1106">
        <f t="shared" ca="1" si="14"/>
        <v>0</v>
      </c>
      <c r="M25" s="1080">
        <f t="shared" ca="1" si="15"/>
        <v>0</v>
      </c>
      <c r="N25" s="1080">
        <f t="shared" ca="1" si="16"/>
        <v>0</v>
      </c>
      <c r="O25" s="1080">
        <f t="shared" ca="1" si="20"/>
        <v>0</v>
      </c>
      <c r="P25" s="1080">
        <f t="shared" ca="1" si="0"/>
        <v>0</v>
      </c>
      <c r="Q25" s="1081">
        <f t="shared" ca="1" si="1"/>
        <v>0</v>
      </c>
      <c r="R25" s="1081">
        <f t="shared" ca="1" si="9"/>
        <v>-343</v>
      </c>
      <c r="S25" s="221"/>
    </row>
    <row r="26" spans="1:22" x14ac:dyDescent="0.35">
      <c r="A26" s="1076" t="s">
        <v>1051</v>
      </c>
      <c r="B26" s="1076" t="str">
        <f t="shared" si="17"/>
        <v>MA</v>
      </c>
      <c r="C26" s="1077">
        <v>45139</v>
      </c>
      <c r="D26" s="1078">
        <v>90</v>
      </c>
      <c r="E26" s="1076" t="str">
        <f t="shared" si="18"/>
        <v>LU</v>
      </c>
      <c r="F26" s="1077">
        <f t="shared" si="12"/>
        <v>45229</v>
      </c>
      <c r="G26" s="1079">
        <v>0</v>
      </c>
      <c r="H26" s="1080">
        <v>1</v>
      </c>
      <c r="I26" s="1080">
        <f t="shared" si="19"/>
        <v>0</v>
      </c>
      <c r="J26" s="1080">
        <f t="shared" si="21"/>
        <v>133.66</v>
      </c>
      <c r="K26" s="1102">
        <f t="shared" si="22"/>
        <v>133.66</v>
      </c>
      <c r="L26" s="1106">
        <f t="shared" ca="1" si="14"/>
        <v>0</v>
      </c>
      <c r="M26" s="1080">
        <f t="shared" ca="1" si="15"/>
        <v>0</v>
      </c>
      <c r="N26" s="1080">
        <f t="shared" ca="1" si="16"/>
        <v>0</v>
      </c>
      <c r="O26" s="1080">
        <f t="shared" ca="1" si="20"/>
        <v>0</v>
      </c>
      <c r="P26" s="1080">
        <f t="shared" ca="1" si="0"/>
        <v>0</v>
      </c>
      <c r="Q26" s="1081">
        <f t="shared" ca="1" si="1"/>
        <v>0</v>
      </c>
      <c r="R26" s="1081">
        <f t="shared" ca="1" si="9"/>
        <v>-374</v>
      </c>
      <c r="S26" s="221"/>
    </row>
    <row r="27" spans="1:22" x14ac:dyDescent="0.35">
      <c r="A27" s="1076" t="s">
        <v>1051</v>
      </c>
      <c r="B27" s="1076" t="str">
        <f t="shared" si="17"/>
        <v>VI</v>
      </c>
      <c r="C27" s="1077">
        <v>45170</v>
      </c>
      <c r="D27" s="1078">
        <v>90</v>
      </c>
      <c r="E27" s="1076" t="str">
        <f t="shared" si="18"/>
        <v>JU</v>
      </c>
      <c r="F27" s="1077">
        <f t="shared" si="12"/>
        <v>45260</v>
      </c>
      <c r="G27" s="1079">
        <v>0</v>
      </c>
      <c r="H27" s="1080">
        <v>1</v>
      </c>
      <c r="I27" s="1080">
        <f t="shared" si="19"/>
        <v>0</v>
      </c>
      <c r="J27" s="1080">
        <f t="shared" si="21"/>
        <v>133.66</v>
      </c>
      <c r="K27" s="1102">
        <f t="shared" si="22"/>
        <v>133.66</v>
      </c>
      <c r="L27" s="1106">
        <f t="shared" ca="1" si="14"/>
        <v>0</v>
      </c>
      <c r="M27" s="1080">
        <f t="shared" ca="1" si="15"/>
        <v>0</v>
      </c>
      <c r="N27" s="1080">
        <f t="shared" ca="1" si="16"/>
        <v>0</v>
      </c>
      <c r="O27" s="1080">
        <f t="shared" ca="1" si="20"/>
        <v>0</v>
      </c>
      <c r="P27" s="1080">
        <f t="shared" ca="1" si="0"/>
        <v>0</v>
      </c>
      <c r="Q27" s="1081">
        <f t="shared" ca="1" si="1"/>
        <v>0</v>
      </c>
      <c r="R27" s="1081">
        <f t="shared" ca="1" si="9"/>
        <v>-405</v>
      </c>
      <c r="S27" s="221"/>
    </row>
    <row r="28" spans="1:22" x14ac:dyDescent="0.35">
      <c r="A28" s="1076" t="s">
        <v>1051</v>
      </c>
      <c r="B28" s="1076" t="str">
        <f t="shared" si="17"/>
        <v>DO</v>
      </c>
      <c r="C28" s="1077">
        <v>45200</v>
      </c>
      <c r="D28" s="1078">
        <v>90</v>
      </c>
      <c r="E28" s="1076" t="str">
        <f t="shared" si="18"/>
        <v>SÁ</v>
      </c>
      <c r="F28" s="1077">
        <f t="shared" si="12"/>
        <v>45290</v>
      </c>
      <c r="G28" s="1079">
        <v>0</v>
      </c>
      <c r="H28" s="1080">
        <v>1</v>
      </c>
      <c r="I28" s="1080">
        <f t="shared" si="19"/>
        <v>0</v>
      </c>
      <c r="J28" s="1080">
        <f t="shared" si="21"/>
        <v>133.66</v>
      </c>
      <c r="K28" s="1102">
        <f t="shared" si="22"/>
        <v>133.66</v>
      </c>
      <c r="L28" s="1106">
        <f t="shared" ca="1" si="14"/>
        <v>0</v>
      </c>
      <c r="M28" s="1080">
        <f t="shared" ca="1" si="15"/>
        <v>0</v>
      </c>
      <c r="N28" s="1080">
        <f t="shared" ca="1" si="16"/>
        <v>0</v>
      </c>
      <c r="O28" s="1080">
        <f t="shared" ca="1" si="20"/>
        <v>0</v>
      </c>
      <c r="P28" s="1080">
        <f t="shared" ca="1" si="0"/>
        <v>0</v>
      </c>
      <c r="Q28" s="1081">
        <f t="shared" ca="1" si="1"/>
        <v>0</v>
      </c>
      <c r="R28" s="1081">
        <f t="shared" ca="1" si="9"/>
        <v>-435</v>
      </c>
      <c r="S28" s="221"/>
    </row>
    <row r="29" spans="1:22" x14ac:dyDescent="0.35">
      <c r="A29" s="1076" t="s">
        <v>1051</v>
      </c>
      <c r="B29" s="1076" t="str">
        <f t="shared" si="17"/>
        <v>MI</v>
      </c>
      <c r="C29" s="1077">
        <v>45231</v>
      </c>
      <c r="D29" s="1078">
        <v>90</v>
      </c>
      <c r="E29" s="1076" t="str">
        <f t="shared" si="18"/>
        <v>MA</v>
      </c>
      <c r="F29" s="1077">
        <f t="shared" si="12"/>
        <v>45321</v>
      </c>
      <c r="G29" s="1079">
        <v>0</v>
      </c>
      <c r="H29" s="1080">
        <v>1</v>
      </c>
      <c r="I29" s="1080">
        <f t="shared" si="19"/>
        <v>0</v>
      </c>
      <c r="J29" s="1080">
        <f t="shared" si="21"/>
        <v>133.66</v>
      </c>
      <c r="K29" s="1102">
        <f t="shared" si="22"/>
        <v>133.66</v>
      </c>
      <c r="L29" s="1106">
        <f t="shared" ca="1" si="14"/>
        <v>0</v>
      </c>
      <c r="M29" s="1080">
        <f t="shared" ca="1" si="15"/>
        <v>0</v>
      </c>
      <c r="N29" s="1080">
        <f t="shared" ca="1" si="16"/>
        <v>0</v>
      </c>
      <c r="O29" s="1080">
        <f t="shared" ca="1" si="20"/>
        <v>0</v>
      </c>
      <c r="P29" s="1080">
        <f t="shared" ca="1" si="0"/>
        <v>0</v>
      </c>
      <c r="Q29" s="1081">
        <f t="shared" ca="1" si="1"/>
        <v>0</v>
      </c>
      <c r="R29" s="1081">
        <f t="shared" ca="1" si="9"/>
        <v>-466</v>
      </c>
      <c r="S29" s="221"/>
    </row>
    <row r="30" spans="1:22" x14ac:dyDescent="0.35">
      <c r="A30" s="1076" t="s">
        <v>1051</v>
      </c>
      <c r="B30" s="1076" t="str">
        <f t="shared" si="17"/>
        <v>VI</v>
      </c>
      <c r="C30" s="1077">
        <v>45261</v>
      </c>
      <c r="D30" s="1078">
        <v>90</v>
      </c>
      <c r="E30" s="1076" t="str">
        <f t="shared" si="18"/>
        <v>JU</v>
      </c>
      <c r="F30" s="1077">
        <f t="shared" si="12"/>
        <v>45351</v>
      </c>
      <c r="G30" s="1079">
        <v>0</v>
      </c>
      <c r="H30" s="1080">
        <v>1</v>
      </c>
      <c r="I30" s="1080">
        <f t="shared" si="19"/>
        <v>0</v>
      </c>
      <c r="J30" s="1080">
        <f t="shared" si="21"/>
        <v>133.66</v>
      </c>
      <c r="K30" s="1102">
        <f t="shared" si="22"/>
        <v>133.66</v>
      </c>
      <c r="L30" s="1106">
        <f t="shared" ca="1" si="14"/>
        <v>0</v>
      </c>
      <c r="M30" s="1080">
        <f t="shared" ca="1" si="15"/>
        <v>0</v>
      </c>
      <c r="N30" s="1080">
        <f t="shared" ca="1" si="16"/>
        <v>0</v>
      </c>
      <c r="O30" s="1080">
        <f t="shared" ca="1" si="20"/>
        <v>0</v>
      </c>
      <c r="P30" s="1080">
        <f t="shared" ca="1" si="0"/>
        <v>0</v>
      </c>
      <c r="Q30" s="1081">
        <f t="shared" ca="1" si="1"/>
        <v>0</v>
      </c>
      <c r="R30" s="1081">
        <f t="shared" ca="1" si="9"/>
        <v>-496</v>
      </c>
      <c r="S30" s="22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7030A0"/>
  </sheetPr>
  <dimension ref="A1:U388"/>
  <sheetViews>
    <sheetView zoomScale="70" zoomScaleNormal="70" workbookViewId="0">
      <pane ySplit="1" topLeftCell="A321" activePane="bottomLeft" state="frozen"/>
      <selection activeCell="B1" sqref="B1"/>
      <selection pane="bottomLeft" activeCell="N339" sqref="N339"/>
    </sheetView>
  </sheetViews>
  <sheetFormatPr baseColWidth="10" defaultColWidth="10.7265625" defaultRowHeight="14.5" x14ac:dyDescent="0.35"/>
  <cols>
    <col min="1" max="1" width="10.7265625" style="40"/>
    <col min="2" max="2" width="12.36328125" customWidth="1"/>
    <col min="3" max="3" width="17" style="10" bestFit="1" customWidth="1"/>
    <col min="4" max="4" width="15.36328125" style="10" customWidth="1"/>
    <col min="5" max="5" width="17.54296875" style="148" customWidth="1"/>
    <col min="6" max="6" width="13.453125" style="592" bestFit="1" customWidth="1"/>
    <col min="7" max="7" width="12.54296875" style="763" customWidth="1"/>
    <col min="8" max="8" width="16.08984375" style="779" customWidth="1"/>
    <col min="9" max="9" width="9.36328125" style="770" customWidth="1"/>
    <col min="10" max="10" width="11.26953125" style="769" customWidth="1"/>
    <col min="11" max="11" width="14.81640625" style="769" customWidth="1"/>
    <col min="12" max="12" width="12.7265625" style="739" bestFit="1" customWidth="1"/>
    <col min="13" max="13" width="15.36328125" customWidth="1"/>
    <col min="14" max="14" width="19.26953125" customWidth="1"/>
    <col min="15" max="15" width="13.36328125" customWidth="1"/>
    <col min="16" max="16" width="18.26953125" customWidth="1"/>
    <col min="17" max="17" width="14.26953125" customWidth="1"/>
    <col min="18" max="18" width="18.26953125" customWidth="1"/>
    <col min="19" max="19" width="15.36328125" customWidth="1"/>
    <col min="20" max="20" width="17.26953125" customWidth="1"/>
    <col min="21" max="21" width="14.36328125" customWidth="1"/>
    <col min="22" max="22" width="10.81640625" customWidth="1"/>
    <col min="23" max="23" width="12" bestFit="1" customWidth="1"/>
  </cols>
  <sheetData>
    <row r="1" spans="1:17" s="1129" customFormat="1" x14ac:dyDescent="0.35">
      <c r="A1" s="1128" t="s">
        <v>7</v>
      </c>
      <c r="B1" s="1129" t="s">
        <v>741</v>
      </c>
      <c r="C1" s="1130" t="s">
        <v>761</v>
      </c>
      <c r="D1" s="1130" t="s">
        <v>1111</v>
      </c>
      <c r="E1" s="1139">
        <f>SUM(E2:E348)+F1</f>
        <v>3932.1</v>
      </c>
      <c r="F1" s="1140">
        <f>+Stock_PES/CtzM</f>
        <v>0</v>
      </c>
      <c r="G1" s="1131" t="s">
        <v>1112</v>
      </c>
      <c r="H1" s="1132">
        <f>SUM(H2:H329)</f>
        <v>1.1499999999999999</v>
      </c>
      <c r="I1" s="1133" t="s">
        <v>1096</v>
      </c>
      <c r="J1" s="1134" t="s">
        <v>1120</v>
      </c>
      <c r="K1" s="1134" t="s">
        <v>1121</v>
      </c>
      <c r="L1" s="1135" t="s">
        <v>1105</v>
      </c>
      <c r="M1" s="1136" t="s">
        <v>1097</v>
      </c>
      <c r="N1" s="1137"/>
      <c r="O1" s="1137"/>
      <c r="P1" s="1137"/>
      <c r="Q1" s="1137"/>
    </row>
    <row r="2" spans="1:17" s="640" customFormat="1" x14ac:dyDescent="0.35">
      <c r="A2" s="642">
        <v>43712</v>
      </c>
      <c r="B2" s="640" t="s">
        <v>742</v>
      </c>
      <c r="C2" s="650" t="s">
        <v>766</v>
      </c>
      <c r="D2" s="650"/>
      <c r="E2" s="651"/>
      <c r="F2" s="663" t="s">
        <v>126</v>
      </c>
      <c r="G2" s="780"/>
      <c r="H2" s="775">
        <v>100</v>
      </c>
      <c r="I2" s="1116"/>
      <c r="J2" s="1141"/>
      <c r="K2" s="1141"/>
      <c r="L2" s="1148"/>
    </row>
    <row r="3" spans="1:17" s="641" customFormat="1" x14ac:dyDescent="0.35">
      <c r="A3" s="643">
        <v>43712</v>
      </c>
      <c r="B3" s="641" t="s">
        <v>743</v>
      </c>
      <c r="C3" s="652" t="s">
        <v>766</v>
      </c>
      <c r="D3" s="652"/>
      <c r="E3" s="653"/>
      <c r="F3" s="664" t="s">
        <v>744</v>
      </c>
      <c r="G3" s="781"/>
      <c r="H3" s="776">
        <v>-99.75</v>
      </c>
      <c r="I3" s="1117"/>
      <c r="J3" s="911"/>
      <c r="K3" s="911"/>
      <c r="L3" s="1142"/>
    </row>
    <row r="4" spans="1:17" s="640" customFormat="1" x14ac:dyDescent="0.35">
      <c r="A4" s="642">
        <v>43712</v>
      </c>
      <c r="B4" s="640" t="s">
        <v>745</v>
      </c>
      <c r="C4" s="650" t="s">
        <v>1104</v>
      </c>
      <c r="D4" s="650">
        <v>57</v>
      </c>
      <c r="E4" s="651">
        <v>1.75</v>
      </c>
      <c r="F4" s="663"/>
      <c r="G4" s="780"/>
      <c r="H4" s="775"/>
      <c r="I4" s="1116"/>
      <c r="J4" s="1141"/>
      <c r="K4" s="1141"/>
      <c r="L4" s="1148"/>
    </row>
    <row r="5" spans="1:17" s="640" customFormat="1" x14ac:dyDescent="0.35">
      <c r="A5" s="642">
        <v>43719</v>
      </c>
      <c r="B5" s="640" t="s">
        <v>745</v>
      </c>
      <c r="C5" s="650" t="s">
        <v>126</v>
      </c>
      <c r="D5" s="650"/>
      <c r="E5" s="651">
        <v>213</v>
      </c>
      <c r="F5" s="663" t="s">
        <v>766</v>
      </c>
      <c r="G5" s="780"/>
      <c r="H5" s="775"/>
      <c r="I5" s="1116"/>
      <c r="J5" s="1141"/>
      <c r="K5" s="1141"/>
      <c r="L5" s="1148"/>
    </row>
    <row r="6" spans="1:17" s="641" customFormat="1" x14ac:dyDescent="0.35">
      <c r="A6" s="643">
        <v>43720</v>
      </c>
      <c r="B6" s="641" t="s">
        <v>747</v>
      </c>
      <c r="C6" s="654" t="s">
        <v>1104</v>
      </c>
      <c r="D6" s="655">
        <v>0.45400000000000001</v>
      </c>
      <c r="E6" s="653">
        <v>-214.74</v>
      </c>
      <c r="F6" s="664" t="s">
        <v>766</v>
      </c>
      <c r="G6" s="781"/>
      <c r="H6" s="776"/>
      <c r="I6" s="1117"/>
      <c r="J6" s="911"/>
      <c r="K6" s="911"/>
      <c r="L6" s="1142"/>
    </row>
    <row r="7" spans="1:17" s="641" customFormat="1" x14ac:dyDescent="0.35">
      <c r="A7" s="643">
        <v>43720</v>
      </c>
      <c r="B7" s="641" t="s">
        <v>746</v>
      </c>
      <c r="C7" s="652" t="s">
        <v>740</v>
      </c>
      <c r="D7" s="652"/>
      <c r="E7" s="653">
        <v>-5.44</v>
      </c>
      <c r="F7" s="664" t="s">
        <v>766</v>
      </c>
      <c r="G7" s="781"/>
      <c r="H7" s="776"/>
      <c r="I7" s="1117"/>
      <c r="J7" s="911"/>
      <c r="K7" s="911"/>
      <c r="L7" s="1142"/>
    </row>
    <row r="8" spans="1:17" s="640" customFormat="1" x14ac:dyDescent="0.35">
      <c r="A8" s="642">
        <v>43720</v>
      </c>
      <c r="B8" s="640" t="s">
        <v>748</v>
      </c>
      <c r="C8" s="650" t="s">
        <v>766</v>
      </c>
      <c r="D8" s="650"/>
      <c r="E8" s="651"/>
      <c r="F8" s="665">
        <v>473</v>
      </c>
      <c r="G8" s="780">
        <v>27.7</v>
      </c>
      <c r="H8" s="775">
        <f>+F8*G8</f>
        <v>13102.1</v>
      </c>
      <c r="I8" s="1116"/>
      <c r="J8" s="1141"/>
      <c r="K8" s="1141"/>
      <c r="L8" s="1148"/>
    </row>
    <row r="9" spans="1:17" s="641" customFormat="1" x14ac:dyDescent="0.35">
      <c r="A9" s="643">
        <v>43720</v>
      </c>
      <c r="B9" s="641" t="s">
        <v>743</v>
      </c>
      <c r="C9" s="652" t="s">
        <v>766</v>
      </c>
      <c r="D9" s="652"/>
      <c r="E9" s="653"/>
      <c r="F9" s="664" t="s">
        <v>740</v>
      </c>
      <c r="G9" s="781"/>
      <c r="H9" s="776">
        <v>-300.25</v>
      </c>
      <c r="I9" s="1117"/>
      <c r="J9" s="911"/>
      <c r="K9" s="911"/>
      <c r="L9" s="1142"/>
    </row>
    <row r="10" spans="1:17" s="641" customFormat="1" x14ac:dyDescent="0.35">
      <c r="A10" s="643">
        <v>43721</v>
      </c>
      <c r="B10" s="641" t="s">
        <v>743</v>
      </c>
      <c r="C10" s="652" t="s">
        <v>766</v>
      </c>
      <c r="D10" s="652"/>
      <c r="E10" s="653"/>
      <c r="F10" s="664" t="s">
        <v>744</v>
      </c>
      <c r="G10" s="781"/>
      <c r="H10" s="776">
        <v>-12801.76</v>
      </c>
      <c r="I10" s="1117"/>
      <c r="J10" s="911"/>
      <c r="K10" s="911"/>
      <c r="L10" s="1142"/>
    </row>
    <row r="11" spans="1:17" s="640" customFormat="1" x14ac:dyDescent="0.35">
      <c r="A11" s="642">
        <v>43721</v>
      </c>
      <c r="B11" s="640" t="s">
        <v>745</v>
      </c>
      <c r="C11" s="650" t="s">
        <v>1104</v>
      </c>
      <c r="D11" s="650">
        <v>58</v>
      </c>
      <c r="E11" s="651">
        <v>220.71</v>
      </c>
      <c r="F11" s="663" t="s">
        <v>766</v>
      </c>
      <c r="G11" s="780"/>
      <c r="H11" s="775"/>
      <c r="I11" s="1116"/>
      <c r="J11" s="1141"/>
      <c r="K11" s="1141"/>
      <c r="L11" s="1148"/>
    </row>
    <row r="12" spans="1:17" s="640" customFormat="1" x14ac:dyDescent="0.35">
      <c r="A12" s="642">
        <v>43721</v>
      </c>
      <c r="B12" s="640" t="s">
        <v>742</v>
      </c>
      <c r="C12" s="650" t="s">
        <v>766</v>
      </c>
      <c r="D12" s="650"/>
      <c r="E12" s="651"/>
      <c r="F12" s="663" t="s">
        <v>126</v>
      </c>
      <c r="G12" s="780"/>
      <c r="H12" s="775">
        <v>12350</v>
      </c>
      <c r="I12" s="1116"/>
      <c r="J12" s="1141"/>
      <c r="K12" s="1141"/>
      <c r="L12" s="1148"/>
    </row>
    <row r="13" spans="1:17" s="641" customFormat="1" x14ac:dyDescent="0.35">
      <c r="A13" s="643">
        <v>43721</v>
      </c>
      <c r="B13" s="641" t="s">
        <v>743</v>
      </c>
      <c r="C13" s="652" t="s">
        <v>766</v>
      </c>
      <c r="D13" s="652"/>
      <c r="E13" s="653"/>
      <c r="F13" s="664" t="s">
        <v>744</v>
      </c>
      <c r="G13" s="781"/>
      <c r="H13" s="776">
        <v>-12349.94</v>
      </c>
      <c r="I13" s="1117"/>
      <c r="J13" s="911"/>
      <c r="K13" s="911"/>
      <c r="L13" s="1142"/>
    </row>
    <row r="14" spans="1:17" s="640" customFormat="1" x14ac:dyDescent="0.35">
      <c r="A14" s="642">
        <v>43721</v>
      </c>
      <c r="B14" s="640" t="s">
        <v>745</v>
      </c>
      <c r="C14" s="650" t="s">
        <v>1104</v>
      </c>
      <c r="D14" s="650">
        <v>58</v>
      </c>
      <c r="E14" s="651">
        <v>212.93</v>
      </c>
      <c r="F14" s="663" t="s">
        <v>766</v>
      </c>
      <c r="G14" s="780"/>
      <c r="H14" s="775"/>
      <c r="I14" s="1116"/>
      <c r="J14" s="1141"/>
      <c r="K14" s="1141"/>
      <c r="L14" s="1148"/>
    </row>
    <row r="15" spans="1:17" s="641" customFormat="1" x14ac:dyDescent="0.35">
      <c r="A15" s="643">
        <v>43732</v>
      </c>
      <c r="B15" s="641" t="s">
        <v>747</v>
      </c>
      <c r="C15" s="654" t="s">
        <v>1104</v>
      </c>
      <c r="D15" s="678">
        <v>0.3906</v>
      </c>
      <c r="E15" s="653">
        <v>-428.1</v>
      </c>
      <c r="F15" s="664" t="s">
        <v>766</v>
      </c>
      <c r="G15" s="781"/>
      <c r="H15" s="776"/>
      <c r="I15" s="1117"/>
      <c r="J15" s="911"/>
      <c r="K15" s="911"/>
      <c r="L15" s="1142"/>
    </row>
    <row r="16" spans="1:17" s="641" customFormat="1" x14ac:dyDescent="0.35">
      <c r="A16" s="643">
        <v>43732</v>
      </c>
      <c r="B16" s="641" t="s">
        <v>746</v>
      </c>
      <c r="C16" s="653" t="s">
        <v>766</v>
      </c>
      <c r="D16" s="652"/>
      <c r="E16" s="653">
        <v>-5.47</v>
      </c>
      <c r="F16" s="664" t="s">
        <v>740</v>
      </c>
      <c r="G16" s="781"/>
      <c r="H16" s="776">
        <v>-0.36</v>
      </c>
      <c r="I16" s="1117"/>
      <c r="J16" s="911"/>
      <c r="K16" s="911"/>
      <c r="L16" s="1142"/>
    </row>
    <row r="17" spans="1:12" s="640" customFormat="1" x14ac:dyDescent="0.35">
      <c r="A17" s="642">
        <v>43746</v>
      </c>
      <c r="B17" s="640" t="s">
        <v>748</v>
      </c>
      <c r="C17" s="650" t="s">
        <v>766</v>
      </c>
      <c r="D17" s="650"/>
      <c r="E17" s="651"/>
      <c r="F17" s="665">
        <v>1096</v>
      </c>
      <c r="G17" s="780">
        <v>25.5</v>
      </c>
      <c r="H17" s="775">
        <f>+F17*G17</f>
        <v>27948</v>
      </c>
      <c r="I17" s="1116"/>
      <c r="J17" s="1141"/>
      <c r="K17" s="1141"/>
      <c r="L17" s="1148"/>
    </row>
    <row r="18" spans="1:12" s="641" customFormat="1" x14ac:dyDescent="0.35">
      <c r="A18" s="643">
        <v>43746</v>
      </c>
      <c r="B18" s="641" t="s">
        <v>743</v>
      </c>
      <c r="C18" s="652" t="s">
        <v>766</v>
      </c>
      <c r="D18" s="652"/>
      <c r="E18" s="653"/>
      <c r="F18" s="664" t="s">
        <v>740</v>
      </c>
      <c r="G18" s="781"/>
      <c r="H18" s="776">
        <v>-300.42</v>
      </c>
      <c r="I18" s="1117"/>
      <c r="J18" s="911"/>
      <c r="K18" s="911"/>
      <c r="L18" s="1142"/>
    </row>
    <row r="19" spans="1:12" s="641" customFormat="1" x14ac:dyDescent="0.35">
      <c r="A19" s="643">
        <v>43746</v>
      </c>
      <c r="B19" s="641" t="s">
        <v>743</v>
      </c>
      <c r="C19" s="652" t="s">
        <v>766</v>
      </c>
      <c r="D19" s="652"/>
      <c r="E19" s="653"/>
      <c r="F19" s="664" t="s">
        <v>744</v>
      </c>
      <c r="G19" s="781"/>
      <c r="H19" s="776">
        <v>-27647.1</v>
      </c>
      <c r="I19" s="1117"/>
      <c r="J19" s="911"/>
      <c r="K19" s="911"/>
      <c r="L19" s="1142"/>
    </row>
    <row r="20" spans="1:12" s="640" customFormat="1" x14ac:dyDescent="0.35">
      <c r="A20" s="642">
        <v>43746</v>
      </c>
      <c r="B20" s="640" t="s">
        <v>745</v>
      </c>
      <c r="C20" s="650" t="s">
        <v>1104</v>
      </c>
      <c r="D20" s="650">
        <v>58.5</v>
      </c>
      <c r="E20" s="651">
        <v>472.6</v>
      </c>
      <c r="F20" s="663" t="s">
        <v>766</v>
      </c>
      <c r="G20" s="780"/>
      <c r="H20" s="775"/>
      <c r="I20" s="1116"/>
      <c r="J20" s="1141"/>
      <c r="K20" s="1141"/>
      <c r="L20" s="1148"/>
    </row>
    <row r="21" spans="1:12" s="640" customFormat="1" x14ac:dyDescent="0.35">
      <c r="A21" s="642">
        <v>43749</v>
      </c>
      <c r="B21" s="640" t="s">
        <v>742</v>
      </c>
      <c r="C21" s="650" t="s">
        <v>766</v>
      </c>
      <c r="D21" s="650"/>
      <c r="E21" s="651"/>
      <c r="F21" s="663" t="s">
        <v>126</v>
      </c>
      <c r="G21" s="780"/>
      <c r="H21" s="775">
        <v>15900</v>
      </c>
      <c r="I21" s="1116"/>
      <c r="J21" s="1141"/>
      <c r="K21" s="1141"/>
      <c r="L21" s="1148"/>
    </row>
    <row r="22" spans="1:12" s="641" customFormat="1" x14ac:dyDescent="0.35">
      <c r="A22" s="643">
        <v>43749</v>
      </c>
      <c r="B22" s="641" t="s">
        <v>743</v>
      </c>
      <c r="C22" s="652" t="s">
        <v>766</v>
      </c>
      <c r="D22" s="652"/>
      <c r="E22" s="653"/>
      <c r="F22" s="664" t="s">
        <v>744</v>
      </c>
      <c r="G22" s="781"/>
      <c r="H22" s="776">
        <v>-15900.1</v>
      </c>
      <c r="I22" s="1117"/>
      <c r="J22" s="911"/>
      <c r="K22" s="911"/>
      <c r="L22" s="1142"/>
    </row>
    <row r="23" spans="1:12" s="640" customFormat="1" x14ac:dyDescent="0.35">
      <c r="A23" s="642">
        <v>43749</v>
      </c>
      <c r="B23" s="640" t="s">
        <v>745</v>
      </c>
      <c r="C23" s="650" t="s">
        <v>1104</v>
      </c>
      <c r="D23" s="650">
        <v>58.75</v>
      </c>
      <c r="E23" s="651">
        <v>270.64</v>
      </c>
      <c r="F23" s="663" t="s">
        <v>766</v>
      </c>
      <c r="G23" s="780"/>
      <c r="H23" s="775"/>
      <c r="I23" s="1116"/>
      <c r="J23" s="1141"/>
      <c r="K23" s="1141"/>
      <c r="L23" s="1148"/>
    </row>
    <row r="24" spans="1:12" s="640" customFormat="1" x14ac:dyDescent="0.35">
      <c r="A24" s="642">
        <v>43753</v>
      </c>
      <c r="B24" s="640" t="s">
        <v>742</v>
      </c>
      <c r="C24" s="650" t="s">
        <v>766</v>
      </c>
      <c r="D24" s="650"/>
      <c r="E24" s="651"/>
      <c r="F24" s="663" t="s">
        <v>126</v>
      </c>
      <c r="G24" s="780"/>
      <c r="H24" s="775">
        <v>3000</v>
      </c>
      <c r="I24" s="1116"/>
      <c r="J24" s="1141"/>
      <c r="K24" s="1141"/>
      <c r="L24" s="1148"/>
    </row>
    <row r="25" spans="1:12" s="641" customFormat="1" x14ac:dyDescent="0.35">
      <c r="A25" s="643">
        <v>43753</v>
      </c>
      <c r="B25" s="641" t="s">
        <v>743</v>
      </c>
      <c r="C25" s="652" t="s">
        <v>766</v>
      </c>
      <c r="D25" s="652"/>
      <c r="E25" s="653"/>
      <c r="F25" s="664" t="s">
        <v>744</v>
      </c>
      <c r="G25" s="781"/>
      <c r="H25" s="776">
        <v>-3000.15</v>
      </c>
      <c r="I25" s="1117"/>
      <c r="J25" s="911"/>
      <c r="K25" s="911"/>
      <c r="L25" s="1142"/>
    </row>
    <row r="26" spans="1:12" s="640" customFormat="1" x14ac:dyDescent="0.35">
      <c r="A26" s="642">
        <v>43753</v>
      </c>
      <c r="B26" s="640" t="s">
        <v>745</v>
      </c>
      <c r="C26" s="650" t="s">
        <v>1104</v>
      </c>
      <c r="D26" s="650">
        <v>59</v>
      </c>
      <c r="E26" s="651">
        <v>50.85</v>
      </c>
      <c r="F26" s="663" t="s">
        <v>766</v>
      </c>
      <c r="G26" s="780"/>
      <c r="H26" s="775"/>
      <c r="I26" s="1116"/>
      <c r="J26" s="1141"/>
      <c r="K26" s="1141"/>
      <c r="L26" s="1148"/>
    </row>
    <row r="27" spans="1:12" s="640" customFormat="1" x14ac:dyDescent="0.35">
      <c r="A27" s="642">
        <v>43753</v>
      </c>
      <c r="B27" s="640" t="s">
        <v>742</v>
      </c>
      <c r="C27" s="650" t="s">
        <v>766</v>
      </c>
      <c r="D27" s="650"/>
      <c r="E27" s="651"/>
      <c r="F27" s="663" t="s">
        <v>126</v>
      </c>
      <c r="G27" s="780"/>
      <c r="H27" s="775">
        <v>4000</v>
      </c>
      <c r="I27" s="1116"/>
      <c r="J27" s="1141"/>
      <c r="K27" s="1141"/>
      <c r="L27" s="1148"/>
    </row>
    <row r="28" spans="1:12" s="641" customFormat="1" x14ac:dyDescent="0.35">
      <c r="A28" s="643">
        <v>43754</v>
      </c>
      <c r="B28" s="641" t="s">
        <v>743</v>
      </c>
      <c r="C28" s="652" t="s">
        <v>766</v>
      </c>
      <c r="D28" s="652"/>
      <c r="E28" s="653"/>
      <c r="F28" s="664" t="s">
        <v>744</v>
      </c>
      <c r="G28" s="781"/>
      <c r="H28" s="776">
        <v>-3999.89</v>
      </c>
      <c r="I28" s="1117"/>
      <c r="J28" s="911"/>
      <c r="K28" s="911"/>
      <c r="L28" s="1142"/>
    </row>
    <row r="29" spans="1:12" s="640" customFormat="1" x14ac:dyDescent="0.35">
      <c r="A29" s="642">
        <v>43754</v>
      </c>
      <c r="B29" s="640" t="s">
        <v>745</v>
      </c>
      <c r="C29" s="650" t="s">
        <v>1104</v>
      </c>
      <c r="D29" s="650">
        <v>59.1</v>
      </c>
      <c r="E29" s="651">
        <v>67.680000000000007</v>
      </c>
      <c r="F29" s="663" t="s">
        <v>766</v>
      </c>
      <c r="G29" s="780"/>
      <c r="H29" s="775"/>
      <c r="I29" s="1116"/>
      <c r="J29" s="1141"/>
      <c r="K29" s="1141"/>
      <c r="L29" s="1148"/>
    </row>
    <row r="30" spans="1:12" s="641" customFormat="1" x14ac:dyDescent="0.35">
      <c r="A30" s="643">
        <v>43760</v>
      </c>
      <c r="B30" s="641" t="s">
        <v>749</v>
      </c>
      <c r="C30" s="654" t="s">
        <v>1104</v>
      </c>
      <c r="D30" s="678">
        <v>0.42899999999999999</v>
      </c>
      <c r="E30" s="653">
        <v>-269.41000000000003</v>
      </c>
      <c r="F30" s="664" t="s">
        <v>766</v>
      </c>
      <c r="G30" s="781"/>
      <c r="H30" s="776"/>
      <c r="I30" s="1117"/>
      <c r="J30" s="911"/>
      <c r="K30" s="911"/>
      <c r="L30" s="1142"/>
    </row>
    <row r="31" spans="1:12" s="641" customFormat="1" x14ac:dyDescent="0.35">
      <c r="A31" s="643">
        <v>43760</v>
      </c>
      <c r="B31" s="641" t="s">
        <v>749</v>
      </c>
      <c r="C31" s="654" t="s">
        <v>1104</v>
      </c>
      <c r="D31" s="678">
        <v>0.43</v>
      </c>
      <c r="E31" s="653">
        <v>-462.68</v>
      </c>
      <c r="F31" s="664" t="s">
        <v>766</v>
      </c>
      <c r="G31" s="781"/>
      <c r="H31" s="776"/>
      <c r="I31" s="1117"/>
      <c r="J31" s="911"/>
      <c r="K31" s="911"/>
      <c r="L31" s="1142"/>
    </row>
    <row r="32" spans="1:12" s="641" customFormat="1" x14ac:dyDescent="0.35">
      <c r="A32" s="643">
        <v>43760</v>
      </c>
      <c r="B32" s="641" t="s">
        <v>746</v>
      </c>
      <c r="C32" s="652" t="s">
        <v>740</v>
      </c>
      <c r="D32" s="652"/>
      <c r="E32" s="653">
        <v>-7.3</v>
      </c>
      <c r="F32" s="664" t="s">
        <v>766</v>
      </c>
      <c r="G32" s="781"/>
      <c r="H32" s="776"/>
      <c r="I32" s="1117"/>
      <c r="J32" s="911"/>
      <c r="K32" s="911"/>
      <c r="L32" s="1142"/>
    </row>
    <row r="33" spans="1:13" s="640" customFormat="1" x14ac:dyDescent="0.35">
      <c r="A33" s="642">
        <v>43762</v>
      </c>
      <c r="B33" s="640" t="s">
        <v>742</v>
      </c>
      <c r="C33" s="650" t="s">
        <v>766</v>
      </c>
      <c r="D33" s="650"/>
      <c r="E33" s="651"/>
      <c r="F33" s="663" t="s">
        <v>126</v>
      </c>
      <c r="G33" s="780"/>
      <c r="H33" s="775">
        <v>65000</v>
      </c>
      <c r="I33" s="1116"/>
      <c r="J33" s="1141"/>
      <c r="K33" s="1141"/>
      <c r="L33" s="1148"/>
    </row>
    <row r="34" spans="1:13" s="641" customFormat="1" x14ac:dyDescent="0.35">
      <c r="A34" s="643">
        <v>43762</v>
      </c>
      <c r="B34" s="641" t="s">
        <v>743</v>
      </c>
      <c r="C34" s="652" t="s">
        <v>766</v>
      </c>
      <c r="D34" s="652"/>
      <c r="E34" s="653"/>
      <c r="F34" s="664" t="s">
        <v>744</v>
      </c>
      <c r="G34" s="781"/>
      <c r="H34" s="776">
        <v>-64999.72</v>
      </c>
      <c r="I34" s="1118"/>
      <c r="J34" s="1142"/>
      <c r="K34" s="1142"/>
      <c r="L34" s="911"/>
      <c r="M34" s="652"/>
    </row>
    <row r="35" spans="1:13" s="640" customFormat="1" x14ac:dyDescent="0.35">
      <c r="A35" s="642">
        <v>43762</v>
      </c>
      <c r="B35" s="640" t="s">
        <v>745</v>
      </c>
      <c r="C35" s="650" t="s">
        <v>1104</v>
      </c>
      <c r="D35" s="650">
        <v>61.25</v>
      </c>
      <c r="E35" s="651">
        <v>1061.22</v>
      </c>
      <c r="F35" s="663" t="s">
        <v>766</v>
      </c>
      <c r="G35" s="780"/>
      <c r="H35" s="775"/>
      <c r="I35" s="1116"/>
      <c r="J35" s="1141"/>
      <c r="K35" s="1141"/>
      <c r="L35" s="1148"/>
    </row>
    <row r="36" spans="1:13" s="641" customFormat="1" x14ac:dyDescent="0.35">
      <c r="A36" s="643">
        <v>43773</v>
      </c>
      <c r="B36" s="641" t="s">
        <v>747</v>
      </c>
      <c r="C36" s="654" t="s">
        <v>1104</v>
      </c>
      <c r="D36" s="678">
        <v>0.35299999999999998</v>
      </c>
      <c r="E36" s="653">
        <v>-1164.9000000000001</v>
      </c>
      <c r="F36" s="664" t="s">
        <v>766</v>
      </c>
      <c r="G36" s="781"/>
      <c r="H36" s="776"/>
      <c r="I36" s="1117"/>
      <c r="J36" s="911"/>
      <c r="K36" s="911"/>
      <c r="L36" s="1142"/>
    </row>
    <row r="37" spans="1:13" s="641" customFormat="1" x14ac:dyDescent="0.35">
      <c r="A37" s="643">
        <v>43773</v>
      </c>
      <c r="B37" s="641" t="s">
        <v>746</v>
      </c>
      <c r="C37" s="652" t="s">
        <v>740</v>
      </c>
      <c r="D37" s="652"/>
      <c r="E37" s="653">
        <v>-11.65</v>
      </c>
      <c r="F37" s="664" t="s">
        <v>766</v>
      </c>
      <c r="G37" s="781"/>
      <c r="H37" s="776">
        <v>-1.04</v>
      </c>
      <c r="I37" s="1117"/>
      <c r="J37" s="911"/>
      <c r="K37" s="911"/>
      <c r="L37" s="1142"/>
    </row>
    <row r="38" spans="1:13" s="640" customFormat="1" x14ac:dyDescent="0.35">
      <c r="A38" s="642">
        <v>43784</v>
      </c>
      <c r="B38" s="640" t="s">
        <v>752</v>
      </c>
      <c r="C38" s="650" t="s">
        <v>1104</v>
      </c>
      <c r="D38" s="681">
        <v>0.34870000000000001</v>
      </c>
      <c r="E38" s="651">
        <v>1150.71</v>
      </c>
      <c r="F38" s="663" t="s">
        <v>766</v>
      </c>
      <c r="G38" s="780"/>
      <c r="H38" s="775"/>
      <c r="I38" s="1116"/>
      <c r="J38" s="1141"/>
      <c r="K38" s="1141"/>
      <c r="L38" s="1148"/>
    </row>
    <row r="39" spans="1:13" s="641" customFormat="1" x14ac:dyDescent="0.35">
      <c r="A39" s="643">
        <v>43784</v>
      </c>
      <c r="B39" s="641" t="s">
        <v>746</v>
      </c>
      <c r="C39" s="652" t="s">
        <v>753</v>
      </c>
      <c r="D39" s="652"/>
      <c r="E39" s="653">
        <f>-11.51+0.24</f>
        <v>-11.27</v>
      </c>
      <c r="F39" s="664" t="s">
        <v>766</v>
      </c>
      <c r="G39" s="781"/>
      <c r="H39" s="776">
        <v>-0.8</v>
      </c>
      <c r="I39" s="1117"/>
      <c r="J39" s="911"/>
      <c r="K39" s="911"/>
      <c r="L39" s="1142"/>
    </row>
    <row r="40" spans="1:13" s="641" customFormat="1" x14ac:dyDescent="0.35">
      <c r="A40" s="643">
        <v>43789</v>
      </c>
      <c r="B40" s="641" t="s">
        <v>749</v>
      </c>
      <c r="C40" s="654" t="s">
        <v>1104</v>
      </c>
      <c r="D40" s="678">
        <v>0.44</v>
      </c>
      <c r="E40" s="653">
        <v>-1129.48</v>
      </c>
      <c r="F40" s="664" t="s">
        <v>766</v>
      </c>
      <c r="G40" s="781"/>
      <c r="H40" s="776"/>
      <c r="I40" s="1117"/>
      <c r="J40" s="911"/>
      <c r="K40" s="911"/>
      <c r="L40" s="1142"/>
    </row>
    <row r="41" spans="1:13" s="641" customFormat="1" x14ac:dyDescent="0.35">
      <c r="A41" s="643">
        <v>43789</v>
      </c>
      <c r="B41" s="641" t="s">
        <v>746</v>
      </c>
      <c r="C41" s="654" t="s">
        <v>740</v>
      </c>
      <c r="D41" s="678"/>
      <c r="E41" s="653">
        <v>-11.29</v>
      </c>
      <c r="F41" s="664" t="s">
        <v>766</v>
      </c>
      <c r="G41" s="781"/>
      <c r="H41" s="776">
        <v>-1.02</v>
      </c>
      <c r="I41" s="1117"/>
      <c r="J41" s="911"/>
      <c r="K41" s="911"/>
      <c r="L41" s="1142"/>
    </row>
    <row r="42" spans="1:13" s="640" customFormat="1" x14ac:dyDescent="0.35">
      <c r="A42" s="642">
        <v>43791</v>
      </c>
      <c r="B42" s="640" t="s">
        <v>757</v>
      </c>
      <c r="C42" s="650" t="s">
        <v>766</v>
      </c>
      <c r="D42" s="650"/>
      <c r="E42" s="651"/>
      <c r="F42" s="682">
        <v>328</v>
      </c>
      <c r="G42" s="780">
        <v>33.72</v>
      </c>
      <c r="H42" s="775">
        <f>+G42*F42</f>
        <v>11060.16</v>
      </c>
      <c r="I42" s="1116"/>
      <c r="J42" s="1141"/>
      <c r="K42" s="1141"/>
      <c r="L42" s="1148"/>
    </row>
    <row r="43" spans="1:13" s="641" customFormat="1" x14ac:dyDescent="0.35">
      <c r="A43" s="643">
        <v>43791</v>
      </c>
      <c r="B43" s="641" t="s">
        <v>743</v>
      </c>
      <c r="C43" s="652" t="s">
        <v>766</v>
      </c>
      <c r="D43" s="652"/>
      <c r="E43" s="653"/>
      <c r="F43" s="664" t="s">
        <v>740</v>
      </c>
      <c r="G43" s="781"/>
      <c r="H43" s="776">
        <v>-110.77</v>
      </c>
      <c r="I43" s="1117"/>
      <c r="J43" s="911"/>
      <c r="K43" s="911"/>
      <c r="L43" s="1142"/>
    </row>
    <row r="44" spans="1:13" s="641" customFormat="1" x14ac:dyDescent="0.35">
      <c r="A44" s="643">
        <v>43791</v>
      </c>
      <c r="B44" s="641" t="s">
        <v>743</v>
      </c>
      <c r="C44" s="652" t="s">
        <v>766</v>
      </c>
      <c r="D44" s="652"/>
      <c r="E44" s="653"/>
      <c r="F44" s="664" t="s">
        <v>751</v>
      </c>
      <c r="G44" s="781"/>
      <c r="H44" s="776">
        <v>-10948</v>
      </c>
      <c r="I44" s="1117"/>
      <c r="J44" s="911"/>
      <c r="K44" s="911"/>
      <c r="L44" s="1142"/>
    </row>
    <row r="45" spans="1:13" s="640" customFormat="1" x14ac:dyDescent="0.35">
      <c r="A45" s="642">
        <v>43901</v>
      </c>
      <c r="B45" s="640" t="s">
        <v>777</v>
      </c>
      <c r="C45" s="650" t="s">
        <v>1104</v>
      </c>
      <c r="D45" s="650">
        <v>0.375</v>
      </c>
      <c r="E45" s="651">
        <v>1478.62</v>
      </c>
      <c r="F45" s="663" t="s">
        <v>766</v>
      </c>
      <c r="G45" s="780"/>
      <c r="H45" s="775"/>
      <c r="I45" s="1116"/>
      <c r="J45" s="1141"/>
      <c r="K45" s="1141"/>
      <c r="L45" s="1148"/>
    </row>
    <row r="46" spans="1:13" s="641" customFormat="1" x14ac:dyDescent="0.35">
      <c r="A46" s="643">
        <v>43901</v>
      </c>
      <c r="B46" s="641" t="s">
        <v>746</v>
      </c>
      <c r="C46" s="652" t="s">
        <v>740</v>
      </c>
      <c r="D46" s="652"/>
      <c r="E46" s="653">
        <v>-1.145</v>
      </c>
      <c r="F46" s="664" t="s">
        <v>740</v>
      </c>
      <c r="G46" s="781"/>
      <c r="H46" s="776">
        <v>-1.48</v>
      </c>
      <c r="I46" s="1117"/>
      <c r="J46" s="911"/>
      <c r="K46" s="911"/>
      <c r="L46" s="1142"/>
    </row>
    <row r="47" spans="1:13" s="640" customFormat="1" x14ac:dyDescent="0.35">
      <c r="A47" s="642">
        <v>43917</v>
      </c>
      <c r="B47" s="640" t="s">
        <v>745</v>
      </c>
      <c r="C47" s="650" t="s">
        <v>126</v>
      </c>
      <c r="D47" s="650"/>
      <c r="E47" s="681">
        <v>0.12</v>
      </c>
      <c r="F47" s="663" t="s">
        <v>766</v>
      </c>
      <c r="G47" s="780"/>
      <c r="H47" s="775"/>
      <c r="I47" s="1116"/>
      <c r="J47" s="1141"/>
      <c r="K47" s="1141"/>
      <c r="L47" s="1148"/>
    </row>
    <row r="48" spans="1:13" s="640" customFormat="1" x14ac:dyDescent="0.35">
      <c r="A48" s="642">
        <v>43888</v>
      </c>
      <c r="B48" s="640" t="s">
        <v>742</v>
      </c>
      <c r="C48" s="650" t="s">
        <v>766</v>
      </c>
      <c r="D48" s="650"/>
      <c r="E48" s="651"/>
      <c r="F48" s="663" t="s">
        <v>126</v>
      </c>
      <c r="G48" s="780"/>
      <c r="H48" s="775">
        <v>2</v>
      </c>
      <c r="I48" s="1116"/>
      <c r="J48" s="1141"/>
      <c r="K48" s="1141"/>
      <c r="L48" s="1148"/>
    </row>
    <row r="49" spans="1:12" s="641" customFormat="1" x14ac:dyDescent="0.35">
      <c r="A49" s="643">
        <v>43922</v>
      </c>
      <c r="B49" s="641" t="s">
        <v>749</v>
      </c>
      <c r="C49" s="652" t="s">
        <v>1104</v>
      </c>
      <c r="D49" s="652">
        <v>0.3</v>
      </c>
      <c r="E49" s="678">
        <v>-1472.7</v>
      </c>
      <c r="F49" s="664" t="s">
        <v>766</v>
      </c>
      <c r="G49" s="781"/>
      <c r="H49" s="776"/>
      <c r="I49" s="1117"/>
      <c r="J49" s="911"/>
      <c r="K49" s="911"/>
      <c r="L49" s="1142"/>
    </row>
    <row r="50" spans="1:12" s="641" customFormat="1" x14ac:dyDescent="0.35">
      <c r="A50" s="643">
        <v>43922</v>
      </c>
      <c r="B50" s="641" t="s">
        <v>746</v>
      </c>
      <c r="C50" s="652" t="s">
        <v>740</v>
      </c>
      <c r="D50" s="652"/>
      <c r="E50" s="678">
        <v>-4.93</v>
      </c>
      <c r="F50" s="664" t="s">
        <v>740</v>
      </c>
      <c r="G50" s="781"/>
      <c r="H50" s="776">
        <f>-0.66-0.85</f>
        <v>-1.51</v>
      </c>
      <c r="I50" s="1117"/>
      <c r="J50" s="911"/>
      <c r="K50" s="911"/>
      <c r="L50" s="1142"/>
    </row>
    <row r="51" spans="1:12" s="640" customFormat="1" x14ac:dyDescent="0.35">
      <c r="A51" s="642">
        <v>43935</v>
      </c>
      <c r="B51" s="640" t="s">
        <v>794</v>
      </c>
      <c r="C51" s="650" t="s">
        <v>766</v>
      </c>
      <c r="D51" s="650"/>
      <c r="E51" s="681"/>
      <c r="F51" s="663">
        <v>4909</v>
      </c>
      <c r="G51" s="780">
        <v>31.1</v>
      </c>
      <c r="H51" s="775">
        <f>+F51*G51</f>
        <v>152669.9</v>
      </c>
      <c r="I51" s="1116"/>
      <c r="J51" s="1141"/>
      <c r="K51" s="1141"/>
      <c r="L51" s="1148"/>
    </row>
    <row r="52" spans="1:12" s="641" customFormat="1" x14ac:dyDescent="0.35">
      <c r="A52" s="643">
        <v>43935</v>
      </c>
      <c r="B52" s="641" t="s">
        <v>743</v>
      </c>
      <c r="C52" s="652" t="s">
        <v>766</v>
      </c>
      <c r="D52" s="652"/>
      <c r="E52" s="678"/>
      <c r="F52" s="664" t="s">
        <v>740</v>
      </c>
      <c r="G52" s="781"/>
      <c r="H52" s="776">
        <v>-800.1</v>
      </c>
      <c r="I52" s="1117"/>
      <c r="J52" s="911"/>
      <c r="K52" s="911"/>
      <c r="L52" s="1142"/>
    </row>
    <row r="53" spans="1:12" s="641" customFormat="1" x14ac:dyDescent="0.35">
      <c r="A53" s="643">
        <v>43937</v>
      </c>
      <c r="B53" s="641" t="s">
        <v>743</v>
      </c>
      <c r="C53" s="701" t="s">
        <v>766</v>
      </c>
      <c r="D53" s="652"/>
      <c r="E53" s="678"/>
      <c r="F53" s="664" t="s">
        <v>766</v>
      </c>
      <c r="G53" s="781"/>
      <c r="H53" s="776">
        <v>-151868.95000000001</v>
      </c>
      <c r="I53" s="1117"/>
      <c r="J53" s="911"/>
      <c r="K53" s="911"/>
      <c r="L53" s="1142"/>
    </row>
    <row r="54" spans="1:12" s="640" customFormat="1" x14ac:dyDescent="0.35">
      <c r="A54" s="642">
        <v>43964</v>
      </c>
      <c r="B54" s="640" t="s">
        <v>745</v>
      </c>
      <c r="C54" s="650" t="s">
        <v>126</v>
      </c>
      <c r="D54" s="650"/>
      <c r="E54" s="681">
        <v>200</v>
      </c>
      <c r="F54" s="663" t="s">
        <v>766</v>
      </c>
      <c r="G54" s="780"/>
      <c r="H54" s="775"/>
      <c r="I54" s="1116"/>
      <c r="J54" s="1141"/>
      <c r="K54" s="1141"/>
      <c r="L54" s="1148"/>
    </row>
    <row r="55" spans="1:12" s="641" customFormat="1" x14ac:dyDescent="0.35">
      <c r="A55" s="643">
        <v>43977</v>
      </c>
      <c r="B55" s="641" t="s">
        <v>746</v>
      </c>
      <c r="C55" s="652" t="s">
        <v>751</v>
      </c>
      <c r="D55" s="652"/>
      <c r="E55" s="678">
        <v>-200.33</v>
      </c>
      <c r="F55" s="664" t="s">
        <v>766</v>
      </c>
      <c r="G55" s="781"/>
      <c r="H55" s="776"/>
      <c r="I55" s="1117"/>
      <c r="J55" s="911"/>
      <c r="K55" s="911"/>
      <c r="L55" s="1142"/>
    </row>
    <row r="56" spans="1:12" s="640" customFormat="1" x14ac:dyDescent="0.35">
      <c r="A56" s="642">
        <v>44039</v>
      </c>
      <c r="B56" s="640" t="s">
        <v>742</v>
      </c>
      <c r="C56" s="650" t="s">
        <v>820</v>
      </c>
      <c r="D56" s="650"/>
      <c r="E56" s="681"/>
      <c r="F56" s="663" t="s">
        <v>126</v>
      </c>
      <c r="G56" s="780"/>
      <c r="H56" s="775">
        <v>35000</v>
      </c>
      <c r="I56" s="1116"/>
      <c r="J56" s="1141"/>
      <c r="K56" s="1141"/>
      <c r="L56" s="1148"/>
    </row>
    <row r="57" spans="1:12" s="641" customFormat="1" x14ac:dyDescent="0.35">
      <c r="A57" s="643">
        <v>44039</v>
      </c>
      <c r="B57" s="641" t="s">
        <v>743</v>
      </c>
      <c r="C57" s="652" t="s">
        <v>820</v>
      </c>
      <c r="D57" s="652"/>
      <c r="E57" s="678"/>
      <c r="F57" s="664" t="s">
        <v>751</v>
      </c>
      <c r="G57" s="781"/>
      <c r="H57" s="776">
        <v>-3000</v>
      </c>
      <c r="I57" s="1117"/>
      <c r="J57" s="911"/>
      <c r="K57" s="911"/>
      <c r="L57" s="1142"/>
    </row>
    <row r="58" spans="1:12" s="641" customFormat="1" x14ac:dyDescent="0.35">
      <c r="A58" s="643">
        <v>44039</v>
      </c>
      <c r="B58" s="641" t="s">
        <v>743</v>
      </c>
      <c r="C58" s="652" t="s">
        <v>834</v>
      </c>
      <c r="D58" s="652"/>
      <c r="E58" s="678"/>
      <c r="F58" s="664">
        <v>9</v>
      </c>
      <c r="G58" s="781">
        <v>3512</v>
      </c>
      <c r="H58" s="776">
        <f>-F58*G58</f>
        <v>-31608</v>
      </c>
      <c r="I58" s="1117"/>
      <c r="J58" s="911"/>
      <c r="K58" s="911"/>
      <c r="L58" s="1142"/>
    </row>
    <row r="59" spans="1:12" s="641" customFormat="1" x14ac:dyDescent="0.35">
      <c r="A59" s="643">
        <v>44039</v>
      </c>
      <c r="B59" s="641" t="s">
        <v>743</v>
      </c>
      <c r="C59" s="652" t="s">
        <v>820</v>
      </c>
      <c r="D59" s="652"/>
      <c r="E59" s="678"/>
      <c r="F59" s="664" t="s">
        <v>740</v>
      </c>
      <c r="G59" s="781">
        <f>+(H58*0.0058)+(H58*0.0058)*0.21</f>
        <v>-221.82</v>
      </c>
      <c r="H59" s="776">
        <v>-221.83</v>
      </c>
      <c r="I59" s="1117"/>
      <c r="J59" s="911"/>
      <c r="K59" s="911"/>
      <c r="L59" s="1142"/>
    </row>
    <row r="60" spans="1:12" s="640" customFormat="1" x14ac:dyDescent="0.35">
      <c r="A60" s="642">
        <v>44041</v>
      </c>
      <c r="B60" s="640" t="s">
        <v>742</v>
      </c>
      <c r="C60" s="650" t="s">
        <v>820</v>
      </c>
      <c r="D60" s="650"/>
      <c r="E60" s="681"/>
      <c r="F60" s="663" t="s">
        <v>126</v>
      </c>
      <c r="G60" s="780"/>
      <c r="H60" s="775">
        <v>3300</v>
      </c>
      <c r="I60" s="1116"/>
      <c r="J60" s="1141"/>
      <c r="K60" s="1141"/>
      <c r="L60" s="1148"/>
    </row>
    <row r="61" spans="1:12" s="641" customFormat="1" x14ac:dyDescent="0.35">
      <c r="A61" s="643">
        <v>44041</v>
      </c>
      <c r="B61" s="641" t="s">
        <v>743</v>
      </c>
      <c r="C61" s="652" t="s">
        <v>834</v>
      </c>
      <c r="D61" s="652"/>
      <c r="E61" s="678"/>
      <c r="F61" s="664">
        <v>1</v>
      </c>
      <c r="G61" s="781">
        <v>3400</v>
      </c>
      <c r="H61" s="776">
        <f>-F61*G61</f>
        <v>-3400</v>
      </c>
      <c r="I61" s="1117"/>
      <c r="J61" s="911"/>
      <c r="K61" s="911"/>
      <c r="L61" s="1142"/>
    </row>
    <row r="62" spans="1:12" s="641" customFormat="1" x14ac:dyDescent="0.35">
      <c r="A62" s="643">
        <v>44041</v>
      </c>
      <c r="B62" s="641" t="s">
        <v>743</v>
      </c>
      <c r="C62" s="652" t="s">
        <v>820</v>
      </c>
      <c r="D62" s="652"/>
      <c r="E62" s="678"/>
      <c r="F62" s="664" t="s">
        <v>740</v>
      </c>
      <c r="G62" s="781">
        <f>+(H61*0.0058)+(H61*0.0058)*0.21</f>
        <v>-23.86</v>
      </c>
      <c r="H62" s="776">
        <v>-23.86</v>
      </c>
      <c r="I62" s="1117"/>
      <c r="J62" s="911"/>
      <c r="K62" s="911"/>
      <c r="L62" s="1142"/>
    </row>
    <row r="63" spans="1:12" s="640" customFormat="1" x14ac:dyDescent="0.35">
      <c r="A63" s="642">
        <v>44048</v>
      </c>
      <c r="B63" s="640" t="s">
        <v>742</v>
      </c>
      <c r="C63" s="650" t="s">
        <v>820</v>
      </c>
      <c r="D63" s="650"/>
      <c r="E63" s="681"/>
      <c r="F63" s="663" t="s">
        <v>126</v>
      </c>
      <c r="G63" s="780"/>
      <c r="H63" s="775">
        <v>13300</v>
      </c>
      <c r="I63" s="1116"/>
      <c r="J63" s="1141"/>
      <c r="K63" s="1141"/>
      <c r="L63" s="1148"/>
    </row>
    <row r="64" spans="1:12" s="641" customFormat="1" x14ac:dyDescent="0.35">
      <c r="A64" s="643">
        <v>44048</v>
      </c>
      <c r="B64" s="641" t="s">
        <v>743</v>
      </c>
      <c r="C64" s="652" t="s">
        <v>820</v>
      </c>
      <c r="D64" s="652"/>
      <c r="E64" s="678"/>
      <c r="F64" s="664" t="s">
        <v>751</v>
      </c>
      <c r="G64" s="781"/>
      <c r="H64" s="776">
        <v>-13346.41</v>
      </c>
      <c r="I64" s="1117"/>
      <c r="J64" s="911"/>
      <c r="K64" s="911"/>
      <c r="L64" s="1142"/>
    </row>
    <row r="65" spans="1:12" s="640" customFormat="1" x14ac:dyDescent="0.35">
      <c r="A65" s="642">
        <v>44053</v>
      </c>
      <c r="B65" s="640" t="s">
        <v>742</v>
      </c>
      <c r="C65" s="650" t="s">
        <v>820</v>
      </c>
      <c r="D65" s="650"/>
      <c r="E65" s="681"/>
      <c r="F65" s="663" t="s">
        <v>126</v>
      </c>
      <c r="G65" s="780"/>
      <c r="H65" s="775">
        <v>11000</v>
      </c>
      <c r="I65" s="1116"/>
      <c r="J65" s="1141"/>
      <c r="K65" s="1141"/>
      <c r="L65" s="1148"/>
    </row>
    <row r="66" spans="1:12" s="641" customFormat="1" x14ac:dyDescent="0.35">
      <c r="A66" s="643">
        <v>44053</v>
      </c>
      <c r="B66" s="641" t="s">
        <v>743</v>
      </c>
      <c r="C66" s="652" t="s">
        <v>853</v>
      </c>
      <c r="D66" s="652"/>
      <c r="E66" s="678"/>
      <c r="F66" s="664">
        <v>9</v>
      </c>
      <c r="G66" s="781">
        <v>1137</v>
      </c>
      <c r="H66" s="776">
        <f>-F66*G66</f>
        <v>-10233</v>
      </c>
      <c r="I66" s="1117"/>
      <c r="J66" s="911"/>
      <c r="K66" s="911"/>
      <c r="L66" s="1142"/>
    </row>
    <row r="67" spans="1:12" s="640" customFormat="1" x14ac:dyDescent="0.35">
      <c r="A67" s="642">
        <v>44053</v>
      </c>
      <c r="B67" s="640" t="s">
        <v>742</v>
      </c>
      <c r="C67" s="650" t="s">
        <v>820</v>
      </c>
      <c r="D67" s="650"/>
      <c r="E67" s="681"/>
      <c r="F67" s="663" t="s">
        <v>126</v>
      </c>
      <c r="G67" s="780"/>
      <c r="H67" s="775">
        <v>1000</v>
      </c>
      <c r="I67" s="1116"/>
      <c r="J67" s="1141"/>
      <c r="K67" s="1141"/>
      <c r="L67" s="1148"/>
    </row>
    <row r="68" spans="1:12" s="641" customFormat="1" x14ac:dyDescent="0.35">
      <c r="A68" s="643">
        <v>44053</v>
      </c>
      <c r="B68" s="641" t="s">
        <v>743</v>
      </c>
      <c r="C68" s="652" t="s">
        <v>853</v>
      </c>
      <c r="D68" s="652"/>
      <c r="E68" s="678"/>
      <c r="F68" s="664">
        <v>1</v>
      </c>
      <c r="G68" s="781">
        <v>1136</v>
      </c>
      <c r="H68" s="776">
        <f>-F68*G68</f>
        <v>-1136</v>
      </c>
      <c r="I68" s="1117"/>
      <c r="J68" s="911"/>
      <c r="K68" s="911"/>
      <c r="L68" s="1142"/>
    </row>
    <row r="69" spans="1:12" s="641" customFormat="1" x14ac:dyDescent="0.35">
      <c r="A69" s="643">
        <v>44053</v>
      </c>
      <c r="B69" s="641" t="s">
        <v>743</v>
      </c>
      <c r="C69" s="652" t="s">
        <v>820</v>
      </c>
      <c r="D69" s="652"/>
      <c r="E69" s="678"/>
      <c r="F69" s="664" t="s">
        <v>740</v>
      </c>
      <c r="G69" s="781"/>
      <c r="H69" s="776">
        <f>-56.85-9.1-13.85</f>
        <v>-79.8</v>
      </c>
      <c r="I69" s="1117"/>
      <c r="J69" s="911"/>
      <c r="K69" s="911"/>
      <c r="L69" s="1142"/>
    </row>
    <row r="70" spans="1:12" s="640" customFormat="1" x14ac:dyDescent="0.35">
      <c r="A70" s="642">
        <v>44061</v>
      </c>
      <c r="B70" s="640" t="s">
        <v>742</v>
      </c>
      <c r="C70" s="650" t="s">
        <v>820</v>
      </c>
      <c r="D70" s="650"/>
      <c r="E70" s="681"/>
      <c r="F70" s="663" t="s">
        <v>126</v>
      </c>
      <c r="G70" s="780"/>
      <c r="H70" s="775">
        <v>11500</v>
      </c>
      <c r="I70" s="1116"/>
      <c r="J70" s="1141"/>
      <c r="K70" s="1141"/>
      <c r="L70" s="1148"/>
    </row>
    <row r="71" spans="1:12" s="641" customFormat="1" x14ac:dyDescent="0.35">
      <c r="A71" s="643">
        <v>44061</v>
      </c>
      <c r="B71" s="641" t="s">
        <v>743</v>
      </c>
      <c r="C71" s="652" t="s">
        <v>834</v>
      </c>
      <c r="D71" s="652"/>
      <c r="E71" s="678"/>
      <c r="F71" s="664">
        <v>3</v>
      </c>
      <c r="G71" s="781">
        <v>3780</v>
      </c>
      <c r="H71" s="776">
        <f>-F71*G71</f>
        <v>-11340</v>
      </c>
      <c r="I71" s="1117"/>
      <c r="J71" s="911"/>
      <c r="K71" s="911"/>
      <c r="L71" s="1142"/>
    </row>
    <row r="72" spans="1:12" s="641" customFormat="1" x14ac:dyDescent="0.35">
      <c r="A72" s="643">
        <v>44061</v>
      </c>
      <c r="B72" s="641" t="s">
        <v>743</v>
      </c>
      <c r="C72" s="652" t="s">
        <v>820</v>
      </c>
      <c r="D72" s="652"/>
      <c r="E72" s="678"/>
      <c r="F72" s="664" t="s">
        <v>740</v>
      </c>
      <c r="G72" s="781"/>
      <c r="H72" s="776">
        <v>-79.58</v>
      </c>
      <c r="I72" s="1117"/>
      <c r="J72" s="911"/>
      <c r="K72" s="911"/>
      <c r="L72" s="1142"/>
    </row>
    <row r="73" spans="1:12" s="640" customFormat="1" x14ac:dyDescent="0.35">
      <c r="A73" s="642">
        <v>44074</v>
      </c>
      <c r="B73" s="640" t="s">
        <v>742</v>
      </c>
      <c r="C73" s="650" t="s">
        <v>820</v>
      </c>
      <c r="D73" s="650"/>
      <c r="E73" s="681"/>
      <c r="F73" s="663" t="s">
        <v>126</v>
      </c>
      <c r="G73" s="780"/>
      <c r="H73" s="775">
        <v>20000</v>
      </c>
      <c r="I73" s="1116"/>
      <c r="J73" s="1141"/>
      <c r="K73" s="1141"/>
      <c r="L73" s="1148"/>
    </row>
    <row r="74" spans="1:12" s="641" customFormat="1" x14ac:dyDescent="0.35">
      <c r="A74" s="643">
        <v>44074</v>
      </c>
      <c r="B74" s="641" t="s">
        <v>743</v>
      </c>
      <c r="C74" s="652" t="s">
        <v>857</v>
      </c>
      <c r="D74" s="652"/>
      <c r="E74" s="678"/>
      <c r="F74" s="664">
        <v>6</v>
      </c>
      <c r="G74" s="781">
        <v>3230.5</v>
      </c>
      <c r="H74" s="776">
        <f>-F74*G74</f>
        <v>-19383</v>
      </c>
      <c r="I74" s="1117"/>
      <c r="J74" s="911"/>
      <c r="K74" s="911"/>
      <c r="L74" s="1142"/>
    </row>
    <row r="75" spans="1:12" s="641" customFormat="1" x14ac:dyDescent="0.35">
      <c r="A75" s="643">
        <v>44074</v>
      </c>
      <c r="B75" s="641" t="s">
        <v>743</v>
      </c>
      <c r="C75" s="652" t="s">
        <v>820</v>
      </c>
      <c r="D75" s="652"/>
      <c r="E75" s="678"/>
      <c r="F75" s="664" t="s">
        <v>740</v>
      </c>
      <c r="G75" s="781"/>
      <c r="H75" s="776">
        <v>-136.04</v>
      </c>
      <c r="I75" s="1117"/>
      <c r="J75" s="911"/>
      <c r="K75" s="911"/>
      <c r="L75" s="1142"/>
    </row>
    <row r="76" spans="1:12" s="640" customFormat="1" x14ac:dyDescent="0.35">
      <c r="A76" s="642">
        <v>44074</v>
      </c>
      <c r="B76" s="640" t="s">
        <v>742</v>
      </c>
      <c r="C76" s="650" t="s">
        <v>820</v>
      </c>
      <c r="D76" s="650"/>
      <c r="E76" s="681"/>
      <c r="F76" s="663" t="s">
        <v>126</v>
      </c>
      <c r="G76" s="780"/>
      <c r="H76" s="775">
        <v>4950</v>
      </c>
      <c r="I76" s="1116"/>
      <c r="J76" s="1141"/>
      <c r="K76" s="1141"/>
      <c r="L76" s="1148"/>
    </row>
    <row r="77" spans="1:12" s="641" customFormat="1" x14ac:dyDescent="0.35">
      <c r="A77" s="643">
        <v>44074</v>
      </c>
      <c r="B77" s="641" t="s">
        <v>743</v>
      </c>
      <c r="C77" s="652" t="s">
        <v>857</v>
      </c>
      <c r="D77" s="652"/>
      <c r="E77" s="678"/>
      <c r="F77" s="664">
        <v>2</v>
      </c>
      <c r="G77" s="781">
        <v>2970</v>
      </c>
      <c r="H77" s="776">
        <f>-F77*G77</f>
        <v>-5940</v>
      </c>
      <c r="I77" s="1117"/>
      <c r="J77" s="911"/>
      <c r="K77" s="911"/>
      <c r="L77" s="1142"/>
    </row>
    <row r="78" spans="1:12" s="641" customFormat="1" x14ac:dyDescent="0.35">
      <c r="A78" s="643">
        <v>44074</v>
      </c>
      <c r="B78" s="641" t="s">
        <v>743</v>
      </c>
      <c r="C78" s="652" t="s">
        <v>820</v>
      </c>
      <c r="D78" s="652"/>
      <c r="E78" s="678"/>
      <c r="F78" s="664" t="s">
        <v>740</v>
      </c>
      <c r="G78" s="781"/>
      <c r="H78" s="776">
        <v>-41.68</v>
      </c>
      <c r="I78" s="1117"/>
      <c r="J78" s="911"/>
      <c r="K78" s="911"/>
      <c r="L78" s="1142"/>
    </row>
    <row r="79" spans="1:12" s="640" customFormat="1" x14ac:dyDescent="0.35">
      <c r="A79" s="642">
        <v>44095</v>
      </c>
      <c r="B79" s="640" t="s">
        <v>745</v>
      </c>
      <c r="C79" s="650" t="s">
        <v>834</v>
      </c>
      <c r="D79" s="650" t="s">
        <v>861</v>
      </c>
      <c r="E79" s="681">
        <v>0.7</v>
      </c>
      <c r="F79" s="663"/>
      <c r="G79" s="780"/>
      <c r="H79" s="775">
        <v>-0.72</v>
      </c>
      <c r="I79" s="1116"/>
      <c r="J79" s="1141"/>
      <c r="K79" s="1141"/>
      <c r="L79" s="1148"/>
    </row>
    <row r="80" spans="1:12" s="640" customFormat="1" x14ac:dyDescent="0.35">
      <c r="A80" s="642">
        <v>44124</v>
      </c>
      <c r="B80" s="640" t="s">
        <v>742</v>
      </c>
      <c r="C80" s="650" t="s">
        <v>820</v>
      </c>
      <c r="D80" s="650"/>
      <c r="E80" s="681"/>
      <c r="F80" s="663" t="s">
        <v>126</v>
      </c>
      <c r="G80" s="780"/>
      <c r="H80" s="775">
        <v>45700</v>
      </c>
      <c r="I80" s="1116"/>
      <c r="J80" s="1141"/>
      <c r="K80" s="1141"/>
      <c r="L80" s="1148"/>
    </row>
    <row r="81" spans="1:12" s="641" customFormat="1" x14ac:dyDescent="0.35">
      <c r="A81" s="643">
        <v>44124</v>
      </c>
      <c r="B81" s="641" t="s">
        <v>743</v>
      </c>
      <c r="C81" s="652" t="s">
        <v>864</v>
      </c>
      <c r="D81" s="652"/>
      <c r="E81" s="678"/>
      <c r="F81" s="664">
        <v>5</v>
      </c>
      <c r="G81" s="781">
        <v>4580</v>
      </c>
      <c r="H81" s="776">
        <f>-F81*G81</f>
        <v>-22900</v>
      </c>
      <c r="I81" s="1117"/>
      <c r="J81" s="911"/>
      <c r="K81" s="911"/>
      <c r="L81" s="1142"/>
    </row>
    <row r="82" spans="1:12" s="641" customFormat="1" x14ac:dyDescent="0.35">
      <c r="A82" s="643">
        <v>44124</v>
      </c>
      <c r="B82" s="641" t="s">
        <v>743</v>
      </c>
      <c r="C82" s="652" t="s">
        <v>864</v>
      </c>
      <c r="D82" s="652"/>
      <c r="E82" s="678"/>
      <c r="F82" s="664">
        <v>1</v>
      </c>
      <c r="G82" s="781">
        <v>4614</v>
      </c>
      <c r="H82" s="776">
        <f>-F82*G82</f>
        <v>-4614</v>
      </c>
      <c r="I82" s="1117"/>
      <c r="J82" s="911"/>
      <c r="K82" s="911"/>
      <c r="L82" s="1142"/>
    </row>
    <row r="83" spans="1:12" s="641" customFormat="1" x14ac:dyDescent="0.35">
      <c r="A83" s="643">
        <v>44124</v>
      </c>
      <c r="B83" s="641" t="s">
        <v>743</v>
      </c>
      <c r="C83" s="652" t="s">
        <v>820</v>
      </c>
      <c r="D83" s="652"/>
      <c r="E83" s="678"/>
      <c r="F83" s="664" t="s">
        <v>740</v>
      </c>
      <c r="G83" s="781"/>
      <c r="H83" s="776">
        <f>-137.57-22.01-33.51</f>
        <v>-193.09</v>
      </c>
      <c r="I83" s="1117"/>
      <c r="J83" s="911"/>
      <c r="K83" s="911"/>
      <c r="L83" s="1142"/>
    </row>
    <row r="84" spans="1:12" s="641" customFormat="1" x14ac:dyDescent="0.35">
      <c r="A84" s="643">
        <v>44124</v>
      </c>
      <c r="B84" s="641" t="s">
        <v>743</v>
      </c>
      <c r="C84" s="652" t="s">
        <v>857</v>
      </c>
      <c r="D84" s="652"/>
      <c r="E84" s="678"/>
      <c r="F84" s="664">
        <v>2</v>
      </c>
      <c r="G84" s="781">
        <v>3913</v>
      </c>
      <c r="H84" s="776">
        <f>-F84*G84</f>
        <v>-7826</v>
      </c>
      <c r="I84" s="1117"/>
      <c r="J84" s="911"/>
      <c r="K84" s="911"/>
      <c r="L84" s="1142"/>
    </row>
    <row r="85" spans="1:12" s="641" customFormat="1" x14ac:dyDescent="0.35">
      <c r="A85" s="643">
        <v>44124</v>
      </c>
      <c r="B85" s="641" t="s">
        <v>743</v>
      </c>
      <c r="C85" s="652" t="s">
        <v>820</v>
      </c>
      <c r="D85" s="652"/>
      <c r="E85" s="678"/>
      <c r="F85" s="664" t="s">
        <v>740</v>
      </c>
      <c r="G85" s="781"/>
      <c r="H85" s="776">
        <f>-39.13-6.26-9.53</f>
        <v>-54.92</v>
      </c>
      <c r="I85" s="1117"/>
      <c r="J85" s="911"/>
      <c r="K85" s="911"/>
      <c r="L85" s="1142"/>
    </row>
    <row r="86" spans="1:12" s="641" customFormat="1" x14ac:dyDescent="0.35">
      <c r="A86" s="643">
        <v>44124</v>
      </c>
      <c r="B86" s="641" t="s">
        <v>743</v>
      </c>
      <c r="C86" s="652" t="s">
        <v>865</v>
      </c>
      <c r="D86" s="652"/>
      <c r="E86" s="678"/>
      <c r="F86" s="664">
        <v>5</v>
      </c>
      <c r="G86" s="781">
        <v>1921</v>
      </c>
      <c r="H86" s="776">
        <f>-F86*G86</f>
        <v>-9605</v>
      </c>
      <c r="I86" s="1117"/>
      <c r="J86" s="911"/>
      <c r="K86" s="911"/>
      <c r="L86" s="1142"/>
    </row>
    <row r="87" spans="1:12" s="641" customFormat="1" x14ac:dyDescent="0.35">
      <c r="A87" s="643">
        <v>44124</v>
      </c>
      <c r="B87" s="641" t="s">
        <v>743</v>
      </c>
      <c r="C87" s="652" t="s">
        <v>820</v>
      </c>
      <c r="D87" s="652"/>
      <c r="E87" s="678"/>
      <c r="F87" s="664" t="s">
        <v>740</v>
      </c>
      <c r="G87" s="781"/>
      <c r="H87" s="776">
        <f>-48.03-7.68-11.7</f>
        <v>-67.41</v>
      </c>
      <c r="I87" s="1117"/>
      <c r="J87" s="911"/>
      <c r="K87" s="911"/>
      <c r="L87" s="1142"/>
    </row>
    <row r="88" spans="1:12" s="640" customFormat="1" x14ac:dyDescent="0.35">
      <c r="A88" s="642">
        <v>44127</v>
      </c>
      <c r="B88" s="640" t="s">
        <v>742</v>
      </c>
      <c r="C88" s="650" t="s">
        <v>820</v>
      </c>
      <c r="D88" s="650"/>
      <c r="E88" s="681"/>
      <c r="F88" s="663" t="s">
        <v>126</v>
      </c>
      <c r="G88" s="780"/>
      <c r="H88" s="775">
        <v>9000</v>
      </c>
      <c r="I88" s="1116"/>
      <c r="J88" s="1141"/>
      <c r="K88" s="1141"/>
      <c r="L88" s="1148"/>
    </row>
    <row r="89" spans="1:12" s="641" customFormat="1" x14ac:dyDescent="0.35">
      <c r="A89" s="643">
        <v>44127</v>
      </c>
      <c r="B89" s="641" t="s">
        <v>743</v>
      </c>
      <c r="C89" s="652" t="s">
        <v>865</v>
      </c>
      <c r="D89" s="652"/>
      <c r="E89" s="678"/>
      <c r="F89" s="664">
        <v>2</v>
      </c>
      <c r="G89" s="781">
        <v>2040</v>
      </c>
      <c r="H89" s="776">
        <f>-F89*G89</f>
        <v>-4080</v>
      </c>
      <c r="I89" s="1117"/>
      <c r="J89" s="911"/>
      <c r="K89" s="911"/>
      <c r="L89" s="1142"/>
    </row>
    <row r="90" spans="1:12" s="641" customFormat="1" x14ac:dyDescent="0.35">
      <c r="A90" s="643">
        <v>44127</v>
      </c>
      <c r="B90" s="641" t="s">
        <v>743</v>
      </c>
      <c r="C90" s="652" t="s">
        <v>820</v>
      </c>
      <c r="D90" s="652"/>
      <c r="E90" s="678"/>
      <c r="F90" s="664" t="s">
        <v>740</v>
      </c>
      <c r="G90" s="781"/>
      <c r="H90" s="776">
        <f>-20.4-3.26-4.97</f>
        <v>-28.63</v>
      </c>
      <c r="I90" s="1117"/>
      <c r="J90" s="911"/>
      <c r="K90" s="911"/>
      <c r="L90" s="1142"/>
    </row>
    <row r="91" spans="1:12" s="640" customFormat="1" x14ac:dyDescent="0.35">
      <c r="A91" s="642">
        <v>44131</v>
      </c>
      <c r="B91" s="640" t="s">
        <v>742</v>
      </c>
      <c r="C91" s="650" t="s">
        <v>820</v>
      </c>
      <c r="D91" s="650"/>
      <c r="E91" s="681"/>
      <c r="F91" s="663" t="s">
        <v>126</v>
      </c>
      <c r="G91" s="780"/>
      <c r="H91" s="775">
        <v>100013</v>
      </c>
      <c r="I91" s="1116"/>
      <c r="J91" s="1141"/>
      <c r="K91" s="1141"/>
      <c r="L91" s="1148"/>
    </row>
    <row r="92" spans="1:12" s="641" customFormat="1" x14ac:dyDescent="0.35">
      <c r="A92" s="643">
        <v>44127</v>
      </c>
      <c r="B92" s="641" t="s">
        <v>743</v>
      </c>
      <c r="C92" s="652" t="s">
        <v>865</v>
      </c>
      <c r="D92" s="652"/>
      <c r="E92" s="678"/>
      <c r="F92" s="664">
        <v>3</v>
      </c>
      <c r="G92" s="781">
        <v>1929</v>
      </c>
      <c r="H92" s="776">
        <f>-F92*G92</f>
        <v>-5787</v>
      </c>
      <c r="I92" s="1117"/>
      <c r="J92" s="911"/>
      <c r="K92" s="911"/>
      <c r="L92" s="1142"/>
    </row>
    <row r="93" spans="1:12" s="641" customFormat="1" x14ac:dyDescent="0.35">
      <c r="A93" s="643">
        <v>44127</v>
      </c>
      <c r="B93" s="641" t="s">
        <v>743</v>
      </c>
      <c r="C93" s="652" t="s">
        <v>820</v>
      </c>
      <c r="D93" s="652"/>
      <c r="E93" s="678"/>
      <c r="F93" s="664" t="s">
        <v>740</v>
      </c>
      <c r="G93" s="781"/>
      <c r="H93" s="776">
        <v>-40.619999999999997</v>
      </c>
      <c r="I93" s="1117"/>
      <c r="J93" s="911"/>
      <c r="K93" s="911"/>
      <c r="L93" s="1142"/>
    </row>
    <row r="94" spans="1:12" s="641" customFormat="1" x14ac:dyDescent="0.35">
      <c r="A94" s="643">
        <v>44127</v>
      </c>
      <c r="B94" s="641" t="s">
        <v>743</v>
      </c>
      <c r="C94" s="652" t="s">
        <v>864</v>
      </c>
      <c r="D94" s="652"/>
      <c r="E94" s="678"/>
      <c r="F94" s="664">
        <v>4</v>
      </c>
      <c r="G94" s="781">
        <v>4805</v>
      </c>
      <c r="H94" s="776">
        <f>-F94*G94</f>
        <v>-19220</v>
      </c>
      <c r="I94" s="1117"/>
      <c r="J94" s="911"/>
      <c r="K94" s="911"/>
      <c r="L94" s="1142"/>
    </row>
    <row r="95" spans="1:12" s="641" customFormat="1" x14ac:dyDescent="0.35">
      <c r="A95" s="643">
        <v>44127</v>
      </c>
      <c r="B95" s="641" t="s">
        <v>743</v>
      </c>
      <c r="C95" s="652" t="s">
        <v>820</v>
      </c>
      <c r="D95" s="652"/>
      <c r="E95" s="678"/>
      <c r="F95" s="664" t="s">
        <v>740</v>
      </c>
      <c r="G95" s="781"/>
      <c r="H95" s="776">
        <v>-134.88999999999999</v>
      </c>
      <c r="I95" s="1117"/>
      <c r="J95" s="911"/>
      <c r="K95" s="911"/>
      <c r="L95" s="1142"/>
    </row>
    <row r="96" spans="1:12" s="641" customFormat="1" x14ac:dyDescent="0.35">
      <c r="A96" s="643">
        <v>44127</v>
      </c>
      <c r="B96" s="641" t="s">
        <v>743</v>
      </c>
      <c r="C96" s="652" t="s">
        <v>866</v>
      </c>
      <c r="D96" s="652"/>
      <c r="E96" s="678"/>
      <c r="F96" s="664">
        <v>20</v>
      </c>
      <c r="G96" s="781">
        <v>3625</v>
      </c>
      <c r="H96" s="776">
        <f>-F96*G96</f>
        <v>-72500</v>
      </c>
      <c r="I96" s="1117"/>
      <c r="J96" s="911"/>
      <c r="K96" s="911"/>
      <c r="L96" s="1142"/>
    </row>
    <row r="97" spans="1:12" s="641" customFormat="1" x14ac:dyDescent="0.35">
      <c r="A97" s="643">
        <v>44127</v>
      </c>
      <c r="B97" s="641" t="s">
        <v>743</v>
      </c>
      <c r="C97" s="652" t="s">
        <v>820</v>
      </c>
      <c r="D97" s="652"/>
      <c r="E97" s="678"/>
      <c r="F97" s="664" t="s">
        <v>740</v>
      </c>
      <c r="G97" s="781"/>
      <c r="H97" s="776">
        <v>-492.11</v>
      </c>
      <c r="I97" s="1117"/>
      <c r="J97" s="911"/>
      <c r="K97" s="911"/>
      <c r="L97" s="1142"/>
    </row>
    <row r="98" spans="1:12" s="641" customFormat="1" x14ac:dyDescent="0.35">
      <c r="A98" s="643">
        <v>44048</v>
      </c>
      <c r="B98" s="641" t="s">
        <v>743</v>
      </c>
      <c r="C98" s="652" t="s">
        <v>820</v>
      </c>
      <c r="D98" s="652"/>
      <c r="E98" s="678"/>
      <c r="F98" s="664" t="s">
        <v>751</v>
      </c>
      <c r="G98" s="781"/>
      <c r="H98" s="776">
        <v>-7200</v>
      </c>
      <c r="I98" s="1117"/>
      <c r="J98" s="911"/>
      <c r="K98" s="911"/>
      <c r="L98" s="1142"/>
    </row>
    <row r="99" spans="1:12" s="640" customFormat="1" x14ac:dyDescent="0.35">
      <c r="A99" s="642">
        <v>44061</v>
      </c>
      <c r="B99" s="640" t="s">
        <v>742</v>
      </c>
      <c r="C99" s="650" t="s">
        <v>853</v>
      </c>
      <c r="D99" s="650"/>
      <c r="E99" s="681"/>
      <c r="F99" s="765" t="s">
        <v>870</v>
      </c>
      <c r="G99" s="782">
        <v>1439</v>
      </c>
      <c r="H99" s="777">
        <v>0</v>
      </c>
      <c r="I99" s="1116"/>
      <c r="J99" s="1141"/>
      <c r="K99" s="1141"/>
      <c r="L99" s="1148"/>
    </row>
    <row r="100" spans="1:12" s="640" customFormat="1" x14ac:dyDescent="0.35">
      <c r="A100" s="642">
        <v>44061</v>
      </c>
      <c r="B100" s="640" t="s">
        <v>742</v>
      </c>
      <c r="C100" s="650" t="s">
        <v>857</v>
      </c>
      <c r="D100" s="650"/>
      <c r="E100" s="681"/>
      <c r="F100" s="765" t="s">
        <v>870</v>
      </c>
      <c r="G100" s="782">
        <v>3550</v>
      </c>
      <c r="H100" s="777">
        <v>0</v>
      </c>
      <c r="I100" s="1116"/>
      <c r="J100" s="1141"/>
      <c r="K100" s="1141"/>
      <c r="L100" s="1148"/>
    </row>
    <row r="101" spans="1:12" s="640" customFormat="1" x14ac:dyDescent="0.35">
      <c r="A101" s="642">
        <v>44146</v>
      </c>
      <c r="B101" s="640" t="s">
        <v>742</v>
      </c>
      <c r="C101" s="650" t="s">
        <v>857</v>
      </c>
      <c r="D101" s="650"/>
      <c r="E101" s="681"/>
      <c r="F101" s="774">
        <v>10</v>
      </c>
      <c r="G101" s="783">
        <v>3550</v>
      </c>
      <c r="H101" s="778">
        <f>+F101*G101</f>
        <v>35500</v>
      </c>
      <c r="I101" s="1116"/>
      <c r="J101" s="1141"/>
      <c r="K101" s="1141"/>
      <c r="L101" s="1148"/>
    </row>
    <row r="102" spans="1:12" s="640" customFormat="1" x14ac:dyDescent="0.35">
      <c r="A102" s="642">
        <v>44146</v>
      </c>
      <c r="B102" s="640" t="s">
        <v>742</v>
      </c>
      <c r="C102" s="650" t="s">
        <v>853</v>
      </c>
      <c r="D102" s="650"/>
      <c r="E102" s="681"/>
      <c r="F102" s="774">
        <v>10</v>
      </c>
      <c r="G102" s="783">
        <v>1439</v>
      </c>
      <c r="H102" s="778">
        <f>+F102*G102</f>
        <v>14390</v>
      </c>
      <c r="I102" s="1116"/>
      <c r="J102" s="1141"/>
      <c r="K102" s="1141"/>
      <c r="L102" s="1148"/>
    </row>
    <row r="103" spans="1:12" s="641" customFormat="1" x14ac:dyDescent="0.35">
      <c r="A103" s="643">
        <v>44146</v>
      </c>
      <c r="B103" s="641" t="s">
        <v>743</v>
      </c>
      <c r="C103" s="652" t="s">
        <v>820</v>
      </c>
      <c r="D103" s="652"/>
      <c r="E103" s="678"/>
      <c r="F103" s="664" t="s">
        <v>869</v>
      </c>
      <c r="G103" s="781"/>
      <c r="H103" s="776">
        <f>-71.95-11.51-17.53</f>
        <v>-100.99</v>
      </c>
      <c r="I103" s="1117"/>
      <c r="J103" s="911"/>
      <c r="K103" s="911"/>
      <c r="L103" s="1142"/>
    </row>
    <row r="104" spans="1:12" s="641" customFormat="1" x14ac:dyDescent="0.35">
      <c r="A104" s="643">
        <v>44146</v>
      </c>
      <c r="B104" s="641" t="s">
        <v>743</v>
      </c>
      <c r="C104" s="652" t="s">
        <v>820</v>
      </c>
      <c r="D104" s="652"/>
      <c r="E104" s="678"/>
      <c r="F104" s="664" t="s">
        <v>868</v>
      </c>
      <c r="G104" s="781"/>
      <c r="H104" s="776">
        <f>-177.5-28.4-43.24</f>
        <v>-249.14</v>
      </c>
      <c r="I104" s="1117"/>
      <c r="J104" s="911"/>
      <c r="K104" s="911"/>
      <c r="L104" s="1142"/>
    </row>
    <row r="105" spans="1:12" s="641" customFormat="1" x14ac:dyDescent="0.35">
      <c r="A105" s="643">
        <v>44146</v>
      </c>
      <c r="B105" s="641" t="s">
        <v>743</v>
      </c>
      <c r="C105" s="652" t="s">
        <v>866</v>
      </c>
      <c r="D105" s="652"/>
      <c r="E105" s="678"/>
      <c r="F105" s="664">
        <v>3</v>
      </c>
      <c r="G105" s="781">
        <v>3249</v>
      </c>
      <c r="H105" s="776">
        <f>-F105*G105</f>
        <v>-9747</v>
      </c>
      <c r="I105" s="1117"/>
      <c r="J105" s="911"/>
      <c r="K105" s="911"/>
      <c r="L105" s="1142"/>
    </row>
    <row r="106" spans="1:12" s="641" customFormat="1" x14ac:dyDescent="0.35">
      <c r="A106" s="643">
        <v>44146</v>
      </c>
      <c r="B106" s="641" t="s">
        <v>743</v>
      </c>
      <c r="C106" s="652" t="s">
        <v>866</v>
      </c>
      <c r="D106" s="652"/>
      <c r="E106" s="678"/>
      <c r="F106" s="664">
        <v>4</v>
      </c>
      <c r="G106" s="781">
        <v>3295</v>
      </c>
      <c r="H106" s="776">
        <f>-F106*G106</f>
        <v>-13180</v>
      </c>
      <c r="I106" s="1117"/>
      <c r="J106" s="911"/>
      <c r="K106" s="911"/>
      <c r="L106" s="1142"/>
    </row>
    <row r="107" spans="1:12" s="641" customFormat="1" x14ac:dyDescent="0.35">
      <c r="A107" s="643">
        <v>44146</v>
      </c>
      <c r="B107" s="641" t="s">
        <v>743</v>
      </c>
      <c r="C107" s="652" t="s">
        <v>820</v>
      </c>
      <c r="D107" s="652"/>
      <c r="E107" s="678"/>
      <c r="F107" s="664" t="s">
        <v>740</v>
      </c>
      <c r="G107" s="781"/>
      <c r="H107" s="776">
        <f>-114.64-18.34-27.93</f>
        <v>-160.91</v>
      </c>
      <c r="I107" s="1117"/>
      <c r="J107" s="911"/>
      <c r="K107" s="911"/>
      <c r="L107" s="1142"/>
    </row>
    <row r="108" spans="1:12" s="640" customFormat="1" x14ac:dyDescent="0.35">
      <c r="A108" s="642">
        <v>44146</v>
      </c>
      <c r="B108" s="640" t="s">
        <v>742</v>
      </c>
      <c r="C108" s="650" t="s">
        <v>820</v>
      </c>
      <c r="D108" s="650"/>
      <c r="E108" s="681"/>
      <c r="F108" s="663" t="s">
        <v>126</v>
      </c>
      <c r="G108" s="780"/>
      <c r="H108" s="775">
        <v>6000</v>
      </c>
      <c r="I108" s="1116"/>
      <c r="J108" s="1141"/>
      <c r="K108" s="1141"/>
      <c r="L108" s="1148"/>
    </row>
    <row r="109" spans="1:12" s="641" customFormat="1" x14ac:dyDescent="0.35">
      <c r="A109" s="643">
        <v>44146</v>
      </c>
      <c r="B109" s="641" t="s">
        <v>743</v>
      </c>
      <c r="C109" s="652" t="s">
        <v>866</v>
      </c>
      <c r="D109" s="652"/>
      <c r="E109" s="678"/>
      <c r="F109" s="664">
        <v>2</v>
      </c>
      <c r="G109" s="781">
        <v>3000</v>
      </c>
      <c r="H109" s="776">
        <f>-F109*G109</f>
        <v>-6000</v>
      </c>
      <c r="I109" s="1117"/>
      <c r="J109" s="911"/>
      <c r="K109" s="911"/>
      <c r="L109" s="1142"/>
    </row>
    <row r="110" spans="1:12" s="641" customFormat="1" x14ac:dyDescent="0.35">
      <c r="A110" s="643">
        <v>44147</v>
      </c>
      <c r="B110" s="641" t="s">
        <v>743</v>
      </c>
      <c r="C110" s="652" t="s">
        <v>866</v>
      </c>
      <c r="D110" s="652"/>
      <c r="E110" s="678"/>
      <c r="F110" s="664">
        <v>6</v>
      </c>
      <c r="G110" s="781">
        <v>3333</v>
      </c>
      <c r="H110" s="776">
        <f>-F110*G110</f>
        <v>-19998</v>
      </c>
      <c r="I110" s="1117"/>
      <c r="J110" s="911"/>
      <c r="K110" s="911"/>
      <c r="L110" s="1142"/>
    </row>
    <row r="111" spans="1:12" s="641" customFormat="1" x14ac:dyDescent="0.35">
      <c r="A111" s="643">
        <v>44147</v>
      </c>
      <c r="B111" s="641" t="s">
        <v>743</v>
      </c>
      <c r="C111" s="652" t="s">
        <v>820</v>
      </c>
      <c r="D111" s="652"/>
      <c r="E111" s="678"/>
      <c r="F111" s="664" t="s">
        <v>740</v>
      </c>
      <c r="G111" s="781"/>
      <c r="H111" s="776">
        <v>-140.35</v>
      </c>
      <c r="I111" s="1117"/>
      <c r="J111" s="911"/>
      <c r="K111" s="911"/>
      <c r="L111" s="1142"/>
    </row>
    <row r="112" spans="1:12" s="641" customFormat="1" x14ac:dyDescent="0.35">
      <c r="A112" s="643">
        <v>44148</v>
      </c>
      <c r="B112" s="641" t="s">
        <v>743</v>
      </c>
      <c r="C112" s="652" t="s">
        <v>820</v>
      </c>
      <c r="D112" s="652"/>
      <c r="E112" s="678"/>
      <c r="F112" s="664" t="s">
        <v>751</v>
      </c>
      <c r="G112" s="781"/>
      <c r="H112" s="776">
        <v>-6350</v>
      </c>
      <c r="I112" s="1117"/>
      <c r="J112" s="911"/>
      <c r="K112" s="911"/>
      <c r="L112" s="1142"/>
    </row>
    <row r="113" spans="1:12" s="640" customFormat="1" x14ac:dyDescent="0.35">
      <c r="A113" s="642">
        <v>44124</v>
      </c>
      <c r="B113" s="640" t="s">
        <v>742</v>
      </c>
      <c r="C113" s="650" t="s">
        <v>865</v>
      </c>
      <c r="D113" s="650"/>
      <c r="E113" s="681"/>
      <c r="F113" s="765" t="s">
        <v>870</v>
      </c>
      <c r="G113" s="782">
        <f>+J353</f>
        <v>0</v>
      </c>
      <c r="H113" s="777">
        <v>0</v>
      </c>
      <c r="I113" s="1116"/>
      <c r="J113" s="1141"/>
      <c r="K113" s="1141"/>
      <c r="L113" s="1148"/>
    </row>
    <row r="114" spans="1:12" s="640" customFormat="1" x14ac:dyDescent="0.35">
      <c r="A114" s="642">
        <v>44124</v>
      </c>
      <c r="B114" s="640" t="s">
        <v>742</v>
      </c>
      <c r="C114" s="650" t="s">
        <v>864</v>
      </c>
      <c r="D114" s="650"/>
      <c r="E114" s="681"/>
      <c r="F114" s="765" t="s">
        <v>870</v>
      </c>
      <c r="G114" s="782">
        <f>+J355</f>
        <v>0</v>
      </c>
      <c r="H114" s="777">
        <v>0</v>
      </c>
      <c r="I114" s="1116"/>
      <c r="J114" s="1141"/>
      <c r="K114" s="1141"/>
      <c r="L114" s="1148"/>
    </row>
    <row r="115" spans="1:12" s="640" customFormat="1" x14ac:dyDescent="0.35">
      <c r="A115" s="642">
        <v>44041</v>
      </c>
      <c r="B115" s="640" t="s">
        <v>742</v>
      </c>
      <c r="C115" s="650" t="s">
        <v>834</v>
      </c>
      <c r="D115" s="650"/>
      <c r="E115" s="681"/>
      <c r="F115" s="765" t="s">
        <v>870</v>
      </c>
      <c r="G115" s="782">
        <f>+J354</f>
        <v>0</v>
      </c>
      <c r="H115" s="777">
        <v>0</v>
      </c>
      <c r="I115" s="1116"/>
      <c r="J115" s="1141"/>
      <c r="K115" s="1141"/>
      <c r="L115" s="1148"/>
    </row>
    <row r="116" spans="1:12" s="640" customFormat="1" x14ac:dyDescent="0.35">
      <c r="A116" s="642">
        <v>44152</v>
      </c>
      <c r="B116" s="640" t="s">
        <v>745</v>
      </c>
      <c r="C116" s="650" t="s">
        <v>865</v>
      </c>
      <c r="D116" s="650"/>
      <c r="E116" s="681">
        <v>0.13</v>
      </c>
      <c r="F116" s="663" t="s">
        <v>873</v>
      </c>
      <c r="G116" s="780"/>
      <c r="H116" s="775">
        <v>-0.18</v>
      </c>
      <c r="I116" s="1116"/>
      <c r="J116" s="1141"/>
      <c r="K116" s="1141"/>
      <c r="L116" s="1148"/>
    </row>
    <row r="117" spans="1:12" s="640" customFormat="1" x14ac:dyDescent="0.35">
      <c r="A117" s="642">
        <v>44152</v>
      </c>
      <c r="B117" s="640" t="s">
        <v>745</v>
      </c>
      <c r="C117" s="650" t="s">
        <v>864</v>
      </c>
      <c r="D117" s="650">
        <v>10</v>
      </c>
      <c r="E117" s="681">
        <f>+D117*31.35</f>
        <v>313.5</v>
      </c>
      <c r="F117" s="663"/>
      <c r="G117" s="780"/>
      <c r="H117" s="775">
        <v>315</v>
      </c>
      <c r="I117" s="1116"/>
      <c r="J117" s="1141"/>
      <c r="K117" s="1141"/>
      <c r="L117" s="1148"/>
    </row>
    <row r="118" spans="1:12" s="641" customFormat="1" x14ac:dyDescent="0.35">
      <c r="A118" s="643">
        <v>44152</v>
      </c>
      <c r="B118" s="641" t="s">
        <v>743</v>
      </c>
      <c r="C118" s="652" t="s">
        <v>820</v>
      </c>
      <c r="D118" s="652"/>
      <c r="E118" s="678"/>
      <c r="F118" s="664" t="s">
        <v>740</v>
      </c>
      <c r="G118" s="781"/>
      <c r="H118" s="776">
        <v>-172</v>
      </c>
      <c r="I118" s="1117"/>
      <c r="J118" s="911"/>
      <c r="K118" s="911"/>
      <c r="L118" s="1142"/>
    </row>
    <row r="119" spans="1:12" s="640" customFormat="1" x14ac:dyDescent="0.35">
      <c r="A119" s="642">
        <v>44152</v>
      </c>
      <c r="B119" s="640" t="s">
        <v>745</v>
      </c>
      <c r="C119" s="650" t="s">
        <v>834</v>
      </c>
      <c r="D119" s="650">
        <v>13</v>
      </c>
      <c r="E119" s="681">
        <f>+D119*25.35</f>
        <v>329.55</v>
      </c>
      <c r="F119" s="663"/>
      <c r="G119" s="780"/>
      <c r="H119" s="775">
        <v>100</v>
      </c>
      <c r="I119" s="1116"/>
      <c r="J119" s="1141"/>
      <c r="K119" s="1141"/>
      <c r="L119" s="1148"/>
    </row>
    <row r="120" spans="1:12" s="641" customFormat="1" x14ac:dyDescent="0.35">
      <c r="A120" s="643">
        <v>44152</v>
      </c>
      <c r="B120" s="641" t="s">
        <v>743</v>
      </c>
      <c r="C120" s="652" t="s">
        <v>820</v>
      </c>
      <c r="D120" s="652"/>
      <c r="E120" s="678"/>
      <c r="F120" s="664" t="s">
        <v>740</v>
      </c>
      <c r="G120" s="781"/>
      <c r="H120" s="776">
        <v>-181.48</v>
      </c>
      <c r="I120" s="1117"/>
      <c r="J120" s="911"/>
      <c r="K120" s="911"/>
      <c r="L120" s="1142"/>
    </row>
    <row r="121" spans="1:12" s="640" customFormat="1" x14ac:dyDescent="0.35">
      <c r="A121" s="642">
        <v>44154</v>
      </c>
      <c r="B121" s="640" t="s">
        <v>742</v>
      </c>
      <c r="C121" s="650" t="s">
        <v>820</v>
      </c>
      <c r="D121" s="650"/>
      <c r="E121" s="681"/>
      <c r="F121" s="663" t="s">
        <v>126</v>
      </c>
      <c r="G121" s="780"/>
      <c r="H121" s="775">
        <v>3000</v>
      </c>
      <c r="I121" s="1116"/>
      <c r="J121" s="1141"/>
      <c r="K121" s="1141"/>
      <c r="L121" s="1148"/>
    </row>
    <row r="122" spans="1:12" s="641" customFormat="1" x14ac:dyDescent="0.35">
      <c r="A122" s="643">
        <v>44154</v>
      </c>
      <c r="B122" s="641" t="s">
        <v>743</v>
      </c>
      <c r="C122" s="652" t="s">
        <v>866</v>
      </c>
      <c r="D122" s="652"/>
      <c r="E122" s="678"/>
      <c r="F122" s="664">
        <v>1</v>
      </c>
      <c r="G122" s="781">
        <v>3000</v>
      </c>
      <c r="H122" s="776">
        <f>-F122*G122</f>
        <v>-3000</v>
      </c>
      <c r="I122" s="1117"/>
      <c r="J122" s="911"/>
      <c r="K122" s="911"/>
      <c r="L122" s="1142"/>
    </row>
    <row r="123" spans="1:12" s="640" customFormat="1" x14ac:dyDescent="0.35">
      <c r="A123" s="642">
        <v>44154</v>
      </c>
      <c r="B123" s="640" t="s">
        <v>742</v>
      </c>
      <c r="C123" s="650" t="s">
        <v>820</v>
      </c>
      <c r="D123" s="650"/>
      <c r="E123" s="681"/>
      <c r="F123" s="663" t="s">
        <v>126</v>
      </c>
      <c r="G123" s="780"/>
      <c r="H123" s="775">
        <v>17000</v>
      </c>
      <c r="I123" s="1116"/>
      <c r="J123" s="1141"/>
      <c r="K123" s="1141"/>
      <c r="L123" s="1148"/>
    </row>
    <row r="124" spans="1:12" s="641" customFormat="1" x14ac:dyDescent="0.35">
      <c r="A124" s="643">
        <v>44155</v>
      </c>
      <c r="B124" s="641" t="s">
        <v>743</v>
      </c>
      <c r="C124" s="652" t="s">
        <v>865</v>
      </c>
      <c r="D124" s="652"/>
      <c r="E124" s="678"/>
      <c r="F124" s="664">
        <v>9</v>
      </c>
      <c r="G124" s="781">
        <v>1807</v>
      </c>
      <c r="H124" s="776">
        <f>-F124*G124</f>
        <v>-16263</v>
      </c>
      <c r="I124" s="1117"/>
      <c r="J124" s="911"/>
      <c r="K124" s="911"/>
      <c r="L124" s="1142"/>
    </row>
    <row r="125" spans="1:12" s="641" customFormat="1" x14ac:dyDescent="0.35">
      <c r="A125" s="643">
        <v>44155</v>
      </c>
      <c r="B125" s="641" t="s">
        <v>743</v>
      </c>
      <c r="C125" s="652" t="s">
        <v>820</v>
      </c>
      <c r="D125" s="652"/>
      <c r="E125" s="678"/>
      <c r="F125" s="664" t="s">
        <v>740</v>
      </c>
      <c r="G125" s="781"/>
      <c r="H125" s="776">
        <v>-114.14</v>
      </c>
      <c r="I125" s="1117"/>
      <c r="J125" s="911"/>
      <c r="K125" s="911"/>
      <c r="L125" s="1142"/>
    </row>
    <row r="126" spans="1:12" s="640" customFormat="1" x14ac:dyDescent="0.35">
      <c r="A126" s="642">
        <v>44155</v>
      </c>
      <c r="B126" s="640" t="s">
        <v>745</v>
      </c>
      <c r="C126" s="650" t="s">
        <v>865</v>
      </c>
      <c r="D126" s="650">
        <v>12.3</v>
      </c>
      <c r="E126" s="681">
        <f>10*D126</f>
        <v>123</v>
      </c>
      <c r="F126" s="663"/>
      <c r="G126" s="780"/>
      <c r="H126" s="775"/>
      <c r="I126" s="1116"/>
      <c r="J126" s="1141"/>
      <c r="K126" s="1141"/>
      <c r="L126" s="1148"/>
    </row>
    <row r="127" spans="1:12" s="641" customFormat="1" x14ac:dyDescent="0.35">
      <c r="A127" s="643">
        <v>44155</v>
      </c>
      <c r="B127" s="641" t="s">
        <v>743</v>
      </c>
      <c r="C127" s="652" t="s">
        <v>820</v>
      </c>
      <c r="D127" s="652"/>
      <c r="E127" s="678"/>
      <c r="F127" s="664" t="s">
        <v>740</v>
      </c>
      <c r="G127" s="781"/>
      <c r="H127" s="776">
        <v>-67.930000000000007</v>
      </c>
      <c r="I127" s="1117"/>
      <c r="J127" s="911"/>
      <c r="K127" s="911"/>
      <c r="L127" s="1142"/>
    </row>
    <row r="128" spans="1:12" s="640" customFormat="1" x14ac:dyDescent="0.35">
      <c r="A128" s="642">
        <v>44160</v>
      </c>
      <c r="B128" s="640" t="s">
        <v>745</v>
      </c>
      <c r="C128" s="650" t="s">
        <v>865</v>
      </c>
      <c r="D128" s="650">
        <v>12.1</v>
      </c>
      <c r="E128" s="681">
        <f>9*D128</f>
        <v>108.9</v>
      </c>
      <c r="F128" s="663"/>
      <c r="G128" s="780"/>
      <c r="H128" s="775"/>
      <c r="I128" s="1116"/>
      <c r="J128" s="1141"/>
      <c r="K128" s="1141"/>
      <c r="L128" s="1148"/>
    </row>
    <row r="129" spans="1:12" s="641" customFormat="1" x14ac:dyDescent="0.35">
      <c r="A129" s="643">
        <v>44160</v>
      </c>
      <c r="B129" s="641" t="s">
        <v>743</v>
      </c>
      <c r="C129" s="652" t="s">
        <v>820</v>
      </c>
      <c r="D129" s="652"/>
      <c r="E129" s="678"/>
      <c r="F129" s="664" t="s">
        <v>740</v>
      </c>
      <c r="G129" s="781"/>
      <c r="H129" s="776">
        <v>-60.61</v>
      </c>
      <c r="I129" s="1117"/>
      <c r="J129" s="911"/>
      <c r="K129" s="911"/>
      <c r="L129" s="1142"/>
    </row>
    <row r="130" spans="1:12" s="641" customFormat="1" x14ac:dyDescent="0.35">
      <c r="A130" s="643">
        <v>44159</v>
      </c>
      <c r="B130" s="641" t="s">
        <v>743</v>
      </c>
      <c r="C130" s="652"/>
      <c r="D130" s="652"/>
      <c r="E130" s="678"/>
      <c r="F130" s="664"/>
      <c r="G130" s="781"/>
      <c r="H130" s="776">
        <v>-568.67999999999995</v>
      </c>
      <c r="I130" s="1117"/>
      <c r="J130" s="911"/>
      <c r="K130" s="911"/>
      <c r="L130" s="1142"/>
    </row>
    <row r="131" spans="1:12" s="641" customFormat="1" x14ac:dyDescent="0.35">
      <c r="A131" s="643">
        <v>44160</v>
      </c>
      <c r="B131" s="641" t="s">
        <v>746</v>
      </c>
      <c r="C131" s="652"/>
      <c r="D131" s="652"/>
      <c r="E131" s="678">
        <v>-766.88</v>
      </c>
      <c r="F131" s="664"/>
      <c r="G131" s="781"/>
      <c r="H131" s="776"/>
      <c r="I131" s="1117"/>
      <c r="J131" s="911"/>
      <c r="K131" s="911"/>
      <c r="L131" s="1142"/>
    </row>
    <row r="132" spans="1:12" s="641" customFormat="1" x14ac:dyDescent="0.35">
      <c r="A132" s="643">
        <v>44166</v>
      </c>
      <c r="B132" s="641" t="s">
        <v>746</v>
      </c>
      <c r="C132" s="652"/>
      <c r="D132" s="652"/>
      <c r="E132" s="678">
        <v>-108.9</v>
      </c>
      <c r="F132" s="664"/>
      <c r="G132" s="781"/>
      <c r="H132" s="776"/>
      <c r="I132" s="1117"/>
      <c r="J132" s="911"/>
      <c r="K132" s="911"/>
      <c r="L132" s="1142"/>
    </row>
    <row r="133" spans="1:12" s="640" customFormat="1" x14ac:dyDescent="0.35">
      <c r="A133" s="642">
        <v>44180</v>
      </c>
      <c r="B133" s="640" t="s">
        <v>742</v>
      </c>
      <c r="C133" s="650" t="s">
        <v>820</v>
      </c>
      <c r="D133" s="650"/>
      <c r="E133" s="681">
        <v>2.0099999999999998</v>
      </c>
      <c r="F133" s="663" t="s">
        <v>126</v>
      </c>
      <c r="G133" s="780"/>
      <c r="H133" s="775">
        <f>374400-1.4</f>
        <v>374398.6</v>
      </c>
      <c r="I133" s="1116"/>
      <c r="J133" s="1141"/>
      <c r="K133" s="1141"/>
      <c r="L133" s="1148"/>
    </row>
    <row r="134" spans="1:12" s="641" customFormat="1" x14ac:dyDescent="0.35">
      <c r="A134" s="643">
        <v>44180</v>
      </c>
      <c r="B134" s="641" t="s">
        <v>743</v>
      </c>
      <c r="C134" s="652" t="s">
        <v>866</v>
      </c>
      <c r="D134" s="652"/>
      <c r="E134" s="678"/>
      <c r="F134" s="664">
        <v>94</v>
      </c>
      <c r="G134" s="781">
        <v>3974</v>
      </c>
      <c r="H134" s="776">
        <f>-F134*G134</f>
        <v>-373556</v>
      </c>
      <c r="I134" s="1117"/>
      <c r="J134" s="911"/>
      <c r="K134" s="911"/>
      <c r="L134" s="1142"/>
    </row>
    <row r="135" spans="1:12" s="641" customFormat="1" x14ac:dyDescent="0.35">
      <c r="A135" s="643">
        <v>44180</v>
      </c>
      <c r="B135" s="641" t="s">
        <v>743</v>
      </c>
      <c r="C135" s="652" t="s">
        <v>820</v>
      </c>
      <c r="D135" s="652"/>
      <c r="E135" s="678"/>
      <c r="F135" s="664" t="s">
        <v>740</v>
      </c>
      <c r="G135" s="781"/>
      <c r="H135" s="776">
        <v>-2621.61</v>
      </c>
      <c r="I135" s="1117"/>
      <c r="J135" s="911"/>
      <c r="K135" s="911"/>
      <c r="L135" s="1142"/>
    </row>
    <row r="136" spans="1:12" s="640" customFormat="1" x14ac:dyDescent="0.35">
      <c r="A136" s="642">
        <v>44181</v>
      </c>
      <c r="B136" s="640" t="s">
        <v>742</v>
      </c>
      <c r="C136" s="650" t="s">
        <v>820</v>
      </c>
      <c r="D136" s="650"/>
      <c r="E136" s="681"/>
      <c r="F136" s="663" t="s">
        <v>126</v>
      </c>
      <c r="G136" s="780"/>
      <c r="H136" s="775">
        <v>290000</v>
      </c>
      <c r="I136" s="1116"/>
      <c r="J136" s="1141"/>
      <c r="K136" s="1141"/>
      <c r="L136" s="1148"/>
    </row>
    <row r="137" spans="1:12" s="641" customFormat="1" x14ac:dyDescent="0.35">
      <c r="A137" s="643">
        <v>44181</v>
      </c>
      <c r="B137" s="641" t="s">
        <v>743</v>
      </c>
      <c r="C137" s="652" t="s">
        <v>866</v>
      </c>
      <c r="D137" s="652"/>
      <c r="E137" s="678"/>
      <c r="F137" s="664">
        <v>72</v>
      </c>
      <c r="G137" s="781">
        <v>3975</v>
      </c>
      <c r="H137" s="776">
        <f>-F137*G137</f>
        <v>-286200</v>
      </c>
      <c r="I137" s="1117"/>
      <c r="J137" s="911"/>
      <c r="K137" s="911"/>
      <c r="L137" s="1142"/>
    </row>
    <row r="138" spans="1:12" s="641" customFormat="1" x14ac:dyDescent="0.35">
      <c r="A138" s="643">
        <v>44181</v>
      </c>
      <c r="B138" s="641" t="s">
        <v>743</v>
      </c>
      <c r="C138" s="652" t="s">
        <v>820</v>
      </c>
      <c r="D138" s="652"/>
      <c r="E138" s="678"/>
      <c r="F138" s="664" t="s">
        <v>740</v>
      </c>
      <c r="G138" s="781"/>
      <c r="H138" s="776">
        <v>-2008.55</v>
      </c>
      <c r="I138" s="1117"/>
      <c r="J138" s="911"/>
      <c r="K138" s="911"/>
      <c r="L138" s="1142"/>
    </row>
    <row r="139" spans="1:12" s="641" customFormat="1" x14ac:dyDescent="0.35">
      <c r="A139" s="643">
        <v>44183</v>
      </c>
      <c r="B139" s="641" t="s">
        <v>743</v>
      </c>
      <c r="C139" s="652" t="s">
        <v>820</v>
      </c>
      <c r="D139" s="652"/>
      <c r="E139" s="678"/>
      <c r="F139" s="664"/>
      <c r="G139" s="781"/>
      <c r="H139" s="776">
        <v>-12.44</v>
      </c>
      <c r="I139" s="1117">
        <f>+F137+F134</f>
        <v>166</v>
      </c>
      <c r="J139" s="911"/>
      <c r="K139" s="911"/>
      <c r="L139" s="1142"/>
    </row>
    <row r="140" spans="1:12" s="641" customFormat="1" x14ac:dyDescent="0.35">
      <c r="A140" s="643">
        <v>44203</v>
      </c>
      <c r="B140" s="641" t="s">
        <v>746</v>
      </c>
      <c r="C140" s="652" t="s">
        <v>820</v>
      </c>
      <c r="D140" s="652"/>
      <c r="E140" s="678">
        <v>-2.0099999999999998</v>
      </c>
      <c r="F140" s="664"/>
      <c r="G140" s="781"/>
      <c r="H140" s="776"/>
      <c r="I140" s="1117"/>
      <c r="J140" s="911"/>
      <c r="K140" s="911"/>
      <c r="L140" s="1142"/>
    </row>
    <row r="141" spans="1:12" s="640" customFormat="1" x14ac:dyDescent="0.35">
      <c r="A141" s="642">
        <v>44250</v>
      </c>
      <c r="B141" s="640" t="s">
        <v>742</v>
      </c>
      <c r="C141" s="650" t="s">
        <v>820</v>
      </c>
      <c r="D141" s="650"/>
      <c r="E141" s="681"/>
      <c r="F141" s="663" t="s">
        <v>126</v>
      </c>
      <c r="G141" s="780"/>
      <c r="H141" s="775">
        <v>41000</v>
      </c>
      <c r="I141" s="1116"/>
      <c r="J141" s="1141"/>
      <c r="K141" s="1141"/>
      <c r="L141" s="1148"/>
    </row>
    <row r="142" spans="1:12" s="641" customFormat="1" x14ac:dyDescent="0.35">
      <c r="A142" s="643">
        <v>44250</v>
      </c>
      <c r="B142" s="641" t="s">
        <v>743</v>
      </c>
      <c r="C142" s="652" t="s">
        <v>866</v>
      </c>
      <c r="D142" s="652"/>
      <c r="E142" s="678"/>
      <c r="F142" s="664">
        <v>9</v>
      </c>
      <c r="G142" s="781">
        <v>4089</v>
      </c>
      <c r="H142" s="776">
        <f>-F142*G142</f>
        <v>-36801</v>
      </c>
      <c r="I142" s="1117"/>
      <c r="J142" s="911"/>
      <c r="K142" s="911"/>
      <c r="L142" s="1142"/>
    </row>
    <row r="143" spans="1:12" s="641" customFormat="1" x14ac:dyDescent="0.35">
      <c r="A143" s="643">
        <v>44250</v>
      </c>
      <c r="B143" s="641" t="s">
        <v>743</v>
      </c>
      <c r="C143" s="652" t="s">
        <v>820</v>
      </c>
      <c r="D143" s="652"/>
      <c r="E143" s="678"/>
      <c r="F143" s="664" t="s">
        <v>740</v>
      </c>
      <c r="G143" s="781"/>
      <c r="H143" s="776">
        <v>-258.27</v>
      </c>
      <c r="I143" s="1117"/>
      <c r="J143" s="911"/>
      <c r="K143" s="911"/>
      <c r="L143" s="1142"/>
    </row>
    <row r="144" spans="1:12" s="641" customFormat="1" x14ac:dyDescent="0.35">
      <c r="A144" s="643">
        <v>44250</v>
      </c>
      <c r="B144" s="641" t="s">
        <v>743</v>
      </c>
      <c r="C144" s="652" t="s">
        <v>820</v>
      </c>
      <c r="D144" s="652"/>
      <c r="E144" s="678"/>
      <c r="F144" s="664" t="s">
        <v>751</v>
      </c>
      <c r="G144" s="781"/>
      <c r="H144" s="776">
        <v>-3940.73</v>
      </c>
      <c r="I144" s="1117"/>
      <c r="J144" s="911"/>
      <c r="K144" s="911"/>
      <c r="L144" s="1142"/>
    </row>
    <row r="145" spans="1:12" s="640" customFormat="1" x14ac:dyDescent="0.35">
      <c r="A145" s="642">
        <v>44259</v>
      </c>
      <c r="B145" s="640" t="s">
        <v>742</v>
      </c>
      <c r="C145" s="650" t="s">
        <v>820</v>
      </c>
      <c r="D145" s="650"/>
      <c r="E145" s="681"/>
      <c r="F145" s="663" t="s">
        <v>126</v>
      </c>
      <c r="G145" s="780"/>
      <c r="H145" s="775">
        <v>38000</v>
      </c>
      <c r="I145" s="1116"/>
      <c r="J145" s="1141"/>
      <c r="K145" s="1141"/>
      <c r="L145" s="1148"/>
    </row>
    <row r="146" spans="1:12" s="641" customFormat="1" x14ac:dyDescent="0.35">
      <c r="A146" s="643">
        <v>44259</v>
      </c>
      <c r="B146" s="641" t="s">
        <v>743</v>
      </c>
      <c r="C146" s="652" t="s">
        <v>866</v>
      </c>
      <c r="D146" s="652"/>
      <c r="E146" s="678"/>
      <c r="F146" s="664">
        <v>10</v>
      </c>
      <c r="G146" s="781">
        <v>3700</v>
      </c>
      <c r="H146" s="776">
        <f>-F146*G146</f>
        <v>-37000</v>
      </c>
      <c r="I146" s="1117"/>
      <c r="J146" s="911"/>
      <c r="K146" s="911"/>
      <c r="L146" s="1142"/>
    </row>
    <row r="147" spans="1:12" s="641" customFormat="1" x14ac:dyDescent="0.35">
      <c r="A147" s="643">
        <v>44259</v>
      </c>
      <c r="B147" s="641" t="s">
        <v>743</v>
      </c>
      <c r="C147" s="652" t="s">
        <v>820</v>
      </c>
      <c r="D147" s="652"/>
      <c r="E147" s="678"/>
      <c r="F147" s="664" t="s">
        <v>740</v>
      </c>
      <c r="G147" s="781"/>
      <c r="H147" s="776">
        <v>-244.57</v>
      </c>
      <c r="I147" s="1117"/>
      <c r="J147" s="911"/>
      <c r="K147" s="911"/>
      <c r="L147" s="1142"/>
    </row>
    <row r="148" spans="1:12" s="641" customFormat="1" x14ac:dyDescent="0.35">
      <c r="A148" s="643">
        <v>44259</v>
      </c>
      <c r="B148" s="641" t="s">
        <v>743</v>
      </c>
      <c r="C148" s="652" t="s">
        <v>820</v>
      </c>
      <c r="D148" s="652"/>
      <c r="E148" s="678"/>
      <c r="F148" s="664" t="s">
        <v>751</v>
      </c>
      <c r="G148" s="781"/>
      <c r="H148" s="776">
        <v>-755.43</v>
      </c>
      <c r="I148" s="1117"/>
      <c r="J148" s="911"/>
      <c r="K148" s="911"/>
      <c r="L148" s="1142"/>
    </row>
    <row r="149" spans="1:12" s="640" customFormat="1" x14ac:dyDescent="0.35">
      <c r="A149" s="642">
        <v>44280</v>
      </c>
      <c r="B149" s="640" t="s">
        <v>742</v>
      </c>
      <c r="C149" s="650" t="s">
        <v>820</v>
      </c>
      <c r="D149" s="650"/>
      <c r="E149" s="681"/>
      <c r="F149" s="663" t="s">
        <v>126</v>
      </c>
      <c r="G149" s="780"/>
      <c r="H149" s="775">
        <v>10499.89</v>
      </c>
      <c r="I149" s="1116"/>
      <c r="J149" s="1141"/>
      <c r="K149" s="1141"/>
      <c r="L149" s="1148"/>
    </row>
    <row r="150" spans="1:12" s="641" customFormat="1" x14ac:dyDescent="0.35">
      <c r="A150" s="643">
        <v>44280</v>
      </c>
      <c r="B150" s="641" t="s">
        <v>743</v>
      </c>
      <c r="C150" s="652" t="s">
        <v>866</v>
      </c>
      <c r="D150" s="652"/>
      <c r="E150" s="678"/>
      <c r="F150" s="664">
        <v>3</v>
      </c>
      <c r="G150" s="781">
        <v>3360</v>
      </c>
      <c r="H150" s="776">
        <f>-F150*G150</f>
        <v>-10080</v>
      </c>
      <c r="I150" s="1117"/>
      <c r="J150" s="911"/>
      <c r="K150" s="911"/>
      <c r="L150" s="1142"/>
    </row>
    <row r="151" spans="1:12" s="641" customFormat="1" x14ac:dyDescent="0.35">
      <c r="A151" s="643">
        <v>44280</v>
      </c>
      <c r="B151" s="641" t="s">
        <v>743</v>
      </c>
      <c r="C151" s="652" t="s">
        <v>820</v>
      </c>
      <c r="D151" s="652"/>
      <c r="E151" s="678"/>
      <c r="F151" s="664" t="s">
        <v>740</v>
      </c>
      <c r="G151" s="781"/>
      <c r="H151" s="776">
        <v>-70.739999999999995</v>
      </c>
      <c r="I151" s="1117"/>
      <c r="J151" s="911"/>
      <c r="K151" s="911"/>
      <c r="L151" s="1142"/>
    </row>
    <row r="152" spans="1:12" s="641" customFormat="1" x14ac:dyDescent="0.35">
      <c r="A152" s="643">
        <v>44280</v>
      </c>
      <c r="B152" s="641" t="s">
        <v>743</v>
      </c>
      <c r="C152" s="652" t="s">
        <v>820</v>
      </c>
      <c r="D152" s="652"/>
      <c r="E152" s="678"/>
      <c r="F152" s="664" t="s">
        <v>751</v>
      </c>
      <c r="G152" s="781"/>
      <c r="H152" s="776">
        <v>-349.15</v>
      </c>
      <c r="I152" s="1117"/>
      <c r="J152" s="911"/>
      <c r="K152" s="911"/>
      <c r="L152" s="1142"/>
    </row>
    <row r="153" spans="1:12" s="640" customFormat="1" x14ac:dyDescent="0.35">
      <c r="A153" s="642">
        <v>44371</v>
      </c>
      <c r="B153" s="640" t="s">
        <v>742</v>
      </c>
      <c r="C153" s="650" t="s">
        <v>924</v>
      </c>
      <c r="D153" s="650"/>
      <c r="E153" s="681"/>
      <c r="F153" s="663" t="s">
        <v>126</v>
      </c>
      <c r="G153" s="780"/>
      <c r="H153" s="775">
        <v>4500</v>
      </c>
      <c r="I153" s="1116"/>
      <c r="J153" s="1141"/>
      <c r="K153" s="1141"/>
      <c r="L153" s="1148"/>
    </row>
    <row r="154" spans="1:12" s="641" customFormat="1" x14ac:dyDescent="0.35">
      <c r="A154" s="643">
        <v>44371</v>
      </c>
      <c r="B154" s="641" t="s">
        <v>743</v>
      </c>
      <c r="C154" s="652" t="s">
        <v>866</v>
      </c>
      <c r="D154" s="652"/>
      <c r="E154" s="678"/>
      <c r="F154" s="664">
        <v>1</v>
      </c>
      <c r="G154" s="781">
        <v>4363</v>
      </c>
      <c r="H154" s="776">
        <f>-F154*G154</f>
        <v>-4363</v>
      </c>
      <c r="I154" s="1117"/>
      <c r="J154" s="911"/>
      <c r="K154" s="911"/>
      <c r="L154" s="1142"/>
    </row>
    <row r="155" spans="1:12" s="641" customFormat="1" x14ac:dyDescent="0.35">
      <c r="A155" s="643">
        <v>44371</v>
      </c>
      <c r="B155" s="641" t="s">
        <v>743</v>
      </c>
      <c r="C155" s="652" t="s">
        <v>924</v>
      </c>
      <c r="D155" s="652"/>
      <c r="E155" s="678"/>
      <c r="F155" s="664" t="s">
        <v>740</v>
      </c>
      <c r="G155" s="781"/>
      <c r="H155" s="776">
        <v>-51.73</v>
      </c>
      <c r="I155" s="1117"/>
      <c r="J155" s="911"/>
      <c r="K155" s="911"/>
      <c r="L155" s="1142"/>
    </row>
    <row r="156" spans="1:12" s="641" customFormat="1" x14ac:dyDescent="0.35">
      <c r="A156" s="643">
        <v>44373</v>
      </c>
      <c r="B156" s="641" t="s">
        <v>743</v>
      </c>
      <c r="C156" s="652" t="s">
        <v>924</v>
      </c>
      <c r="D156" s="652"/>
      <c r="E156" s="678"/>
      <c r="F156" s="664" t="s">
        <v>751</v>
      </c>
      <c r="G156" s="781"/>
      <c r="H156" s="776">
        <v>-85.26</v>
      </c>
      <c r="I156" s="1117"/>
      <c r="J156" s="911"/>
      <c r="K156" s="911"/>
      <c r="L156" s="1142"/>
    </row>
    <row r="157" spans="1:12" s="640" customFormat="1" x14ac:dyDescent="0.35">
      <c r="A157" s="642">
        <v>44390</v>
      </c>
      <c r="B157" s="640" t="s">
        <v>742</v>
      </c>
      <c r="C157" s="650" t="s">
        <v>820</v>
      </c>
      <c r="D157" s="650"/>
      <c r="E157" s="681"/>
      <c r="F157" s="663" t="s">
        <v>126</v>
      </c>
      <c r="G157" s="780"/>
      <c r="H157" s="775">
        <v>22600</v>
      </c>
      <c r="I157" s="1116"/>
      <c r="J157" s="1141"/>
      <c r="K157" s="1141"/>
      <c r="L157" s="1148"/>
    </row>
    <row r="158" spans="1:12" s="641" customFormat="1" x14ac:dyDescent="0.35">
      <c r="A158" s="643">
        <v>44390</v>
      </c>
      <c r="B158" s="641" t="s">
        <v>743</v>
      </c>
      <c r="C158" s="652" t="s">
        <v>866</v>
      </c>
      <c r="D158" s="652"/>
      <c r="E158" s="678"/>
      <c r="F158" s="664">
        <v>5</v>
      </c>
      <c r="G158" s="781">
        <v>4440</v>
      </c>
      <c r="H158" s="776">
        <f>-F158*G158</f>
        <v>-22200</v>
      </c>
      <c r="I158" s="1117"/>
      <c r="J158" s="911"/>
      <c r="K158" s="911"/>
      <c r="L158" s="1142"/>
    </row>
    <row r="159" spans="1:12" s="641" customFormat="1" x14ac:dyDescent="0.35">
      <c r="A159" s="643">
        <v>44390</v>
      </c>
      <c r="B159" s="641" t="s">
        <v>743</v>
      </c>
      <c r="C159" s="652" t="s">
        <v>820</v>
      </c>
      <c r="D159" s="652"/>
      <c r="E159" s="678"/>
      <c r="F159" s="664" t="s">
        <v>740</v>
      </c>
      <c r="G159" s="781"/>
      <c r="H159" s="776">
        <v>-155.80000000000001</v>
      </c>
      <c r="I159" s="1117"/>
      <c r="J159" s="911"/>
      <c r="K159" s="911"/>
      <c r="L159" s="1142"/>
    </row>
    <row r="160" spans="1:12" s="640" customFormat="1" x14ac:dyDescent="0.35">
      <c r="A160" s="642">
        <v>44392</v>
      </c>
      <c r="B160" s="640" t="s">
        <v>742</v>
      </c>
      <c r="C160" s="650" t="s">
        <v>820</v>
      </c>
      <c r="D160" s="650"/>
      <c r="E160" s="681"/>
      <c r="F160" s="663" t="s">
        <v>126</v>
      </c>
      <c r="G160" s="780"/>
      <c r="H160" s="775">
        <v>12850</v>
      </c>
      <c r="I160" s="1116"/>
      <c r="J160" s="1141"/>
      <c r="K160" s="1141"/>
      <c r="L160" s="1148"/>
    </row>
    <row r="161" spans="1:12" s="641" customFormat="1" x14ac:dyDescent="0.35">
      <c r="A161" s="643">
        <v>44392</v>
      </c>
      <c r="B161" s="641" t="s">
        <v>743</v>
      </c>
      <c r="C161" s="652" t="s">
        <v>866</v>
      </c>
      <c r="D161" s="652"/>
      <c r="E161" s="678"/>
      <c r="F161" s="664">
        <v>3</v>
      </c>
      <c r="G161" s="781">
        <v>4330</v>
      </c>
      <c r="H161" s="776">
        <f>-F161*G161</f>
        <v>-12990</v>
      </c>
      <c r="I161" s="1117"/>
      <c r="J161" s="911"/>
      <c r="K161" s="911"/>
      <c r="L161" s="1142"/>
    </row>
    <row r="162" spans="1:12" s="641" customFormat="1" x14ac:dyDescent="0.35">
      <c r="A162" s="643">
        <v>44392</v>
      </c>
      <c r="B162" s="641" t="s">
        <v>743</v>
      </c>
      <c r="C162" s="652" t="s">
        <v>820</v>
      </c>
      <c r="D162" s="652"/>
      <c r="E162" s="678"/>
      <c r="F162" s="664" t="s">
        <v>740</v>
      </c>
      <c r="G162" s="781"/>
      <c r="H162" s="776">
        <v>-91.16</v>
      </c>
      <c r="I162" s="1117"/>
      <c r="J162" s="911"/>
      <c r="K162" s="911"/>
      <c r="L162" s="1142"/>
    </row>
    <row r="163" spans="1:12" s="640" customFormat="1" x14ac:dyDescent="0.35">
      <c r="A163" s="642">
        <v>44396</v>
      </c>
      <c r="B163" s="640" t="s">
        <v>742</v>
      </c>
      <c r="C163" s="650" t="s">
        <v>820</v>
      </c>
      <c r="D163" s="650"/>
      <c r="E163" s="681"/>
      <c r="F163" s="663" t="s">
        <v>126</v>
      </c>
      <c r="G163" s="780"/>
      <c r="H163" s="775">
        <v>9700</v>
      </c>
      <c r="I163" s="1116"/>
      <c r="J163" s="1141"/>
      <c r="K163" s="1141"/>
      <c r="L163" s="1148"/>
    </row>
    <row r="164" spans="1:12" s="641" customFormat="1" x14ac:dyDescent="0.35">
      <c r="A164" s="643">
        <v>44396</v>
      </c>
      <c r="B164" s="641" t="s">
        <v>743</v>
      </c>
      <c r="C164" s="652" t="s">
        <v>866</v>
      </c>
      <c r="D164" s="652"/>
      <c r="E164" s="678"/>
      <c r="F164" s="664">
        <v>2</v>
      </c>
      <c r="G164" s="781">
        <v>4398.5</v>
      </c>
      <c r="H164" s="776">
        <f>-F164*G164</f>
        <v>-8797</v>
      </c>
      <c r="I164" s="1117"/>
      <c r="J164" s="911"/>
      <c r="K164" s="911"/>
      <c r="L164" s="1142"/>
    </row>
    <row r="165" spans="1:12" s="641" customFormat="1" x14ac:dyDescent="0.35">
      <c r="A165" s="643">
        <v>44396</v>
      </c>
      <c r="B165" s="641" t="s">
        <v>743</v>
      </c>
      <c r="C165" s="652" t="s">
        <v>820</v>
      </c>
      <c r="D165" s="652"/>
      <c r="E165" s="678"/>
      <c r="F165" s="664" t="s">
        <v>740</v>
      </c>
      <c r="G165" s="781"/>
      <c r="H165" s="776">
        <v>-61.75</v>
      </c>
      <c r="I165" s="1117"/>
      <c r="J165" s="911"/>
      <c r="K165" s="911"/>
      <c r="L165" s="1142"/>
    </row>
    <row r="166" spans="1:12" s="641" customFormat="1" x14ac:dyDescent="0.35">
      <c r="A166" s="643">
        <v>44396</v>
      </c>
      <c r="B166" s="641" t="s">
        <v>743</v>
      </c>
      <c r="C166" s="652" t="s">
        <v>820</v>
      </c>
      <c r="D166" s="652"/>
      <c r="E166" s="678"/>
      <c r="F166" s="664" t="s">
        <v>751</v>
      </c>
      <c r="G166" s="781"/>
      <c r="H166" s="776">
        <v>-100</v>
      </c>
      <c r="I166" s="1117"/>
      <c r="J166" s="911"/>
      <c r="K166" s="911"/>
      <c r="L166" s="1142"/>
    </row>
    <row r="167" spans="1:12" s="640" customFormat="1" x14ac:dyDescent="0.35">
      <c r="A167" s="642">
        <v>44412</v>
      </c>
      <c r="B167" s="640" t="s">
        <v>742</v>
      </c>
      <c r="C167" s="650" t="s">
        <v>820</v>
      </c>
      <c r="D167" s="650"/>
      <c r="E167" s="681"/>
      <c r="F167" s="663" t="s">
        <v>126</v>
      </c>
      <c r="G167" s="780"/>
      <c r="H167" s="775">
        <v>4000</v>
      </c>
      <c r="I167" s="1116"/>
      <c r="J167" s="1141"/>
      <c r="K167" s="1141"/>
      <c r="L167" s="1148"/>
    </row>
    <row r="168" spans="1:12" s="641" customFormat="1" x14ac:dyDescent="0.35">
      <c r="A168" s="643">
        <v>44412</v>
      </c>
      <c r="B168" s="641" t="s">
        <v>743</v>
      </c>
      <c r="C168" s="652" t="s">
        <v>866</v>
      </c>
      <c r="D168" s="652"/>
      <c r="E168" s="678"/>
      <c r="F168" s="664">
        <v>1</v>
      </c>
      <c r="G168" s="781">
        <v>4685</v>
      </c>
      <c r="H168" s="776">
        <f>-F168*G168</f>
        <v>-4685</v>
      </c>
      <c r="I168" s="1117"/>
      <c r="J168" s="911"/>
      <c r="K168" s="911"/>
      <c r="L168" s="1142"/>
    </row>
    <row r="169" spans="1:12" s="641" customFormat="1" x14ac:dyDescent="0.35">
      <c r="A169" s="643">
        <v>44412</v>
      </c>
      <c r="B169" s="641" t="s">
        <v>743</v>
      </c>
      <c r="C169" s="652" t="s">
        <v>820</v>
      </c>
      <c r="D169" s="652"/>
      <c r="E169" s="678"/>
      <c r="F169" s="664" t="s">
        <v>740</v>
      </c>
      <c r="G169" s="781"/>
      <c r="H169" s="776">
        <v>-32.89</v>
      </c>
      <c r="I169" s="1117"/>
      <c r="J169" s="911"/>
      <c r="K169" s="911"/>
      <c r="L169" s="1142"/>
    </row>
    <row r="170" spans="1:12" s="640" customFormat="1" x14ac:dyDescent="0.35">
      <c r="A170" s="642">
        <v>44418</v>
      </c>
      <c r="B170" s="640" t="s">
        <v>742</v>
      </c>
      <c r="C170" s="650" t="s">
        <v>820</v>
      </c>
      <c r="D170" s="650"/>
      <c r="E170" s="681"/>
      <c r="F170" s="663" t="s">
        <v>126</v>
      </c>
      <c r="G170" s="780"/>
      <c r="H170" s="775">
        <v>21900</v>
      </c>
      <c r="I170" s="1116"/>
      <c r="J170" s="1141"/>
      <c r="K170" s="1141"/>
      <c r="L170" s="1148"/>
    </row>
    <row r="171" spans="1:12" s="640" customFormat="1" x14ac:dyDescent="0.35">
      <c r="A171" s="642">
        <v>44419</v>
      </c>
      <c r="B171" s="640" t="s">
        <v>742</v>
      </c>
      <c r="C171" s="650" t="s">
        <v>820</v>
      </c>
      <c r="D171" s="650"/>
      <c r="E171" s="681"/>
      <c r="F171" s="663" t="s">
        <v>126</v>
      </c>
      <c r="G171" s="780"/>
      <c r="H171" s="775">
        <v>56000</v>
      </c>
      <c r="I171" s="1116"/>
      <c r="J171" s="1141"/>
      <c r="K171" s="1141"/>
      <c r="L171" s="1148"/>
    </row>
    <row r="172" spans="1:12" s="641" customFormat="1" x14ac:dyDescent="0.35">
      <c r="A172" s="643">
        <v>44419</v>
      </c>
      <c r="B172" s="641" t="s">
        <v>743</v>
      </c>
      <c r="C172" s="652" t="s">
        <v>866</v>
      </c>
      <c r="D172" s="652"/>
      <c r="E172" s="678"/>
      <c r="F172" s="664">
        <v>13</v>
      </c>
      <c r="G172" s="781">
        <v>5469.5</v>
      </c>
      <c r="H172" s="776">
        <f>-F172*G172</f>
        <v>-71103.5</v>
      </c>
      <c r="I172" s="1117"/>
      <c r="J172" s="911"/>
      <c r="K172" s="911"/>
      <c r="L172" s="1142"/>
    </row>
    <row r="173" spans="1:12" s="641" customFormat="1" x14ac:dyDescent="0.35">
      <c r="A173" s="643">
        <v>44419</v>
      </c>
      <c r="B173" s="641" t="s">
        <v>743</v>
      </c>
      <c r="C173" s="652" t="s">
        <v>866</v>
      </c>
      <c r="D173" s="652"/>
      <c r="E173" s="678"/>
      <c r="F173" s="664">
        <v>1</v>
      </c>
      <c r="G173" s="781">
        <v>5470</v>
      </c>
      <c r="H173" s="776">
        <f>-F173*G173</f>
        <v>-5470</v>
      </c>
      <c r="I173" s="1117"/>
      <c r="J173" s="911"/>
      <c r="K173" s="911"/>
      <c r="L173" s="1142"/>
    </row>
    <row r="174" spans="1:12" s="641" customFormat="1" x14ac:dyDescent="0.35">
      <c r="A174" s="643">
        <v>44419</v>
      </c>
      <c r="B174" s="641" t="s">
        <v>743</v>
      </c>
      <c r="C174" s="652" t="s">
        <v>820</v>
      </c>
      <c r="D174" s="652"/>
      <c r="E174" s="678"/>
      <c r="F174" s="664" t="s">
        <v>740</v>
      </c>
      <c r="G174" s="781"/>
      <c r="H174" s="776">
        <v>-537.4</v>
      </c>
      <c r="I174" s="1117"/>
      <c r="J174" s="911"/>
      <c r="K174" s="911"/>
      <c r="L174" s="1142"/>
    </row>
    <row r="175" spans="1:12" s="640" customFormat="1" x14ac:dyDescent="0.35">
      <c r="A175" s="642">
        <v>44425</v>
      </c>
      <c r="B175" s="640" t="s">
        <v>742</v>
      </c>
      <c r="C175" s="650" t="s">
        <v>820</v>
      </c>
      <c r="D175" s="650"/>
      <c r="E175" s="681"/>
      <c r="F175" s="663" t="s">
        <v>126</v>
      </c>
      <c r="G175" s="780"/>
      <c r="H175" s="775">
        <v>54000</v>
      </c>
      <c r="I175" s="1116"/>
      <c r="J175" s="1141"/>
      <c r="K175" s="1141"/>
      <c r="L175" s="1148"/>
    </row>
    <row r="176" spans="1:12" s="641" customFormat="1" x14ac:dyDescent="0.35">
      <c r="A176" s="643">
        <v>44425</v>
      </c>
      <c r="B176" s="641" t="s">
        <v>743</v>
      </c>
      <c r="C176" s="652" t="s">
        <v>866</v>
      </c>
      <c r="D176" s="652"/>
      <c r="E176" s="678"/>
      <c r="F176" s="664">
        <v>10</v>
      </c>
      <c r="G176" s="781">
        <v>5248.25</v>
      </c>
      <c r="H176" s="776">
        <f>-F176*G176</f>
        <v>-52482.5</v>
      </c>
      <c r="I176" s="1117"/>
      <c r="J176" s="911"/>
      <c r="K176" s="911"/>
      <c r="L176" s="1142"/>
    </row>
    <row r="177" spans="1:12" s="641" customFormat="1" x14ac:dyDescent="0.35">
      <c r="A177" s="643">
        <v>44425</v>
      </c>
      <c r="B177" s="641" t="s">
        <v>743</v>
      </c>
      <c r="C177" s="652" t="s">
        <v>820</v>
      </c>
      <c r="D177" s="652"/>
      <c r="E177" s="678"/>
      <c r="F177" s="664" t="s">
        <v>740</v>
      </c>
      <c r="G177" s="781"/>
      <c r="H177" s="776">
        <v>-368.32</v>
      </c>
      <c r="I177" s="1117"/>
      <c r="J177" s="911"/>
      <c r="K177" s="911"/>
      <c r="L177" s="1142"/>
    </row>
    <row r="178" spans="1:12" s="641" customFormat="1" x14ac:dyDescent="0.35">
      <c r="A178" s="643">
        <v>44425</v>
      </c>
      <c r="B178" s="641" t="s">
        <v>743</v>
      </c>
      <c r="C178" s="652" t="s">
        <v>820</v>
      </c>
      <c r="D178" s="652"/>
      <c r="E178" s="678"/>
      <c r="F178" s="664" t="s">
        <v>751</v>
      </c>
      <c r="G178" s="781"/>
      <c r="H178" s="776">
        <v>-1000</v>
      </c>
      <c r="I178" s="1117"/>
      <c r="J178" s="911"/>
      <c r="K178" s="911"/>
      <c r="L178" s="1142"/>
    </row>
    <row r="179" spans="1:12" s="641" customFormat="1" x14ac:dyDescent="0.35">
      <c r="A179" s="643">
        <v>44431</v>
      </c>
      <c r="B179" s="641" t="s">
        <v>743</v>
      </c>
      <c r="C179" s="652" t="s">
        <v>820</v>
      </c>
      <c r="D179" s="652"/>
      <c r="E179" s="678"/>
      <c r="F179" s="664" t="s">
        <v>751</v>
      </c>
      <c r="G179" s="781"/>
      <c r="H179" s="776">
        <v>-900</v>
      </c>
      <c r="I179" s="1117"/>
      <c r="J179" s="911"/>
      <c r="K179" s="911"/>
      <c r="L179" s="1142"/>
    </row>
    <row r="180" spans="1:12" s="640" customFormat="1" x14ac:dyDescent="0.35">
      <c r="A180" s="642">
        <v>44447</v>
      </c>
      <c r="B180" s="640" t="s">
        <v>742</v>
      </c>
      <c r="C180" s="650" t="s">
        <v>820</v>
      </c>
      <c r="D180" s="650"/>
      <c r="E180" s="681"/>
      <c r="F180" s="663" t="s">
        <v>126</v>
      </c>
      <c r="G180" s="780"/>
      <c r="H180" s="775">
        <v>29000</v>
      </c>
      <c r="I180" s="1116"/>
      <c r="J180" s="1141"/>
      <c r="K180" s="1141"/>
      <c r="L180" s="1148"/>
    </row>
    <row r="181" spans="1:12" s="641" customFormat="1" x14ac:dyDescent="0.35">
      <c r="A181" s="643">
        <v>44447</v>
      </c>
      <c r="B181" s="641" t="s">
        <v>743</v>
      </c>
      <c r="C181" s="652" t="s">
        <v>866</v>
      </c>
      <c r="D181" s="652"/>
      <c r="E181" s="678"/>
      <c r="F181" s="664" t="s">
        <v>957</v>
      </c>
      <c r="G181" s="781">
        <v>5</v>
      </c>
      <c r="H181" s="776">
        <v>-28555</v>
      </c>
      <c r="I181" s="1117"/>
      <c r="J181" s="911"/>
      <c r="K181" s="911"/>
      <c r="L181" s="1142"/>
    </row>
    <row r="182" spans="1:12" s="640" customFormat="1" x14ac:dyDescent="0.35">
      <c r="A182" s="642">
        <v>44448</v>
      </c>
      <c r="B182" s="640" t="s">
        <v>742</v>
      </c>
      <c r="C182" s="650" t="s">
        <v>820</v>
      </c>
      <c r="D182" s="650"/>
      <c r="E182" s="681"/>
      <c r="F182" s="663" t="s">
        <v>126</v>
      </c>
      <c r="G182" s="780"/>
      <c r="H182" s="775">
        <v>28150</v>
      </c>
      <c r="I182" s="1116"/>
      <c r="J182" s="1141"/>
      <c r="K182" s="1141"/>
      <c r="L182" s="1148"/>
    </row>
    <row r="183" spans="1:12" s="641" customFormat="1" x14ac:dyDescent="0.35">
      <c r="A183" s="643">
        <v>44448</v>
      </c>
      <c r="B183" s="641" t="s">
        <v>743</v>
      </c>
      <c r="C183" s="652" t="s">
        <v>866</v>
      </c>
      <c r="D183" s="652"/>
      <c r="E183" s="678"/>
      <c r="F183" s="664" t="s">
        <v>957</v>
      </c>
      <c r="G183" s="781">
        <v>5</v>
      </c>
      <c r="H183" s="776">
        <v>-28664.77</v>
      </c>
      <c r="I183" s="1117"/>
      <c r="J183" s="911"/>
      <c r="K183" s="911"/>
      <c r="L183" s="1142"/>
    </row>
    <row r="184" spans="1:12" s="640" customFormat="1" x14ac:dyDescent="0.35">
      <c r="A184" s="642">
        <v>44460</v>
      </c>
      <c r="B184" s="640" t="s">
        <v>742</v>
      </c>
      <c r="C184" s="650" t="s">
        <v>820</v>
      </c>
      <c r="D184" s="650"/>
      <c r="E184" s="681"/>
      <c r="F184" s="663" t="s">
        <v>126</v>
      </c>
      <c r="G184" s="780"/>
      <c r="H184" s="775">
        <v>28600</v>
      </c>
      <c r="I184" s="1116"/>
      <c r="J184" s="1141"/>
      <c r="K184" s="1141"/>
      <c r="L184" s="1148"/>
    </row>
    <row r="185" spans="1:12" s="641" customFormat="1" x14ac:dyDescent="0.35">
      <c r="A185" s="643">
        <v>44460</v>
      </c>
      <c r="B185" s="641" t="s">
        <v>743</v>
      </c>
      <c r="C185" s="652" t="s">
        <v>866</v>
      </c>
      <c r="D185" s="652"/>
      <c r="E185" s="678"/>
      <c r="F185" s="664" t="s">
        <v>957</v>
      </c>
      <c r="G185" s="781">
        <v>5</v>
      </c>
      <c r="H185" s="776">
        <v>-28508.18</v>
      </c>
      <c r="I185" s="1117"/>
      <c r="J185" s="911"/>
      <c r="K185" s="911"/>
      <c r="L185" s="1142"/>
    </row>
    <row r="186" spans="1:12" s="640" customFormat="1" x14ac:dyDescent="0.35">
      <c r="A186" s="642">
        <v>44466</v>
      </c>
      <c r="B186" s="640" t="s">
        <v>742</v>
      </c>
      <c r="C186" s="650" t="s">
        <v>820</v>
      </c>
      <c r="D186" s="650"/>
      <c r="E186" s="681"/>
      <c r="F186" s="663" t="s">
        <v>126</v>
      </c>
      <c r="G186" s="780"/>
      <c r="H186" s="775">
        <f>12000+11200</f>
        <v>23200</v>
      </c>
      <c r="I186" s="1116"/>
      <c r="J186" s="1141"/>
      <c r="K186" s="1141"/>
      <c r="L186" s="1148"/>
    </row>
    <row r="187" spans="1:12" s="641" customFormat="1" x14ac:dyDescent="0.35">
      <c r="A187" s="643">
        <v>44466</v>
      </c>
      <c r="B187" s="641" t="s">
        <v>743</v>
      </c>
      <c r="C187" s="652" t="s">
        <v>866</v>
      </c>
      <c r="D187" s="652"/>
      <c r="E187" s="678"/>
      <c r="F187" s="664" t="s">
        <v>957</v>
      </c>
      <c r="G187" s="781">
        <v>4</v>
      </c>
      <c r="H187" s="776">
        <v>-23248.02</v>
      </c>
      <c r="I187" s="1117"/>
      <c r="J187" s="911"/>
      <c r="K187" s="911"/>
      <c r="L187" s="1142"/>
    </row>
    <row r="188" spans="1:12" s="640" customFormat="1" x14ac:dyDescent="0.35">
      <c r="A188" s="642">
        <v>44467</v>
      </c>
      <c r="B188" s="640" t="s">
        <v>742</v>
      </c>
      <c r="C188" s="650" t="s">
        <v>820</v>
      </c>
      <c r="D188" s="650"/>
      <c r="E188" s="681"/>
      <c r="F188" s="663" t="s">
        <v>126</v>
      </c>
      <c r="G188" s="780"/>
      <c r="H188" s="775">
        <v>7000</v>
      </c>
      <c r="I188" s="1116"/>
      <c r="J188" s="1141"/>
      <c r="K188" s="1141"/>
      <c r="L188" s="1148"/>
    </row>
    <row r="189" spans="1:12" s="641" customFormat="1" x14ac:dyDescent="0.35">
      <c r="A189" s="643">
        <v>44467</v>
      </c>
      <c r="B189" s="641" t="s">
        <v>743</v>
      </c>
      <c r="C189" s="652" t="s">
        <v>866</v>
      </c>
      <c r="D189" s="652"/>
      <c r="E189" s="678"/>
      <c r="F189" s="664" t="s">
        <v>957</v>
      </c>
      <c r="G189" s="781">
        <v>1</v>
      </c>
      <c r="H189" s="776">
        <v>-5578.88</v>
      </c>
      <c r="I189" s="1117"/>
      <c r="J189" s="911"/>
      <c r="K189" s="911"/>
      <c r="L189" s="1142"/>
    </row>
    <row r="190" spans="1:12" s="640" customFormat="1" x14ac:dyDescent="0.35">
      <c r="A190" s="642">
        <v>44470</v>
      </c>
      <c r="B190" s="640" t="s">
        <v>742</v>
      </c>
      <c r="C190" s="650" t="s">
        <v>820</v>
      </c>
      <c r="D190" s="650"/>
      <c r="E190" s="681"/>
      <c r="F190" s="663" t="s">
        <v>126</v>
      </c>
      <c r="G190" s="780"/>
      <c r="H190" s="775">
        <v>37000</v>
      </c>
      <c r="I190" s="1116"/>
      <c r="J190" s="1141"/>
      <c r="K190" s="1141"/>
      <c r="L190" s="1148"/>
    </row>
    <row r="191" spans="1:12" s="641" customFormat="1" x14ac:dyDescent="0.35">
      <c r="A191" s="643">
        <v>44470</v>
      </c>
      <c r="B191" s="641" t="s">
        <v>743</v>
      </c>
      <c r="C191" s="652" t="s">
        <v>866</v>
      </c>
      <c r="D191" s="652"/>
      <c r="E191" s="678"/>
      <c r="F191" s="664" t="s">
        <v>957</v>
      </c>
      <c r="G191" s="781">
        <v>7</v>
      </c>
      <c r="H191" s="776">
        <v>-37808.49</v>
      </c>
      <c r="I191" s="1117"/>
      <c r="J191" s="911"/>
      <c r="K191" s="911"/>
      <c r="L191" s="1142"/>
    </row>
    <row r="192" spans="1:12" s="641" customFormat="1" x14ac:dyDescent="0.35">
      <c r="A192" s="643">
        <v>44470</v>
      </c>
      <c r="B192" s="641" t="s">
        <v>743</v>
      </c>
      <c r="C192" s="652" t="s">
        <v>820</v>
      </c>
      <c r="D192" s="652"/>
      <c r="E192" s="678"/>
      <c r="F192" s="664" t="s">
        <v>751</v>
      </c>
      <c r="G192" s="781"/>
      <c r="H192" s="776">
        <v>-661.35</v>
      </c>
      <c r="I192" s="1117"/>
      <c r="J192" s="911"/>
      <c r="K192" s="911"/>
      <c r="L192" s="1142"/>
    </row>
    <row r="193" spans="1:12" s="640" customFormat="1" x14ac:dyDescent="0.35">
      <c r="A193" s="642">
        <v>44473</v>
      </c>
      <c r="B193" s="640" t="s">
        <v>742</v>
      </c>
      <c r="C193" s="650" t="s">
        <v>820</v>
      </c>
      <c r="D193" s="650"/>
      <c r="E193" s="681"/>
      <c r="F193" s="663" t="s">
        <v>126</v>
      </c>
      <c r="G193" s="780"/>
      <c r="H193" s="775">
        <v>15800</v>
      </c>
      <c r="I193" s="1116"/>
      <c r="J193" s="1141"/>
      <c r="K193" s="1141"/>
      <c r="L193" s="1148"/>
    </row>
    <row r="194" spans="1:12" s="641" customFormat="1" x14ac:dyDescent="0.35">
      <c r="A194" s="643">
        <v>44473</v>
      </c>
      <c r="B194" s="641" t="s">
        <v>743</v>
      </c>
      <c r="C194" s="652" t="s">
        <v>866</v>
      </c>
      <c r="D194" s="652"/>
      <c r="E194" s="678"/>
      <c r="F194" s="664" t="s">
        <v>957</v>
      </c>
      <c r="G194" s="781">
        <v>3</v>
      </c>
      <c r="H194" s="776">
        <v>-15701.42</v>
      </c>
      <c r="I194" s="1117"/>
      <c r="J194" s="911"/>
      <c r="K194" s="911"/>
      <c r="L194" s="1142"/>
    </row>
    <row r="195" spans="1:12" s="641" customFormat="1" x14ac:dyDescent="0.35">
      <c r="A195" s="643">
        <v>44504</v>
      </c>
      <c r="B195" s="641" t="s">
        <v>743</v>
      </c>
      <c r="C195" s="652" t="s">
        <v>820</v>
      </c>
      <c r="D195" s="652"/>
      <c r="E195" s="678"/>
      <c r="F195" s="664" t="s">
        <v>751</v>
      </c>
      <c r="G195" s="781"/>
      <c r="H195" s="776">
        <v>-97.63</v>
      </c>
      <c r="I195" s="1117"/>
      <c r="J195" s="911"/>
      <c r="K195" s="911"/>
      <c r="L195" s="1142"/>
    </row>
    <row r="196" spans="1:12" s="640" customFormat="1" x14ac:dyDescent="0.35">
      <c r="A196" s="642">
        <v>44512</v>
      </c>
      <c r="B196" s="640" t="s">
        <v>742</v>
      </c>
      <c r="C196" s="650" t="s">
        <v>820</v>
      </c>
      <c r="D196" s="650"/>
      <c r="E196" s="681"/>
      <c r="F196" s="663" t="s">
        <v>126</v>
      </c>
      <c r="G196" s="780"/>
      <c r="H196" s="775">
        <v>12000</v>
      </c>
      <c r="I196" s="1116"/>
      <c r="J196" s="1141"/>
      <c r="K196" s="1141"/>
      <c r="L196" s="1148"/>
    </row>
    <row r="197" spans="1:12" s="641" customFormat="1" x14ac:dyDescent="0.35">
      <c r="A197" s="643">
        <v>44512</v>
      </c>
      <c r="B197" s="641" t="s">
        <v>743</v>
      </c>
      <c r="C197" s="652" t="s">
        <v>866</v>
      </c>
      <c r="D197" s="652"/>
      <c r="E197" s="678"/>
      <c r="F197" s="664" t="s">
        <v>957</v>
      </c>
      <c r="G197" s="781">
        <v>2</v>
      </c>
      <c r="H197" s="776">
        <v>-11458.86</v>
      </c>
      <c r="I197" s="1117"/>
      <c r="J197" s="911"/>
      <c r="K197" s="911"/>
      <c r="L197" s="1142"/>
    </row>
    <row r="198" spans="1:12" s="640" customFormat="1" x14ac:dyDescent="0.35">
      <c r="A198" s="642">
        <v>44516</v>
      </c>
      <c r="B198" s="640" t="s">
        <v>742</v>
      </c>
      <c r="C198" s="650" t="s">
        <v>820</v>
      </c>
      <c r="D198" s="650"/>
      <c r="E198" s="681"/>
      <c r="F198" s="663" t="s">
        <v>126</v>
      </c>
      <c r="G198" s="780"/>
      <c r="H198" s="775">
        <f>5000+5300</f>
        <v>10300</v>
      </c>
      <c r="I198" s="1116"/>
      <c r="J198" s="1141"/>
      <c r="K198" s="1141"/>
      <c r="L198" s="1148"/>
    </row>
    <row r="199" spans="1:12" s="641" customFormat="1" x14ac:dyDescent="0.35">
      <c r="A199" s="643">
        <v>44516</v>
      </c>
      <c r="B199" s="641" t="s">
        <v>743</v>
      </c>
      <c r="C199" s="652" t="s">
        <v>866</v>
      </c>
      <c r="D199" s="652"/>
      <c r="E199" s="678"/>
      <c r="F199" s="664" t="s">
        <v>957</v>
      </c>
      <c r="G199" s="781">
        <v>2</v>
      </c>
      <c r="H199" s="776">
        <v>-10790.2</v>
      </c>
      <c r="I199" s="1117"/>
      <c r="J199" s="911"/>
      <c r="K199" s="911"/>
      <c r="L199" s="1142"/>
    </row>
    <row r="200" spans="1:12" s="640" customFormat="1" x14ac:dyDescent="0.35">
      <c r="A200" s="642">
        <v>44523</v>
      </c>
      <c r="B200" s="640" t="s">
        <v>742</v>
      </c>
      <c r="C200" s="650" t="s">
        <v>820</v>
      </c>
      <c r="D200" s="650"/>
      <c r="E200" s="681"/>
      <c r="F200" s="663" t="s">
        <v>126</v>
      </c>
      <c r="G200" s="780"/>
      <c r="H200" s="775">
        <v>5000</v>
      </c>
      <c r="I200" s="1116"/>
      <c r="J200" s="1141"/>
      <c r="K200" s="1141"/>
      <c r="L200" s="1148"/>
    </row>
    <row r="201" spans="1:12" s="641" customFormat="1" x14ac:dyDescent="0.35">
      <c r="A201" s="643">
        <v>44523</v>
      </c>
      <c r="B201" s="641" t="s">
        <v>743</v>
      </c>
      <c r="C201" s="652" t="s">
        <v>866</v>
      </c>
      <c r="D201" s="652"/>
      <c r="E201" s="678"/>
      <c r="F201" s="664" t="s">
        <v>957</v>
      </c>
      <c r="G201" s="781">
        <v>1</v>
      </c>
      <c r="H201" s="776">
        <v>-4685.66</v>
      </c>
      <c r="I201" s="1117"/>
      <c r="J201" s="911"/>
      <c r="K201" s="911"/>
      <c r="L201" s="1142"/>
    </row>
    <row r="202" spans="1:12" s="640" customFormat="1" x14ac:dyDescent="0.35">
      <c r="A202" s="642">
        <v>44531</v>
      </c>
      <c r="B202" s="640" t="s">
        <v>742</v>
      </c>
      <c r="C202" s="650" t="s">
        <v>820</v>
      </c>
      <c r="D202" s="650"/>
      <c r="E202" s="681"/>
      <c r="F202" s="663" t="s">
        <v>126</v>
      </c>
      <c r="G202" s="780"/>
      <c r="H202" s="775">
        <v>4100</v>
      </c>
      <c r="I202" s="1116"/>
      <c r="J202" s="1141"/>
      <c r="K202" s="1141"/>
      <c r="L202" s="1148"/>
    </row>
    <row r="203" spans="1:12" s="641" customFormat="1" x14ac:dyDescent="0.35">
      <c r="A203" s="643">
        <v>44531</v>
      </c>
      <c r="B203" s="641" t="s">
        <v>743</v>
      </c>
      <c r="C203" s="652" t="s">
        <v>866</v>
      </c>
      <c r="D203" s="652"/>
      <c r="E203" s="678"/>
      <c r="F203" s="664" t="s">
        <v>957</v>
      </c>
      <c r="G203" s="781">
        <v>1</v>
      </c>
      <c r="H203" s="776">
        <v>-4390.6000000000004</v>
      </c>
      <c r="I203" s="1117"/>
      <c r="J203" s="911"/>
      <c r="K203" s="911"/>
      <c r="L203" s="1142"/>
    </row>
    <row r="204" spans="1:12" s="640" customFormat="1" x14ac:dyDescent="0.35">
      <c r="A204" s="642">
        <v>44544</v>
      </c>
      <c r="B204" s="640" t="s">
        <v>742</v>
      </c>
      <c r="C204" s="650" t="s">
        <v>820</v>
      </c>
      <c r="D204" s="650"/>
      <c r="E204" s="681"/>
      <c r="F204" s="663" t="s">
        <v>126</v>
      </c>
      <c r="G204" s="780"/>
      <c r="H204" s="775">
        <v>8000</v>
      </c>
      <c r="I204" s="1116"/>
      <c r="J204" s="1141"/>
      <c r="K204" s="1141"/>
      <c r="L204" s="1148"/>
    </row>
    <row r="205" spans="1:12" s="641" customFormat="1" x14ac:dyDescent="0.35">
      <c r="A205" s="643">
        <v>44544</v>
      </c>
      <c r="B205" s="641" t="s">
        <v>743</v>
      </c>
      <c r="C205" s="652" t="s">
        <v>866</v>
      </c>
      <c r="D205" s="652"/>
      <c r="E205" s="678"/>
      <c r="F205" s="664" t="s">
        <v>957</v>
      </c>
      <c r="G205" s="781">
        <v>2</v>
      </c>
      <c r="H205" s="776">
        <v>-8073.27</v>
      </c>
      <c r="I205" s="1117"/>
      <c r="J205" s="911"/>
      <c r="K205" s="911"/>
      <c r="L205" s="1142"/>
    </row>
    <row r="206" spans="1:12" s="640" customFormat="1" x14ac:dyDescent="0.35">
      <c r="A206" s="642">
        <v>44550</v>
      </c>
      <c r="B206" s="640" t="s">
        <v>742</v>
      </c>
      <c r="C206" s="650" t="s">
        <v>820</v>
      </c>
      <c r="D206" s="650"/>
      <c r="E206" s="681"/>
      <c r="F206" s="663" t="s">
        <v>126</v>
      </c>
      <c r="G206" s="780"/>
      <c r="H206" s="775">
        <v>8300</v>
      </c>
      <c r="I206" s="1116"/>
      <c r="J206" s="1141"/>
      <c r="K206" s="1141"/>
      <c r="L206" s="1148"/>
    </row>
    <row r="207" spans="1:12" s="641" customFormat="1" x14ac:dyDescent="0.35">
      <c r="A207" s="643">
        <v>44550</v>
      </c>
      <c r="B207" s="641" t="s">
        <v>743</v>
      </c>
      <c r="C207" s="652" t="s">
        <v>866</v>
      </c>
      <c r="D207" s="652"/>
      <c r="E207" s="678"/>
      <c r="F207" s="664" t="s">
        <v>957</v>
      </c>
      <c r="G207" s="781">
        <v>2</v>
      </c>
      <c r="H207" s="776">
        <v>-8278.7000000000007</v>
      </c>
      <c r="I207" s="1117"/>
      <c r="J207" s="911"/>
      <c r="K207" s="911"/>
      <c r="L207" s="1142"/>
    </row>
    <row r="208" spans="1:12" s="640" customFormat="1" x14ac:dyDescent="0.35">
      <c r="A208" s="642">
        <v>44565</v>
      </c>
      <c r="B208" s="640" t="s">
        <v>742</v>
      </c>
      <c r="C208" s="650" t="s">
        <v>820</v>
      </c>
      <c r="D208" s="650"/>
      <c r="E208" s="681"/>
      <c r="F208" s="663" t="s">
        <v>126</v>
      </c>
      <c r="G208" s="780"/>
      <c r="H208" s="775">
        <v>2500</v>
      </c>
      <c r="I208" s="1116"/>
      <c r="J208" s="1141"/>
      <c r="K208" s="1141"/>
      <c r="L208" s="1148"/>
    </row>
    <row r="209" spans="1:12" s="641" customFormat="1" x14ac:dyDescent="0.35">
      <c r="A209" s="643">
        <v>44565</v>
      </c>
      <c r="B209" s="641" t="s">
        <v>743</v>
      </c>
      <c r="C209" s="652" t="s">
        <v>981</v>
      </c>
      <c r="D209" s="652"/>
      <c r="E209" s="678"/>
      <c r="F209" s="664" t="s">
        <v>957</v>
      </c>
      <c r="G209" s="781">
        <v>1</v>
      </c>
      <c r="H209" s="776">
        <v>-2479.2800000000002</v>
      </c>
      <c r="I209" s="1117"/>
      <c r="J209" s="911"/>
      <c r="K209" s="911"/>
      <c r="L209" s="1142"/>
    </row>
    <row r="210" spans="1:12" s="640" customFormat="1" x14ac:dyDescent="0.35">
      <c r="A210" s="642">
        <v>44578</v>
      </c>
      <c r="B210" s="640" t="s">
        <v>745</v>
      </c>
      <c r="C210" s="650" t="s">
        <v>981</v>
      </c>
      <c r="D210" s="650"/>
      <c r="E210" s="681">
        <v>11.12</v>
      </c>
      <c r="F210" s="663" t="s">
        <v>985</v>
      </c>
      <c r="G210" s="780">
        <v>1</v>
      </c>
      <c r="H210" s="775"/>
      <c r="I210" s="1116"/>
      <c r="J210" s="1141"/>
      <c r="K210" s="1141"/>
      <c r="L210" s="1148"/>
    </row>
    <row r="211" spans="1:12" s="641" customFormat="1" x14ac:dyDescent="0.35">
      <c r="A211" s="643">
        <v>44578</v>
      </c>
      <c r="B211" s="641" t="s">
        <v>990</v>
      </c>
      <c r="C211" s="652" t="s">
        <v>820</v>
      </c>
      <c r="D211" s="652"/>
      <c r="E211" s="678">
        <v>-11.12</v>
      </c>
      <c r="F211" s="664" t="s">
        <v>751</v>
      </c>
      <c r="G211" s="781"/>
      <c r="H211" s="776"/>
      <c r="I211" s="1117"/>
      <c r="J211" s="911"/>
      <c r="K211" s="911"/>
      <c r="L211" s="1142"/>
    </row>
    <row r="212" spans="1:12" s="641" customFormat="1" x14ac:dyDescent="0.35">
      <c r="A212" s="643">
        <v>44578</v>
      </c>
      <c r="B212" s="641" t="s">
        <v>743</v>
      </c>
      <c r="C212" s="652" t="s">
        <v>820</v>
      </c>
      <c r="D212" s="652"/>
      <c r="E212" s="678"/>
      <c r="F212" s="664" t="s">
        <v>751</v>
      </c>
      <c r="G212" s="781"/>
      <c r="H212" s="776">
        <v>-43.43</v>
      </c>
      <c r="I212" s="1117"/>
      <c r="J212" s="911"/>
      <c r="K212" s="911"/>
      <c r="L212" s="1142"/>
    </row>
    <row r="213" spans="1:12" s="640" customFormat="1" x14ac:dyDescent="0.35">
      <c r="A213" s="642">
        <v>44579</v>
      </c>
      <c r="B213" s="640" t="s">
        <v>745</v>
      </c>
      <c r="C213" s="650" t="s">
        <v>991</v>
      </c>
      <c r="D213" s="650"/>
      <c r="E213" s="681">
        <f>27</f>
        <v>27</v>
      </c>
      <c r="F213" s="663" t="s">
        <v>957</v>
      </c>
      <c r="G213" s="780"/>
      <c r="H213" s="775"/>
      <c r="I213" s="1116"/>
      <c r="J213" s="1141"/>
      <c r="K213" s="1141"/>
      <c r="L213" s="1148"/>
    </row>
    <row r="214" spans="1:12" s="640" customFormat="1" x14ac:dyDescent="0.35">
      <c r="A214" s="642">
        <v>44580</v>
      </c>
      <c r="B214" s="640" t="s">
        <v>745</v>
      </c>
      <c r="C214" s="650" t="s">
        <v>991</v>
      </c>
      <c r="D214" s="650"/>
      <c r="E214" s="681">
        <v>52</v>
      </c>
      <c r="F214" s="663" t="s">
        <v>957</v>
      </c>
      <c r="G214" s="780"/>
      <c r="H214" s="775"/>
      <c r="I214" s="1116"/>
      <c r="J214" s="1141"/>
      <c r="K214" s="1141"/>
      <c r="L214" s="1148"/>
    </row>
    <row r="215" spans="1:12" s="641" customFormat="1" x14ac:dyDescent="0.35">
      <c r="A215" s="643">
        <v>44578</v>
      </c>
      <c r="B215" s="641" t="s">
        <v>990</v>
      </c>
      <c r="C215" s="652" t="s">
        <v>820</v>
      </c>
      <c r="D215" s="652"/>
      <c r="E215" s="678">
        <f>-27-52</f>
        <v>-79</v>
      </c>
      <c r="F215" s="664" t="s">
        <v>751</v>
      </c>
      <c r="G215" s="781"/>
      <c r="H215" s="776"/>
      <c r="I215" s="1117"/>
      <c r="J215" s="911"/>
      <c r="K215" s="911"/>
      <c r="L215" s="1142"/>
    </row>
    <row r="216" spans="1:12" s="640" customFormat="1" x14ac:dyDescent="0.35">
      <c r="A216" s="642">
        <v>44601</v>
      </c>
      <c r="B216" s="640" t="s">
        <v>745</v>
      </c>
      <c r="C216" s="650" t="s">
        <v>866</v>
      </c>
      <c r="D216" s="650"/>
      <c r="E216" s="681">
        <v>1099.23</v>
      </c>
      <c r="F216" s="663" t="s">
        <v>985</v>
      </c>
      <c r="G216" s="780"/>
      <c r="H216" s="775"/>
      <c r="I216" s="1116"/>
      <c r="J216" s="1141"/>
      <c r="K216" s="1141"/>
      <c r="L216" s="1148"/>
    </row>
    <row r="217" spans="1:12" s="641" customFormat="1" x14ac:dyDescent="0.35">
      <c r="A217" s="643">
        <v>44603</v>
      </c>
      <c r="B217" s="641" t="s">
        <v>746</v>
      </c>
      <c r="C217" s="652" t="s">
        <v>866</v>
      </c>
      <c r="D217" s="652"/>
      <c r="E217" s="678">
        <v>-1099.23</v>
      </c>
      <c r="F217" s="664" t="s">
        <v>751</v>
      </c>
      <c r="G217" s="781"/>
      <c r="H217" s="776"/>
      <c r="I217" s="1117"/>
      <c r="J217" s="911"/>
      <c r="K217" s="911"/>
      <c r="L217" s="1142"/>
    </row>
    <row r="218" spans="1:12" s="640" customFormat="1" x14ac:dyDescent="0.35">
      <c r="A218" s="642">
        <v>44685</v>
      </c>
      <c r="B218" s="640" t="s">
        <v>742</v>
      </c>
      <c r="C218" s="650" t="s">
        <v>866</v>
      </c>
      <c r="D218" s="650"/>
      <c r="E218" s="681"/>
      <c r="F218" s="663" t="s">
        <v>985</v>
      </c>
      <c r="G218" s="780">
        <v>120</v>
      </c>
      <c r="H218" s="775">
        <v>392625.08</v>
      </c>
      <c r="I218" s="1141">
        <f>+H218/G218</f>
        <v>3271.88</v>
      </c>
      <c r="J218" s="1141"/>
      <c r="K218" s="1141"/>
      <c r="L218" s="1148"/>
    </row>
    <row r="219" spans="1:12" s="641" customFormat="1" x14ac:dyDescent="0.35">
      <c r="A219" s="643">
        <v>44685</v>
      </c>
      <c r="B219" s="641" t="s">
        <v>743</v>
      </c>
      <c r="C219" s="652" t="s">
        <v>1042</v>
      </c>
      <c r="D219" s="652"/>
      <c r="E219" s="678"/>
      <c r="F219" s="664" t="s">
        <v>957</v>
      </c>
      <c r="G219" s="781"/>
      <c r="H219" s="776">
        <v>-168876.92</v>
      </c>
      <c r="I219" s="1117"/>
      <c r="J219" s="911"/>
      <c r="K219" s="911"/>
      <c r="L219" s="1142"/>
    </row>
    <row r="220" spans="1:12" s="641" customFormat="1" x14ac:dyDescent="0.35">
      <c r="A220" s="643">
        <v>44685</v>
      </c>
      <c r="B220" s="641" t="s">
        <v>743</v>
      </c>
      <c r="C220" s="652" t="s">
        <v>865</v>
      </c>
      <c r="D220" s="652"/>
      <c r="E220" s="678"/>
      <c r="F220" s="664" t="s">
        <v>957</v>
      </c>
      <c r="G220" s="781"/>
      <c r="H220" s="776">
        <v>-168474.11</v>
      </c>
      <c r="I220" s="1117"/>
      <c r="J220" s="911"/>
      <c r="K220" s="911"/>
      <c r="L220" s="1142"/>
    </row>
    <row r="221" spans="1:12" s="641" customFormat="1" x14ac:dyDescent="0.35">
      <c r="A221" s="643">
        <v>44687</v>
      </c>
      <c r="B221" s="641" t="s">
        <v>743</v>
      </c>
      <c r="C221" s="652" t="s">
        <v>820</v>
      </c>
      <c r="D221" s="652"/>
      <c r="E221" s="678"/>
      <c r="F221" s="664" t="s">
        <v>751</v>
      </c>
      <c r="G221" s="781"/>
      <c r="H221" s="776">
        <v>-55274.05</v>
      </c>
      <c r="I221" s="1117"/>
      <c r="J221" s="911"/>
      <c r="K221" s="911"/>
      <c r="L221" s="1142"/>
    </row>
    <row r="222" spans="1:12" s="640" customFormat="1" x14ac:dyDescent="0.35">
      <c r="A222" s="642">
        <v>44687</v>
      </c>
      <c r="B222" s="640" t="s">
        <v>742</v>
      </c>
      <c r="C222" s="650" t="s">
        <v>866</v>
      </c>
      <c r="D222" s="650"/>
      <c r="E222" s="681"/>
      <c r="F222" s="663" t="s">
        <v>985</v>
      </c>
      <c r="G222" s="780">
        <v>60</v>
      </c>
      <c r="H222" s="775">
        <v>198546.75</v>
      </c>
      <c r="I222" s="1141">
        <f>+H222/G222</f>
        <v>3309.11</v>
      </c>
      <c r="J222" s="1141"/>
      <c r="K222" s="1141"/>
      <c r="L222" s="1148"/>
    </row>
    <row r="223" spans="1:12" s="641" customFormat="1" x14ac:dyDescent="0.35">
      <c r="A223" s="643">
        <v>44687</v>
      </c>
      <c r="B223" s="641" t="s">
        <v>743</v>
      </c>
      <c r="C223" s="652" t="s">
        <v>1046</v>
      </c>
      <c r="D223" s="652"/>
      <c r="E223" s="678"/>
      <c r="F223" s="664" t="s">
        <v>957</v>
      </c>
      <c r="G223" s="781"/>
      <c r="H223" s="776">
        <v>-180246.15</v>
      </c>
      <c r="I223" s="1117"/>
      <c r="J223" s="911"/>
      <c r="K223" s="911"/>
      <c r="L223" s="1142"/>
    </row>
    <row r="224" spans="1:12" s="641" customFormat="1" x14ac:dyDescent="0.35">
      <c r="A224" s="643">
        <v>44691</v>
      </c>
      <c r="B224" s="641" t="s">
        <v>743</v>
      </c>
      <c r="C224" s="652" t="s">
        <v>820</v>
      </c>
      <c r="D224" s="652"/>
      <c r="E224" s="678"/>
      <c r="F224" s="664" t="s">
        <v>751</v>
      </c>
      <c r="G224" s="781"/>
      <c r="H224" s="776">
        <v>-18300.599999999999</v>
      </c>
      <c r="I224" s="1117"/>
      <c r="J224" s="911"/>
      <c r="K224" s="911"/>
      <c r="L224" s="1142"/>
    </row>
    <row r="225" spans="1:12" s="640" customFormat="1" x14ac:dyDescent="0.35">
      <c r="A225" s="642">
        <v>44698</v>
      </c>
      <c r="B225" s="640" t="s">
        <v>742</v>
      </c>
      <c r="C225" s="650" t="s">
        <v>866</v>
      </c>
      <c r="D225" s="650"/>
      <c r="E225" s="681"/>
      <c r="F225" s="663" t="s">
        <v>985</v>
      </c>
      <c r="G225" s="780">
        <v>60</v>
      </c>
      <c r="H225" s="775">
        <v>172778.87</v>
      </c>
      <c r="I225" s="1141">
        <f>+H225/G225</f>
        <v>2879.65</v>
      </c>
      <c r="J225" s="1141"/>
      <c r="K225" s="1141"/>
      <c r="L225" s="1148"/>
    </row>
    <row r="226" spans="1:12" s="641" customFormat="1" x14ac:dyDescent="0.35">
      <c r="A226" s="643">
        <v>44698</v>
      </c>
      <c r="B226" s="641" t="s">
        <v>743</v>
      </c>
      <c r="C226" s="652" t="s">
        <v>1072</v>
      </c>
      <c r="D226" s="652"/>
      <c r="E226" s="678"/>
      <c r="F226" s="664" t="s">
        <v>957</v>
      </c>
      <c r="G226" s="781"/>
      <c r="H226" s="776">
        <v>-164641.9</v>
      </c>
      <c r="I226" s="1117"/>
      <c r="J226" s="911"/>
      <c r="K226" s="911"/>
      <c r="L226" s="1142"/>
    </row>
    <row r="227" spans="1:12" s="641" customFormat="1" x14ac:dyDescent="0.35">
      <c r="A227" s="643">
        <v>44700</v>
      </c>
      <c r="B227" s="641" t="s">
        <v>743</v>
      </c>
      <c r="C227" s="652" t="s">
        <v>820</v>
      </c>
      <c r="D227" s="652"/>
      <c r="E227" s="678"/>
      <c r="F227" s="664" t="s">
        <v>751</v>
      </c>
      <c r="G227" s="781"/>
      <c r="H227" s="776">
        <v>-8136.97</v>
      </c>
      <c r="I227" s="1117"/>
      <c r="J227" s="911"/>
      <c r="K227" s="911"/>
      <c r="L227" s="1142"/>
    </row>
    <row r="228" spans="1:12" s="640" customFormat="1" x14ac:dyDescent="0.35">
      <c r="A228" s="642">
        <v>44707</v>
      </c>
      <c r="B228" s="640" t="s">
        <v>742</v>
      </c>
      <c r="C228" s="650" t="s">
        <v>1072</v>
      </c>
      <c r="D228" s="650"/>
      <c r="E228" s="681"/>
      <c r="F228" s="663" t="s">
        <v>985</v>
      </c>
      <c r="G228" s="780">
        <v>18</v>
      </c>
      <c r="H228" s="775">
        <v>162668.32</v>
      </c>
      <c r="I228" s="1141">
        <f>+H228/G228</f>
        <v>9037.1299999999992</v>
      </c>
      <c r="J228" s="1141"/>
      <c r="K228" s="1141"/>
      <c r="L228" s="1148"/>
    </row>
    <row r="229" spans="1:12" s="641" customFormat="1" x14ac:dyDescent="0.35">
      <c r="A229" s="643">
        <v>44698</v>
      </c>
      <c r="B229" s="641" t="s">
        <v>743</v>
      </c>
      <c r="C229" s="652" t="s">
        <v>1046</v>
      </c>
      <c r="D229" s="652"/>
      <c r="E229" s="678"/>
      <c r="F229" s="664" t="s">
        <v>957</v>
      </c>
      <c r="G229" s="781"/>
      <c r="H229" s="776">
        <v>-56095.94</v>
      </c>
      <c r="I229" s="1117"/>
      <c r="J229" s="911"/>
      <c r="K229" s="911"/>
      <c r="L229" s="1142"/>
    </row>
    <row r="230" spans="1:12" s="641" customFormat="1" x14ac:dyDescent="0.35">
      <c r="A230" s="643">
        <v>44698</v>
      </c>
      <c r="B230" s="641" t="s">
        <v>743</v>
      </c>
      <c r="C230" s="652" t="s">
        <v>1042</v>
      </c>
      <c r="D230" s="652"/>
      <c r="E230" s="678"/>
      <c r="F230" s="664" t="s">
        <v>957</v>
      </c>
      <c r="G230" s="781"/>
      <c r="H230" s="776">
        <v>-40741.43</v>
      </c>
      <c r="I230" s="1117"/>
      <c r="J230" s="911"/>
      <c r="K230" s="911"/>
      <c r="L230" s="1142"/>
    </row>
    <row r="231" spans="1:12" s="641" customFormat="1" x14ac:dyDescent="0.35">
      <c r="A231" s="643">
        <v>44698</v>
      </c>
      <c r="B231" s="641" t="s">
        <v>743</v>
      </c>
      <c r="C231" s="652" t="s">
        <v>865</v>
      </c>
      <c r="D231" s="652"/>
      <c r="E231" s="678"/>
      <c r="F231" s="664" t="s">
        <v>957</v>
      </c>
      <c r="G231" s="781"/>
      <c r="H231" s="776">
        <v>-31006.080000000002</v>
      </c>
      <c r="I231" s="1117"/>
      <c r="J231" s="911"/>
      <c r="K231" s="911"/>
      <c r="L231" s="1142"/>
    </row>
    <row r="232" spans="1:12" s="641" customFormat="1" x14ac:dyDescent="0.35">
      <c r="A232" s="643">
        <v>44711</v>
      </c>
      <c r="B232" s="641" t="s">
        <v>743</v>
      </c>
      <c r="C232" s="652" t="s">
        <v>820</v>
      </c>
      <c r="D232" s="652"/>
      <c r="E232" s="678"/>
      <c r="F232" s="664" t="s">
        <v>751</v>
      </c>
      <c r="G232" s="781"/>
      <c r="H232" s="776">
        <v>-34824.870000000003</v>
      </c>
      <c r="I232" s="1117"/>
      <c r="J232" s="911"/>
      <c r="K232" s="911"/>
      <c r="L232" s="1142"/>
    </row>
    <row r="233" spans="1:12" s="640" customFormat="1" x14ac:dyDescent="0.35">
      <c r="A233" s="642">
        <v>44722</v>
      </c>
      <c r="B233" s="640" t="s">
        <v>742</v>
      </c>
      <c r="C233" s="650" t="s">
        <v>1042</v>
      </c>
      <c r="D233" s="650"/>
      <c r="E233" s="681"/>
      <c r="F233" s="663" t="s">
        <v>985</v>
      </c>
      <c r="G233" s="780">
        <v>25</v>
      </c>
      <c r="H233" s="775">
        <v>211753.41</v>
      </c>
      <c r="I233" s="1141">
        <f>+H233/G233</f>
        <v>8470.14</v>
      </c>
      <c r="J233" s="1141"/>
      <c r="K233" s="1141"/>
      <c r="L233" s="1148"/>
    </row>
    <row r="234" spans="1:12" s="640" customFormat="1" x14ac:dyDescent="0.35">
      <c r="A234" s="642">
        <v>44722</v>
      </c>
      <c r="B234" s="640" t="s">
        <v>742</v>
      </c>
      <c r="C234" s="650" t="s">
        <v>1046</v>
      </c>
      <c r="D234" s="650"/>
      <c r="E234" s="681"/>
      <c r="F234" s="663" t="s">
        <v>985</v>
      </c>
      <c r="G234" s="780">
        <v>20</v>
      </c>
      <c r="H234" s="775">
        <f>26363.67+26676.46+53958.64</f>
        <v>106998.77</v>
      </c>
      <c r="I234" s="1141">
        <f>+H234/G234</f>
        <v>5349.94</v>
      </c>
      <c r="J234" s="1141"/>
      <c r="K234" s="1141"/>
      <c r="L234" s="1148"/>
    </row>
    <row r="235" spans="1:12" s="641" customFormat="1" x14ac:dyDescent="0.35">
      <c r="A235" s="643">
        <v>44726</v>
      </c>
      <c r="B235" s="641" t="s">
        <v>743</v>
      </c>
      <c r="C235" s="652" t="s">
        <v>820</v>
      </c>
      <c r="D235" s="652"/>
      <c r="E235" s="678"/>
      <c r="F235" s="664" t="s">
        <v>751</v>
      </c>
      <c r="G235" s="781"/>
      <c r="H235" s="776">
        <v>-318752.18</v>
      </c>
      <c r="I235" s="1117"/>
      <c r="J235" s="911"/>
      <c r="K235" s="911"/>
      <c r="L235" s="1142"/>
    </row>
    <row r="236" spans="1:12" s="640" customFormat="1" x14ac:dyDescent="0.35">
      <c r="A236" s="642">
        <v>44741</v>
      </c>
      <c r="B236" s="640" t="s">
        <v>742</v>
      </c>
      <c r="C236" s="650" t="s">
        <v>126</v>
      </c>
      <c r="D236" s="650"/>
      <c r="E236" s="681"/>
      <c r="F236" s="663" t="s">
        <v>126</v>
      </c>
      <c r="G236" s="780"/>
      <c r="H236" s="775">
        <v>23000</v>
      </c>
      <c r="I236" s="1116"/>
      <c r="J236" s="1141"/>
      <c r="K236" s="1141"/>
      <c r="L236" s="1148"/>
    </row>
    <row r="237" spans="1:12" s="641" customFormat="1" x14ac:dyDescent="0.35">
      <c r="A237" s="643">
        <v>44741</v>
      </c>
      <c r="B237" s="641" t="s">
        <v>743</v>
      </c>
      <c r="C237" s="652" t="s">
        <v>865</v>
      </c>
      <c r="D237" s="652"/>
      <c r="E237" s="678"/>
      <c r="F237" s="664" t="s">
        <v>957</v>
      </c>
      <c r="G237" s="781">
        <v>1</v>
      </c>
      <c r="H237" s="776">
        <v>-3522.06</v>
      </c>
      <c r="I237" s="1117"/>
      <c r="J237" s="911"/>
      <c r="K237" s="911"/>
      <c r="L237" s="1142"/>
    </row>
    <row r="238" spans="1:12" s="641" customFormat="1" x14ac:dyDescent="0.35">
      <c r="A238" s="643">
        <v>44741</v>
      </c>
      <c r="B238" s="641" t="s">
        <v>743</v>
      </c>
      <c r="C238" s="652" t="s">
        <v>1072</v>
      </c>
      <c r="D238" s="652"/>
      <c r="E238" s="678"/>
      <c r="F238" s="664" t="s">
        <v>957</v>
      </c>
      <c r="G238" s="781">
        <v>1</v>
      </c>
      <c r="H238" s="776">
        <v>-4803.4799999999996</v>
      </c>
      <c r="I238" s="1117"/>
      <c r="J238" s="911"/>
      <c r="K238" s="911"/>
      <c r="L238" s="1142"/>
    </row>
    <row r="239" spans="1:12" s="641" customFormat="1" x14ac:dyDescent="0.35">
      <c r="A239" s="643">
        <v>44741</v>
      </c>
      <c r="B239" s="641" t="s">
        <v>743</v>
      </c>
      <c r="C239" s="652" t="s">
        <v>1042</v>
      </c>
      <c r="D239" s="652"/>
      <c r="E239" s="678"/>
      <c r="F239" s="664" t="s">
        <v>957</v>
      </c>
      <c r="G239" s="781">
        <v>1</v>
      </c>
      <c r="H239" s="776">
        <v>-8720.27</v>
      </c>
      <c r="I239" s="1117"/>
      <c r="J239" s="911"/>
      <c r="K239" s="911"/>
      <c r="L239" s="1142"/>
    </row>
    <row r="240" spans="1:12" s="641" customFormat="1" x14ac:dyDescent="0.35">
      <c r="A240" s="643">
        <v>44741</v>
      </c>
      <c r="B240" s="641" t="s">
        <v>743</v>
      </c>
      <c r="C240" s="652" t="s">
        <v>1046</v>
      </c>
      <c r="D240" s="652"/>
      <c r="E240" s="678"/>
      <c r="F240" s="664" t="s">
        <v>957</v>
      </c>
      <c r="G240" s="781">
        <v>1</v>
      </c>
      <c r="H240" s="776">
        <v>-5837.18</v>
      </c>
      <c r="I240" s="1117"/>
      <c r="J240" s="911"/>
      <c r="K240" s="911"/>
      <c r="L240" s="1142"/>
    </row>
    <row r="241" spans="1:12" s="640" customFormat="1" x14ac:dyDescent="0.35">
      <c r="A241" s="642">
        <v>44746</v>
      </c>
      <c r="B241" s="640" t="s">
        <v>742</v>
      </c>
      <c r="C241" s="650" t="s">
        <v>126</v>
      </c>
      <c r="D241" s="650"/>
      <c r="E241" s="681"/>
      <c r="F241" s="663" t="s">
        <v>126</v>
      </c>
      <c r="G241" s="780"/>
      <c r="H241" s="775">
        <f>15100+37000+9400</f>
        <v>61500</v>
      </c>
      <c r="I241" s="1116"/>
      <c r="J241" s="1141"/>
      <c r="K241" s="1141"/>
      <c r="L241" s="1148"/>
    </row>
    <row r="242" spans="1:12" s="641" customFormat="1" x14ac:dyDescent="0.35">
      <c r="A242" s="643">
        <v>44746</v>
      </c>
      <c r="B242" s="641" t="s">
        <v>743</v>
      </c>
      <c r="C242" s="652" t="s">
        <v>865</v>
      </c>
      <c r="D242" s="652"/>
      <c r="E242" s="678"/>
      <c r="F242" s="664" t="s">
        <v>957</v>
      </c>
      <c r="G242" s="781">
        <v>4</v>
      </c>
      <c r="H242" s="776">
        <v>-15181.8</v>
      </c>
      <c r="I242" s="1117"/>
      <c r="J242" s="911"/>
      <c r="K242" s="911"/>
      <c r="L242" s="1142"/>
    </row>
    <row r="243" spans="1:12" s="641" customFormat="1" x14ac:dyDescent="0.35">
      <c r="A243" s="643">
        <v>44746</v>
      </c>
      <c r="B243" s="641" t="s">
        <v>743</v>
      </c>
      <c r="C243" s="652" t="s">
        <v>1072</v>
      </c>
      <c r="D243" s="652"/>
      <c r="E243" s="678"/>
      <c r="F243" s="664" t="s">
        <v>957</v>
      </c>
      <c r="G243" s="781">
        <v>4</v>
      </c>
      <c r="H243" s="776">
        <v>-21671.03</v>
      </c>
      <c r="I243" s="1117"/>
      <c r="J243" s="911"/>
      <c r="K243" s="911"/>
      <c r="L243" s="1142"/>
    </row>
    <row r="244" spans="1:12" s="641" customFormat="1" x14ac:dyDescent="0.35">
      <c r="A244" s="643">
        <v>44746</v>
      </c>
      <c r="B244" s="641" t="s">
        <v>743</v>
      </c>
      <c r="C244" s="652" t="s">
        <v>1046</v>
      </c>
      <c r="D244" s="652"/>
      <c r="E244" s="678"/>
      <c r="F244" s="664" t="s">
        <v>957</v>
      </c>
      <c r="G244" s="781">
        <v>4</v>
      </c>
      <c r="H244" s="776">
        <f>-12285.62-12285.62</f>
        <v>-24571.24</v>
      </c>
      <c r="I244" s="1117"/>
      <c r="J244" s="911"/>
      <c r="K244" s="911"/>
      <c r="L244" s="1142"/>
    </row>
    <row r="245" spans="1:12" s="640" customFormat="1" x14ac:dyDescent="0.35">
      <c r="A245" s="642">
        <v>44747</v>
      </c>
      <c r="B245" s="640" t="s">
        <v>742</v>
      </c>
      <c r="C245" s="650" t="s">
        <v>126</v>
      </c>
      <c r="D245" s="650"/>
      <c r="E245" s="681"/>
      <c r="F245" s="663" t="s">
        <v>126</v>
      </c>
      <c r="G245" s="780"/>
      <c r="H245" s="775">
        <v>10500</v>
      </c>
      <c r="I245" s="1116"/>
      <c r="J245" s="1141"/>
      <c r="K245" s="1141"/>
      <c r="L245" s="1148"/>
    </row>
    <row r="246" spans="1:12" s="641" customFormat="1" x14ac:dyDescent="0.35">
      <c r="A246" s="643">
        <v>44747</v>
      </c>
      <c r="B246" s="641" t="s">
        <v>743</v>
      </c>
      <c r="C246" s="652" t="s">
        <v>1072</v>
      </c>
      <c r="D246" s="652"/>
      <c r="E246" s="678"/>
      <c r="F246" s="664" t="s">
        <v>957</v>
      </c>
      <c r="G246" s="781">
        <v>2</v>
      </c>
      <c r="H246" s="776">
        <v>-10373.290000000001</v>
      </c>
      <c r="I246" s="1117"/>
      <c r="J246" s="911"/>
      <c r="K246" s="911"/>
      <c r="L246" s="1142"/>
    </row>
    <row r="247" spans="1:12" s="640" customFormat="1" x14ac:dyDescent="0.35">
      <c r="A247" s="642">
        <v>44748</v>
      </c>
      <c r="B247" s="640" t="s">
        <v>742</v>
      </c>
      <c r="C247" s="650" t="s">
        <v>126</v>
      </c>
      <c r="D247" s="650"/>
      <c r="E247" s="681"/>
      <c r="F247" s="663" t="s">
        <v>126</v>
      </c>
      <c r="G247" s="780"/>
      <c r="H247" s="775">
        <v>20000</v>
      </c>
      <c r="I247" s="1116"/>
      <c r="J247" s="1141"/>
      <c r="K247" s="1141"/>
      <c r="L247" s="1148"/>
    </row>
    <row r="248" spans="1:12" s="641" customFormat="1" x14ac:dyDescent="0.35">
      <c r="A248" s="643">
        <v>44748</v>
      </c>
      <c r="B248" s="641" t="s">
        <v>743</v>
      </c>
      <c r="C248" s="652" t="s">
        <v>1072</v>
      </c>
      <c r="D248" s="652"/>
      <c r="E248" s="678"/>
      <c r="F248" s="664" t="s">
        <v>957</v>
      </c>
      <c r="G248" s="781">
        <v>1</v>
      </c>
      <c r="H248" s="776">
        <v>-5250.59</v>
      </c>
      <c r="I248" s="1117"/>
      <c r="J248" s="911"/>
      <c r="K248" s="911"/>
      <c r="L248" s="1142"/>
    </row>
    <row r="249" spans="1:12" s="641" customFormat="1" x14ac:dyDescent="0.35">
      <c r="A249" s="643">
        <v>44748</v>
      </c>
      <c r="B249" s="641" t="s">
        <v>743</v>
      </c>
      <c r="C249" s="652" t="s">
        <v>1101</v>
      </c>
      <c r="D249" s="652"/>
      <c r="E249" s="678"/>
      <c r="F249" s="664" t="s">
        <v>957</v>
      </c>
      <c r="G249" s="781">
        <v>5</v>
      </c>
      <c r="H249" s="776">
        <f>-4678.61-7026.97</f>
        <v>-11705.58</v>
      </c>
      <c r="I249" s="1117"/>
      <c r="J249" s="911"/>
      <c r="K249" s="911"/>
      <c r="L249" s="1142"/>
    </row>
    <row r="250" spans="1:12" s="641" customFormat="1" x14ac:dyDescent="0.35">
      <c r="A250" s="643">
        <v>44748</v>
      </c>
      <c r="B250" s="641" t="s">
        <v>743</v>
      </c>
      <c r="C250" s="652" t="s">
        <v>1104</v>
      </c>
      <c r="D250" s="652"/>
      <c r="E250" s="678">
        <v>14.05</v>
      </c>
      <c r="F250" s="664" t="s">
        <v>957</v>
      </c>
      <c r="G250" s="781"/>
      <c r="H250" s="776">
        <v>-3250.01</v>
      </c>
      <c r="I250" s="1117"/>
      <c r="J250" s="911"/>
      <c r="K250" s="911"/>
      <c r="L250" s="1142"/>
    </row>
    <row r="251" spans="1:12" s="641" customFormat="1" x14ac:dyDescent="0.35">
      <c r="A251" s="643">
        <v>44749</v>
      </c>
      <c r="B251" s="641" t="s">
        <v>746</v>
      </c>
      <c r="C251" s="652" t="s">
        <v>1104</v>
      </c>
      <c r="D251" s="652"/>
      <c r="E251" s="678">
        <f>-E250</f>
        <v>-14.05</v>
      </c>
      <c r="F251" s="664" t="s">
        <v>957</v>
      </c>
      <c r="G251" s="781"/>
      <c r="H251" s="776"/>
      <c r="I251" s="1117"/>
      <c r="J251" s="911"/>
      <c r="K251" s="911"/>
      <c r="L251" s="1142"/>
    </row>
    <row r="252" spans="1:12" s="640" customFormat="1" x14ac:dyDescent="0.35">
      <c r="A252" s="642">
        <v>44749</v>
      </c>
      <c r="B252" s="640" t="s">
        <v>742</v>
      </c>
      <c r="C252" s="650" t="s">
        <v>126</v>
      </c>
      <c r="D252" s="650"/>
      <c r="E252" s="681"/>
      <c r="F252" s="663" t="s">
        <v>126</v>
      </c>
      <c r="G252" s="780"/>
      <c r="H252" s="775">
        <v>18700</v>
      </c>
      <c r="I252" s="1116"/>
      <c r="J252" s="1141"/>
      <c r="K252" s="1141"/>
      <c r="L252" s="1148"/>
    </row>
    <row r="253" spans="1:12" s="641" customFormat="1" x14ac:dyDescent="0.35">
      <c r="A253" s="643">
        <v>44749</v>
      </c>
      <c r="B253" s="641" t="s">
        <v>743</v>
      </c>
      <c r="C253" s="652" t="s">
        <v>1107</v>
      </c>
      <c r="D253" s="652"/>
      <c r="E253" s="678"/>
      <c r="F253" s="664" t="s">
        <v>957</v>
      </c>
      <c r="G253" s="781">
        <v>2</v>
      </c>
      <c r="H253" s="776">
        <f>-7542.56-7672.47</f>
        <v>-15215.03</v>
      </c>
      <c r="I253" s="1117"/>
      <c r="J253" s="911"/>
      <c r="K253" s="911"/>
      <c r="L253" s="1142"/>
    </row>
    <row r="254" spans="1:12" s="641" customFormat="1" x14ac:dyDescent="0.35">
      <c r="A254" s="643">
        <v>44749</v>
      </c>
      <c r="B254" s="641" t="s">
        <v>743</v>
      </c>
      <c r="C254" s="652" t="s">
        <v>1135</v>
      </c>
      <c r="D254" s="652"/>
      <c r="E254" s="678"/>
      <c r="F254" s="664" t="s">
        <v>957</v>
      </c>
      <c r="G254" s="781">
        <v>1</v>
      </c>
      <c r="H254" s="776">
        <v>-3600.09</v>
      </c>
      <c r="I254" s="1117"/>
      <c r="J254" s="911"/>
      <c r="K254" s="911"/>
      <c r="L254" s="1142"/>
    </row>
    <row r="255" spans="1:12" s="640" customFormat="1" x14ac:dyDescent="0.35">
      <c r="A255" s="642">
        <v>44750</v>
      </c>
      <c r="B255" s="640" t="s">
        <v>742</v>
      </c>
      <c r="C255" s="650" t="s">
        <v>126</v>
      </c>
      <c r="D255" s="650"/>
      <c r="E255" s="681"/>
      <c r="F255" s="663" t="s">
        <v>126</v>
      </c>
      <c r="G255" s="780"/>
      <c r="H255" s="775">
        <v>10800</v>
      </c>
      <c r="I255" s="1116"/>
      <c r="J255" s="1141"/>
      <c r="K255" s="1141"/>
      <c r="L255" s="1148"/>
    </row>
    <row r="256" spans="1:12" s="641" customFormat="1" x14ac:dyDescent="0.35">
      <c r="A256" s="643">
        <v>44750</v>
      </c>
      <c r="B256" s="641" t="s">
        <v>743</v>
      </c>
      <c r="C256" s="652" t="s">
        <v>1135</v>
      </c>
      <c r="D256" s="652"/>
      <c r="E256" s="678"/>
      <c r="F256" s="664" t="s">
        <v>957</v>
      </c>
      <c r="G256" s="781">
        <v>2</v>
      </c>
      <c r="H256" s="776">
        <v>-7771.16</v>
      </c>
      <c r="I256" s="1117"/>
      <c r="J256" s="911"/>
      <c r="K256" s="911"/>
      <c r="L256" s="1142"/>
    </row>
    <row r="257" spans="1:12" s="641" customFormat="1" x14ac:dyDescent="0.35">
      <c r="A257" s="643">
        <v>44750</v>
      </c>
      <c r="B257" s="641" t="s">
        <v>743</v>
      </c>
      <c r="C257" s="652" t="s">
        <v>1101</v>
      </c>
      <c r="D257" s="652"/>
      <c r="E257" s="678"/>
      <c r="F257" s="664" t="s">
        <v>957</v>
      </c>
      <c r="G257" s="781">
        <v>1</v>
      </c>
      <c r="H257" s="776">
        <v>-2624.79</v>
      </c>
      <c r="I257" s="1117"/>
      <c r="J257" s="911"/>
      <c r="K257" s="911"/>
      <c r="L257" s="1142"/>
    </row>
    <row r="258" spans="1:12" s="640" customFormat="1" x14ac:dyDescent="0.35">
      <c r="A258" s="642">
        <v>44755</v>
      </c>
      <c r="B258" s="640" t="s">
        <v>742</v>
      </c>
      <c r="C258" s="650" t="s">
        <v>126</v>
      </c>
      <c r="D258" s="650"/>
      <c r="E258" s="681"/>
      <c r="F258" s="663" t="s">
        <v>126</v>
      </c>
      <c r="G258" s="780"/>
      <c r="H258" s="775">
        <v>3000</v>
      </c>
      <c r="I258" s="1116"/>
      <c r="J258" s="1141"/>
      <c r="K258" s="1141"/>
      <c r="L258" s="1148"/>
    </row>
    <row r="259" spans="1:12" s="641" customFormat="1" x14ac:dyDescent="0.35">
      <c r="A259" s="643">
        <v>44755</v>
      </c>
      <c r="B259" s="641" t="s">
        <v>743</v>
      </c>
      <c r="C259" s="652" t="s">
        <v>1108</v>
      </c>
      <c r="D259" s="652"/>
      <c r="E259" s="678"/>
      <c r="F259" s="664" t="s">
        <v>957</v>
      </c>
      <c r="G259" s="781">
        <v>13</v>
      </c>
      <c r="H259" s="776">
        <v>-2922.62</v>
      </c>
      <c r="I259" s="1117"/>
      <c r="J259" s="911"/>
      <c r="K259" s="911"/>
      <c r="L259" s="1142"/>
    </row>
    <row r="260" spans="1:12" s="640" customFormat="1" x14ac:dyDescent="0.35">
      <c r="A260" s="642">
        <v>44756</v>
      </c>
      <c r="B260" s="640" t="s">
        <v>742</v>
      </c>
      <c r="C260" s="650" t="s">
        <v>126</v>
      </c>
      <c r="D260" s="650"/>
      <c r="E260" s="681"/>
      <c r="F260" s="663" t="s">
        <v>126</v>
      </c>
      <c r="G260" s="780"/>
      <c r="H260" s="775">
        <f>11643.31+4675.85+13361.86+12796.25+14637.24</f>
        <v>57114.51</v>
      </c>
      <c r="I260" s="1116"/>
      <c r="J260" s="1141"/>
      <c r="K260" s="1141"/>
      <c r="L260" s="1148"/>
    </row>
    <row r="261" spans="1:12" s="641" customFormat="1" x14ac:dyDescent="0.35">
      <c r="A261" s="643">
        <v>44756</v>
      </c>
      <c r="B261" s="641" t="s">
        <v>743</v>
      </c>
      <c r="C261" s="652" t="s">
        <v>1101</v>
      </c>
      <c r="D261" s="652"/>
      <c r="E261" s="678"/>
      <c r="F261" s="664" t="s">
        <v>957</v>
      </c>
      <c r="G261" s="781">
        <v>4</v>
      </c>
      <c r="H261" s="776">
        <f>-2497.91-2504.45-5074.36</f>
        <v>-10076.719999999999</v>
      </c>
      <c r="I261" s="1117"/>
      <c r="J261" s="911"/>
      <c r="K261" s="911"/>
      <c r="L261" s="1142"/>
    </row>
    <row r="262" spans="1:12" s="641" customFormat="1" x14ac:dyDescent="0.35">
      <c r="A262" s="643">
        <v>44756</v>
      </c>
      <c r="B262" s="641" t="s">
        <v>743</v>
      </c>
      <c r="C262" s="652" t="s">
        <v>1135</v>
      </c>
      <c r="D262" s="652"/>
      <c r="E262" s="678"/>
      <c r="F262" s="664" t="s">
        <v>957</v>
      </c>
      <c r="G262" s="781">
        <v>2</v>
      </c>
      <c r="H262" s="776">
        <f>-3695.76-3713.38</f>
        <v>-7409.14</v>
      </c>
      <c r="I262" s="1117"/>
      <c r="J262" s="911"/>
      <c r="K262" s="911"/>
      <c r="L262" s="1142"/>
    </row>
    <row r="263" spans="1:12" s="641" customFormat="1" x14ac:dyDescent="0.35">
      <c r="A263" s="643">
        <v>44756</v>
      </c>
      <c r="B263" s="641" t="s">
        <v>743</v>
      </c>
      <c r="C263" s="652" t="s">
        <v>1108</v>
      </c>
      <c r="D263" s="652"/>
      <c r="E263" s="678"/>
      <c r="F263" s="664" t="s">
        <v>957</v>
      </c>
      <c r="G263" s="781">
        <f>17+15</f>
        <v>32</v>
      </c>
      <c r="H263" s="776">
        <f>-3843.28-3459.11</f>
        <v>-7302.39</v>
      </c>
      <c r="I263" s="1117"/>
      <c r="J263" s="911"/>
      <c r="K263" s="911"/>
      <c r="L263" s="1142"/>
    </row>
    <row r="264" spans="1:12" s="641" customFormat="1" x14ac:dyDescent="0.35">
      <c r="A264" s="643">
        <v>44756</v>
      </c>
      <c r="B264" s="641" t="s">
        <v>743</v>
      </c>
      <c r="C264" s="652" t="s">
        <v>1126</v>
      </c>
      <c r="D264" s="652"/>
      <c r="E264" s="678"/>
      <c r="F264" s="664" t="s">
        <v>957</v>
      </c>
      <c r="G264" s="781">
        <v>2</v>
      </c>
      <c r="H264" s="776">
        <f>-4561.79-4561.29</f>
        <v>-9123.08</v>
      </c>
      <c r="I264" s="1117"/>
      <c r="J264" s="911"/>
      <c r="K264" s="911"/>
      <c r="L264" s="1142"/>
    </row>
    <row r="265" spans="1:12" s="641" customFormat="1" x14ac:dyDescent="0.35">
      <c r="A265" s="643">
        <v>44756</v>
      </c>
      <c r="B265" s="641" t="s">
        <v>743</v>
      </c>
      <c r="C265" s="652" t="s">
        <v>1046</v>
      </c>
      <c r="D265" s="652"/>
      <c r="E265" s="678"/>
      <c r="F265" s="664" t="s">
        <v>957</v>
      </c>
      <c r="G265" s="781">
        <v>1</v>
      </c>
      <c r="H265" s="776">
        <v>-6408.16</v>
      </c>
      <c r="I265" s="1117"/>
      <c r="J265" s="911"/>
      <c r="K265" s="911"/>
      <c r="L265" s="1142"/>
    </row>
    <row r="266" spans="1:12" s="641" customFormat="1" x14ac:dyDescent="0.35">
      <c r="A266" s="643">
        <v>44756</v>
      </c>
      <c r="B266" s="641" t="s">
        <v>743</v>
      </c>
      <c r="C266" s="652" t="s">
        <v>1127</v>
      </c>
      <c r="D266" s="652"/>
      <c r="E266" s="678"/>
      <c r="F266" s="664" t="s">
        <v>957</v>
      </c>
      <c r="G266" s="781">
        <v>2</v>
      </c>
      <c r="H266" s="776">
        <v>-9109.48</v>
      </c>
      <c r="I266" s="1117"/>
      <c r="J266" s="911"/>
      <c r="K266" s="911"/>
      <c r="L266" s="1142"/>
    </row>
    <row r="267" spans="1:12" s="641" customFormat="1" x14ac:dyDescent="0.35">
      <c r="A267" s="643">
        <v>44756</v>
      </c>
      <c r="B267" s="641" t="s">
        <v>743</v>
      </c>
      <c r="C267" s="652" t="s">
        <v>1128</v>
      </c>
      <c r="D267" s="652"/>
      <c r="E267" s="678"/>
      <c r="F267" s="664" t="s">
        <v>957</v>
      </c>
      <c r="G267" s="781">
        <v>1</v>
      </c>
      <c r="H267" s="776">
        <v>-2296</v>
      </c>
      <c r="I267" s="1117"/>
      <c r="J267" s="911"/>
      <c r="K267" s="911"/>
      <c r="L267" s="1142"/>
    </row>
    <row r="268" spans="1:12" s="641" customFormat="1" x14ac:dyDescent="0.35">
      <c r="A268" s="643">
        <v>44756</v>
      </c>
      <c r="B268" s="641" t="s">
        <v>743</v>
      </c>
      <c r="C268" s="652" t="s">
        <v>1129</v>
      </c>
      <c r="D268" s="652"/>
      <c r="E268" s="678"/>
      <c r="F268" s="664" t="s">
        <v>957</v>
      </c>
      <c r="G268" s="781">
        <v>1</v>
      </c>
      <c r="H268" s="776">
        <v>-3712.37</v>
      </c>
      <c r="I268" s="1117"/>
      <c r="J268" s="911"/>
      <c r="K268" s="911"/>
      <c r="L268" s="1142"/>
    </row>
    <row r="269" spans="1:12" s="640" customFormat="1" x14ac:dyDescent="0.35">
      <c r="A269" s="642">
        <v>44757</v>
      </c>
      <c r="B269" s="640" t="s">
        <v>742</v>
      </c>
      <c r="C269" s="650" t="s">
        <v>126</v>
      </c>
      <c r="D269" s="650"/>
      <c r="E269" s="681"/>
      <c r="F269" s="663" t="s">
        <v>126</v>
      </c>
      <c r="G269" s="780"/>
      <c r="H269" s="775">
        <v>269320.67</v>
      </c>
      <c r="I269" s="1116"/>
      <c r="J269" s="1141"/>
      <c r="K269" s="1141"/>
      <c r="L269" s="1148"/>
    </row>
    <row r="270" spans="1:12" s="641" customFormat="1" x14ac:dyDescent="0.35">
      <c r="A270" s="643">
        <v>44757</v>
      </c>
      <c r="B270" s="641" t="s">
        <v>743</v>
      </c>
      <c r="C270" s="652" t="s">
        <v>1104</v>
      </c>
      <c r="D270" s="652"/>
      <c r="E270" s="678"/>
      <c r="F270" s="664" t="s">
        <v>957</v>
      </c>
      <c r="G270" s="781"/>
      <c r="H270" s="776">
        <v>-25816.18</v>
      </c>
      <c r="I270" s="1117"/>
      <c r="J270" s="911"/>
      <c r="K270" s="911"/>
      <c r="L270" s="1142"/>
    </row>
    <row r="271" spans="1:12" s="641" customFormat="1" x14ac:dyDescent="0.35">
      <c r="A271" s="643">
        <v>44757</v>
      </c>
      <c r="B271" s="641" t="s">
        <v>743</v>
      </c>
      <c r="C271" s="652" t="s">
        <v>1128</v>
      </c>
      <c r="D271" s="652"/>
      <c r="E271" s="678"/>
      <c r="F271" s="664" t="s">
        <v>957</v>
      </c>
      <c r="G271" s="781">
        <v>4</v>
      </c>
      <c r="H271" s="776">
        <v>-9186.02</v>
      </c>
      <c r="I271" s="1117"/>
      <c r="J271" s="911"/>
      <c r="K271" s="911"/>
      <c r="L271" s="1142"/>
    </row>
    <row r="272" spans="1:12" s="641" customFormat="1" x14ac:dyDescent="0.35">
      <c r="A272" s="643">
        <v>44757</v>
      </c>
      <c r="B272" s="641" t="s">
        <v>743</v>
      </c>
      <c r="C272" s="652" t="s">
        <v>1072</v>
      </c>
      <c r="D272" s="652"/>
      <c r="E272" s="678"/>
      <c r="F272" s="664" t="s">
        <v>957</v>
      </c>
      <c r="G272" s="781">
        <v>2</v>
      </c>
      <c r="H272" s="776">
        <v>-11568.62</v>
      </c>
      <c r="I272" s="1117"/>
      <c r="J272" s="911"/>
      <c r="K272" s="911"/>
      <c r="L272" s="1142"/>
    </row>
    <row r="273" spans="1:12" s="641" customFormat="1" x14ac:dyDescent="0.35">
      <c r="A273" s="643">
        <v>44757</v>
      </c>
      <c r="B273" s="641" t="s">
        <v>743</v>
      </c>
      <c r="C273" s="652" t="s">
        <v>1108</v>
      </c>
      <c r="D273" s="652"/>
      <c r="E273" s="678"/>
      <c r="F273" s="664" t="s">
        <v>957</v>
      </c>
      <c r="G273" s="781">
        <v>35</v>
      </c>
      <c r="H273" s="776">
        <f>-6884.73-1427.45</f>
        <v>-8312.18</v>
      </c>
      <c r="I273" s="1117"/>
      <c r="J273" s="911"/>
      <c r="K273" s="911"/>
      <c r="L273" s="1142"/>
    </row>
    <row r="274" spans="1:12" s="641" customFormat="1" x14ac:dyDescent="0.35">
      <c r="A274" s="643">
        <v>44757</v>
      </c>
      <c r="B274" s="641" t="s">
        <v>743</v>
      </c>
      <c r="C274" s="652" t="s">
        <v>1135</v>
      </c>
      <c r="D274" s="652"/>
      <c r="E274" s="678"/>
      <c r="F274" s="664" t="s">
        <v>957</v>
      </c>
      <c r="G274" s="781">
        <v>3</v>
      </c>
      <c r="H274" s="776">
        <v>-11475.47</v>
      </c>
      <c r="I274" s="1152"/>
      <c r="J274" s="911"/>
      <c r="K274" s="911"/>
      <c r="L274" s="1142"/>
    </row>
    <row r="275" spans="1:12" s="641" customFormat="1" x14ac:dyDescent="0.35">
      <c r="A275" s="643">
        <v>44757</v>
      </c>
      <c r="B275" s="641" t="s">
        <v>743</v>
      </c>
      <c r="C275" s="652" t="s">
        <v>1127</v>
      </c>
      <c r="D275" s="652"/>
      <c r="E275" s="678"/>
      <c r="F275" s="664" t="s">
        <v>957</v>
      </c>
      <c r="G275" s="781">
        <v>2</v>
      </c>
      <c r="H275" s="776">
        <v>-9436.77</v>
      </c>
      <c r="I275" s="1152"/>
      <c r="J275" s="911"/>
      <c r="K275" s="911"/>
      <c r="L275" s="1142"/>
    </row>
    <row r="276" spans="1:12" s="641" customFormat="1" x14ac:dyDescent="0.35">
      <c r="A276" s="643">
        <v>44757</v>
      </c>
      <c r="B276" s="641" t="s">
        <v>743</v>
      </c>
      <c r="C276" s="652" t="s">
        <v>1129</v>
      </c>
      <c r="D276" s="652"/>
      <c r="E276" s="678"/>
      <c r="F276" s="664" t="s">
        <v>957</v>
      </c>
      <c r="G276" s="781">
        <v>4</v>
      </c>
      <c r="H276" s="776">
        <f>-7521.42-3761.21-3761.21</f>
        <v>-15043.84</v>
      </c>
      <c r="I276" s="1152"/>
      <c r="J276" s="911"/>
      <c r="K276" s="911"/>
      <c r="L276" s="1142"/>
    </row>
    <row r="277" spans="1:12" s="641" customFormat="1" x14ac:dyDescent="0.35">
      <c r="A277" s="643">
        <v>44760</v>
      </c>
      <c r="B277" s="641" t="s">
        <v>743</v>
      </c>
      <c r="C277" s="652" t="s">
        <v>1137</v>
      </c>
      <c r="D277" s="652"/>
      <c r="E277" s="678"/>
      <c r="F277" s="664" t="s">
        <v>957</v>
      </c>
      <c r="G277" s="781">
        <v>1</v>
      </c>
      <c r="H277" s="776">
        <v>-6506.34</v>
      </c>
      <c r="I277" s="1152"/>
      <c r="J277" s="911"/>
      <c r="K277" s="911"/>
      <c r="L277" s="1142"/>
    </row>
    <row r="278" spans="1:12" s="641" customFormat="1" x14ac:dyDescent="0.35">
      <c r="A278" s="643">
        <v>44760</v>
      </c>
      <c r="B278" s="641" t="s">
        <v>743</v>
      </c>
      <c r="C278" s="652" t="s">
        <v>1129</v>
      </c>
      <c r="D278" s="652"/>
      <c r="E278" s="678"/>
      <c r="F278" s="664" t="s">
        <v>957</v>
      </c>
      <c r="G278" s="781">
        <v>5</v>
      </c>
      <c r="H278" s="776">
        <f>-3774.3-3770.78-7552.63-3766.75</f>
        <v>-18864.46</v>
      </c>
      <c r="I278" s="1152"/>
      <c r="J278" s="911"/>
      <c r="K278" s="911"/>
      <c r="L278" s="1142"/>
    </row>
    <row r="279" spans="1:12" s="641" customFormat="1" x14ac:dyDescent="0.35">
      <c r="A279" s="643">
        <v>44760</v>
      </c>
      <c r="B279" s="641" t="s">
        <v>743</v>
      </c>
      <c r="C279" s="652" t="s">
        <v>1072</v>
      </c>
      <c r="D279" s="652"/>
      <c r="E279" s="678"/>
      <c r="F279" s="664" t="s">
        <v>957</v>
      </c>
      <c r="G279" s="781">
        <v>4</v>
      </c>
      <c r="H279" s="776">
        <f>-11743.84-11790.17</f>
        <v>-23534.01</v>
      </c>
      <c r="I279" s="1117"/>
      <c r="J279" s="911"/>
      <c r="K279" s="911"/>
      <c r="L279" s="1142"/>
    </row>
    <row r="280" spans="1:12" s="641" customFormat="1" x14ac:dyDescent="0.35">
      <c r="A280" s="643">
        <v>44760</v>
      </c>
      <c r="B280" s="641" t="s">
        <v>743</v>
      </c>
      <c r="C280" s="652" t="s">
        <v>1101</v>
      </c>
      <c r="D280" s="652"/>
      <c r="E280" s="678"/>
      <c r="F280" s="664" t="s">
        <v>957</v>
      </c>
      <c r="G280" s="781">
        <v>2</v>
      </c>
      <c r="H280" s="776">
        <v>-5203.26</v>
      </c>
      <c r="I280" s="1117"/>
      <c r="J280" s="911"/>
      <c r="K280" s="911"/>
      <c r="L280" s="1142"/>
    </row>
    <row r="281" spans="1:12" s="641" customFormat="1" x14ac:dyDescent="0.35">
      <c r="A281" s="643">
        <v>44760</v>
      </c>
      <c r="B281" s="641" t="s">
        <v>743</v>
      </c>
      <c r="C281" s="652" t="s">
        <v>1138</v>
      </c>
      <c r="D281" s="652"/>
      <c r="E281" s="678"/>
      <c r="F281" s="664" t="s">
        <v>957</v>
      </c>
      <c r="G281" s="781">
        <v>1</v>
      </c>
      <c r="H281" s="776">
        <v>-7824.03</v>
      </c>
      <c r="I281" s="1117"/>
      <c r="J281" s="911"/>
      <c r="K281" s="911"/>
      <c r="L281" s="1142"/>
    </row>
    <row r="282" spans="1:12" s="640" customFormat="1" x14ac:dyDescent="0.35">
      <c r="A282" s="642">
        <v>44760</v>
      </c>
      <c r="B282" s="640" t="s">
        <v>745</v>
      </c>
      <c r="C282" s="650" t="s">
        <v>865</v>
      </c>
      <c r="D282" s="650"/>
      <c r="E282" s="681">
        <v>77.47</v>
      </c>
      <c r="F282" s="663" t="s">
        <v>985</v>
      </c>
      <c r="G282" s="780">
        <v>5</v>
      </c>
      <c r="H282" s="775"/>
      <c r="I282" s="1141"/>
      <c r="J282" s="1141"/>
      <c r="K282" s="1141"/>
      <c r="L282" s="1148"/>
    </row>
    <row r="283" spans="1:12" s="640" customFormat="1" x14ac:dyDescent="0.35">
      <c r="A283" s="642">
        <v>44761</v>
      </c>
      <c r="B283" s="640" t="s">
        <v>742</v>
      </c>
      <c r="C283" s="650" t="s">
        <v>1110</v>
      </c>
      <c r="D283" s="650"/>
      <c r="E283" s="681"/>
      <c r="F283" s="663" t="s">
        <v>126</v>
      </c>
      <c r="G283" s="780"/>
      <c r="H283" s="775">
        <f>11.83+299.14+105.33+103.2</f>
        <v>519.5</v>
      </c>
      <c r="I283" s="1154"/>
      <c r="J283" s="1141"/>
      <c r="K283" s="1141"/>
      <c r="L283" s="1148"/>
    </row>
    <row r="284" spans="1:12" s="640" customFormat="1" x14ac:dyDescent="0.35">
      <c r="A284" s="642">
        <v>44761</v>
      </c>
      <c r="B284" s="640" t="s">
        <v>745</v>
      </c>
      <c r="C284" s="650" t="s">
        <v>865</v>
      </c>
      <c r="D284" s="650"/>
      <c r="E284" s="681">
        <v>152.94</v>
      </c>
      <c r="F284" s="663" t="s">
        <v>985</v>
      </c>
      <c r="G284" s="780">
        <v>10</v>
      </c>
      <c r="H284" s="775"/>
      <c r="I284" s="1141"/>
      <c r="J284" s="1141"/>
      <c r="K284" s="1141"/>
      <c r="L284" s="1148"/>
    </row>
    <row r="285" spans="1:12" s="640" customFormat="1" x14ac:dyDescent="0.35">
      <c r="A285" s="642">
        <v>44761</v>
      </c>
      <c r="B285" s="640" t="s">
        <v>742</v>
      </c>
      <c r="C285" s="650" t="s">
        <v>126</v>
      </c>
      <c r="D285" s="650"/>
      <c r="E285" s="681"/>
      <c r="F285" s="663" t="s">
        <v>126</v>
      </c>
      <c r="G285" s="780"/>
      <c r="H285" s="775">
        <f>45629.96+11987.51</f>
        <v>57617.47</v>
      </c>
      <c r="I285" s="1116"/>
      <c r="J285" s="1141"/>
      <c r="K285" s="1141"/>
      <c r="L285" s="1148"/>
    </row>
    <row r="286" spans="1:12" s="641" customFormat="1" x14ac:dyDescent="0.35">
      <c r="A286" s="643">
        <v>44761</v>
      </c>
      <c r="B286" s="641" t="s">
        <v>743</v>
      </c>
      <c r="C286" s="652" t="s">
        <v>1141</v>
      </c>
      <c r="D286" s="652"/>
      <c r="E286" s="678"/>
      <c r="F286" s="664" t="s">
        <v>957</v>
      </c>
      <c r="G286" s="781">
        <v>10</v>
      </c>
      <c r="H286" s="776">
        <v>-5971.61</v>
      </c>
      <c r="I286" s="1117"/>
      <c r="J286" s="911"/>
      <c r="K286" s="911"/>
      <c r="L286" s="1142"/>
    </row>
    <row r="287" spans="1:12" s="641" customFormat="1" x14ac:dyDescent="0.35">
      <c r="A287" s="643">
        <v>44761</v>
      </c>
      <c r="B287" s="641" t="s">
        <v>743</v>
      </c>
      <c r="C287" s="652" t="s">
        <v>857</v>
      </c>
      <c r="D287" s="652"/>
      <c r="E287" s="678"/>
      <c r="F287" s="664" t="s">
        <v>957</v>
      </c>
      <c r="G287" s="781">
        <v>2</v>
      </c>
      <c r="H287" s="776">
        <v>-15932.04</v>
      </c>
      <c r="I287" s="1117"/>
      <c r="J287" s="911"/>
      <c r="K287" s="911"/>
      <c r="L287" s="1142"/>
    </row>
    <row r="288" spans="1:12" s="641" customFormat="1" x14ac:dyDescent="0.35">
      <c r="A288" s="643">
        <v>44761</v>
      </c>
      <c r="B288" s="641" t="s">
        <v>743</v>
      </c>
      <c r="C288" s="652" t="s">
        <v>1126</v>
      </c>
      <c r="D288" s="652"/>
      <c r="E288" s="678"/>
      <c r="F288" s="664" t="s">
        <v>957</v>
      </c>
      <c r="G288" s="781">
        <v>2</v>
      </c>
      <c r="H288" s="776">
        <v>-9933.2199999999993</v>
      </c>
      <c r="I288" s="1117"/>
      <c r="J288" s="911"/>
      <c r="K288" s="911"/>
      <c r="L288" s="1142"/>
    </row>
    <row r="289" spans="1:12" s="641" customFormat="1" x14ac:dyDescent="0.35">
      <c r="A289" s="643">
        <v>44761</v>
      </c>
      <c r="B289" s="641" t="s">
        <v>743</v>
      </c>
      <c r="C289" s="652" t="s">
        <v>834</v>
      </c>
      <c r="D289" s="652"/>
      <c r="E289" s="678"/>
      <c r="F289" s="664" t="s">
        <v>957</v>
      </c>
      <c r="G289" s="781">
        <v>1</v>
      </c>
      <c r="H289" s="776">
        <v>-4910.22</v>
      </c>
      <c r="I289" s="1117"/>
      <c r="J289" s="911"/>
      <c r="K289" s="911"/>
      <c r="L289" s="1142"/>
    </row>
    <row r="290" spans="1:12" s="640" customFormat="1" x14ac:dyDescent="0.35">
      <c r="A290" s="642">
        <v>44762</v>
      </c>
      <c r="B290" s="640" t="s">
        <v>742</v>
      </c>
      <c r="C290" s="650" t="s">
        <v>126</v>
      </c>
      <c r="D290" s="650"/>
      <c r="E290" s="681"/>
      <c r="F290" s="663" t="s">
        <v>126</v>
      </c>
      <c r="G290" s="780"/>
      <c r="H290" s="775">
        <v>14502.07</v>
      </c>
      <c r="I290" s="1116"/>
      <c r="J290" s="1141"/>
      <c r="K290" s="1141"/>
      <c r="L290" s="1148"/>
    </row>
    <row r="291" spans="1:12" s="641" customFormat="1" x14ac:dyDescent="0.35">
      <c r="A291" s="643">
        <v>44762</v>
      </c>
      <c r="B291" s="641" t="s">
        <v>743</v>
      </c>
      <c r="C291" s="652" t="s">
        <v>834</v>
      </c>
      <c r="D291" s="652"/>
      <c r="E291" s="678"/>
      <c r="F291" s="664" t="s">
        <v>957</v>
      </c>
      <c r="G291" s="781">
        <v>3</v>
      </c>
      <c r="H291" s="776">
        <f>-9804.33-4910.22</f>
        <v>-14714.55</v>
      </c>
      <c r="I291" s="1117"/>
      <c r="J291" s="911"/>
      <c r="K291" s="911"/>
      <c r="L291" s="1142"/>
    </row>
    <row r="292" spans="1:12" s="641" customFormat="1" x14ac:dyDescent="0.35">
      <c r="A292" s="643">
        <v>44762</v>
      </c>
      <c r="B292" s="641" t="s">
        <v>743</v>
      </c>
      <c r="C292" s="652" t="s">
        <v>1129</v>
      </c>
      <c r="D292" s="652"/>
      <c r="E292" s="678"/>
      <c r="F292" s="664" t="s">
        <v>957</v>
      </c>
      <c r="G292" s="781">
        <v>5</v>
      </c>
      <c r="H292" s="776">
        <f>-7756.05-11585.74</f>
        <v>-19341.79</v>
      </c>
      <c r="I292" s="1152"/>
      <c r="J292" s="911"/>
      <c r="K292" s="911"/>
      <c r="L292" s="1142"/>
    </row>
    <row r="293" spans="1:12" s="641" customFormat="1" x14ac:dyDescent="0.35">
      <c r="A293" s="643">
        <v>44762</v>
      </c>
      <c r="B293" s="641" t="s">
        <v>743</v>
      </c>
      <c r="C293" s="652" t="s">
        <v>1108</v>
      </c>
      <c r="D293" s="652"/>
      <c r="E293" s="678"/>
      <c r="F293" s="664" t="s">
        <v>957</v>
      </c>
      <c r="G293" s="781">
        <v>30</v>
      </c>
      <c r="H293" s="776">
        <v>-7975.58</v>
      </c>
      <c r="I293" s="1117"/>
      <c r="J293" s="911"/>
      <c r="K293" s="911"/>
      <c r="L293" s="1142"/>
    </row>
    <row r="294" spans="1:12" s="641" customFormat="1" x14ac:dyDescent="0.35">
      <c r="A294" s="643">
        <v>44762</v>
      </c>
      <c r="B294" s="641" t="s">
        <v>743</v>
      </c>
      <c r="C294" s="652" t="s">
        <v>1127</v>
      </c>
      <c r="D294" s="652"/>
      <c r="E294" s="678"/>
      <c r="F294" s="664" t="s">
        <v>957</v>
      </c>
      <c r="G294" s="781">
        <v>2</v>
      </c>
      <c r="H294" s="776">
        <f>-4994.81-4994.81</f>
        <v>-9989.6200000000008</v>
      </c>
      <c r="I294" s="1152"/>
      <c r="J294" s="911"/>
      <c r="K294" s="911"/>
      <c r="L294" s="1142"/>
    </row>
    <row r="295" spans="1:12" s="641" customFormat="1" x14ac:dyDescent="0.35">
      <c r="A295" s="643">
        <v>44762</v>
      </c>
      <c r="B295" s="641" t="s">
        <v>743</v>
      </c>
      <c r="C295" s="652" t="s">
        <v>1144</v>
      </c>
      <c r="D295" s="652"/>
      <c r="E295" s="678"/>
      <c r="F295" s="664" t="s">
        <v>957</v>
      </c>
      <c r="G295" s="781">
        <v>2</v>
      </c>
      <c r="H295" s="776">
        <f>-3249.65-3249.65</f>
        <v>-6499.3</v>
      </c>
      <c r="I295" s="1152"/>
      <c r="J295" s="911"/>
      <c r="K295" s="911"/>
      <c r="L295" s="1142"/>
    </row>
    <row r="296" spans="1:12" s="641" customFormat="1" x14ac:dyDescent="0.35">
      <c r="A296" s="643">
        <v>44762</v>
      </c>
      <c r="B296" s="641" t="s">
        <v>743</v>
      </c>
      <c r="C296" s="652" t="s">
        <v>1128</v>
      </c>
      <c r="D296" s="652"/>
      <c r="E296" s="678"/>
      <c r="F296" s="664" t="s">
        <v>957</v>
      </c>
      <c r="G296" s="781">
        <v>5</v>
      </c>
      <c r="H296" s="776">
        <v>-12368.7</v>
      </c>
      <c r="I296" s="1117"/>
      <c r="J296" s="911"/>
      <c r="K296" s="911"/>
      <c r="L296" s="1142"/>
    </row>
    <row r="297" spans="1:12" s="641" customFormat="1" x14ac:dyDescent="0.35">
      <c r="A297" s="643">
        <v>44762</v>
      </c>
      <c r="B297" s="641" t="s">
        <v>743</v>
      </c>
      <c r="C297" s="652" t="s">
        <v>1135</v>
      </c>
      <c r="D297" s="652"/>
      <c r="E297" s="678"/>
      <c r="F297" s="664" t="s">
        <v>957</v>
      </c>
      <c r="G297" s="781">
        <v>1</v>
      </c>
      <c r="H297" s="776">
        <v>-4073.39</v>
      </c>
      <c r="I297" s="1117"/>
      <c r="J297" s="911"/>
      <c r="K297" s="911"/>
      <c r="L297" s="1142"/>
    </row>
    <row r="298" spans="1:12" s="641" customFormat="1" x14ac:dyDescent="0.35">
      <c r="A298" s="643">
        <v>44762</v>
      </c>
      <c r="B298" s="641" t="s">
        <v>743</v>
      </c>
      <c r="C298" s="652" t="s">
        <v>1046</v>
      </c>
      <c r="D298" s="652"/>
      <c r="E298" s="678"/>
      <c r="F298" s="664" t="s">
        <v>957</v>
      </c>
      <c r="G298" s="781">
        <v>2</v>
      </c>
      <c r="H298" s="776">
        <f>-14302.68-14262.4</f>
        <v>-28565.08</v>
      </c>
      <c r="I298" s="1117"/>
      <c r="J298" s="911"/>
      <c r="K298" s="911"/>
      <c r="L298" s="1142"/>
    </row>
    <row r="299" spans="1:12" s="641" customFormat="1" x14ac:dyDescent="0.35">
      <c r="A299" s="643">
        <v>44762</v>
      </c>
      <c r="B299" s="641" t="s">
        <v>743</v>
      </c>
      <c r="C299" s="652" t="s">
        <v>1141</v>
      </c>
      <c r="D299" s="652"/>
      <c r="E299" s="678"/>
      <c r="F299" s="664" t="s">
        <v>957</v>
      </c>
      <c r="G299" s="781">
        <v>20</v>
      </c>
      <c r="H299" s="776">
        <v>-12305.76</v>
      </c>
      <c r="I299" s="1117"/>
      <c r="J299" s="911"/>
      <c r="K299" s="911"/>
      <c r="L299" s="1142"/>
    </row>
    <row r="300" spans="1:12" s="641" customFormat="1" x14ac:dyDescent="0.35">
      <c r="A300" s="643">
        <v>44762</v>
      </c>
      <c r="B300" s="641" t="s">
        <v>743</v>
      </c>
      <c r="C300" s="652" t="s">
        <v>1145</v>
      </c>
      <c r="D300" s="652"/>
      <c r="E300" s="678"/>
      <c r="F300" s="664" t="s">
        <v>957</v>
      </c>
      <c r="G300" s="781">
        <v>1</v>
      </c>
      <c r="H300" s="776">
        <v>-11759.45</v>
      </c>
      <c r="I300" s="1117"/>
      <c r="J300" s="911"/>
      <c r="K300" s="911"/>
      <c r="L300" s="1142"/>
    </row>
    <row r="301" spans="1:12" s="641" customFormat="1" x14ac:dyDescent="0.35">
      <c r="A301" s="643">
        <v>44762</v>
      </c>
      <c r="B301" s="641" t="s">
        <v>743</v>
      </c>
      <c r="C301" s="652" t="s">
        <v>865</v>
      </c>
      <c r="D301" s="652"/>
      <c r="E301" s="678"/>
      <c r="F301" s="664" t="s">
        <v>957</v>
      </c>
      <c r="G301" s="781">
        <v>5</v>
      </c>
      <c r="H301" s="776">
        <f>-19099.1-4774.78</f>
        <v>-23873.88</v>
      </c>
      <c r="I301" s="1117"/>
      <c r="J301" s="911"/>
      <c r="K301" s="911"/>
      <c r="L301" s="1142"/>
    </row>
    <row r="302" spans="1:12" s="640" customFormat="1" x14ac:dyDescent="0.35">
      <c r="A302" s="642">
        <v>44762</v>
      </c>
      <c r="B302" s="640" t="s">
        <v>745</v>
      </c>
      <c r="C302" s="650" t="s">
        <v>865</v>
      </c>
      <c r="D302" s="650"/>
      <c r="E302" s="681">
        <v>77.97</v>
      </c>
      <c r="F302" s="663" t="s">
        <v>985</v>
      </c>
      <c r="G302" s="780">
        <v>5</v>
      </c>
      <c r="H302" s="775"/>
      <c r="I302" s="1141"/>
      <c r="J302" s="1141"/>
      <c r="K302" s="1141"/>
      <c r="L302" s="1148"/>
    </row>
    <row r="303" spans="1:12" s="641" customFormat="1" x14ac:dyDescent="0.35">
      <c r="A303" s="643">
        <v>44762</v>
      </c>
      <c r="B303" s="641" t="s">
        <v>746</v>
      </c>
      <c r="C303" s="652" t="s">
        <v>820</v>
      </c>
      <c r="D303" s="652"/>
      <c r="E303" s="678">
        <v>-77.47</v>
      </c>
      <c r="F303" s="664" t="s">
        <v>751</v>
      </c>
      <c r="G303" s="781"/>
      <c r="H303" s="776"/>
      <c r="I303" s="1117"/>
      <c r="J303" s="911"/>
      <c r="K303" s="911"/>
      <c r="L303" s="1142"/>
    </row>
    <row r="304" spans="1:12" s="641" customFormat="1" x14ac:dyDescent="0.35">
      <c r="A304" s="643">
        <v>44763</v>
      </c>
      <c r="B304" s="641" t="s">
        <v>746</v>
      </c>
      <c r="C304" s="652" t="s">
        <v>820</v>
      </c>
      <c r="D304" s="652"/>
      <c r="E304" s="678">
        <v>-152.94</v>
      </c>
      <c r="F304" s="664" t="s">
        <v>751</v>
      </c>
      <c r="G304" s="781"/>
      <c r="H304" s="776">
        <v>-3059</v>
      </c>
      <c r="I304" s="1117"/>
      <c r="J304" s="911"/>
      <c r="K304" s="911"/>
      <c r="L304" s="1142"/>
    </row>
    <row r="305" spans="1:12" s="640" customFormat="1" x14ac:dyDescent="0.35">
      <c r="A305" s="642">
        <v>44763</v>
      </c>
      <c r="B305" s="640" t="s">
        <v>742</v>
      </c>
      <c r="C305" s="650" t="s">
        <v>126</v>
      </c>
      <c r="D305" s="650"/>
      <c r="E305" s="681"/>
      <c r="F305" s="663" t="s">
        <v>126</v>
      </c>
      <c r="G305" s="780"/>
      <c r="H305" s="775">
        <f>104750+70661.37</f>
        <v>175411.37</v>
      </c>
      <c r="I305" s="1116"/>
      <c r="J305" s="1141"/>
      <c r="K305" s="1141"/>
      <c r="L305" s="1148"/>
    </row>
    <row r="306" spans="1:12" s="641" customFormat="1" x14ac:dyDescent="0.35">
      <c r="A306" s="643">
        <v>44763</v>
      </c>
      <c r="B306" s="641" t="s">
        <v>743</v>
      </c>
      <c r="C306" s="652" t="s">
        <v>1137</v>
      </c>
      <c r="D306" s="652"/>
      <c r="E306" s="678"/>
      <c r="F306" s="664" t="s">
        <v>957</v>
      </c>
      <c r="G306" s="781">
        <v>1</v>
      </c>
      <c r="H306" s="776">
        <v>-6957.49</v>
      </c>
      <c r="I306" s="1152"/>
      <c r="J306" s="911"/>
      <c r="K306" s="911"/>
      <c r="L306" s="1142"/>
    </row>
    <row r="307" spans="1:12" s="641" customFormat="1" x14ac:dyDescent="0.35">
      <c r="A307" s="643">
        <v>44763</v>
      </c>
      <c r="B307" s="641" t="s">
        <v>743</v>
      </c>
      <c r="C307" s="652" t="s">
        <v>1127</v>
      </c>
      <c r="D307" s="652"/>
      <c r="E307" s="678"/>
      <c r="F307" s="664" t="s">
        <v>957</v>
      </c>
      <c r="G307" s="781">
        <v>11</v>
      </c>
      <c r="H307" s="776">
        <f>-5098.53-10315.89-15508.58-43148.71</f>
        <v>-74071.710000000006</v>
      </c>
      <c r="I307" s="1152"/>
      <c r="J307" s="911"/>
      <c r="K307" s="911"/>
      <c r="L307" s="1142"/>
    </row>
    <row r="308" spans="1:12" s="641" customFormat="1" x14ac:dyDescent="0.35">
      <c r="A308" s="643">
        <v>44763</v>
      </c>
      <c r="B308" s="641" t="s">
        <v>743</v>
      </c>
      <c r="C308" s="652" t="s">
        <v>1072</v>
      </c>
      <c r="D308" s="652"/>
      <c r="E308" s="678"/>
      <c r="F308" s="664" t="s">
        <v>957</v>
      </c>
      <c r="G308" s="781">
        <v>1</v>
      </c>
      <c r="H308" s="776">
        <v>-6324.07</v>
      </c>
      <c r="I308" s="1117"/>
      <c r="J308" s="911"/>
      <c r="K308" s="911"/>
      <c r="L308" s="1142"/>
    </row>
    <row r="309" spans="1:12" s="641" customFormat="1" x14ac:dyDescent="0.35">
      <c r="A309" s="643">
        <v>44763</v>
      </c>
      <c r="B309" s="641" t="s">
        <v>743</v>
      </c>
      <c r="C309" s="652" t="s">
        <v>1135</v>
      </c>
      <c r="D309" s="652"/>
      <c r="E309" s="678"/>
      <c r="F309" s="664" t="s">
        <v>957</v>
      </c>
      <c r="G309" s="781">
        <v>10</v>
      </c>
      <c r="H309" s="776">
        <f>-8286.75-8392.49-26491.62</f>
        <v>-43170.86</v>
      </c>
      <c r="I309" s="1117"/>
      <c r="J309" s="911"/>
      <c r="K309" s="911"/>
      <c r="L309" s="1142"/>
    </row>
    <row r="310" spans="1:12" s="641" customFormat="1" x14ac:dyDescent="0.35">
      <c r="A310" s="643">
        <v>44763</v>
      </c>
      <c r="B310" s="641" t="s">
        <v>743</v>
      </c>
      <c r="C310" s="652" t="s">
        <v>1107</v>
      </c>
      <c r="D310" s="652"/>
      <c r="E310" s="678"/>
      <c r="F310" s="664" t="s">
        <v>957</v>
      </c>
      <c r="G310" s="781">
        <v>1</v>
      </c>
      <c r="H310" s="776">
        <v>-8343.14</v>
      </c>
      <c r="I310" s="1117"/>
      <c r="J310" s="911"/>
      <c r="K310" s="911"/>
      <c r="L310" s="1142"/>
    </row>
    <row r="311" spans="1:12" s="641" customFormat="1" x14ac:dyDescent="0.35">
      <c r="A311" s="643">
        <v>44763</v>
      </c>
      <c r="B311" s="641" t="s">
        <v>743</v>
      </c>
      <c r="C311" s="652" t="s">
        <v>1141</v>
      </c>
      <c r="D311" s="652"/>
      <c r="E311" s="678"/>
      <c r="F311" s="664" t="s">
        <v>957</v>
      </c>
      <c r="G311" s="781">
        <v>28</v>
      </c>
      <c r="H311" s="776">
        <f>-10648.21-626.37-6324.07</f>
        <v>-17598.650000000001</v>
      </c>
      <c r="I311" s="1117"/>
      <c r="J311" s="911"/>
      <c r="K311" s="911"/>
      <c r="L311" s="1142"/>
    </row>
    <row r="312" spans="1:12" s="641" customFormat="1" x14ac:dyDescent="0.35">
      <c r="A312" s="643">
        <v>44763</v>
      </c>
      <c r="B312" s="641" t="s">
        <v>743</v>
      </c>
      <c r="C312" s="652" t="s">
        <v>1108</v>
      </c>
      <c r="D312" s="652"/>
      <c r="E312" s="678"/>
      <c r="F312" s="664" t="s">
        <v>957</v>
      </c>
      <c r="G312" s="781">
        <v>34</v>
      </c>
      <c r="H312" s="776">
        <v>-9381.3799999999992</v>
      </c>
      <c r="I312" s="1117"/>
      <c r="J312" s="911"/>
      <c r="K312" s="911"/>
      <c r="L312" s="1142"/>
    </row>
    <row r="313" spans="1:12" s="641" customFormat="1" x14ac:dyDescent="0.35">
      <c r="A313" s="643">
        <v>44763</v>
      </c>
      <c r="B313" s="641" t="s">
        <v>743</v>
      </c>
      <c r="C313" s="652" t="s">
        <v>1101</v>
      </c>
      <c r="D313" s="652"/>
      <c r="E313" s="678"/>
      <c r="F313" s="664" t="s">
        <v>957</v>
      </c>
      <c r="G313" s="781">
        <v>3</v>
      </c>
      <c r="H313" s="776">
        <f>-5730.94-2865.47</f>
        <v>-8596.41</v>
      </c>
      <c r="I313" s="1117"/>
      <c r="J313" s="911"/>
      <c r="K313" s="911"/>
      <c r="L313" s="1142"/>
    </row>
    <row r="314" spans="1:12" s="640" customFormat="1" x14ac:dyDescent="0.35">
      <c r="A314" s="642">
        <v>44764</v>
      </c>
      <c r="B314" s="640" t="s">
        <v>742</v>
      </c>
      <c r="C314" s="650" t="s">
        <v>126</v>
      </c>
      <c r="D314" s="650"/>
      <c r="E314" s="681"/>
      <c r="F314" s="663" t="s">
        <v>126</v>
      </c>
      <c r="G314" s="780"/>
      <c r="H314" s="775">
        <f>100000+240-0.05</f>
        <v>100239.95</v>
      </c>
      <c r="I314" s="1116"/>
      <c r="J314" s="1141"/>
      <c r="K314" s="1141"/>
      <c r="L314" s="1148"/>
    </row>
    <row r="315" spans="1:12" s="641" customFormat="1" x14ac:dyDescent="0.35">
      <c r="A315" s="643">
        <v>44764</v>
      </c>
      <c r="B315" s="641" t="s">
        <v>746</v>
      </c>
      <c r="C315" s="652" t="s">
        <v>820</v>
      </c>
      <c r="D315" s="652"/>
      <c r="E315" s="678">
        <v>-77.97</v>
      </c>
      <c r="F315" s="664" t="s">
        <v>751</v>
      </c>
      <c r="G315" s="781"/>
      <c r="H315" s="776"/>
      <c r="I315" s="1117"/>
      <c r="J315" s="911"/>
      <c r="K315" s="911"/>
      <c r="L315" s="1142"/>
    </row>
    <row r="316" spans="1:12" s="641" customFormat="1" x14ac:dyDescent="0.35">
      <c r="A316" s="643">
        <v>44764</v>
      </c>
      <c r="B316" s="641" t="s">
        <v>743</v>
      </c>
      <c r="C316" s="652" t="s">
        <v>1137</v>
      </c>
      <c r="D316" s="652"/>
      <c r="E316" s="678"/>
      <c r="F316" s="664" t="s">
        <v>957</v>
      </c>
      <c r="G316" s="781">
        <v>1</v>
      </c>
      <c r="H316" s="776">
        <v>-7193.63</v>
      </c>
      <c r="I316" s="1152"/>
      <c r="J316" s="911"/>
      <c r="K316" s="911"/>
      <c r="L316" s="1142"/>
    </row>
    <row r="317" spans="1:12" s="641" customFormat="1" x14ac:dyDescent="0.35">
      <c r="A317" s="643">
        <v>44764</v>
      </c>
      <c r="B317" s="641" t="s">
        <v>743</v>
      </c>
      <c r="C317" s="652" t="s">
        <v>1135</v>
      </c>
      <c r="D317" s="652"/>
      <c r="E317" s="678"/>
      <c r="F317" s="664" t="s">
        <v>957</v>
      </c>
      <c r="G317" s="781">
        <v>4</v>
      </c>
      <c r="H317" s="776">
        <v>-16958.18</v>
      </c>
      <c r="I317" s="1152"/>
      <c r="J317" s="911"/>
      <c r="K317" s="911"/>
      <c r="L317" s="1142"/>
    </row>
    <row r="318" spans="1:12" s="640" customFormat="1" x14ac:dyDescent="0.35">
      <c r="A318" s="642">
        <v>44764</v>
      </c>
      <c r="B318" s="640" t="s">
        <v>745</v>
      </c>
      <c r="C318" s="650" t="s">
        <v>1145</v>
      </c>
      <c r="D318" s="650"/>
      <c r="E318" s="681"/>
      <c r="F318" s="663" t="s">
        <v>985</v>
      </c>
      <c r="G318" s="780">
        <v>1</v>
      </c>
      <c r="H318" s="775">
        <v>12301.06</v>
      </c>
      <c r="I318" s="1141"/>
      <c r="J318" s="1141"/>
      <c r="K318" s="1141"/>
      <c r="L318" s="1148"/>
    </row>
    <row r="319" spans="1:12" s="640" customFormat="1" x14ac:dyDescent="0.35">
      <c r="A319" s="642">
        <v>44764</v>
      </c>
      <c r="B319" s="640" t="s">
        <v>745</v>
      </c>
      <c r="C319" s="650" t="s">
        <v>1138</v>
      </c>
      <c r="D319" s="650"/>
      <c r="E319" s="681"/>
      <c r="F319" s="663" t="s">
        <v>985</v>
      </c>
      <c r="G319" s="780">
        <v>1</v>
      </c>
      <c r="H319" s="775">
        <v>8549.58</v>
      </c>
      <c r="I319" s="1141"/>
      <c r="J319" s="1141"/>
      <c r="K319" s="1141"/>
      <c r="L319" s="1148"/>
    </row>
    <row r="320" spans="1:12" s="640" customFormat="1" x14ac:dyDescent="0.35">
      <c r="A320" s="642">
        <v>44764</v>
      </c>
      <c r="B320" s="640" t="s">
        <v>745</v>
      </c>
      <c r="C320" s="650" t="s">
        <v>857</v>
      </c>
      <c r="D320" s="650"/>
      <c r="E320" s="681"/>
      <c r="F320" s="663" t="s">
        <v>985</v>
      </c>
      <c r="G320" s="780">
        <v>2</v>
      </c>
      <c r="H320" s="775">
        <f>8077.91+8077.91</f>
        <v>16155.82</v>
      </c>
      <c r="I320" s="1141"/>
      <c r="J320" s="1141"/>
      <c r="K320" s="1141"/>
      <c r="L320" s="1148"/>
    </row>
    <row r="321" spans="1:13" s="641" customFormat="1" x14ac:dyDescent="0.35">
      <c r="A321" s="643">
        <v>44764</v>
      </c>
      <c r="B321" s="641" t="s">
        <v>743</v>
      </c>
      <c r="C321" s="652" t="s">
        <v>1042</v>
      </c>
      <c r="D321" s="652"/>
      <c r="E321" s="678"/>
      <c r="F321" s="664" t="s">
        <v>957</v>
      </c>
      <c r="G321" s="781">
        <v>1</v>
      </c>
      <c r="H321" s="776">
        <v>-12017.75</v>
      </c>
      <c r="I321" s="1152"/>
      <c r="J321" s="911"/>
      <c r="K321" s="911"/>
      <c r="L321" s="1142"/>
    </row>
    <row r="322" spans="1:13" s="641" customFormat="1" x14ac:dyDescent="0.35">
      <c r="A322" s="643">
        <v>44764</v>
      </c>
      <c r="B322" s="641" t="s">
        <v>743</v>
      </c>
      <c r="C322" s="652" t="s">
        <v>1127</v>
      </c>
      <c r="D322" s="652"/>
      <c r="E322" s="678"/>
      <c r="F322" s="664" t="s">
        <v>957</v>
      </c>
      <c r="G322" s="781">
        <v>1</v>
      </c>
      <c r="H322" s="776">
        <v>-5235.99</v>
      </c>
      <c r="I322" s="1152"/>
      <c r="J322" s="911"/>
      <c r="K322" s="911"/>
      <c r="L322" s="1142"/>
    </row>
    <row r="323" spans="1:13" s="641" customFormat="1" x14ac:dyDescent="0.35">
      <c r="A323" s="643">
        <v>44764</v>
      </c>
      <c r="B323" s="641" t="s">
        <v>743</v>
      </c>
      <c r="C323" s="652" t="s">
        <v>1108</v>
      </c>
      <c r="D323" s="652"/>
      <c r="E323" s="678"/>
      <c r="F323" s="664" t="s">
        <v>957</v>
      </c>
      <c r="G323" s="781">
        <v>10</v>
      </c>
      <c r="H323" s="776">
        <v>-2789.44</v>
      </c>
      <c r="I323" s="1117"/>
      <c r="J323" s="911"/>
      <c r="K323" s="911"/>
      <c r="L323" s="1142"/>
    </row>
    <row r="324" spans="1:13" s="641" customFormat="1" x14ac:dyDescent="0.35">
      <c r="A324" s="643">
        <v>44764</v>
      </c>
      <c r="B324" s="641" t="s">
        <v>743</v>
      </c>
      <c r="C324" s="652" t="s">
        <v>1141</v>
      </c>
      <c r="D324" s="652"/>
      <c r="E324" s="678"/>
      <c r="F324" s="664" t="s">
        <v>957</v>
      </c>
      <c r="G324" s="781">
        <v>15</v>
      </c>
      <c r="H324" s="776">
        <f>-7486.17-1851.91</f>
        <v>-9338.08</v>
      </c>
      <c r="I324" s="1117"/>
      <c r="J324" s="911"/>
      <c r="K324" s="911"/>
      <c r="L324" s="1142"/>
    </row>
    <row r="325" spans="1:13" s="640" customFormat="1" x14ac:dyDescent="0.35">
      <c r="A325" s="642">
        <v>44764</v>
      </c>
      <c r="B325" s="640" t="s">
        <v>745</v>
      </c>
      <c r="C325" s="650" t="s">
        <v>834</v>
      </c>
      <c r="D325" s="650"/>
      <c r="E325" s="681"/>
      <c r="F325" s="663" t="s">
        <v>985</v>
      </c>
      <c r="G325" s="780">
        <v>2</v>
      </c>
      <c r="H325" s="775">
        <v>10116.5</v>
      </c>
      <c r="I325" s="1141"/>
      <c r="J325" s="1141"/>
      <c r="K325" s="1141"/>
      <c r="L325" s="1148"/>
    </row>
    <row r="326" spans="1:13" s="641" customFormat="1" x14ac:dyDescent="0.35">
      <c r="A326" s="643">
        <v>44764</v>
      </c>
      <c r="B326" s="641" t="s">
        <v>743</v>
      </c>
      <c r="C326" s="652" t="s">
        <v>1107</v>
      </c>
      <c r="D326" s="652"/>
      <c r="E326" s="678"/>
      <c r="F326" s="664" t="s">
        <v>957</v>
      </c>
      <c r="G326" s="781">
        <v>1</v>
      </c>
      <c r="H326" s="776">
        <v>-8659.85</v>
      </c>
      <c r="I326" s="1117"/>
      <c r="J326" s="911"/>
      <c r="K326" s="911"/>
      <c r="L326" s="1142"/>
    </row>
    <row r="327" spans="1:13" s="641" customFormat="1" x14ac:dyDescent="0.35">
      <c r="A327" s="643">
        <v>44764</v>
      </c>
      <c r="B327" s="641" t="s">
        <v>743</v>
      </c>
      <c r="C327" s="652" t="s">
        <v>1072</v>
      </c>
      <c r="D327" s="652"/>
      <c r="E327" s="678"/>
      <c r="F327" s="664" t="s">
        <v>957</v>
      </c>
      <c r="G327" s="781">
        <v>3</v>
      </c>
      <c r="H327" s="776">
        <f>-6540.58-6444.41-6443.91-19423.87</f>
        <v>-38852.769999999997</v>
      </c>
      <c r="I327" s="1117"/>
      <c r="J327" s="911"/>
      <c r="K327" s="911"/>
      <c r="L327" s="1142"/>
    </row>
    <row r="328" spans="1:13" s="641" customFormat="1" x14ac:dyDescent="0.35">
      <c r="A328" s="643">
        <v>44764</v>
      </c>
      <c r="B328" s="641" t="s">
        <v>743</v>
      </c>
      <c r="C328" s="652" t="s">
        <v>1128</v>
      </c>
      <c r="D328" s="652"/>
      <c r="E328" s="678"/>
      <c r="F328" s="664" t="s">
        <v>957</v>
      </c>
      <c r="G328" s="781">
        <v>5</v>
      </c>
      <c r="H328" s="776">
        <f>-10464.93-2616.23</f>
        <v>-13081.16</v>
      </c>
      <c r="I328" s="1117"/>
      <c r="J328" s="911"/>
      <c r="K328" s="911"/>
      <c r="L328" s="1142"/>
    </row>
    <row r="329" spans="1:13" s="641" customFormat="1" x14ac:dyDescent="0.35">
      <c r="A329" s="643">
        <v>44764</v>
      </c>
      <c r="B329" s="641" t="s">
        <v>743</v>
      </c>
      <c r="C329" s="652" t="s">
        <v>1144</v>
      </c>
      <c r="D329" s="652"/>
      <c r="E329" s="678"/>
      <c r="F329" s="664" t="s">
        <v>957</v>
      </c>
      <c r="G329" s="781">
        <v>4</v>
      </c>
      <c r="H329" s="776">
        <f>-13854.55-3401.71-17018.6</f>
        <v>-34274.86</v>
      </c>
      <c r="I329" s="1117"/>
      <c r="J329" s="911"/>
      <c r="K329" s="911"/>
      <c r="L329" s="1142"/>
    </row>
    <row r="330" spans="1:13" s="1121" customFormat="1" x14ac:dyDescent="0.35">
      <c r="A330" s="1120">
        <v>44685</v>
      </c>
      <c r="B330" s="1175">
        <v>0</v>
      </c>
      <c r="C330" s="1122" t="s">
        <v>1043</v>
      </c>
      <c r="D330" s="1122">
        <v>37.630000000000003</v>
      </c>
      <c r="E330" s="1123">
        <f t="shared" ref="E330:E336" si="0">+D330*F330</f>
        <v>75.260000000000005</v>
      </c>
      <c r="F330" s="1127">
        <v>2</v>
      </c>
      <c r="G330" s="1126">
        <f>+F330/I330</f>
        <v>0.4</v>
      </c>
      <c r="H330" s="1124">
        <v>0</v>
      </c>
      <c r="I330" s="1125">
        <v>5</v>
      </c>
      <c r="J330" s="1143">
        <f>+I330*D330</f>
        <v>188.15</v>
      </c>
      <c r="K330" s="1143">
        <f t="shared" ref="K330:K336" si="1">+J330*CtzM</f>
        <v>59643.55</v>
      </c>
      <c r="L330" s="1149">
        <f t="shared" ref="L330:L336" si="2">+D330*CtzM</f>
        <v>11928.71</v>
      </c>
      <c r="M330" s="1121" t="s">
        <v>1099</v>
      </c>
    </row>
    <row r="331" spans="1:13" s="1121" customFormat="1" x14ac:dyDescent="0.35">
      <c r="A331" s="1120">
        <v>44685</v>
      </c>
      <c r="B331" s="1175">
        <v>0</v>
      </c>
      <c r="C331" s="1122" t="s">
        <v>1044</v>
      </c>
      <c r="D331" s="1122">
        <v>15.8</v>
      </c>
      <c r="E331" s="1123">
        <f t="shared" si="0"/>
        <v>790</v>
      </c>
      <c r="F331" s="1127">
        <v>50</v>
      </c>
      <c r="G331" s="1126">
        <f t="shared" ref="G331:G333" si="3">+F331/I331</f>
        <v>5</v>
      </c>
      <c r="H331" s="1124">
        <v>0</v>
      </c>
      <c r="I331" s="1125">
        <v>10</v>
      </c>
      <c r="J331" s="1143">
        <f t="shared" ref="J331:J333" si="4">+I331*D331</f>
        <v>158</v>
      </c>
      <c r="K331" s="1143">
        <f t="shared" si="1"/>
        <v>50086</v>
      </c>
      <c r="L331" s="1149">
        <f t="shared" si="2"/>
        <v>5008.6000000000004</v>
      </c>
      <c r="M331" s="1121" t="s">
        <v>1100</v>
      </c>
    </row>
    <row r="332" spans="1:13" s="1121" customFormat="1" x14ac:dyDescent="0.35">
      <c r="A332" s="1120">
        <v>44687</v>
      </c>
      <c r="B332" s="1175">
        <v>1</v>
      </c>
      <c r="C332" s="1122" t="s">
        <v>1045</v>
      </c>
      <c r="D332" s="1122">
        <v>23.49</v>
      </c>
      <c r="E332" s="1123">
        <f t="shared" si="0"/>
        <v>822.15</v>
      </c>
      <c r="F332" s="1127">
        <v>35</v>
      </c>
      <c r="G332" s="1126">
        <f t="shared" si="3"/>
        <v>3.5</v>
      </c>
      <c r="H332" s="1124">
        <v>0</v>
      </c>
      <c r="I332" s="1125">
        <v>10</v>
      </c>
      <c r="J332" s="1143">
        <f t="shared" si="4"/>
        <v>234.9</v>
      </c>
      <c r="K332" s="1143">
        <f t="shared" si="1"/>
        <v>74463.3</v>
      </c>
      <c r="L332" s="1149">
        <f t="shared" si="2"/>
        <v>7446.33</v>
      </c>
      <c r="M332" s="1121" t="s">
        <v>1098</v>
      </c>
    </row>
    <row r="333" spans="1:13" s="1121" customFormat="1" x14ac:dyDescent="0.35">
      <c r="A333" s="1120">
        <v>44741</v>
      </c>
      <c r="B333" s="1175">
        <v>1</v>
      </c>
      <c r="C333" s="1122" t="s">
        <v>1094</v>
      </c>
      <c r="D333" s="1122">
        <v>20.329999999999998</v>
      </c>
      <c r="E333" s="1123">
        <f t="shared" si="0"/>
        <v>426.93</v>
      </c>
      <c r="F333" s="1127">
        <v>21</v>
      </c>
      <c r="G333" s="1126">
        <f t="shared" si="3"/>
        <v>1.05</v>
      </c>
      <c r="H333" s="1124">
        <v>0</v>
      </c>
      <c r="I333" s="1125">
        <v>20</v>
      </c>
      <c r="J333" s="1143">
        <f t="shared" si="4"/>
        <v>406.6</v>
      </c>
      <c r="K333" s="1143">
        <f t="shared" si="1"/>
        <v>128892.2</v>
      </c>
      <c r="L333" s="1149">
        <f t="shared" si="2"/>
        <v>6444.61</v>
      </c>
    </row>
    <row r="334" spans="1:13" s="1121" customFormat="1" x14ac:dyDescent="0.35">
      <c r="A334" s="1120">
        <v>44748</v>
      </c>
      <c r="B334" s="1175">
        <v>0</v>
      </c>
      <c r="C334" s="1122" t="s">
        <v>1102</v>
      </c>
      <c r="D334" s="1122">
        <v>9.16</v>
      </c>
      <c r="E334" s="1123">
        <f t="shared" si="0"/>
        <v>137.4</v>
      </c>
      <c r="F334" s="1127">
        <v>15</v>
      </c>
      <c r="G334" s="1126">
        <f t="shared" ref="G334" si="5">+F334/I334</f>
        <v>3</v>
      </c>
      <c r="H334" s="1124">
        <v>0</v>
      </c>
      <c r="I334" s="1125">
        <v>5</v>
      </c>
      <c r="J334" s="1143">
        <f t="shared" ref="J334" si="6">+I334*D334</f>
        <v>45.8</v>
      </c>
      <c r="K334" s="1143">
        <f t="shared" si="1"/>
        <v>14518.6</v>
      </c>
      <c r="L334" s="1149">
        <f t="shared" si="2"/>
        <v>2903.72</v>
      </c>
      <c r="M334" s="1121" t="s">
        <v>1103</v>
      </c>
    </row>
    <row r="335" spans="1:13" s="1121" customFormat="1" x14ac:dyDescent="0.35">
      <c r="A335" s="1120">
        <v>44749</v>
      </c>
      <c r="B335" s="1175">
        <v>0</v>
      </c>
      <c r="C335" s="1122" t="s">
        <v>1106</v>
      </c>
      <c r="D335" s="1122">
        <v>26.78</v>
      </c>
      <c r="E335" s="1123">
        <f t="shared" si="0"/>
        <v>107.12</v>
      </c>
      <c r="F335" s="1127">
        <v>4</v>
      </c>
      <c r="G335" s="1126">
        <f t="shared" ref="G335" si="7">+F335/I335</f>
        <v>0.4</v>
      </c>
      <c r="H335" s="1124">
        <v>0</v>
      </c>
      <c r="I335" s="1125">
        <v>10</v>
      </c>
      <c r="J335" s="1143">
        <f t="shared" ref="J335" si="8">+I335*D335</f>
        <v>267.8</v>
      </c>
      <c r="K335" s="1143">
        <f t="shared" si="1"/>
        <v>84892.6</v>
      </c>
      <c r="L335" s="1149">
        <f t="shared" si="2"/>
        <v>8489.26</v>
      </c>
      <c r="M335" s="1121" t="s">
        <v>1125</v>
      </c>
    </row>
    <row r="336" spans="1:13" s="1121" customFormat="1" x14ac:dyDescent="0.35">
      <c r="A336" s="1120">
        <v>44749</v>
      </c>
      <c r="B336" s="1175">
        <v>0.5</v>
      </c>
      <c r="C336" s="1122" t="s">
        <v>1134</v>
      </c>
      <c r="D336" s="1122">
        <v>13.43</v>
      </c>
      <c r="E336" s="1123">
        <f t="shared" si="0"/>
        <v>308.89</v>
      </c>
      <c r="F336" s="1127">
        <v>23</v>
      </c>
      <c r="G336" s="1126">
        <f t="shared" ref="G336" si="9">+F336/I336</f>
        <v>1.05</v>
      </c>
      <c r="H336" s="1124">
        <v>0</v>
      </c>
      <c r="I336" s="1125">
        <v>22</v>
      </c>
      <c r="J336" s="1143">
        <f t="shared" ref="J336" si="10">+I336*D336</f>
        <v>295.45999999999998</v>
      </c>
      <c r="K336" s="1143">
        <f t="shared" si="1"/>
        <v>93660.82</v>
      </c>
      <c r="L336" s="1149">
        <f t="shared" si="2"/>
        <v>4257.3100000000004</v>
      </c>
    </row>
    <row r="337" spans="1:17" s="1121" customFormat="1" x14ac:dyDescent="0.35">
      <c r="A337" s="1120">
        <v>44755</v>
      </c>
      <c r="B337" s="1175">
        <v>0</v>
      </c>
      <c r="C337" s="1122" t="s">
        <v>1109</v>
      </c>
      <c r="D337" s="1122">
        <v>0.87</v>
      </c>
      <c r="E337" s="1123">
        <f t="shared" ref="E337" si="11">+D337*F337</f>
        <v>133.97999999999999</v>
      </c>
      <c r="F337" s="1127">
        <v>154</v>
      </c>
      <c r="G337" s="1126">
        <f t="shared" ref="G337" si="12">+F337/I337</f>
        <v>1.07</v>
      </c>
      <c r="H337" s="1124">
        <v>0</v>
      </c>
      <c r="I337" s="1125">
        <v>144</v>
      </c>
      <c r="J337" s="1143">
        <f t="shared" ref="J337" si="13">+I337*D337</f>
        <v>125.28</v>
      </c>
      <c r="K337" s="1143">
        <f t="shared" ref="K337" si="14">+J337*CtzM</f>
        <v>39713.760000000002</v>
      </c>
      <c r="L337" s="1149">
        <f t="shared" ref="L337" si="15">+D337*CtzM</f>
        <v>275.79000000000002</v>
      </c>
    </row>
    <row r="338" spans="1:17" s="1121" customFormat="1" x14ac:dyDescent="0.35">
      <c r="A338" s="1120">
        <v>44756</v>
      </c>
      <c r="B338" s="1175">
        <v>1</v>
      </c>
      <c r="C338" s="1122" t="s">
        <v>1113</v>
      </c>
      <c r="D338" s="1122">
        <v>16.3</v>
      </c>
      <c r="E338" s="1123">
        <f t="shared" ref="E338" si="16">+D338*F338</f>
        <v>342.3</v>
      </c>
      <c r="F338" s="1127">
        <v>21</v>
      </c>
      <c r="G338" s="1126">
        <f t="shared" ref="G338" si="17">+F338/I338</f>
        <v>1.05</v>
      </c>
      <c r="H338" s="1124">
        <v>0</v>
      </c>
      <c r="I338" s="1125">
        <v>20</v>
      </c>
      <c r="J338" s="1143">
        <f t="shared" ref="J338" si="18">+I338*D338</f>
        <v>326</v>
      </c>
      <c r="K338" s="1143">
        <f t="shared" ref="K338" si="19">+J338*CtzM</f>
        <v>103342</v>
      </c>
      <c r="L338" s="1149">
        <f t="shared" ref="L338" si="20">+D338*CtzM</f>
        <v>5167.1000000000004</v>
      </c>
    </row>
    <row r="339" spans="1:17" s="1121" customFormat="1" x14ac:dyDescent="0.35">
      <c r="A339" s="1120">
        <v>44756</v>
      </c>
      <c r="B339" s="1175">
        <v>1</v>
      </c>
      <c r="C339" s="1122" t="s">
        <v>1114</v>
      </c>
      <c r="D339" s="1122">
        <v>16.690000000000001</v>
      </c>
      <c r="E339" s="1123">
        <f t="shared" ref="E339" si="21">+D339*F339</f>
        <v>66.760000000000005</v>
      </c>
      <c r="F339" s="1127">
        <v>4</v>
      </c>
      <c r="G339" s="1126">
        <f t="shared" ref="G339" si="22">+F339/I339</f>
        <v>2</v>
      </c>
      <c r="H339" s="1124">
        <v>0</v>
      </c>
      <c r="I339" s="1125">
        <v>2</v>
      </c>
      <c r="J339" s="1143">
        <f t="shared" ref="J339" si="23">+I339*D339</f>
        <v>33.380000000000003</v>
      </c>
      <c r="K339" s="1143">
        <f t="shared" ref="K339" si="24">+J339*CtzM</f>
        <v>10581.46</v>
      </c>
      <c r="L339" s="1149">
        <f t="shared" ref="L339" si="25">+D339*CtzM</f>
        <v>5290.73</v>
      </c>
    </row>
    <row r="340" spans="1:17" s="1121" customFormat="1" x14ac:dyDescent="0.35">
      <c r="A340" s="1120">
        <v>44756</v>
      </c>
      <c r="B340" s="1175">
        <v>1</v>
      </c>
      <c r="C340" s="1122" t="s">
        <v>1115</v>
      </c>
      <c r="D340" s="1122">
        <v>8.16</v>
      </c>
      <c r="E340" s="1123">
        <f t="shared" ref="E340" si="26">+D340*F340</f>
        <v>163.19999999999999</v>
      </c>
      <c r="F340" s="1127">
        <v>20</v>
      </c>
      <c r="G340" s="1126">
        <f t="shared" ref="G340" si="27">+F340/I340</f>
        <v>4</v>
      </c>
      <c r="H340" s="1124">
        <v>0</v>
      </c>
      <c r="I340" s="1125">
        <v>5</v>
      </c>
      <c r="J340" s="1143">
        <f t="shared" ref="J340" si="28">+I340*D340</f>
        <v>40.799999999999997</v>
      </c>
      <c r="K340" s="1143">
        <f t="shared" ref="K340" si="29">+J340*CtzM</f>
        <v>12933.6</v>
      </c>
      <c r="L340" s="1149">
        <f t="shared" ref="L340" si="30">+D340*CtzM</f>
        <v>2586.7199999999998</v>
      </c>
    </row>
    <row r="341" spans="1:17" s="1121" customFormat="1" x14ac:dyDescent="0.35">
      <c r="A341" s="1120">
        <v>44760</v>
      </c>
      <c r="B341" s="1175">
        <v>0</v>
      </c>
      <c r="C341" s="1122" t="s">
        <v>1118</v>
      </c>
      <c r="D341" s="1122">
        <v>22.68</v>
      </c>
      <c r="E341" s="1123">
        <f t="shared" ref="E341:E342" si="31">+D341*F341</f>
        <v>68.040000000000006</v>
      </c>
      <c r="F341" s="1127">
        <v>3</v>
      </c>
      <c r="G341" s="1126">
        <f t="shared" ref="G341:G342" si="32">+F341/I341</f>
        <v>0.5</v>
      </c>
      <c r="H341" s="1124">
        <v>0</v>
      </c>
      <c r="I341" s="1125">
        <v>6</v>
      </c>
      <c r="J341" s="1143">
        <f t="shared" ref="J341:J342" si="33">+I341*D341</f>
        <v>136.08000000000001</v>
      </c>
      <c r="K341" s="1143">
        <f t="shared" ref="K341:K342" si="34">+J341*CtzM</f>
        <v>43137.36</v>
      </c>
      <c r="L341" s="1149">
        <f t="shared" ref="L341:L342" si="35">+D341*CtzM</f>
        <v>7189.56</v>
      </c>
      <c r="M341" s="1121" t="s">
        <v>1124</v>
      </c>
    </row>
    <row r="342" spans="1:17" s="1121" customFormat="1" x14ac:dyDescent="0.35">
      <c r="A342" s="1120"/>
      <c r="B342" s="1175">
        <v>0</v>
      </c>
      <c r="C342" s="1122" t="s">
        <v>1117</v>
      </c>
      <c r="D342" s="1122">
        <v>38.49</v>
      </c>
      <c r="E342" s="1123">
        <f t="shared" si="31"/>
        <v>0</v>
      </c>
      <c r="F342" s="1127">
        <v>0</v>
      </c>
      <c r="G342" s="1126">
        <f t="shared" si="32"/>
        <v>0</v>
      </c>
      <c r="H342" s="1124">
        <v>0</v>
      </c>
      <c r="I342" s="1125">
        <v>8</v>
      </c>
      <c r="J342" s="1143">
        <f t="shared" si="33"/>
        <v>307.92</v>
      </c>
      <c r="K342" s="1143">
        <f t="shared" si="34"/>
        <v>97610.64</v>
      </c>
      <c r="L342" s="1149">
        <f t="shared" si="35"/>
        <v>12201.33</v>
      </c>
      <c r="M342" s="1121" t="s">
        <v>1123</v>
      </c>
    </row>
    <row r="343" spans="1:17" s="1121" customFormat="1" x14ac:dyDescent="0.35">
      <c r="A343" s="1120"/>
      <c r="B343" s="1175">
        <v>0</v>
      </c>
      <c r="C343" s="1122" t="s">
        <v>1116</v>
      </c>
      <c r="D343" s="1122">
        <v>27.07</v>
      </c>
      <c r="E343" s="1123">
        <f t="shared" ref="E343" si="36">+D343*F343</f>
        <v>0</v>
      </c>
      <c r="F343" s="1127">
        <v>0</v>
      </c>
      <c r="G343" s="1126">
        <f t="shared" ref="G343" si="37">+F343/I343</f>
        <v>0</v>
      </c>
      <c r="H343" s="1124">
        <v>0</v>
      </c>
      <c r="I343" s="1125">
        <v>5</v>
      </c>
      <c r="J343" s="1143">
        <f t="shared" ref="J343" si="38">+I343*D343</f>
        <v>135.35</v>
      </c>
      <c r="K343" s="1143">
        <f t="shared" ref="K343" si="39">+J343*CtzM</f>
        <v>42905.95</v>
      </c>
      <c r="L343" s="1149">
        <f t="shared" ref="L343" si="40">+D343*CtzM</f>
        <v>8581.19</v>
      </c>
      <c r="M343" s="1121" t="s">
        <v>1122</v>
      </c>
    </row>
    <row r="344" spans="1:17" s="1121" customFormat="1" x14ac:dyDescent="0.35">
      <c r="A344" s="1120">
        <v>44756</v>
      </c>
      <c r="B344" s="1175">
        <v>0</v>
      </c>
      <c r="C344" s="1122" t="s">
        <v>1119</v>
      </c>
      <c r="D344" s="1122">
        <v>12.6</v>
      </c>
      <c r="E344" s="1123">
        <f t="shared" ref="E344" si="41">+D344*F344</f>
        <v>189</v>
      </c>
      <c r="F344" s="1127">
        <v>15</v>
      </c>
      <c r="G344" s="1126">
        <f t="shared" ref="G344" si="42">+F344/I344</f>
        <v>3</v>
      </c>
      <c r="H344" s="1124">
        <v>0</v>
      </c>
      <c r="I344" s="1125">
        <v>5</v>
      </c>
      <c r="J344" s="1143">
        <f t="shared" ref="J344" si="43">+I344*D344</f>
        <v>63</v>
      </c>
      <c r="K344" s="1143">
        <f t="shared" ref="K344" si="44">+J344*CtzM</f>
        <v>19971</v>
      </c>
      <c r="L344" s="1149">
        <f t="shared" ref="L344" si="45">+D344*CtzM</f>
        <v>3994.2</v>
      </c>
    </row>
    <row r="345" spans="1:17" s="1121" customFormat="1" x14ac:dyDescent="0.35">
      <c r="A345" s="1120">
        <v>44761</v>
      </c>
      <c r="B345" s="1175">
        <v>0</v>
      </c>
      <c r="C345" s="1122" t="s">
        <v>1142</v>
      </c>
      <c r="D345" s="1122">
        <v>1.93</v>
      </c>
      <c r="E345" s="1123">
        <f t="shared" ref="E345" si="46">+D345*F345</f>
        <v>140.88999999999999</v>
      </c>
      <c r="F345" s="1127">
        <v>73</v>
      </c>
      <c r="G345" s="1126">
        <f t="shared" ref="G345" si="47">+F345/I345</f>
        <v>1.26</v>
      </c>
      <c r="H345" s="1124">
        <v>0</v>
      </c>
      <c r="I345" s="1125">
        <v>58</v>
      </c>
      <c r="J345" s="1143">
        <f t="shared" ref="J345" si="48">+I345*D345</f>
        <v>111.94</v>
      </c>
      <c r="K345" s="1143">
        <f t="shared" ref="K345" si="49">+J345*CtzM</f>
        <v>35484.980000000003</v>
      </c>
      <c r="L345" s="1149">
        <f t="shared" ref="L345" si="50">+D345*CtzM</f>
        <v>611.80999999999995</v>
      </c>
    </row>
    <row r="346" spans="1:17" s="1121" customFormat="1" x14ac:dyDescent="0.35">
      <c r="A346" s="1120">
        <v>44762</v>
      </c>
      <c r="B346" s="1175">
        <v>0</v>
      </c>
      <c r="C346" s="1122" t="s">
        <v>1139</v>
      </c>
      <c r="D346" s="1122">
        <v>10.68</v>
      </c>
      <c r="E346" s="1123">
        <f t="shared" ref="E346" si="51">+D346*F346</f>
        <v>128.16</v>
      </c>
      <c r="F346" s="1127">
        <v>12</v>
      </c>
      <c r="G346" s="1126">
        <f t="shared" ref="G346" si="52">+F346/I346</f>
        <v>0.36</v>
      </c>
      <c r="H346" s="1124">
        <v>0</v>
      </c>
      <c r="I346" s="1125">
        <v>33</v>
      </c>
      <c r="J346" s="1143">
        <f t="shared" ref="J346" si="53">+I346*D346</f>
        <v>352.44</v>
      </c>
      <c r="K346" s="1143">
        <f t="shared" ref="K346" si="54">+J346*CtzM</f>
        <v>111723.48</v>
      </c>
      <c r="L346" s="1149">
        <f t="shared" ref="L346" si="55">+D346*CtzM</f>
        <v>3385.56</v>
      </c>
    </row>
    <row r="347" spans="1:17" s="1121" customFormat="1" x14ac:dyDescent="0.35">
      <c r="A347" s="1120">
        <v>44761</v>
      </c>
      <c r="B347" s="1175">
        <v>0</v>
      </c>
      <c r="C347" s="1122" t="s">
        <v>1140</v>
      </c>
      <c r="D347" s="1122">
        <v>16.010000000000002</v>
      </c>
      <c r="E347" s="1123">
        <f t="shared" ref="E347" si="56">+D347*F347</f>
        <v>32.020000000000003</v>
      </c>
      <c r="F347" s="1127">
        <v>2</v>
      </c>
      <c r="G347" s="1126">
        <f t="shared" ref="G347" si="57">+F347/I347</f>
        <v>2</v>
      </c>
      <c r="H347" s="1124">
        <v>0</v>
      </c>
      <c r="I347" s="1125">
        <v>1</v>
      </c>
      <c r="J347" s="1143">
        <f t="shared" ref="J347" si="58">+I347*D347</f>
        <v>16.010000000000002</v>
      </c>
      <c r="K347" s="1143">
        <f t="shared" ref="K347" si="59">+J347*CtzM</f>
        <v>5075.17</v>
      </c>
      <c r="L347" s="1149">
        <f t="shared" ref="L347" si="60">+D347*CtzM</f>
        <v>5075.17</v>
      </c>
    </row>
    <row r="348" spans="1:17" s="1121" customFormat="1" x14ac:dyDescent="0.35">
      <c r="A348" s="1120"/>
      <c r="B348" s="1175">
        <v>0</v>
      </c>
      <c r="C348" s="1122" t="s">
        <v>1143</v>
      </c>
      <c r="D348" s="1122">
        <v>25.54</v>
      </c>
      <c r="E348" s="1123">
        <f t="shared" ref="E348" si="61">+D348*F348</f>
        <v>0</v>
      </c>
      <c r="F348" s="1127">
        <v>0</v>
      </c>
      <c r="G348" s="1126">
        <f t="shared" ref="G348" si="62">+F348/I348</f>
        <v>0</v>
      </c>
      <c r="H348" s="1124">
        <v>0</v>
      </c>
      <c r="I348" s="1125">
        <v>5</v>
      </c>
      <c r="J348" s="1143">
        <f t="shared" ref="J348" si="63">+I348*D348</f>
        <v>127.7</v>
      </c>
      <c r="K348" s="1143">
        <f t="shared" ref="K348" si="64">+J348*CtzM</f>
        <v>40480.9</v>
      </c>
      <c r="L348" s="1149">
        <f t="shared" ref="L348" si="65">+D348*CtzM</f>
        <v>8096.18</v>
      </c>
    </row>
    <row r="349" spans="1:17" s="641" customFormat="1" x14ac:dyDescent="0.35">
      <c r="A349" s="643"/>
      <c r="C349" s="652"/>
      <c r="D349" s="652"/>
      <c r="E349" s="678"/>
      <c r="F349" s="664"/>
      <c r="G349" s="781"/>
      <c r="H349" s="776"/>
      <c r="I349" s="1117"/>
      <c r="J349" s="911"/>
      <c r="K349" s="911"/>
      <c r="L349" s="1142"/>
    </row>
    <row r="350" spans="1:17" x14ac:dyDescent="0.35">
      <c r="B350" s="646" t="s">
        <v>838</v>
      </c>
      <c r="C350" s="656">
        <v>26.54</v>
      </c>
      <c r="D350" s="657"/>
      <c r="E350" s="761">
        <f>+C350</f>
        <v>26.54</v>
      </c>
      <c r="F350" s="592" t="s">
        <v>1036</v>
      </c>
      <c r="G350" s="763">
        <f>+C361</f>
        <v>52.7</v>
      </c>
      <c r="M350" s="784"/>
      <c r="P350" s="791"/>
      <c r="Q350" s="739"/>
    </row>
    <row r="351" spans="1:17" x14ac:dyDescent="0.35">
      <c r="B351" s="647" t="s">
        <v>839</v>
      </c>
      <c r="C351" s="1037">
        <f>+C370</f>
        <v>2</v>
      </c>
      <c r="D351" s="680"/>
      <c r="E351" s="762">
        <f>+C351</f>
        <v>2</v>
      </c>
      <c r="M351" s="786"/>
      <c r="O351" s="739"/>
      <c r="Q351" s="28"/>
    </row>
    <row r="352" spans="1:17" x14ac:dyDescent="0.35">
      <c r="B352" s="647" t="s">
        <v>845</v>
      </c>
      <c r="C352" s="658">
        <f>+C350*C351</f>
        <v>53.08</v>
      </c>
      <c r="D352" s="659"/>
      <c r="E352" s="762">
        <f>+E351*E350</f>
        <v>53.08</v>
      </c>
      <c r="K352" s="1153"/>
      <c r="L352" s="763"/>
      <c r="M352" s="1113"/>
      <c r="N352" s="769"/>
      <c r="O352" s="739"/>
      <c r="P352" s="739"/>
      <c r="Q352" s="28"/>
    </row>
    <row r="353" spans="1:21" x14ac:dyDescent="0.35">
      <c r="A353"/>
      <c r="B353" s="647" t="s">
        <v>840</v>
      </c>
      <c r="C353" s="706">
        <f>ROUND(+C352*D353,2)</f>
        <v>0.27</v>
      </c>
      <c r="D353" s="705">
        <v>5.0000000000000001E-3</v>
      </c>
      <c r="E353" s="759">
        <f>ROUND(E352*D353,2)</f>
        <v>0.27</v>
      </c>
      <c r="J353" s="787"/>
      <c r="K353" s="763"/>
      <c r="L353" s="763"/>
      <c r="M353" s="10"/>
      <c r="N353" s="787"/>
      <c r="O353" s="794"/>
      <c r="P353" s="739"/>
      <c r="Q353" s="566"/>
      <c r="R353" s="229"/>
    </row>
    <row r="354" spans="1:21" x14ac:dyDescent="0.35">
      <c r="A354"/>
      <c r="B354" s="647" t="s">
        <v>841</v>
      </c>
      <c r="C354" s="659">
        <f>ROUND(+C352*D354,2)</f>
        <v>0.04</v>
      </c>
      <c r="D354" s="705">
        <v>8.0000000000000004E-4</v>
      </c>
      <c r="E354" s="759">
        <f>ROUND(E352*D354,2)</f>
        <v>0.04</v>
      </c>
      <c r="G354" s="787"/>
      <c r="H354" s="788"/>
      <c r="I354" s="1119"/>
      <c r="J354" s="787"/>
      <c r="K354" s="787"/>
      <c r="L354" s="787"/>
      <c r="M354" s="789"/>
      <c r="N354" s="787"/>
      <c r="O354" s="794"/>
      <c r="P354" s="739"/>
      <c r="Q354" s="566"/>
      <c r="R354" s="229"/>
    </row>
    <row r="355" spans="1:21" x14ac:dyDescent="0.35">
      <c r="A355"/>
      <c r="B355" s="647" t="s">
        <v>844</v>
      </c>
      <c r="C355" s="659">
        <f>+C353+C354</f>
        <v>0.31</v>
      </c>
      <c r="D355" s="49"/>
      <c r="E355" s="759">
        <f>+E353+E354</f>
        <v>0.31</v>
      </c>
      <c r="G355" s="787"/>
      <c r="H355" s="788"/>
      <c r="I355" s="1119"/>
      <c r="J355" s="787"/>
      <c r="K355" s="787"/>
      <c r="L355" s="787"/>
      <c r="M355" s="789"/>
      <c r="N355" s="787"/>
      <c r="O355" s="794"/>
      <c r="P355" s="739"/>
      <c r="Q355" s="566"/>
      <c r="R355" s="229"/>
    </row>
    <row r="356" spans="1:21" x14ac:dyDescent="0.35">
      <c r="A356"/>
      <c r="B356" s="647" t="s">
        <v>843</v>
      </c>
      <c r="C356" s="659">
        <f>ROUND(+C355*D356,2)</f>
        <v>7.0000000000000007E-2</v>
      </c>
      <c r="D356" s="704">
        <v>0.21</v>
      </c>
      <c r="E356" s="759">
        <f>ROUND(E355*D356,2)</f>
        <v>7.0000000000000007E-2</v>
      </c>
      <c r="G356" s="787"/>
      <c r="H356" s="788"/>
      <c r="I356" s="1119"/>
      <c r="J356" s="787"/>
      <c r="K356" s="787"/>
      <c r="L356" s="787"/>
      <c r="M356" s="789"/>
      <c r="N356" s="787"/>
      <c r="O356" s="794"/>
      <c r="P356" s="739"/>
      <c r="Q356" s="795"/>
      <c r="R356" s="229"/>
    </row>
    <row r="357" spans="1:21" x14ac:dyDescent="0.35">
      <c r="A357"/>
      <c r="B357" s="647" t="s">
        <v>842</v>
      </c>
      <c r="C357" s="658">
        <f>+C355+C356</f>
        <v>0.38</v>
      </c>
      <c r="D357" s="659"/>
      <c r="E357" s="762">
        <f>+E355+E356</f>
        <v>0.38</v>
      </c>
      <c r="G357" s="787"/>
      <c r="H357" s="788"/>
      <c r="I357" s="1119"/>
      <c r="J357" s="787"/>
      <c r="K357" s="787"/>
      <c r="L357" s="787"/>
      <c r="M357" s="789"/>
      <c r="N357" s="787"/>
      <c r="O357" s="794"/>
      <c r="P357" s="739"/>
      <c r="Q357" s="795"/>
      <c r="R357" s="229"/>
    </row>
    <row r="358" spans="1:21" x14ac:dyDescent="0.35">
      <c r="A358"/>
      <c r="B358" s="647" t="s">
        <v>846</v>
      </c>
      <c r="C358" s="659">
        <f>+C352-C357</f>
        <v>52.7</v>
      </c>
      <c r="D358" s="763">
        <f>+E358-C358</f>
        <v>0.76</v>
      </c>
      <c r="E358" s="759">
        <f>+E352+E357</f>
        <v>53.46</v>
      </c>
      <c r="G358" s="787"/>
      <c r="H358" s="788"/>
      <c r="I358" s="1119"/>
      <c r="J358" s="787"/>
      <c r="K358" s="787"/>
      <c r="L358" s="787"/>
      <c r="M358" s="789"/>
      <c r="N358" s="787"/>
      <c r="O358" s="794"/>
      <c r="P358" s="739"/>
      <c r="Q358" s="566"/>
      <c r="R358" s="229"/>
    </row>
    <row r="359" spans="1:21" x14ac:dyDescent="0.35">
      <c r="A359"/>
      <c r="B359" s="647"/>
      <c r="C359" s="659"/>
      <c r="D359" s="680"/>
      <c r="E359" s="759"/>
      <c r="G359" s="787"/>
      <c r="H359" s="788"/>
      <c r="I359" s="1119"/>
      <c r="J359" s="708"/>
      <c r="K359" s="787"/>
      <c r="L359" s="787"/>
      <c r="M359" s="789"/>
      <c r="N359" s="708"/>
      <c r="O359" s="794"/>
      <c r="P359" s="739"/>
      <c r="Q359" s="795"/>
      <c r="R359" s="794"/>
      <c r="S359" s="739"/>
      <c r="T359" s="784"/>
    </row>
    <row r="360" spans="1:21" x14ac:dyDescent="0.35">
      <c r="A360"/>
      <c r="B360" s="647" t="s">
        <v>754</v>
      </c>
      <c r="C360" s="659">
        <v>0</v>
      </c>
      <c r="D360" s="49"/>
      <c r="E360" s="759"/>
      <c r="F360" s="1036"/>
      <c r="G360" s="787"/>
      <c r="H360" s="788"/>
      <c r="I360" s="1119"/>
      <c r="J360" s="1144"/>
      <c r="K360" s="1146"/>
      <c r="L360" s="787"/>
      <c r="M360" s="789"/>
      <c r="N360" s="708"/>
      <c r="O360" s="794"/>
      <c r="P360" s="739"/>
      <c r="Q360" s="566"/>
      <c r="R360" s="794"/>
      <c r="S360" s="739"/>
      <c r="T360" s="784"/>
    </row>
    <row r="361" spans="1:21" x14ac:dyDescent="0.35">
      <c r="A361"/>
      <c r="B361" s="647" t="s">
        <v>847</v>
      </c>
      <c r="C361" s="659">
        <f>+C358-C360</f>
        <v>52.7</v>
      </c>
      <c r="D361" s="659"/>
      <c r="E361" s="759"/>
      <c r="F361" s="1100"/>
      <c r="G361" s="787"/>
      <c r="H361" s="788"/>
      <c r="I361" s="1119"/>
      <c r="J361" s="1144"/>
      <c r="K361" s="708"/>
      <c r="L361" s="787"/>
      <c r="M361" s="789"/>
      <c r="N361" s="708"/>
      <c r="O361" s="794"/>
      <c r="P361" s="739"/>
      <c r="Q361" s="795"/>
      <c r="R361" s="794"/>
      <c r="S361" s="739"/>
      <c r="T361" s="784"/>
      <c r="U361" s="739"/>
    </row>
    <row r="362" spans="1:21" x14ac:dyDescent="0.35">
      <c r="A362"/>
      <c r="B362" s="647" t="s">
        <v>126</v>
      </c>
      <c r="C362" s="659">
        <v>0</v>
      </c>
      <c r="D362" s="49"/>
      <c r="E362" s="759"/>
      <c r="G362" s="787" t="s">
        <v>1146</v>
      </c>
      <c r="H362" s="788">
        <f>(+C350-C369)*C370</f>
        <v>4</v>
      </c>
      <c r="I362" s="1119"/>
      <c r="J362" s="909"/>
      <c r="K362" s="708"/>
      <c r="L362" s="787"/>
      <c r="M362" s="789"/>
      <c r="N362" s="708"/>
      <c r="O362" s="794"/>
      <c r="P362" s="739"/>
      <c r="Q362" s="566"/>
      <c r="R362" s="794"/>
      <c r="S362" s="739"/>
      <c r="T362" s="784"/>
      <c r="U362" s="739"/>
    </row>
    <row r="363" spans="1:21" x14ac:dyDescent="0.35">
      <c r="A363"/>
      <c r="B363" s="647" t="s">
        <v>848</v>
      </c>
      <c r="C363" s="659">
        <f>+C362-C361</f>
        <v>-52.7</v>
      </c>
      <c r="D363" s="680"/>
      <c r="E363" s="759"/>
      <c r="G363" s="787">
        <f>+G350-G369</f>
        <v>3.27</v>
      </c>
      <c r="H363" s="788">
        <f>+H362*0.82</f>
        <v>3.28</v>
      </c>
      <c r="I363" s="1119"/>
      <c r="J363" s="909"/>
      <c r="K363" s="708"/>
      <c r="L363" s="787"/>
      <c r="M363" s="789"/>
      <c r="N363" s="708"/>
      <c r="O363" s="823"/>
      <c r="P363" s="794"/>
      <c r="Q363" s="795"/>
      <c r="R363" s="794"/>
      <c r="S363" s="739"/>
      <c r="T363" s="784"/>
      <c r="U363" s="739"/>
    </row>
    <row r="364" spans="1:21" x14ac:dyDescent="0.35">
      <c r="A364"/>
      <c r="B364" s="648"/>
      <c r="C364" s="662"/>
      <c r="D364" s="662"/>
      <c r="E364" s="760"/>
      <c r="G364" s="787"/>
      <c r="H364" s="788"/>
      <c r="I364" s="1119"/>
      <c r="J364" s="787"/>
      <c r="K364" s="708"/>
      <c r="L364" s="787"/>
      <c r="M364" s="789"/>
      <c r="N364" s="708"/>
      <c r="O364" s="823"/>
      <c r="P364" s="794"/>
      <c r="Q364" s="566"/>
      <c r="R364" s="229"/>
    </row>
    <row r="365" spans="1:21" x14ac:dyDescent="0.35">
      <c r="A365"/>
      <c r="G365" s="787"/>
      <c r="H365" s="788"/>
      <c r="I365" s="1119"/>
      <c r="J365" s="787"/>
      <c r="K365" s="708"/>
      <c r="L365" s="787"/>
      <c r="M365" s="789"/>
      <c r="N365" s="708"/>
      <c r="O365" s="823"/>
      <c r="P365" s="794"/>
      <c r="Q365" s="795"/>
      <c r="R365" s="229"/>
    </row>
    <row r="366" spans="1:21" x14ac:dyDescent="0.35">
      <c r="A366"/>
      <c r="B366" s="644" t="s">
        <v>822</v>
      </c>
      <c r="G366" s="787"/>
      <c r="H366" s="788"/>
      <c r="I366" s="1119"/>
      <c r="J366" s="790"/>
      <c r="K366" s="708"/>
      <c r="L366" s="787"/>
      <c r="M366" s="789"/>
      <c r="N366" s="708"/>
      <c r="O366" s="823"/>
      <c r="P366" s="794"/>
      <c r="Q366" s="566"/>
    </row>
    <row r="367" spans="1:21" x14ac:dyDescent="0.35">
      <c r="A367"/>
      <c r="B367" s="223" t="s">
        <v>823</v>
      </c>
      <c r="F367" s="772"/>
      <c r="G367" s="787"/>
      <c r="H367" s="788"/>
      <c r="I367" s="1119"/>
      <c r="J367" s="790"/>
      <c r="K367" s="739"/>
      <c r="M367" s="819"/>
      <c r="N367" s="794"/>
      <c r="O367" s="823"/>
      <c r="P367" s="229"/>
      <c r="Q367" s="795"/>
    </row>
    <row r="368" spans="1:21" x14ac:dyDescent="0.35">
      <c r="A368"/>
      <c r="E368" s="677"/>
      <c r="F368" s="772"/>
      <c r="G368" s="787"/>
      <c r="H368" s="788"/>
      <c r="I368" s="1119"/>
      <c r="J368" s="790"/>
      <c r="K368" s="739"/>
      <c r="M368" s="819"/>
      <c r="N368" s="794"/>
      <c r="O368" s="823"/>
      <c r="P368" s="229"/>
      <c r="Q368" s="566"/>
    </row>
    <row r="369" spans="1:21" x14ac:dyDescent="0.35">
      <c r="A369"/>
      <c r="B369" s="646" t="s">
        <v>838</v>
      </c>
      <c r="C369" s="656">
        <v>24.54</v>
      </c>
      <c r="D369" s="657"/>
      <c r="E369" s="761">
        <f>+C369</f>
        <v>24.54</v>
      </c>
      <c r="F369" s="772" t="s">
        <v>1037</v>
      </c>
      <c r="G369" s="763">
        <f>+C380</f>
        <v>49.43</v>
      </c>
      <c r="K369" s="739"/>
      <c r="M369" s="820"/>
      <c r="N369" s="794"/>
      <c r="O369" s="805"/>
      <c r="P369" s="229"/>
      <c r="Q369" s="795"/>
    </row>
    <row r="370" spans="1:21" x14ac:dyDescent="0.35">
      <c r="A370"/>
      <c r="B370" s="647" t="s">
        <v>839</v>
      </c>
      <c r="C370" s="1037">
        <v>2</v>
      </c>
      <c r="D370" s="1042"/>
      <c r="E370" s="762">
        <f>+C370</f>
        <v>2</v>
      </c>
      <c r="F370" s="772"/>
      <c r="K370" s="739"/>
      <c r="M370" s="820"/>
      <c r="N370" s="794"/>
      <c r="O370" s="823"/>
      <c r="P370" s="229"/>
      <c r="Q370" s="566"/>
    </row>
    <row r="371" spans="1:21" x14ac:dyDescent="0.35">
      <c r="A371"/>
      <c r="B371" s="647" t="s">
        <v>845</v>
      </c>
      <c r="C371" s="658">
        <f>+C369*C370</f>
        <v>49.08</v>
      </c>
      <c r="D371" s="659"/>
      <c r="E371" s="762">
        <f>+E370*E369</f>
        <v>49.08</v>
      </c>
      <c r="F371" s="772"/>
      <c r="I371" s="764"/>
      <c r="K371" s="739"/>
      <c r="M371" s="821"/>
      <c r="N371" s="794"/>
      <c r="O371" s="823"/>
      <c r="P371" s="229"/>
      <c r="Q371" s="795"/>
    </row>
    <row r="372" spans="1:21" x14ac:dyDescent="0.35">
      <c r="A372"/>
      <c r="B372" s="647" t="s">
        <v>840</v>
      </c>
      <c r="C372" s="706">
        <f>ROUND(+C371*D372,2)</f>
        <v>0.25</v>
      </c>
      <c r="D372" s="705">
        <v>5.0000000000000001E-3</v>
      </c>
      <c r="E372" s="759">
        <f>ROUND(E371*D372,2)</f>
        <v>0.25</v>
      </c>
      <c r="F372" s="772"/>
      <c r="I372" s="764"/>
      <c r="K372" s="1147"/>
      <c r="M372" s="821"/>
      <c r="N372" s="794"/>
      <c r="O372" s="823"/>
      <c r="P372" s="229"/>
      <c r="Q372" s="566"/>
    </row>
    <row r="373" spans="1:21" x14ac:dyDescent="0.35">
      <c r="A373"/>
      <c r="B373" s="647" t="s">
        <v>841</v>
      </c>
      <c r="C373" s="659">
        <f>ROUND(+C371*D373,2)</f>
        <v>0.04</v>
      </c>
      <c r="D373" s="705">
        <v>8.0000000000000004E-4</v>
      </c>
      <c r="E373" s="759">
        <f>ROUND(E371*D373,2)</f>
        <v>0.04</v>
      </c>
      <c r="F373" s="772"/>
      <c r="I373" s="764"/>
      <c r="K373" s="1147"/>
      <c r="M373" s="821"/>
      <c r="N373" s="794"/>
      <c r="O373" s="823"/>
      <c r="P373" s="229"/>
      <c r="Q373" s="795"/>
    </row>
    <row r="374" spans="1:21" x14ac:dyDescent="0.35">
      <c r="A374"/>
      <c r="B374" s="647" t="s">
        <v>844</v>
      </c>
      <c r="C374" s="659">
        <f>+C372+C373</f>
        <v>0.28999999999999998</v>
      </c>
      <c r="D374" s="49"/>
      <c r="E374" s="759">
        <f>+E372+E373</f>
        <v>0.28999999999999998</v>
      </c>
      <c r="F374" s="772"/>
      <c r="I374" s="764"/>
      <c r="J374" s="707"/>
      <c r="K374" s="707"/>
      <c r="M374" s="771"/>
      <c r="N374" s="794"/>
      <c r="O374" s="804"/>
      <c r="P374" s="229"/>
      <c r="Q374" s="566"/>
      <c r="R374" s="739"/>
      <c r="S374" s="739"/>
      <c r="T374" s="784"/>
    </row>
    <row r="375" spans="1:21" x14ac:dyDescent="0.35">
      <c r="A375"/>
      <c r="B375" s="647" t="s">
        <v>843</v>
      </c>
      <c r="C375" s="659">
        <f>ROUND(+C374*D375,2)</f>
        <v>0.06</v>
      </c>
      <c r="D375" s="704">
        <v>0.21</v>
      </c>
      <c r="E375" s="759">
        <f>ROUND(E374*D375,2)</f>
        <v>0.06</v>
      </c>
      <c r="F375" s="772"/>
      <c r="I375" s="764"/>
      <c r="J375" s="1145"/>
      <c r="K375" s="707"/>
      <c r="M375" s="771"/>
      <c r="N375" s="794"/>
      <c r="O375" s="804"/>
      <c r="P375" s="229"/>
      <c r="Q375" s="795"/>
      <c r="R375" s="739"/>
      <c r="S375" s="739"/>
      <c r="T375" s="784"/>
    </row>
    <row r="376" spans="1:21" x14ac:dyDescent="0.35">
      <c r="A376"/>
      <c r="B376" s="647" t="s">
        <v>842</v>
      </c>
      <c r="C376" s="658">
        <f>+C374+C375</f>
        <v>0.35</v>
      </c>
      <c r="D376" s="659"/>
      <c r="E376" s="762">
        <f>+E374+E375</f>
        <v>0.35</v>
      </c>
      <c r="F376" s="772"/>
      <c r="J376" s="1145"/>
      <c r="K376" s="707"/>
      <c r="M376" s="771"/>
      <c r="N376" s="794"/>
      <c r="O376" s="804"/>
      <c r="P376" s="229"/>
      <c r="Q376" s="566"/>
      <c r="R376" s="739"/>
      <c r="S376" s="739"/>
      <c r="T376" s="784"/>
      <c r="U376" s="739"/>
    </row>
    <row r="377" spans="1:21" x14ac:dyDescent="0.35">
      <c r="A377"/>
      <c r="B377" s="647" t="s">
        <v>846</v>
      </c>
      <c r="C377" s="659">
        <f>+C376+C371</f>
        <v>49.43</v>
      </c>
      <c r="D377" s="763">
        <f>+E377-C377</f>
        <v>0</v>
      </c>
      <c r="E377" s="759">
        <f>+E371+E376</f>
        <v>49.43</v>
      </c>
      <c r="F377" s="772"/>
      <c r="J377" s="864"/>
      <c r="K377" s="739"/>
      <c r="M377" s="771"/>
      <c r="N377" s="794"/>
      <c r="O377" s="804"/>
      <c r="P377" s="229"/>
      <c r="Q377" s="795"/>
      <c r="R377" s="739"/>
      <c r="S377" s="739"/>
      <c r="T377" s="784"/>
      <c r="U377" s="739"/>
    </row>
    <row r="378" spans="1:21" x14ac:dyDescent="0.35">
      <c r="A378"/>
      <c r="B378" s="647"/>
      <c r="C378" s="659"/>
      <c r="D378" s="661"/>
      <c r="E378" s="759"/>
      <c r="J378" s="864"/>
      <c r="K378" s="707"/>
      <c r="M378" s="771"/>
      <c r="N378" s="794"/>
      <c r="O378" s="804"/>
      <c r="P378" s="229"/>
      <c r="Q378" s="566"/>
      <c r="R378" s="739"/>
      <c r="S378" s="739"/>
      <c r="T378" s="784"/>
      <c r="U378" s="739"/>
    </row>
    <row r="379" spans="1:21" x14ac:dyDescent="0.35">
      <c r="A379"/>
      <c r="B379" s="647" t="s">
        <v>754</v>
      </c>
      <c r="C379" s="659">
        <v>0</v>
      </c>
      <c r="D379" s="49"/>
      <c r="E379" s="759"/>
      <c r="K379" s="1147"/>
      <c r="L379" s="750"/>
      <c r="M379" s="821"/>
      <c r="N379" s="624"/>
      <c r="O379" s="805"/>
      <c r="P379" s="229"/>
      <c r="Q379" s="566"/>
    </row>
    <row r="380" spans="1:21" x14ac:dyDescent="0.35">
      <c r="A380"/>
      <c r="B380" s="647" t="s">
        <v>847</v>
      </c>
      <c r="C380" s="659">
        <f>+C377-C379</f>
        <v>49.43</v>
      </c>
      <c r="D380" s="659"/>
      <c r="E380" s="759"/>
      <c r="K380" s="1147"/>
      <c r="L380" s="1150"/>
      <c r="M380" s="820"/>
      <c r="N380" s="794"/>
      <c r="O380" s="805"/>
      <c r="Q380" s="566"/>
    </row>
    <row r="381" spans="1:21" x14ac:dyDescent="0.35">
      <c r="A381"/>
      <c r="B381" s="647" t="s">
        <v>126</v>
      </c>
      <c r="C381" s="659">
        <v>0</v>
      </c>
      <c r="D381" s="49"/>
      <c r="E381" s="759"/>
      <c r="K381" s="1147"/>
      <c r="L381" s="1150"/>
      <c r="M381" s="820"/>
      <c r="N381" s="41"/>
      <c r="O381" s="41"/>
    </row>
    <row r="382" spans="1:21" x14ac:dyDescent="0.35">
      <c r="A382"/>
      <c r="B382" s="647" t="s">
        <v>848</v>
      </c>
      <c r="C382" s="659">
        <f>+C381-C380</f>
        <v>-49.43</v>
      </c>
      <c r="D382" s="660"/>
      <c r="E382" s="759"/>
      <c r="K382" s="1147"/>
      <c r="L382" s="750"/>
      <c r="M382" s="821"/>
      <c r="N382" s="41"/>
      <c r="O382" s="41"/>
    </row>
    <row r="383" spans="1:21" x14ac:dyDescent="0.35">
      <c r="A383"/>
      <c r="B383" s="648"/>
      <c r="C383" s="662"/>
      <c r="D383" s="662"/>
      <c r="E383" s="760"/>
      <c r="K383" s="1147"/>
      <c r="L383" s="750"/>
      <c r="M383" s="821"/>
      <c r="N383" s="41"/>
      <c r="O383" s="41"/>
    </row>
    <row r="384" spans="1:21" x14ac:dyDescent="0.35">
      <c r="A384"/>
      <c r="K384" s="1147"/>
      <c r="L384" s="750"/>
      <c r="M384" s="821"/>
      <c r="N384" s="41"/>
      <c r="O384" s="41"/>
    </row>
    <row r="385" spans="1:15" x14ac:dyDescent="0.35">
      <c r="A385"/>
      <c r="C385"/>
      <c r="D385"/>
      <c r="E385"/>
      <c r="F385"/>
      <c r="G385" s="739"/>
      <c r="H385" s="739"/>
      <c r="I385" s="771"/>
      <c r="J385" s="739"/>
      <c r="K385" s="1147"/>
      <c r="L385" s="1151"/>
      <c r="M385" s="822"/>
      <c r="N385" s="41"/>
      <c r="O385" s="41"/>
    </row>
    <row r="386" spans="1:15" x14ac:dyDescent="0.35">
      <c r="A386"/>
      <c r="C386"/>
      <c r="D386"/>
      <c r="E386"/>
      <c r="F386"/>
      <c r="G386" s="739"/>
      <c r="H386" s="739"/>
      <c r="I386" s="771"/>
      <c r="J386" s="739"/>
      <c r="K386" s="1147"/>
      <c r="L386" s="750"/>
      <c r="M386" s="821"/>
      <c r="N386" s="41"/>
      <c r="O386" s="41"/>
    </row>
    <row r="387" spans="1:15" x14ac:dyDescent="0.35">
      <c r="A387"/>
      <c r="C387"/>
      <c r="D387"/>
      <c r="E387"/>
      <c r="F387"/>
      <c r="G387" s="739"/>
      <c r="H387" s="739"/>
      <c r="I387" s="771"/>
      <c r="J387" s="739"/>
      <c r="K387" s="1147"/>
      <c r="L387" s="750"/>
      <c r="M387" s="821"/>
      <c r="N387" s="41"/>
      <c r="O387" s="41"/>
    </row>
    <row r="388" spans="1:15" x14ac:dyDescent="0.35">
      <c r="A388"/>
      <c r="C388"/>
      <c r="D388"/>
      <c r="E388"/>
      <c r="F388"/>
      <c r="G388" s="739"/>
      <c r="H388" s="739"/>
      <c r="I388" s="771"/>
      <c r="J388" s="739"/>
      <c r="M388" s="679"/>
    </row>
  </sheetData>
  <autoFilter ref="A1:U348" xr:uid="{00000000-0009-0000-0000-000003000000}"/>
  <conditionalFormatting sqref="D330:D34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330:F348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{7A811A6F-611C-48A9-89DF-8DAD3F0E5CEE}</x14:id>
        </ext>
      </extLst>
    </cfRule>
  </conditionalFormatting>
  <conditionalFormatting sqref="E330:E348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{019A32E8-1AFC-4B57-B3A5-588693C0A261}</x14:id>
        </ext>
      </extLst>
    </cfRule>
  </conditionalFormatting>
  <conditionalFormatting sqref="G330:G348">
    <cfRule type="iconSet" priority="5">
      <iconSet iconSet="3Signs">
        <cfvo type="percent" val="0"/>
        <cfvo type="num" val="1"/>
        <cfvo type="num" val="1" gte="0"/>
      </iconSet>
    </cfRule>
  </conditionalFormatting>
  <conditionalFormatting sqref="I330:I348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811A6F-611C-48A9-89DF-8DAD3F0E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F330:F348</xm:sqref>
        </x14:conditionalFormatting>
        <x14:conditionalFormatting xmlns:xm="http://schemas.microsoft.com/office/excel/2006/main">
          <x14:cfRule type="dataBar" id="{019A32E8-1AFC-4B57-B3A5-588693C0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E330:E348</xm:sqref>
        </x14:conditionalFormatting>
        <x14:conditionalFormatting xmlns:xm="http://schemas.microsoft.com/office/excel/2006/main">
          <x14:cfRule type="iconSet" priority="9" id="{BDACE474-D95B-4CCD-9E18-FD70DADAFEB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L330:L348</xm:sqref>
        </x14:conditionalFormatting>
        <x14:conditionalFormatting xmlns:xm="http://schemas.microsoft.com/office/excel/2006/main">
          <x14:cfRule type="iconSet" priority="3" id="{999AFE84-F767-4DDD-A165-340856FBBA7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K330:K348</xm:sqref>
        </x14:conditionalFormatting>
        <x14:conditionalFormatting xmlns:xm="http://schemas.microsoft.com/office/excel/2006/main">
          <x14:cfRule type="iconSet" priority="2" id="{88014DF1-1684-4A0C-819B-4C5267C97D0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B330:B348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7030A0"/>
  </sheetPr>
  <dimension ref="A1:Y124"/>
  <sheetViews>
    <sheetView tabSelected="1" zoomScale="115" zoomScaleNormal="115" workbookViewId="0">
      <selection activeCell="C10" sqref="C10"/>
    </sheetView>
  </sheetViews>
  <sheetFormatPr baseColWidth="10" defaultColWidth="9" defaultRowHeight="14.5" x14ac:dyDescent="0.35"/>
  <cols>
    <col min="1" max="1" width="2" style="625" customWidth="1"/>
    <col min="2" max="2" width="20.7265625" style="212" customWidth="1"/>
    <col min="3" max="3" width="17.08984375" style="212" customWidth="1"/>
    <col min="4" max="4" width="29.26953125" style="215" customWidth="1"/>
    <col min="5" max="5" width="11.08984375" style="702" customWidth="1"/>
    <col min="6" max="6" width="27.26953125" style="217" customWidth="1"/>
    <col min="7" max="7" width="20.36328125" style="215" customWidth="1"/>
    <col min="8" max="8" width="22.08984375" style="217" customWidth="1"/>
    <col min="9" max="9" width="18.36328125" style="623" customWidth="1"/>
    <col min="10" max="10" width="17.36328125" style="623" customWidth="1"/>
    <col min="11" max="11" width="15.36328125" style="707" customWidth="1"/>
    <col min="12" max="12" width="21.26953125" style="707" customWidth="1"/>
    <col min="13" max="13" width="27" style="623" customWidth="1"/>
    <col min="14" max="14" width="29.26953125" style="212" customWidth="1"/>
    <col min="15" max="15" width="26.26953125" style="212" customWidth="1"/>
    <col min="16" max="16" width="17.7265625" style="209" customWidth="1"/>
    <col min="17" max="17" width="15.08984375" style="707" customWidth="1"/>
    <col min="18" max="18" width="15.08984375" style="215" customWidth="1"/>
    <col min="19" max="19" width="17.36328125" style="215" customWidth="1"/>
    <col min="20" max="20" width="15.7265625" style="212" customWidth="1"/>
    <col min="21" max="21" width="15.089843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36328125" style="212" customWidth="1"/>
    <col min="26" max="16384" width="9" style="212"/>
  </cols>
  <sheetData>
    <row r="1" spans="1:23" s="702" customFormat="1" x14ac:dyDescent="0.35">
      <c r="A1" s="43" t="s">
        <v>1000</v>
      </c>
      <c r="B1" s="1014" t="s">
        <v>955</v>
      </c>
      <c r="C1" s="976"/>
      <c r="D1" s="974"/>
      <c r="E1" s="975"/>
      <c r="F1" s="976"/>
      <c r="G1" s="973"/>
      <c r="H1" s="973"/>
      <c r="I1" s="973"/>
      <c r="J1" s="973"/>
      <c r="K1" s="792"/>
      <c r="L1" s="708"/>
      <c r="M1" s="699"/>
      <c r="O1" s="210"/>
      <c r="P1" s="209"/>
      <c r="Q1" s="707"/>
    </row>
    <row r="2" spans="1:23" ht="17.25" customHeight="1" x14ac:dyDescent="0.35">
      <c r="A2" s="645"/>
      <c r="B2" s="1101" t="str">
        <f ca="1">UPPER(TEXT( +TODAY()+(1*35),"MMMM"))&amp; " " &amp; UPPER(TEXT( +TODAY()+(1*35),"YYYY"))</f>
        <v>AGOSTO YYYY</v>
      </c>
      <c r="C2" s="1043">
        <f ca="1">+(DAY((DATE(YEAR(TODAY()),MONTH(TODAY())+1,1))-1)-DAY(TODAY()))+1</f>
        <v>9</v>
      </c>
      <c r="D2" s="974"/>
      <c r="E2" s="975"/>
      <c r="F2" s="976"/>
      <c r="G2" s="974"/>
      <c r="H2" s="973"/>
      <c r="I2" s="973" t="s">
        <v>1084</v>
      </c>
      <c r="J2" s="973" t="s">
        <v>912</v>
      </c>
      <c r="K2" s="1021"/>
      <c r="L2" s="1067"/>
      <c r="M2" s="214"/>
      <c r="N2" s="698"/>
      <c r="O2" s="1067"/>
      <c r="V2" s="212"/>
    </row>
    <row r="3" spans="1:23" x14ac:dyDescent="0.35">
      <c r="A3" s="980">
        <f ca="1">12-MONTH(TODAY()+5)</f>
        <v>5</v>
      </c>
      <c r="B3" s="1011">
        <f>13500+500+300</f>
        <v>14300</v>
      </c>
      <c r="C3" s="1012">
        <f>+B3</f>
        <v>14300</v>
      </c>
      <c r="D3" s="1013" t="s">
        <v>997</v>
      </c>
      <c r="E3" s="1013"/>
      <c r="F3" s="1013">
        <f ca="1">+A$3*B3</f>
        <v>71500</v>
      </c>
      <c r="G3" s="999"/>
      <c r="H3" s="1000" t="str">
        <f>"sobrante: " &amp; ROUND((+I3*100/G6),2) &amp; " %"</f>
        <v>sobrante: 24,42 %</v>
      </c>
      <c r="I3" s="1000">
        <f>SUM(I4:I10)</f>
        <v>49209.37</v>
      </c>
      <c r="J3" s="1000">
        <f>SUM(J4:J10)</f>
        <v>0</v>
      </c>
      <c r="K3" s="250"/>
      <c r="L3" s="250"/>
      <c r="M3" s="699"/>
      <c r="N3" s="698"/>
      <c r="R3" s="707"/>
      <c r="V3" s="212"/>
    </row>
    <row r="4" spans="1:23" x14ac:dyDescent="0.35">
      <c r="A4" s="980"/>
      <c r="B4" s="1011">
        <f>1867.56+3000+9600.74</f>
        <v>14468.3</v>
      </c>
      <c r="C4" s="1012">
        <f>+B4</f>
        <v>14468.3</v>
      </c>
      <c r="D4" s="1013" t="s">
        <v>1001</v>
      </c>
      <c r="E4" s="1013"/>
      <c r="F4" s="1013">
        <f ca="1">+A$3*B4</f>
        <v>72341.5</v>
      </c>
      <c r="G4" s="971">
        <f>+J4+J5+J6</f>
        <v>0</v>
      </c>
      <c r="H4" s="972" t="s">
        <v>931</v>
      </c>
      <c r="I4" s="1015">
        <v>121552</v>
      </c>
      <c r="J4" s="1015">
        <v>0</v>
      </c>
      <c r="K4" s="250">
        <f>+I4/Ctz</f>
        <v>383.44</v>
      </c>
      <c r="L4" s="216"/>
      <c r="M4" s="699"/>
      <c r="N4" s="698"/>
      <c r="R4" s="707"/>
      <c r="S4" s="212"/>
      <c r="T4" s="216"/>
      <c r="V4" s="212"/>
    </row>
    <row r="5" spans="1:23" s="702" customFormat="1" x14ac:dyDescent="0.35">
      <c r="A5" s="981"/>
      <c r="B5" s="1011">
        <f>(2133+829)*1.012</f>
        <v>2997.54</v>
      </c>
      <c r="C5" s="1012">
        <f>+B5</f>
        <v>2997.54</v>
      </c>
      <c r="D5" s="1013" t="s">
        <v>1002</v>
      </c>
      <c r="E5" s="1013"/>
      <c r="F5" s="1013">
        <f ca="1">+B5*A$3</f>
        <v>14987.7</v>
      </c>
      <c r="G5" s="971"/>
      <c r="H5" s="972" t="s">
        <v>1003</v>
      </c>
      <c r="I5" s="1015">
        <v>80000</v>
      </c>
      <c r="J5" s="1015">
        <v>0</v>
      </c>
      <c r="K5" s="250">
        <f>+I5/Ctz</f>
        <v>252.37</v>
      </c>
      <c r="L5" s="216"/>
      <c r="M5" s="699"/>
      <c r="N5" s="698"/>
      <c r="Q5" s="796"/>
      <c r="R5" s="796"/>
      <c r="S5" s="212"/>
      <c r="T5" s="216"/>
      <c r="W5" s="219"/>
    </row>
    <row r="6" spans="1:23" s="702" customFormat="1" x14ac:dyDescent="0.35">
      <c r="A6" s="980"/>
      <c r="B6" s="1011">
        <f>285+324</f>
        <v>609</v>
      </c>
      <c r="C6" s="1012">
        <f>+B6</f>
        <v>609</v>
      </c>
      <c r="D6" s="1013" t="s">
        <v>1080</v>
      </c>
      <c r="E6" s="1013"/>
      <c r="F6" s="1013">
        <f ca="1">+B6*A$3</f>
        <v>3045</v>
      </c>
      <c r="G6" s="971">
        <f>+I4+I5+I6</f>
        <v>201552</v>
      </c>
      <c r="H6" s="972" t="s">
        <v>255</v>
      </c>
      <c r="I6" s="1015">
        <v>0</v>
      </c>
      <c r="J6" s="1015">
        <v>0</v>
      </c>
      <c r="K6" s="250"/>
      <c r="L6" s="1010"/>
      <c r="M6" s="699"/>
      <c r="N6" s="698"/>
      <c r="Q6" s="707"/>
      <c r="R6" s="707"/>
      <c r="V6" s="925"/>
      <c r="W6" s="219"/>
    </row>
    <row r="7" spans="1:23" s="625" customFormat="1" ht="15.75" customHeight="1" x14ac:dyDescent="0.35">
      <c r="A7" s="645"/>
      <c r="B7" s="977" t="str">
        <f>"Ad Financiero: " &amp; ROUND((+C7*100/G6),2) &amp; " %"</f>
        <v>Ad Financiero: 16,06 %</v>
      </c>
      <c r="C7" s="978">
        <f>SUM(B3:B6)</f>
        <v>32374.84</v>
      </c>
      <c r="D7" s="979">
        <v>155499</v>
      </c>
      <c r="E7" s="1001">
        <f>+D7/G6/100</f>
        <v>7.7149999999999996E-3</v>
      </c>
      <c r="F7" s="982">
        <f ca="1">SUM(F3:F6)</f>
        <v>161874.20000000001</v>
      </c>
      <c r="G7" s="996">
        <f>+J7+J8+J9+J10</f>
        <v>0</v>
      </c>
      <c r="H7" s="997" t="str">
        <f>"fijos: " &amp; ROUND((+(-I7)*100/G6),2) &amp; " %"</f>
        <v>fijos: 14,27 %</v>
      </c>
      <c r="I7" s="1016">
        <f>-13500-500-300-1867.56-3000-9600.74</f>
        <v>-28768.3</v>
      </c>
      <c r="J7" s="1016">
        <v>0</v>
      </c>
      <c r="K7" s="250"/>
      <c r="L7" s="1010"/>
      <c r="M7" s="699"/>
      <c r="N7" s="698"/>
      <c r="Q7" s="796"/>
      <c r="R7" s="796"/>
      <c r="S7" s="212"/>
      <c r="T7" s="707"/>
      <c r="U7" s="219"/>
      <c r="V7" s="707"/>
      <c r="W7" s="707"/>
    </row>
    <row r="8" spans="1:23" ht="15" customHeight="1" x14ac:dyDescent="0.35">
      <c r="A8" s="983"/>
      <c r="B8" s="995"/>
      <c r="C8" s="1050">
        <v>40100</v>
      </c>
      <c r="D8" s="1020" t="str">
        <f>"CRY/Lemon: " &amp; ROUND((+C8*100/$C$17),2) &amp; " %"</f>
        <v>CRY/Lemon: 2,6 %</v>
      </c>
      <c r="E8" s="1111"/>
      <c r="F8" s="1051">
        <f>+C8/Ctz</f>
        <v>126.5</v>
      </c>
      <c r="G8" s="996"/>
      <c r="H8" s="997" t="str">
        <f>"extras: " &amp; ROUND((+(-I8)*100/G6),2) &amp; " %"</f>
        <v>extras: 0 %</v>
      </c>
      <c r="I8" s="1016">
        <v>0</v>
      </c>
      <c r="J8" s="1016">
        <v>0</v>
      </c>
      <c r="K8" s="250"/>
      <c r="L8" s="1010"/>
      <c r="M8" s="699"/>
      <c r="N8" s="698"/>
      <c r="R8" s="796"/>
      <c r="S8" s="212"/>
      <c r="T8" s="702"/>
      <c r="U8" s="219"/>
      <c r="V8" s="707"/>
    </row>
    <row r="9" spans="1:23" s="702" customFormat="1" ht="15" customHeight="1" x14ac:dyDescent="0.35">
      <c r="A9" s="758"/>
      <c r="B9" s="995"/>
      <c r="C9" s="1050">
        <v>17788.150000000001</v>
      </c>
      <c r="D9" s="1020" t="str">
        <f>"PES/NaranjaX: " &amp; ROUND((+C9*100/$C$17),2) &amp; " %"</f>
        <v>PES/NaranjaX: 1,15 %</v>
      </c>
      <c r="E9" s="1111"/>
      <c r="F9" s="1051">
        <f>+C9/Ctz</f>
        <v>56.11</v>
      </c>
      <c r="G9" s="996"/>
      <c r="H9" s="997" t="str">
        <f>"variable: " &amp; ROUND((+(-I9)*100/G6),2) &amp; " %"</f>
        <v>variable: 61,31 %</v>
      </c>
      <c r="I9" s="1016">
        <f>-115900-7674.33</f>
        <v>-123574.33</v>
      </c>
      <c r="J9" s="1016">
        <v>0</v>
      </c>
      <c r="K9" s="250"/>
      <c r="L9" s="1010"/>
      <c r="M9" s="699"/>
      <c r="N9" s="698"/>
      <c r="Q9" s="707"/>
      <c r="R9" s="796"/>
      <c r="U9" s="219"/>
      <c r="V9" s="707"/>
    </row>
    <row r="10" spans="1:23" s="702" customFormat="1" ht="15" customHeight="1" x14ac:dyDescent="0.35">
      <c r="A10" s="983"/>
      <c r="B10" s="995"/>
      <c r="C10" s="1050">
        <v>0</v>
      </c>
      <c r="D10" s="1020" t="str">
        <f>"free: " &amp; ROUND((+C10*100/$C$17),2) &amp; " %"</f>
        <v>free: 0 %</v>
      </c>
      <c r="E10" s="1109"/>
      <c r="F10" s="1051">
        <f>+C10/Ctz</f>
        <v>0</v>
      </c>
      <c r="G10" s="996">
        <f>+I7+I8+I9+I10</f>
        <v>-152342.63</v>
      </c>
      <c r="H10" s="998" t="str">
        <f>"inversion: " &amp; ROUND((+(-I10)*100/G6),2) &amp; " %"</f>
        <v>inversion: 0 %</v>
      </c>
      <c r="I10" s="1017">
        <v>0</v>
      </c>
      <c r="J10" s="1017">
        <v>0</v>
      </c>
      <c r="K10" s="250"/>
      <c r="L10" s="707"/>
      <c r="M10" s="699"/>
      <c r="N10" s="698"/>
      <c r="Q10" s="707"/>
      <c r="R10" s="796"/>
      <c r="U10" s="219"/>
      <c r="V10" s="707"/>
    </row>
    <row r="11" spans="1:23" s="702" customFormat="1" ht="15" customHeight="1" x14ac:dyDescent="0.35">
      <c r="A11" s="983"/>
      <c r="B11" s="995"/>
      <c r="C11" s="1052">
        <f>+E11*CtzvC</f>
        <v>16625.400000000001</v>
      </c>
      <c r="D11" s="1053" t="str">
        <f>"LUN/Lemon: " &amp; ROUND((+C11*100/$C$17),2) &amp; " %"</f>
        <v>LUN/Lemon: 1,08 %</v>
      </c>
      <c r="E11" s="1115">
        <f>(( 8.747294816+ 8.747294816+ 8.747294816)*1.92)</f>
        <v>50.38</v>
      </c>
      <c r="F11" s="1054">
        <f>+C11/Ctz</f>
        <v>52.45</v>
      </c>
      <c r="G11" s="1008"/>
      <c r="H11" s="1018"/>
      <c r="I11" s="1072"/>
      <c r="J11" s="1018"/>
      <c r="K11" s="250"/>
      <c r="L11" s="707"/>
      <c r="M11" s="699"/>
      <c r="N11" s="698"/>
      <c r="Q11" s="707"/>
      <c r="R11" s="707"/>
      <c r="U11" s="219"/>
      <c r="V11" s="707"/>
    </row>
    <row r="12" spans="1:23" s="702" customFormat="1" ht="15" customHeight="1" x14ac:dyDescent="0.35">
      <c r="A12" s="983"/>
      <c r="B12" s="995"/>
      <c r="C12" s="1052">
        <f>+F12*Ctzv</f>
        <v>26046.39</v>
      </c>
      <c r="D12" s="1053" t="str">
        <f>"GOB/Pendiente: " &amp; ROUND((+C12*100/$C$17),2) &amp; " %"</f>
        <v>GOB/Pendiente: 1,69 %</v>
      </c>
      <c r="E12" s="1110">
        <f>+(6730.74+831.89+0.67+39.37)+(5625.55+5733+5985)</f>
        <v>24946</v>
      </c>
      <c r="F12" s="1054">
        <f>+(E12/Ctz)</f>
        <v>78.69</v>
      </c>
      <c r="G12" s="1008"/>
      <c r="H12" s="1018"/>
      <c r="I12" s="1072"/>
      <c r="J12" s="1018"/>
      <c r="K12" s="1010"/>
      <c r="L12" s="1010"/>
      <c r="M12" s="699"/>
      <c r="N12" s="698"/>
      <c r="Q12" s="707"/>
      <c r="R12" s="707"/>
      <c r="U12" s="219"/>
      <c r="V12" s="707"/>
    </row>
    <row r="13" spans="1:23" s="702" customFormat="1" ht="15" customHeight="1" x14ac:dyDescent="0.35">
      <c r="A13" s="983"/>
      <c r="B13" s="995"/>
      <c r="C13" s="1055">
        <f>+F13*Ctzv</f>
        <v>139873.98000000001</v>
      </c>
      <c r="D13" s="1019" t="str">
        <f>"DOL/Galicia: " &amp; ROUND((+C13*100/$C$17),2) &amp; " %"</f>
        <v>DOL/Galicia: 9,07 %</v>
      </c>
      <c r="E13" s="1108"/>
      <c r="F13" s="1056">
        <f>344.61+77.97</f>
        <v>422.58</v>
      </c>
      <c r="G13" s="1008"/>
      <c r="H13" s="1009"/>
      <c r="I13" s="1072"/>
      <c r="J13" s="1018"/>
      <c r="K13" s="1010"/>
      <c r="L13" s="1010"/>
      <c r="M13" s="699"/>
      <c r="N13" s="698"/>
      <c r="Q13" s="707"/>
      <c r="R13" s="707"/>
      <c r="U13" s="219"/>
      <c r="V13" s="707"/>
    </row>
    <row r="14" spans="1:23" x14ac:dyDescent="0.35">
      <c r="A14" s="645"/>
      <c r="B14" s="995"/>
      <c r="C14" s="1055">
        <f>(+F14*Ctzv)</f>
        <v>1301710.46</v>
      </c>
      <c r="D14" s="1019" t="str">
        <f>"INV/BullMarket: " &amp; ROUND((+C14*100/$C$17),2) &amp; " %"</f>
        <v>INV/BullMarket: 84,41 %</v>
      </c>
      <c r="E14" s="1019" t="str">
        <f>IF(CtzvM&gt;CtzvB,"Salida x PES","Salida x DOL")</f>
        <v>Salida x DOL</v>
      </c>
      <c r="F14" s="1056">
        <v>3932.66</v>
      </c>
      <c r="G14" s="1008"/>
      <c r="H14" s="1009"/>
      <c r="I14" s="1072"/>
      <c r="J14" s="1009"/>
      <c r="K14" s="1010"/>
      <c r="L14" s="1010"/>
      <c r="M14" s="699"/>
      <c r="N14" s="698" t="s">
        <v>1086</v>
      </c>
      <c r="R14" s="707"/>
      <c r="U14" s="219"/>
      <c r="V14" s="707"/>
    </row>
    <row r="15" spans="1:23" s="702" customFormat="1" x14ac:dyDescent="0.35">
      <c r="A15" s="645"/>
      <c r="B15" s="1038"/>
      <c r="C15" s="1058">
        <f>+G4</f>
        <v>0</v>
      </c>
      <c r="D15" s="1059" t="str">
        <f>"PES/Ingresos: " &amp; ROUND((+C15*100/$C$17),2) &amp; " %"</f>
        <v>PES/Ingresos: 0 %</v>
      </c>
      <c r="E15" s="905"/>
      <c r="F15" s="906"/>
      <c r="G15" s="1060"/>
      <c r="H15" s="1061" t="str">
        <f>IF(Ctz=CtzM,G17,"") &amp;  IF(Ctz=CtzB,G18,"")</f>
        <v>.Mep</v>
      </c>
      <c r="I15" s="1061" t="str">
        <f>IF(Ctzv=CtzvM,G17,"") &amp;  IF(Ctzv=CtzvB,G18,"")</f>
        <v>.Blue</v>
      </c>
      <c r="J15" s="1062">
        <v>100</v>
      </c>
      <c r="K15" s="1010"/>
      <c r="L15" s="1010"/>
      <c r="M15" s="699"/>
      <c r="N15" s="698"/>
      <c r="Q15" s="707"/>
      <c r="R15" s="796"/>
      <c r="U15" s="219"/>
      <c r="V15" s="707"/>
    </row>
    <row r="16" spans="1:23" x14ac:dyDescent="0.35">
      <c r="A16" s="645"/>
      <c r="B16" s="1069"/>
      <c r="C16" s="1070">
        <f>+G7</f>
        <v>0</v>
      </c>
      <c r="D16" s="1071" t="str">
        <f>"PES/Egresos: " &amp; ROUND((+C16*100/$C$17),2) &amp; " %"</f>
        <v>PES/Egresos: 0 %</v>
      </c>
      <c r="E16" s="1138"/>
      <c r="F16" s="1016"/>
      <c r="G16" s="1060" t="s">
        <v>1054</v>
      </c>
      <c r="H16" s="1063">
        <f>MIN(H17:H18)</f>
        <v>317</v>
      </c>
      <c r="I16" s="1063">
        <f>MAX(I17:I18)</f>
        <v>331</v>
      </c>
      <c r="J16" s="1062">
        <f>(J15*Ctzv)-(J15*Ctz)</f>
        <v>1400</v>
      </c>
      <c r="K16" s="1010"/>
      <c r="L16" s="1010"/>
      <c r="M16" s="699"/>
      <c r="N16" s="698"/>
      <c r="R16" s="796"/>
      <c r="S16" s="702"/>
      <c r="T16" s="702"/>
      <c r="V16" s="212"/>
    </row>
    <row r="17" spans="1:25" s="702" customFormat="1" x14ac:dyDescent="0.35">
      <c r="A17" s="645">
        <v>46387</v>
      </c>
      <c r="B17" s="1002" t="s">
        <v>1005</v>
      </c>
      <c r="C17" s="1003">
        <f>SUM(C8:C16)</f>
        <v>1542144.38</v>
      </c>
      <c r="D17" s="1004" t="str">
        <f ca="1">"solvencia:"&amp;UPPER(TEXT( A17,"dd"))&amp; UPPER(TEXT( A17,"mmm"))&amp; UPPER(TEXT(A17,"YY"))&amp;"-"&amp;+A17-TODAY()&amp;"D-" &amp; ROUND( YEARFRAC(A17,TODAY()),2) &amp;"Y"</f>
        <v>solvencia:31DICYY-1622D-4,44Y</v>
      </c>
      <c r="E17" s="1004"/>
      <c r="F17" s="1002">
        <f>SUM(F8:F14)</f>
        <v>4668.99</v>
      </c>
      <c r="G17" s="1064" t="s">
        <v>802</v>
      </c>
      <c r="H17" s="1065">
        <f>+CtzvM+6</f>
        <v>317</v>
      </c>
      <c r="I17" s="1065">
        <v>311</v>
      </c>
      <c r="J17" s="1066"/>
      <c r="K17" s="1010"/>
      <c r="L17" s="707"/>
      <c r="M17" s="699"/>
      <c r="N17" s="698"/>
      <c r="Q17" s="707"/>
      <c r="R17" s="707"/>
      <c r="V17" s="925"/>
    </row>
    <row r="18" spans="1:25" x14ac:dyDescent="0.35">
      <c r="A18" s="645"/>
      <c r="B18" s="1068">
        <v>44798</v>
      </c>
      <c r="C18" s="1005"/>
      <c r="D18" s="1005"/>
      <c r="E18" s="1005"/>
      <c r="F18" s="1005"/>
      <c r="G18" s="1066" t="s">
        <v>803</v>
      </c>
      <c r="H18" s="1065">
        <f>+CtzvB+4</f>
        <v>335</v>
      </c>
      <c r="I18" s="1065">
        <v>331</v>
      </c>
      <c r="J18" s="1066"/>
      <c r="K18" s="1010"/>
      <c r="L18" s="1010"/>
      <c r="M18" s="699"/>
      <c r="N18" s="698"/>
      <c r="T18" s="250"/>
      <c r="U18" s="707"/>
      <c r="V18" s="707"/>
      <c r="W18" s="591"/>
      <c r="X18" s="924"/>
      <c r="Y18" s="219"/>
    </row>
    <row r="19" spans="1:25" s="702" customFormat="1" x14ac:dyDescent="0.35">
      <c r="A19" s="645"/>
      <c r="B19" s="1005" t="str">
        <f ca="1">DAYS360(TODAY(),B18,FALSE) &amp; " Dias, " &amp; TEXT((+B18+11),"ddd dd/mm/yyyy")</f>
        <v>32 Dias, lu 05/09/yyyy</v>
      </c>
      <c r="C19" s="1005"/>
      <c r="D19" s="1005"/>
      <c r="E19" s="1005"/>
      <c r="F19" s="1005"/>
      <c r="G19" s="1045" t="s">
        <v>1071</v>
      </c>
      <c r="H19" s="1057">
        <f>+CtzvC+14</f>
        <v>344</v>
      </c>
      <c r="I19" s="1057">
        <v>330</v>
      </c>
      <c r="J19" s="1045"/>
      <c r="K19" s="1010"/>
      <c r="L19" s="1010"/>
      <c r="M19" s="699"/>
      <c r="P19" s="209"/>
      <c r="Q19" s="707"/>
      <c r="T19" s="250"/>
      <c r="U19" s="707"/>
      <c r="V19" s="707"/>
      <c r="W19" s="591"/>
      <c r="X19" s="924"/>
      <c r="Y19" s="219"/>
    </row>
    <row r="20" spans="1:25" s="591" customFormat="1" x14ac:dyDescent="0.35">
      <c r="A20" s="645"/>
      <c r="B20" s="1005"/>
      <c r="C20" s="1005"/>
      <c r="D20" s="1005"/>
      <c r="E20" s="1005"/>
      <c r="F20" s="1006"/>
      <c r="G20" s="1044" t="s">
        <v>1053</v>
      </c>
      <c r="H20" s="1046">
        <v>133.66</v>
      </c>
      <c r="I20" s="1046">
        <f>+CtzU</f>
        <v>133.66</v>
      </c>
      <c r="J20" s="1099"/>
      <c r="K20" s="1174"/>
      <c r="L20" s="1010"/>
      <c r="M20" s="702"/>
      <c r="Q20" s="796"/>
      <c r="S20" s="702"/>
      <c r="T20" s="702"/>
      <c r="U20" s="707"/>
      <c r="V20" s="707"/>
      <c r="X20" s="924"/>
      <c r="Y20" s="219"/>
    </row>
    <row r="21" spans="1:25" x14ac:dyDescent="0.35">
      <c r="B21" s="912"/>
      <c r="C21" s="773"/>
      <c r="D21" s="968"/>
      <c r="E21" s="968"/>
      <c r="F21" s="223"/>
      <c r="L21" s="1112"/>
      <c r="M21" s="702"/>
      <c r="R21" s="707"/>
      <c r="U21" s="707"/>
      <c r="V21" s="707"/>
      <c r="X21" s="219"/>
      <c r="Y21" s="219"/>
    </row>
    <row r="22" spans="1:25" x14ac:dyDescent="0.35">
      <c r="B22" s="703" t="str">
        <f>"Descripcion " &amp; COUNTA(B23:B52)</f>
        <v>Descripcion 30</v>
      </c>
      <c r="C22" s="697" t="s">
        <v>833</v>
      </c>
      <c r="D22" s="695" t="s">
        <v>832</v>
      </c>
      <c r="E22" s="703"/>
      <c r="F22" s="703" t="s">
        <v>780</v>
      </c>
      <c r="G22" s="985" t="s">
        <v>789</v>
      </c>
      <c r="H22" s="986" t="s">
        <v>790</v>
      </c>
      <c r="I22" s="984" t="s">
        <v>1092</v>
      </c>
      <c r="J22" s="987" t="s">
        <v>788</v>
      </c>
      <c r="K22" s="990" t="s">
        <v>793</v>
      </c>
      <c r="L22" s="666"/>
      <c r="M22" s="212"/>
      <c r="N22" s="1040"/>
      <c r="O22" s="209"/>
      <c r="P22" s="702"/>
      <c r="S22" s="698"/>
      <c r="T22" s="707"/>
      <c r="U22" s="707"/>
      <c r="V22" s="212"/>
      <c r="W22" s="924"/>
      <c r="X22" s="219"/>
    </row>
    <row r="23" spans="1:25" x14ac:dyDescent="0.35">
      <c r="A23" s="639"/>
      <c r="B23" s="1022" t="s">
        <v>123</v>
      </c>
      <c r="C23" s="1023" t="s">
        <v>863</v>
      </c>
      <c r="D23" s="1022" t="s">
        <v>858</v>
      </c>
      <c r="E23" s="1022"/>
      <c r="F23" s="1022" t="s">
        <v>783</v>
      </c>
      <c r="G23" s="1025" t="s">
        <v>1078</v>
      </c>
      <c r="H23" s="1025" t="s">
        <v>901</v>
      </c>
      <c r="I23" s="1026" t="s">
        <v>1023</v>
      </c>
      <c r="J23" s="1027"/>
      <c r="K23" s="1026" t="s">
        <v>860</v>
      </c>
      <c r="M23" s="212"/>
      <c r="N23" s="1041"/>
      <c r="O23" s="209"/>
      <c r="P23" s="707"/>
      <c r="S23" s="698"/>
      <c r="T23" s="708"/>
      <c r="U23" s="707"/>
      <c r="V23" s="212"/>
      <c r="W23" s="924"/>
      <c r="X23" s="219"/>
    </row>
    <row r="24" spans="1:25" s="702" customFormat="1" x14ac:dyDescent="0.35">
      <c r="A24" s="645"/>
      <c r="B24" s="703" t="s">
        <v>1017</v>
      </c>
      <c r="C24" s="697" t="s">
        <v>1019</v>
      </c>
      <c r="D24" s="703" t="s">
        <v>1022</v>
      </c>
      <c r="E24" s="697" t="s">
        <v>1018</v>
      </c>
      <c r="F24" s="703" t="s">
        <v>783</v>
      </c>
      <c r="G24" s="989"/>
      <c r="H24" s="989" t="s">
        <v>1021</v>
      </c>
      <c r="I24" s="990" t="s">
        <v>1023</v>
      </c>
      <c r="J24" s="991"/>
      <c r="K24" s="990" t="s">
        <v>1020</v>
      </c>
      <c r="L24" s="698"/>
      <c r="N24" s="1039"/>
      <c r="O24" s="209"/>
      <c r="P24" s="707"/>
      <c r="Q24" s="707"/>
      <c r="S24" s="698"/>
      <c r="T24" s="708"/>
      <c r="U24" s="707"/>
      <c r="W24" s="924"/>
      <c r="X24" s="219"/>
    </row>
    <row r="25" spans="1:25" s="702" customFormat="1" x14ac:dyDescent="0.35">
      <c r="A25" s="645"/>
      <c r="B25" s="1022" t="s">
        <v>1048</v>
      </c>
      <c r="C25" s="1023" t="s">
        <v>1067</v>
      </c>
      <c r="D25" s="1022" t="s">
        <v>1148</v>
      </c>
      <c r="E25" s="1023"/>
      <c r="F25" s="1022" t="s">
        <v>783</v>
      </c>
      <c r="G25" s="1025"/>
      <c r="H25" s="1025" t="s">
        <v>791</v>
      </c>
      <c r="I25" s="1026" t="s">
        <v>1023</v>
      </c>
      <c r="J25" s="1027"/>
      <c r="K25" s="1026" t="s">
        <v>1066</v>
      </c>
      <c r="L25" s="764"/>
      <c r="N25" s="1039"/>
      <c r="O25" s="209"/>
      <c r="P25" s="707"/>
      <c r="Q25" s="707"/>
      <c r="S25" s="698"/>
      <c r="T25" s="708"/>
      <c r="U25" s="707"/>
      <c r="W25" s="924"/>
      <c r="X25" s="219"/>
    </row>
    <row r="26" spans="1:25" x14ac:dyDescent="0.35">
      <c r="A26" s="645"/>
      <c r="B26" s="703" t="s">
        <v>781</v>
      </c>
      <c r="C26" s="697" t="s">
        <v>908</v>
      </c>
      <c r="D26" s="703" t="s">
        <v>909</v>
      </c>
      <c r="E26" s="703"/>
      <c r="F26" s="703" t="s">
        <v>784</v>
      </c>
      <c r="G26" s="985" t="s">
        <v>929</v>
      </c>
      <c r="H26" s="985" t="s">
        <v>896</v>
      </c>
      <c r="I26" s="990"/>
      <c r="J26" s="992"/>
      <c r="K26" s="990" t="s">
        <v>1034</v>
      </c>
      <c r="L26" s="702"/>
      <c r="M26" s="212"/>
      <c r="N26" s="209"/>
      <c r="O26" s="209"/>
      <c r="P26" s="707"/>
      <c r="R26" s="702"/>
      <c r="S26" s="698"/>
      <c r="T26" s="707"/>
      <c r="U26" s="707"/>
      <c r="V26" s="212"/>
      <c r="W26" s="924"/>
      <c r="X26" s="219"/>
    </row>
    <row r="27" spans="1:25" x14ac:dyDescent="0.35">
      <c r="A27" s="639"/>
      <c r="B27" s="1028" t="s">
        <v>760</v>
      </c>
      <c r="C27" s="1023" t="s">
        <v>782</v>
      </c>
      <c r="D27" s="1022" t="s">
        <v>787</v>
      </c>
      <c r="E27" s="1022"/>
      <c r="F27" s="1022" t="s">
        <v>784</v>
      </c>
      <c r="G27" s="1029" t="s">
        <v>929</v>
      </c>
      <c r="H27" s="1029" t="s">
        <v>900</v>
      </c>
      <c r="I27" s="1026" t="s">
        <v>1069</v>
      </c>
      <c r="J27" s="1030"/>
      <c r="K27" s="1026" t="s">
        <v>836</v>
      </c>
      <c r="L27" s="666"/>
      <c r="M27" s="212"/>
      <c r="O27" s="209"/>
      <c r="P27" s="707"/>
      <c r="R27" s="702"/>
      <c r="S27" s="702"/>
      <c r="T27" s="707"/>
      <c r="U27" s="707"/>
      <c r="V27" s="212"/>
      <c r="W27" s="219"/>
      <c r="X27" s="219"/>
    </row>
    <row r="28" spans="1:25" x14ac:dyDescent="0.35">
      <c r="A28" s="639"/>
      <c r="B28" s="703" t="s">
        <v>820</v>
      </c>
      <c r="C28" s="697" t="s">
        <v>849</v>
      </c>
      <c r="D28" s="703" t="s">
        <v>813</v>
      </c>
      <c r="E28" s="703"/>
      <c r="F28" s="703" t="s">
        <v>798</v>
      </c>
      <c r="G28" s="985" t="s">
        <v>929</v>
      </c>
      <c r="H28" s="993" t="s">
        <v>999</v>
      </c>
      <c r="I28" s="984" t="s">
        <v>1073</v>
      </c>
      <c r="J28" s="988"/>
      <c r="K28" s="990" t="s">
        <v>821</v>
      </c>
      <c r="L28" s="666"/>
      <c r="M28" s="699"/>
      <c r="N28" s="702"/>
      <c r="O28" s="209"/>
      <c r="P28" s="702"/>
      <c r="R28" s="702"/>
      <c r="S28" s="702"/>
      <c r="T28" s="707"/>
      <c r="U28" s="707"/>
      <c r="V28" s="212"/>
      <c r="W28" s="924"/>
      <c r="X28" s="219"/>
    </row>
    <row r="29" spans="1:25" s="702" customFormat="1" x14ac:dyDescent="0.35">
      <c r="B29" s="703" t="s">
        <v>932</v>
      </c>
      <c r="C29" s="697"/>
      <c r="D29" s="703"/>
      <c r="E29" s="984" t="s">
        <v>933</v>
      </c>
      <c r="F29" s="703" t="s">
        <v>825</v>
      </c>
      <c r="G29" s="993" t="s">
        <v>929</v>
      </c>
      <c r="H29" s="993" t="s">
        <v>1047</v>
      </c>
      <c r="I29" s="990"/>
      <c r="J29" s="988"/>
      <c r="K29" s="990" t="s">
        <v>1033</v>
      </c>
      <c r="M29" s="215"/>
      <c r="N29" s="234"/>
      <c r="O29" s="209"/>
      <c r="P29" s="215"/>
      <c r="Q29" s="707"/>
      <c r="S29" s="698"/>
      <c r="T29" s="707"/>
      <c r="U29" s="707"/>
      <c r="W29" s="924"/>
      <c r="X29" s="219"/>
    </row>
    <row r="30" spans="1:25" x14ac:dyDescent="0.35">
      <c r="A30" s="702"/>
      <c r="B30" s="703" t="s">
        <v>946</v>
      </c>
      <c r="C30" s="697" t="s">
        <v>947</v>
      </c>
      <c r="D30" s="703" t="s">
        <v>949</v>
      </c>
      <c r="E30" s="703"/>
      <c r="F30" s="703" t="s">
        <v>948</v>
      </c>
      <c r="G30" s="993" t="s">
        <v>929</v>
      </c>
      <c r="H30" s="993" t="s">
        <v>999</v>
      </c>
      <c r="I30" s="990"/>
      <c r="J30" s="988"/>
      <c r="K30" s="990" t="s">
        <v>1032</v>
      </c>
      <c r="L30" s="702"/>
      <c r="M30" s="215"/>
      <c r="O30" s="209"/>
      <c r="P30" s="234"/>
      <c r="R30" s="702"/>
      <c r="S30" s="698"/>
      <c r="T30" s="708"/>
      <c r="U30" s="707"/>
      <c r="V30" s="212"/>
      <c r="W30" s="924"/>
      <c r="X30" s="219"/>
    </row>
    <row r="31" spans="1:25" s="702" customFormat="1" x14ac:dyDescent="0.35">
      <c r="B31" s="703" t="s">
        <v>977</v>
      </c>
      <c r="C31" s="697"/>
      <c r="D31" s="703"/>
      <c r="E31" s="984" t="s">
        <v>970</v>
      </c>
      <c r="F31" s="703" t="s">
        <v>809</v>
      </c>
      <c r="G31" s="993" t="s">
        <v>929</v>
      </c>
      <c r="H31" s="993" t="s">
        <v>968</v>
      </c>
      <c r="I31" s="990" t="s">
        <v>958</v>
      </c>
      <c r="J31" s="988"/>
      <c r="K31" s="990" t="s">
        <v>1031</v>
      </c>
      <c r="O31" s="209"/>
      <c r="Q31" s="707"/>
      <c r="T31" s="707"/>
      <c r="U31" s="707"/>
      <c r="W31" s="924"/>
      <c r="X31" s="219"/>
    </row>
    <row r="32" spans="1:25" s="234" customFormat="1" x14ac:dyDescent="0.35">
      <c r="A32" s="666"/>
      <c r="B32" s="703" t="s">
        <v>859</v>
      </c>
      <c r="C32" s="697"/>
      <c r="D32" s="703"/>
      <c r="E32" s="703"/>
      <c r="F32" s="703" t="s">
        <v>809</v>
      </c>
      <c r="G32" s="994" t="s">
        <v>764</v>
      </c>
      <c r="H32" s="993" t="s">
        <v>758</v>
      </c>
      <c r="I32" s="984"/>
      <c r="J32" s="988"/>
      <c r="K32" s="990" t="s">
        <v>860</v>
      </c>
      <c r="L32" s="666"/>
      <c r="M32" s="702"/>
      <c r="N32" s="764"/>
      <c r="O32" s="764"/>
      <c r="P32" s="922"/>
      <c r="Q32" s="707"/>
      <c r="R32" s="764"/>
    </row>
    <row r="33" spans="1:22" x14ac:dyDescent="0.35">
      <c r="B33" s="703" t="s">
        <v>806</v>
      </c>
      <c r="C33" s="697" t="s">
        <v>966</v>
      </c>
      <c r="D33" s="703" t="s">
        <v>891</v>
      </c>
      <c r="E33" s="703" t="s">
        <v>1077</v>
      </c>
      <c r="F33" s="703" t="s">
        <v>808</v>
      </c>
      <c r="G33" s="994" t="s">
        <v>764</v>
      </c>
      <c r="H33" s="993" t="s">
        <v>969</v>
      </c>
      <c r="I33" s="984" t="s">
        <v>967</v>
      </c>
      <c r="J33" s="988"/>
      <c r="K33" s="990" t="s">
        <v>819</v>
      </c>
      <c r="L33" s="623"/>
      <c r="M33" s="702"/>
      <c r="N33" s="764"/>
      <c r="O33" s="764"/>
      <c r="P33" s="922"/>
      <c r="R33" s="764"/>
      <c r="S33" s="212"/>
      <c r="U33" s="212"/>
      <c r="V33" s="212"/>
    </row>
    <row r="34" spans="1:22" s="702" customFormat="1" x14ac:dyDescent="0.35">
      <c r="B34" s="703" t="s">
        <v>974</v>
      </c>
      <c r="C34" s="697"/>
      <c r="D34" s="703"/>
      <c r="E34" s="703"/>
      <c r="F34" s="703" t="s">
        <v>975</v>
      </c>
      <c r="G34" s="994"/>
      <c r="H34" s="1114" t="s">
        <v>976</v>
      </c>
      <c r="I34" s="984"/>
      <c r="J34" s="988"/>
      <c r="K34" s="990" t="s">
        <v>1030</v>
      </c>
      <c r="N34" s="764"/>
      <c r="O34" s="764"/>
      <c r="P34" s="922"/>
      <c r="Q34" s="707"/>
      <c r="R34" s="764"/>
    </row>
    <row r="35" spans="1:22" s="702" customFormat="1" x14ac:dyDescent="0.35">
      <c r="B35" s="1022" t="s">
        <v>982</v>
      </c>
      <c r="C35" s="1023" t="s">
        <v>983</v>
      </c>
      <c r="D35" s="1022"/>
      <c r="E35" s="1022"/>
      <c r="F35" s="1022" t="s">
        <v>784</v>
      </c>
      <c r="G35" s="1031" t="s">
        <v>984</v>
      </c>
      <c r="H35" s="1032"/>
      <c r="I35" s="1024"/>
      <c r="J35" s="1033"/>
      <c r="K35" s="1026" t="s">
        <v>1029</v>
      </c>
      <c r="N35" s="764"/>
      <c r="O35" s="764"/>
      <c r="P35" s="922"/>
      <c r="Q35" s="707"/>
      <c r="R35" s="764"/>
    </row>
    <row r="36" spans="1:22" s="234" customFormat="1" x14ac:dyDescent="0.35">
      <c r="A36" s="645"/>
      <c r="B36" s="1022" t="s">
        <v>986</v>
      </c>
      <c r="C36" s="1023" t="s">
        <v>814</v>
      </c>
      <c r="D36" s="1022" t="s">
        <v>987</v>
      </c>
      <c r="E36" s="1022"/>
      <c r="F36" s="1022" t="s">
        <v>783</v>
      </c>
      <c r="G36" s="1029" t="s">
        <v>785</v>
      </c>
      <c r="H36" s="1034" t="s">
        <v>1079</v>
      </c>
      <c r="I36" s="1026" t="s">
        <v>1023</v>
      </c>
      <c r="J36" s="1033"/>
      <c r="K36" s="1026" t="s">
        <v>837</v>
      </c>
      <c r="L36" s="666"/>
      <c r="M36" s="666"/>
      <c r="N36" s="212"/>
      <c r="O36" s="209"/>
      <c r="Q36" s="707"/>
      <c r="R36" s="702"/>
    </row>
    <row r="37" spans="1:22" s="234" customFormat="1" x14ac:dyDescent="0.35">
      <c r="A37" s="645"/>
      <c r="B37" s="1022" t="s">
        <v>759</v>
      </c>
      <c r="C37" s="1023" t="s">
        <v>815</v>
      </c>
      <c r="D37" s="1022" t="s">
        <v>816</v>
      </c>
      <c r="E37" s="1022"/>
      <c r="F37" s="1022" t="s">
        <v>783</v>
      </c>
      <c r="G37" s="1031" t="s">
        <v>764</v>
      </c>
      <c r="H37" s="1029" t="s">
        <v>750</v>
      </c>
      <c r="I37" s="1026" t="s">
        <v>1023</v>
      </c>
      <c r="J37" s="1030" t="s">
        <v>791</v>
      </c>
      <c r="K37" s="1026" t="s">
        <v>836</v>
      </c>
      <c r="L37" s="623"/>
      <c r="M37" s="666"/>
      <c r="N37" s="212"/>
      <c r="O37" s="209"/>
      <c r="P37" s="215"/>
      <c r="Q37" s="707"/>
      <c r="R37" s="702"/>
      <c r="S37" s="212"/>
    </row>
    <row r="38" spans="1:22" x14ac:dyDescent="0.35">
      <c r="A38" s="639"/>
      <c r="B38" s="703" t="s">
        <v>786</v>
      </c>
      <c r="C38" s="697" t="s">
        <v>817</v>
      </c>
      <c r="D38" s="703" t="s">
        <v>818</v>
      </c>
      <c r="E38" s="703"/>
      <c r="F38" s="703" t="s">
        <v>783</v>
      </c>
      <c r="G38" s="989" t="s">
        <v>792</v>
      </c>
      <c r="H38" s="989" t="s">
        <v>1004</v>
      </c>
      <c r="I38" s="989"/>
      <c r="J38" s="991"/>
      <c r="K38" s="990" t="s">
        <v>837</v>
      </c>
      <c r="L38" s="623"/>
      <c r="M38" s="215"/>
      <c r="O38" s="209"/>
      <c r="P38" s="215"/>
      <c r="R38" s="702"/>
      <c r="S38" s="212"/>
      <c r="U38" s="212"/>
      <c r="V38" s="212"/>
    </row>
    <row r="39" spans="1:22" s="702" customFormat="1" x14ac:dyDescent="0.35">
      <c r="A39" s="645"/>
      <c r="B39" s="1022" t="s">
        <v>988</v>
      </c>
      <c r="C39" s="1023" t="s">
        <v>989</v>
      </c>
      <c r="D39" s="1022"/>
      <c r="E39" s="1022"/>
      <c r="F39" s="1022" t="s">
        <v>784</v>
      </c>
      <c r="G39" s="1025" t="s">
        <v>984</v>
      </c>
      <c r="H39" s="1025"/>
      <c r="I39" s="1025"/>
      <c r="J39" s="1027"/>
      <c r="K39" s="1026" t="s">
        <v>1027</v>
      </c>
      <c r="O39" s="209"/>
      <c r="Q39" s="707"/>
    </row>
    <row r="40" spans="1:22" s="234" customFormat="1" x14ac:dyDescent="0.35">
      <c r="A40" s="625"/>
      <c r="B40" s="703" t="s">
        <v>827</v>
      </c>
      <c r="C40" s="697" t="s">
        <v>855</v>
      </c>
      <c r="D40" s="703" t="s">
        <v>856</v>
      </c>
      <c r="E40" s="703"/>
      <c r="F40" s="703" t="s">
        <v>828</v>
      </c>
      <c r="G40" s="993" t="s">
        <v>854</v>
      </c>
      <c r="H40" s="993" t="s">
        <v>907</v>
      </c>
      <c r="I40" s="990"/>
      <c r="J40" s="988"/>
      <c r="K40" s="990" t="s">
        <v>821</v>
      </c>
      <c r="L40" s="623"/>
      <c r="M40" s="215"/>
      <c r="N40" s="212"/>
      <c r="O40" s="209"/>
      <c r="P40" s="215"/>
      <c r="Q40" s="707"/>
      <c r="R40" s="702"/>
      <c r="S40" s="212"/>
    </row>
    <row r="41" spans="1:22" s="702" customFormat="1" x14ac:dyDescent="0.35">
      <c r="B41" s="1022" t="s">
        <v>993</v>
      </c>
      <c r="C41" s="1023" t="s">
        <v>994</v>
      </c>
      <c r="D41" s="1022" t="s">
        <v>995</v>
      </c>
      <c r="E41" s="1022"/>
      <c r="F41" s="1022" t="s">
        <v>996</v>
      </c>
      <c r="G41" s="1031" t="s">
        <v>764</v>
      </c>
      <c r="H41" s="1032"/>
      <c r="I41" s="1026"/>
      <c r="J41" s="1030" t="s">
        <v>791</v>
      </c>
      <c r="K41" s="1026" t="s">
        <v>1027</v>
      </c>
      <c r="O41" s="209"/>
      <c r="Q41" s="707"/>
    </row>
    <row r="42" spans="1:22" s="702" customFormat="1" x14ac:dyDescent="0.35">
      <c r="B42" s="703" t="s">
        <v>1008</v>
      </c>
      <c r="C42" s="697" t="s">
        <v>1011</v>
      </c>
      <c r="D42" s="703" t="s">
        <v>1009</v>
      </c>
      <c r="E42" s="703"/>
      <c r="F42" s="703" t="s">
        <v>784</v>
      </c>
      <c r="G42" s="984" t="s">
        <v>1010</v>
      </c>
      <c r="H42" s="987" t="s">
        <v>791</v>
      </c>
      <c r="I42" s="990"/>
      <c r="J42" s="987"/>
      <c r="K42" s="990" t="s">
        <v>1020</v>
      </c>
      <c r="O42" s="209"/>
      <c r="Q42" s="707"/>
    </row>
    <row r="43" spans="1:22" s="702" customFormat="1" x14ac:dyDescent="0.35">
      <c r="A43" s="645"/>
      <c r="B43" s="703" t="s">
        <v>924</v>
      </c>
      <c r="C43" s="697" t="s">
        <v>926</v>
      </c>
      <c r="D43" s="703" t="s">
        <v>925</v>
      </c>
      <c r="E43" s="703"/>
      <c r="F43" s="703" t="s">
        <v>798</v>
      </c>
      <c r="G43" s="985" t="s">
        <v>929</v>
      </c>
      <c r="H43" s="989" t="s">
        <v>1035</v>
      </c>
      <c r="I43" s="989"/>
      <c r="J43" s="991"/>
      <c r="K43" s="990" t="s">
        <v>1028</v>
      </c>
      <c r="L43" s="952"/>
      <c r="M43" s="952"/>
      <c r="N43" s="952"/>
      <c r="O43" s="955"/>
      <c r="Q43" s="707"/>
    </row>
    <row r="44" spans="1:22" s="702" customFormat="1" x14ac:dyDescent="0.35">
      <c r="A44" s="645"/>
      <c r="B44" s="1022" t="s">
        <v>1013</v>
      </c>
      <c r="C44" s="1023" t="s">
        <v>1016</v>
      </c>
      <c r="D44" s="1022"/>
      <c r="E44" s="1022"/>
      <c r="F44" s="1022" t="s">
        <v>996</v>
      </c>
      <c r="G44" s="1029" t="s">
        <v>929</v>
      </c>
      <c r="H44" s="1025" t="s">
        <v>1014</v>
      </c>
      <c r="I44" s="1025" t="s">
        <v>1015</v>
      </c>
      <c r="J44" s="1030" t="s">
        <v>791</v>
      </c>
      <c r="K44" s="1026" t="s">
        <v>1020</v>
      </c>
      <c r="L44" s="952"/>
      <c r="M44" s="952"/>
      <c r="N44" s="952"/>
      <c r="O44" s="955"/>
      <c r="Q44" s="707"/>
    </row>
    <row r="45" spans="1:22" s="702" customFormat="1" x14ac:dyDescent="0.35">
      <c r="A45" s="645"/>
      <c r="B45" s="1022" t="s">
        <v>1025</v>
      </c>
      <c r="C45" s="1023"/>
      <c r="D45" s="1022"/>
      <c r="E45" s="1022"/>
      <c r="F45" s="1022" t="s">
        <v>809</v>
      </c>
      <c r="G45" s="1029" t="s">
        <v>929</v>
      </c>
      <c r="H45" s="1025" t="s">
        <v>1024</v>
      </c>
      <c r="I45" s="1025"/>
      <c r="J45" s="1030"/>
      <c r="K45" s="1026" t="s">
        <v>1020</v>
      </c>
      <c r="L45" s="952"/>
      <c r="M45" s="952"/>
      <c r="N45" s="952"/>
      <c r="O45" s="955"/>
      <c r="Q45" s="707"/>
    </row>
    <row r="46" spans="1:22" s="702" customFormat="1" x14ac:dyDescent="0.35">
      <c r="A46" s="645"/>
      <c r="B46" s="703" t="s">
        <v>1081</v>
      </c>
      <c r="C46" s="697"/>
      <c r="D46" s="703"/>
      <c r="E46" s="703"/>
      <c r="F46" s="703" t="s">
        <v>809</v>
      </c>
      <c r="G46" s="985" t="s">
        <v>929</v>
      </c>
      <c r="H46" s="989" t="s">
        <v>1082</v>
      </c>
      <c r="I46" s="989"/>
      <c r="J46" s="987"/>
      <c r="K46" s="990" t="s">
        <v>1083</v>
      </c>
      <c r="L46" s="952"/>
      <c r="M46" s="952"/>
      <c r="N46" s="952"/>
      <c r="O46" s="955"/>
      <c r="Q46" s="707"/>
    </row>
    <row r="47" spans="1:22" x14ac:dyDescent="0.35">
      <c r="B47" s="696" t="s">
        <v>882</v>
      </c>
      <c r="C47" s="697"/>
      <c r="D47" s="703"/>
      <c r="E47" s="703"/>
      <c r="F47" s="703" t="s">
        <v>784</v>
      </c>
      <c r="G47" s="985" t="s">
        <v>892</v>
      </c>
      <c r="H47" s="985" t="s">
        <v>934</v>
      </c>
      <c r="I47" s="990"/>
      <c r="J47" s="987"/>
      <c r="K47" s="990" t="str">
        <f>"Dic-2020"</f>
        <v>Dic-2020</v>
      </c>
      <c r="L47" s="623"/>
      <c r="M47" s="212"/>
      <c r="O47" s="209"/>
      <c r="P47" s="215"/>
      <c r="R47" s="702"/>
      <c r="S47" s="212"/>
      <c r="U47" s="212"/>
      <c r="V47" s="212"/>
    </row>
    <row r="48" spans="1:22" x14ac:dyDescent="0.35">
      <c r="B48" s="1022" t="s">
        <v>830</v>
      </c>
      <c r="C48" s="1023"/>
      <c r="D48" s="1022"/>
      <c r="E48" s="1022"/>
      <c r="F48" s="1022" t="s">
        <v>831</v>
      </c>
      <c r="G48" s="1032" t="s">
        <v>984</v>
      </c>
      <c r="H48" s="1032" t="s">
        <v>758</v>
      </c>
      <c r="I48" s="1024"/>
      <c r="J48" s="1033"/>
      <c r="K48" s="1026" t="s">
        <v>821</v>
      </c>
      <c r="L48" s="623"/>
      <c r="M48" s="212"/>
      <c r="N48" s="666"/>
      <c r="O48" s="209"/>
      <c r="P48" s="215"/>
      <c r="R48" s="702"/>
      <c r="S48" s="212"/>
      <c r="U48" s="212"/>
      <c r="V48" s="212"/>
    </row>
    <row r="49" spans="1:22" x14ac:dyDescent="0.35">
      <c r="B49" s="703" t="s">
        <v>807</v>
      </c>
      <c r="C49" s="697" t="s">
        <v>972</v>
      </c>
      <c r="D49" s="703" t="s">
        <v>973</v>
      </c>
      <c r="E49" s="703"/>
      <c r="F49" s="703" t="s">
        <v>808</v>
      </c>
      <c r="G49" s="994" t="s">
        <v>764</v>
      </c>
      <c r="H49" s="993" t="s">
        <v>922</v>
      </c>
      <c r="I49" s="984"/>
      <c r="J49" s="987" t="s">
        <v>791</v>
      </c>
      <c r="K49" s="990" t="s">
        <v>819</v>
      </c>
      <c r="L49" s="626"/>
      <c r="M49" s="212"/>
      <c r="N49" s="666"/>
      <c r="O49" s="209"/>
      <c r="P49" s="215"/>
      <c r="R49" s="702"/>
      <c r="S49" s="212"/>
      <c r="U49" s="212"/>
      <c r="V49" s="212"/>
    </row>
    <row r="50" spans="1:22" x14ac:dyDescent="0.35">
      <c r="B50" s="703" t="s">
        <v>887</v>
      </c>
      <c r="C50" s="697"/>
      <c r="D50" s="703"/>
      <c r="E50" s="703"/>
      <c r="F50" s="703" t="s">
        <v>809</v>
      </c>
      <c r="G50" s="994" t="s">
        <v>764</v>
      </c>
      <c r="H50" s="993" t="str">
        <f>"001300"</f>
        <v>001300</v>
      </c>
      <c r="I50" s="984"/>
      <c r="J50" s="988"/>
      <c r="K50" s="990" t="str">
        <f>"Ene-2021"</f>
        <v>Ene-2021</v>
      </c>
      <c r="L50" s="626"/>
      <c r="M50" s="212"/>
      <c r="N50" s="666"/>
      <c r="O50" s="209"/>
      <c r="P50" s="215"/>
      <c r="R50" s="702"/>
      <c r="S50" s="212"/>
      <c r="U50" s="212"/>
      <c r="V50" s="212"/>
    </row>
    <row r="51" spans="1:22" x14ac:dyDescent="0.35">
      <c r="B51" s="703" t="s">
        <v>824</v>
      </c>
      <c r="C51" s="697"/>
      <c r="D51" s="703" t="s">
        <v>829</v>
      </c>
      <c r="E51" s="703"/>
      <c r="F51" s="703" t="s">
        <v>825</v>
      </c>
      <c r="G51" s="994" t="s">
        <v>764</v>
      </c>
      <c r="H51" s="993" t="s">
        <v>826</v>
      </c>
      <c r="I51" s="984"/>
      <c r="J51" s="988"/>
      <c r="K51" s="990" t="s">
        <v>821</v>
      </c>
      <c r="L51" s="623"/>
      <c r="M51" s="212"/>
      <c r="N51" s="666"/>
      <c r="O51" s="209"/>
      <c r="P51" s="215"/>
      <c r="R51" s="702"/>
      <c r="S51" s="212"/>
      <c r="U51" s="212"/>
      <c r="V51" s="212"/>
    </row>
    <row r="52" spans="1:22" x14ac:dyDescent="0.35">
      <c r="B52" s="703" t="s">
        <v>766</v>
      </c>
      <c r="C52" s="697" t="s">
        <v>812</v>
      </c>
      <c r="D52" s="703" t="s">
        <v>813</v>
      </c>
      <c r="E52" s="703"/>
      <c r="F52" s="703" t="s">
        <v>798</v>
      </c>
      <c r="G52" s="993" t="s">
        <v>738</v>
      </c>
      <c r="H52" s="993" t="s">
        <v>900</v>
      </c>
      <c r="I52" s="990">
        <v>7845</v>
      </c>
      <c r="J52" s="988"/>
      <c r="K52" s="990" t="s">
        <v>835</v>
      </c>
      <c r="L52" s="623"/>
      <c r="M52" s="212"/>
      <c r="N52" s="666"/>
      <c r="O52" s="209"/>
      <c r="P52" s="215"/>
      <c r="R52" s="702"/>
      <c r="S52" s="212"/>
      <c r="U52" s="212"/>
      <c r="V52" s="212"/>
    </row>
    <row r="53" spans="1:22" s="702" customFormat="1" x14ac:dyDescent="0.35">
      <c r="B53" s="703" t="s">
        <v>1038</v>
      </c>
      <c r="C53" s="697" t="s">
        <v>1040</v>
      </c>
      <c r="D53" s="703"/>
      <c r="E53" s="703"/>
      <c r="F53" s="703" t="s">
        <v>809</v>
      </c>
      <c r="G53" s="993" t="s">
        <v>929</v>
      </c>
      <c r="H53" s="993" t="s">
        <v>1039</v>
      </c>
      <c r="I53" s="990"/>
      <c r="J53" s="988"/>
      <c r="K53" s="990" t="s">
        <v>835</v>
      </c>
      <c r="O53" s="209"/>
      <c r="Q53" s="707"/>
    </row>
    <row r="54" spans="1:22" s="702" customFormat="1" x14ac:dyDescent="0.35">
      <c r="B54" s="703" t="s">
        <v>1087</v>
      </c>
      <c r="C54" s="697"/>
      <c r="D54" s="703"/>
      <c r="E54" s="703"/>
      <c r="F54" s="703" t="s">
        <v>809</v>
      </c>
      <c r="G54" s="993" t="s">
        <v>929</v>
      </c>
      <c r="H54" s="993" t="s">
        <v>1089</v>
      </c>
      <c r="I54" s="990"/>
      <c r="J54" s="988"/>
      <c r="K54" s="990" t="s">
        <v>1083</v>
      </c>
      <c r="O54" s="209"/>
      <c r="Q54" s="707"/>
    </row>
    <row r="55" spans="1:22" s="702" customFormat="1" x14ac:dyDescent="0.35">
      <c r="B55" s="703" t="s">
        <v>1088</v>
      </c>
      <c r="C55" s="697"/>
      <c r="D55" s="703"/>
      <c r="E55" s="703"/>
      <c r="F55" s="703" t="s">
        <v>809</v>
      </c>
      <c r="G55" s="993" t="s">
        <v>1093</v>
      </c>
      <c r="H55" s="1114" t="s">
        <v>1090</v>
      </c>
      <c r="I55" s="990" t="s">
        <v>1091</v>
      </c>
      <c r="J55" s="988"/>
      <c r="K55" s="990" t="s">
        <v>1083</v>
      </c>
      <c r="O55" s="209"/>
      <c r="Q55" s="707"/>
    </row>
    <row r="56" spans="1:22" x14ac:dyDescent="0.35">
      <c r="G56" s="212"/>
      <c r="H56" s="591"/>
      <c r="O56" s="666"/>
      <c r="U56" s="212"/>
      <c r="V56" s="212"/>
    </row>
    <row r="57" spans="1:22" x14ac:dyDescent="0.35">
      <c r="G57" s="212"/>
      <c r="O57" s="234"/>
      <c r="S57" s="234"/>
      <c r="U57" s="212"/>
      <c r="V57" s="212"/>
    </row>
    <row r="58" spans="1:22" x14ac:dyDescent="0.35">
      <c r="G58" s="212"/>
      <c r="U58" s="212"/>
      <c r="V58" s="212"/>
    </row>
    <row r="59" spans="1:22" x14ac:dyDescent="0.35">
      <c r="G59" s="212"/>
      <c r="U59" s="212"/>
      <c r="V59" s="212"/>
    </row>
    <row r="60" spans="1:22" x14ac:dyDescent="0.35">
      <c r="G60" s="212"/>
      <c r="S60" s="234"/>
      <c r="U60" s="212"/>
      <c r="V60" s="212"/>
    </row>
    <row r="61" spans="1:22" x14ac:dyDescent="0.35">
      <c r="G61" s="212"/>
      <c r="S61" s="702"/>
      <c r="U61" s="212"/>
      <c r="V61" s="212"/>
    </row>
    <row r="62" spans="1:22" x14ac:dyDescent="0.35">
      <c r="O62" s="234"/>
      <c r="R62" s="666"/>
      <c r="S62" s="702"/>
      <c r="T62" s="666"/>
      <c r="U62" s="212"/>
      <c r="V62" s="212"/>
    </row>
    <row r="63" spans="1:22" s="666" customFormat="1" x14ac:dyDescent="0.35">
      <c r="A63" s="625"/>
      <c r="B63" s="212"/>
      <c r="C63" s="212"/>
      <c r="D63" s="215"/>
      <c r="E63" s="702"/>
      <c r="F63" s="217"/>
      <c r="G63" s="215"/>
      <c r="H63" s="217"/>
      <c r="I63" s="623"/>
      <c r="J63" s="623"/>
      <c r="K63" s="707"/>
      <c r="L63" s="707"/>
      <c r="M63" s="623"/>
      <c r="N63" s="212"/>
      <c r="O63" s="212"/>
      <c r="P63" s="209"/>
      <c r="Q63" s="707"/>
      <c r="S63" s="702"/>
    </row>
    <row r="64" spans="1:22" s="666" customFormat="1" x14ac:dyDescent="0.35">
      <c r="A64" s="625"/>
      <c r="B64" s="212"/>
      <c r="C64" s="212"/>
      <c r="D64" s="215"/>
      <c r="E64" s="702"/>
      <c r="F64" s="217"/>
      <c r="G64" s="215"/>
      <c r="H64" s="217"/>
      <c r="I64" s="623"/>
      <c r="J64" s="623"/>
      <c r="K64" s="707"/>
      <c r="L64" s="707"/>
      <c r="M64" s="623"/>
      <c r="N64" s="212"/>
      <c r="O64" s="212"/>
      <c r="P64" s="209"/>
      <c r="Q64" s="707"/>
      <c r="R64" s="215"/>
      <c r="T64" s="212"/>
    </row>
    <row r="65" spans="1:22" x14ac:dyDescent="0.35">
      <c r="U65" s="212"/>
      <c r="V65" s="212"/>
    </row>
    <row r="66" spans="1:22" x14ac:dyDescent="0.35">
      <c r="S66" s="234"/>
      <c r="U66" s="212"/>
      <c r="V66" s="212"/>
    </row>
    <row r="67" spans="1:22" x14ac:dyDescent="0.35">
      <c r="R67" s="666"/>
      <c r="S67" s="212"/>
      <c r="T67" s="666"/>
      <c r="U67" s="212"/>
      <c r="V67" s="212"/>
    </row>
    <row r="68" spans="1:22" s="666" customFormat="1" x14ac:dyDescent="0.35">
      <c r="A68" s="625"/>
      <c r="B68" s="212"/>
      <c r="C68" s="212"/>
      <c r="D68" s="215"/>
      <c r="E68" s="702"/>
      <c r="F68" s="217"/>
      <c r="G68" s="215"/>
      <c r="H68" s="217"/>
      <c r="I68" s="623"/>
      <c r="J68" s="623"/>
      <c r="K68" s="707"/>
      <c r="L68" s="707"/>
      <c r="M68" s="623"/>
      <c r="N68" s="212"/>
      <c r="O68" s="212"/>
      <c r="P68" s="209"/>
      <c r="Q68" s="707"/>
      <c r="S68" s="212"/>
    </row>
    <row r="69" spans="1:22" s="666" customFormat="1" x14ac:dyDescent="0.35">
      <c r="A69" s="625"/>
      <c r="B69" s="212"/>
      <c r="C69" s="212"/>
      <c r="D69" s="215"/>
      <c r="E69" s="702"/>
      <c r="F69" s="217"/>
      <c r="G69" s="215"/>
      <c r="H69" s="217"/>
      <c r="I69" s="623"/>
      <c r="J69" s="623"/>
      <c r="K69" s="707"/>
      <c r="L69" s="707"/>
      <c r="M69" s="623"/>
      <c r="N69" s="212"/>
      <c r="O69" s="212"/>
      <c r="P69" s="209"/>
      <c r="Q69" s="707"/>
      <c r="R69" s="215"/>
      <c r="S69" s="212"/>
      <c r="T69" s="212"/>
    </row>
    <row r="70" spans="1:22" x14ac:dyDescent="0.35">
      <c r="S70" s="212"/>
      <c r="U70" s="212"/>
      <c r="V70" s="212"/>
    </row>
    <row r="71" spans="1:22" x14ac:dyDescent="0.35">
      <c r="O71" s="666"/>
      <c r="S71" s="212"/>
      <c r="U71" s="212"/>
      <c r="V71" s="212"/>
    </row>
    <row r="72" spans="1:22" x14ac:dyDescent="0.35">
      <c r="S72" s="234"/>
      <c r="U72" s="212"/>
      <c r="V72" s="212"/>
    </row>
    <row r="73" spans="1:22" x14ac:dyDescent="0.35">
      <c r="S73" s="212"/>
      <c r="U73" s="212"/>
      <c r="V73" s="212"/>
    </row>
    <row r="74" spans="1:22" x14ac:dyDescent="0.35">
      <c r="S74" s="212"/>
      <c r="U74" s="212"/>
      <c r="V74" s="212"/>
    </row>
    <row r="75" spans="1:22" x14ac:dyDescent="0.35">
      <c r="O75" s="666"/>
      <c r="S75" s="234"/>
      <c r="U75" s="212"/>
      <c r="V75" s="212"/>
    </row>
    <row r="76" spans="1:22" x14ac:dyDescent="0.35">
      <c r="O76" s="666"/>
      <c r="S76" s="234"/>
      <c r="U76" s="212"/>
      <c r="V76" s="212"/>
    </row>
    <row r="77" spans="1:22" x14ac:dyDescent="0.35">
      <c r="N77" s="211"/>
      <c r="S77" s="234"/>
      <c r="U77" s="212"/>
      <c r="V77" s="212"/>
    </row>
    <row r="78" spans="1:22" x14ac:dyDescent="0.35">
      <c r="N78" s="211"/>
      <c r="S78" s="212"/>
      <c r="U78" s="212"/>
      <c r="V78" s="212"/>
    </row>
    <row r="79" spans="1:22" x14ac:dyDescent="0.35">
      <c r="N79" s="213"/>
      <c r="S79" s="212"/>
      <c r="U79" s="212"/>
      <c r="V79" s="212"/>
    </row>
    <row r="80" spans="1:22" x14ac:dyDescent="0.35">
      <c r="N80" s="213"/>
      <c r="S80" s="234"/>
      <c r="U80" s="212"/>
      <c r="V80" s="212"/>
    </row>
    <row r="81" spans="14:22" x14ac:dyDescent="0.35">
      <c r="N81" s="213"/>
      <c r="S81" s="212"/>
      <c r="U81" s="212"/>
      <c r="V81" s="212"/>
    </row>
    <row r="82" spans="14:22" x14ac:dyDescent="0.35">
      <c r="N82" s="213"/>
      <c r="S82" s="234"/>
      <c r="U82" s="212"/>
      <c r="V82" s="212"/>
    </row>
    <row r="83" spans="14:22" x14ac:dyDescent="0.35">
      <c r="N83" s="213"/>
      <c r="S83" s="212"/>
      <c r="U83" s="212"/>
      <c r="V83" s="212"/>
    </row>
    <row r="84" spans="14:22" x14ac:dyDescent="0.35">
      <c r="N84" s="213"/>
      <c r="S84" s="212"/>
      <c r="U84" s="212"/>
      <c r="V84" s="212"/>
    </row>
    <row r="85" spans="14:22" x14ac:dyDescent="0.35">
      <c r="S85" s="234"/>
      <c r="U85" s="212"/>
      <c r="V85" s="212"/>
    </row>
    <row r="86" spans="14:22" x14ac:dyDescent="0.35">
      <c r="S86" s="212"/>
      <c r="U86" s="212"/>
      <c r="V86" s="212"/>
    </row>
    <row r="87" spans="14:22" x14ac:dyDescent="0.35">
      <c r="S87" s="212"/>
      <c r="U87" s="212"/>
      <c r="V87" s="212"/>
    </row>
    <row r="88" spans="14:22" x14ac:dyDescent="0.35">
      <c r="O88" s="666"/>
      <c r="S88" s="212"/>
      <c r="U88" s="212"/>
      <c r="V88" s="212"/>
    </row>
    <row r="89" spans="14:22" x14ac:dyDescent="0.35">
      <c r="S89" s="212"/>
      <c r="U89" s="212"/>
      <c r="V89" s="212"/>
    </row>
    <row r="90" spans="14:22" x14ac:dyDescent="0.35">
      <c r="S90" s="212"/>
      <c r="U90" s="212"/>
      <c r="V90" s="212"/>
    </row>
    <row r="91" spans="14:22" x14ac:dyDescent="0.35">
      <c r="S91" s="212"/>
      <c r="U91" s="212"/>
      <c r="V91" s="212"/>
    </row>
    <row r="92" spans="14:22" x14ac:dyDescent="0.35">
      <c r="S92" s="212"/>
      <c r="U92" s="212"/>
      <c r="V92" s="212"/>
    </row>
    <row r="93" spans="14:22" x14ac:dyDescent="0.35">
      <c r="S93" s="212"/>
      <c r="U93" s="212"/>
      <c r="V93" s="212"/>
    </row>
    <row r="94" spans="14:22" x14ac:dyDescent="0.35">
      <c r="S94" s="212"/>
      <c r="U94" s="212"/>
      <c r="V94" s="212"/>
    </row>
    <row r="95" spans="14:22" x14ac:dyDescent="0.35">
      <c r="O95" s="215"/>
      <c r="S95" s="666"/>
      <c r="U95" s="212"/>
      <c r="V95" s="212"/>
    </row>
    <row r="96" spans="14:22" x14ac:dyDescent="0.35">
      <c r="O96" s="215"/>
      <c r="S96" s="212"/>
      <c r="U96" s="212"/>
      <c r="V96" s="212"/>
    </row>
    <row r="97" spans="15:22" x14ac:dyDescent="0.35">
      <c r="O97" s="215"/>
      <c r="S97" s="212"/>
      <c r="U97" s="212"/>
      <c r="V97" s="212"/>
    </row>
    <row r="98" spans="15:22" x14ac:dyDescent="0.35">
      <c r="O98" s="215"/>
      <c r="S98" s="212"/>
      <c r="U98" s="212"/>
      <c r="V98" s="212"/>
    </row>
    <row r="99" spans="15:22" x14ac:dyDescent="0.35">
      <c r="O99" s="215"/>
      <c r="R99" s="666"/>
      <c r="S99" s="666"/>
      <c r="U99" s="212"/>
      <c r="V99" s="212"/>
    </row>
    <row r="100" spans="15:22" x14ac:dyDescent="0.35">
      <c r="O100" s="215"/>
      <c r="S100" s="666"/>
      <c r="U100" s="212"/>
      <c r="V100" s="212"/>
    </row>
    <row r="101" spans="15:22" x14ac:dyDescent="0.35">
      <c r="O101" s="215"/>
      <c r="S101" s="212"/>
      <c r="U101" s="212"/>
      <c r="V101" s="212"/>
    </row>
    <row r="102" spans="15:22" x14ac:dyDescent="0.35">
      <c r="O102" s="215"/>
      <c r="S102" s="212"/>
      <c r="U102" s="212"/>
      <c r="V102" s="212"/>
    </row>
    <row r="103" spans="15:22" x14ac:dyDescent="0.35">
      <c r="O103" s="215"/>
      <c r="S103" s="212"/>
    </row>
    <row r="104" spans="15:22" x14ac:dyDescent="0.35">
      <c r="O104" s="215"/>
      <c r="S104" s="212"/>
    </row>
    <row r="105" spans="15:22" x14ac:dyDescent="0.35">
      <c r="O105" s="215"/>
      <c r="S105" s="212"/>
    </row>
    <row r="106" spans="15:22" x14ac:dyDescent="0.35">
      <c r="O106" s="215"/>
      <c r="S106" s="212"/>
    </row>
    <row r="107" spans="15:22" x14ac:dyDescent="0.35">
      <c r="O107" s="215"/>
      <c r="S107" s="212"/>
    </row>
    <row r="108" spans="15:22" x14ac:dyDescent="0.35">
      <c r="O108" s="215"/>
      <c r="S108" s="212"/>
    </row>
    <row r="109" spans="15:22" x14ac:dyDescent="0.35">
      <c r="O109" s="215"/>
      <c r="S109" s="212"/>
    </row>
    <row r="110" spans="15:22" x14ac:dyDescent="0.35">
      <c r="O110" s="215"/>
      <c r="S110" s="212"/>
    </row>
    <row r="111" spans="15:22" x14ac:dyDescent="0.35">
      <c r="S111" s="212"/>
    </row>
    <row r="112" spans="15:22" x14ac:dyDescent="0.35">
      <c r="S112" s="666"/>
    </row>
    <row r="113" spans="18:19" x14ac:dyDescent="0.35">
      <c r="S113" s="212"/>
    </row>
    <row r="114" spans="18:19" x14ac:dyDescent="0.35">
      <c r="S114" s="212"/>
    </row>
    <row r="115" spans="18:19" x14ac:dyDescent="0.35">
      <c r="S115" s="212"/>
    </row>
    <row r="116" spans="18:19" x14ac:dyDescent="0.35">
      <c r="S116" s="212"/>
    </row>
    <row r="117" spans="18:19" x14ac:dyDescent="0.35">
      <c r="S117" s="212"/>
    </row>
    <row r="118" spans="18:19" x14ac:dyDescent="0.35">
      <c r="S118" s="212"/>
    </row>
    <row r="119" spans="18:19" x14ac:dyDescent="0.35">
      <c r="S119" s="212"/>
    </row>
    <row r="120" spans="18:19" x14ac:dyDescent="0.35">
      <c r="S120" s="212"/>
    </row>
    <row r="121" spans="18:19" x14ac:dyDescent="0.35">
      <c r="S121" s="212"/>
    </row>
    <row r="122" spans="18:19" x14ac:dyDescent="0.35">
      <c r="S122" s="212"/>
    </row>
    <row r="123" spans="18:19" x14ac:dyDescent="0.35">
      <c r="S123" s="212"/>
    </row>
    <row r="124" spans="18:19" x14ac:dyDescent="0.35">
      <c r="R124" s="212"/>
      <c r="S124" s="212"/>
    </row>
  </sheetData>
  <sortState xmlns:xlrd2="http://schemas.microsoft.com/office/spreadsheetml/2017/richdata2" ref="S14:X28">
    <sortCondition ref="U14:U28"/>
  </sortState>
  <conditionalFormatting sqref="C3:C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{71F84506-0890-405C-861B-660591FCC2EB}</x14:id>
        </ext>
      </extLst>
    </cfRule>
  </conditionalFormatting>
  <conditionalFormatting sqref="C8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{6374F720-8781-404D-92D6-0C92DA9AE066}</x14:id>
        </ext>
      </extLst>
    </cfRule>
  </conditionalFormatting>
  <conditionalFormatting sqref="F8:F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{97D3943C-7494-4F68-ABB0-F036649814CB}</x14:id>
        </ext>
      </extLst>
    </cfRule>
  </conditionalFormatting>
  <hyperlinks>
    <hyperlink ref="H34" r:id="rId1" xr:uid="{00000000-0004-0000-0400-000000000000}"/>
    <hyperlink ref="H55" r:id="rId2" xr:uid="{00000000-0004-0000-0400-000001000000}"/>
  </hyperlinks>
  <pageMargins left="0.7" right="0.7" top="0.75" bottom="0.75" header="0.3" footer="0.3"/>
  <pageSetup paperSize="9" orientation="portrait" horizontalDpi="300" verticalDpi="300" r:id="rId3"/>
  <ignoredErrors>
    <ignoredError sqref="I16" formulaRange="1"/>
  </ignoredErrors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84506-0890-405C-861B-660591FCC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6374F720-8781-404D-92D6-0C92DA9AE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C8:C14</xm:sqref>
        </x14:conditionalFormatting>
        <x14:conditionalFormatting xmlns:xm="http://schemas.microsoft.com/office/excel/2006/main">
          <x14:cfRule type="dataBar" id="{97D3943C-7494-4F68-ABB0-F03664981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76"/>
      <c r="C1" s="1177"/>
      <c r="D1" s="709" t="s">
        <v>0</v>
      </c>
      <c r="E1" s="717">
        <f>COUNTA(B5:B54)</f>
        <v>27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35">
      <c r="A2" s="183"/>
      <c r="B2" s="198"/>
      <c r="C2" s="232"/>
      <c r="D2" s="712"/>
      <c r="E2" s="718"/>
      <c r="F2" s="722" t="s">
        <v>732</v>
      </c>
      <c r="G2" s="729">
        <f>+resume!C17</f>
        <v>1542144.38</v>
      </c>
      <c r="H2" s="200"/>
      <c r="I2" s="736"/>
      <c r="J2" s="753"/>
      <c r="K2" s="669"/>
      <c r="L2" s="42"/>
    </row>
    <row r="3" spans="1:12" s="3" customFormat="1" x14ac:dyDescent="0.3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35">
      <c r="A4" s="937" t="s">
        <v>11</v>
      </c>
      <c r="B4" s="938"/>
      <c r="C4" s="937" t="s">
        <v>12</v>
      </c>
      <c r="D4" s="939">
        <v>0</v>
      </c>
      <c r="E4" s="939"/>
      <c r="F4" s="940"/>
      <c r="G4" s="730"/>
    </row>
    <row r="5" spans="1:12" x14ac:dyDescent="0.35">
      <c r="A5" s="937"/>
      <c r="B5" s="938">
        <v>44564</v>
      </c>
      <c r="C5" s="937" t="s">
        <v>884</v>
      </c>
      <c r="D5" s="939">
        <v>89640</v>
      </c>
      <c r="E5" s="939"/>
      <c r="F5" s="940"/>
      <c r="G5" s="731"/>
      <c r="H5" s="11"/>
      <c r="I5" s="740"/>
    </row>
    <row r="6" spans="1:12" x14ac:dyDescent="0.35">
      <c r="A6" s="937"/>
      <c r="B6" s="938"/>
      <c r="C6" s="937" t="s">
        <v>867</v>
      </c>
      <c r="D6" s="939"/>
      <c r="E6" s="939">
        <f>+D5-E7</f>
        <v>54640</v>
      </c>
      <c r="F6" s="940"/>
      <c r="G6" s="731"/>
      <c r="H6" s="11"/>
      <c r="I6" s="740"/>
    </row>
    <row r="7" spans="1:12" x14ac:dyDescent="0.35">
      <c r="A7" s="937"/>
      <c r="B7" s="938">
        <v>44564</v>
      </c>
      <c r="C7" s="937" t="s">
        <v>923</v>
      </c>
      <c r="D7" s="939"/>
      <c r="E7" s="939">
        <v>35000</v>
      </c>
      <c r="F7" s="940"/>
      <c r="G7" s="731"/>
      <c r="H7" s="11"/>
      <c r="I7" s="740"/>
      <c r="K7" s="252"/>
    </row>
    <row r="8" spans="1:12" x14ac:dyDescent="0.35">
      <c r="A8" s="937"/>
      <c r="B8" s="938"/>
      <c r="C8" s="937"/>
      <c r="D8" s="939"/>
      <c r="E8" s="939"/>
      <c r="F8" s="940">
        <f>SUM(D4:D8)-SUM(E4:E8)</f>
        <v>0</v>
      </c>
      <c r="G8" s="732">
        <f>+G2</f>
        <v>1542144.38</v>
      </c>
      <c r="H8" s="473"/>
      <c r="I8" s="740"/>
      <c r="K8" s="252"/>
    </row>
    <row r="9" spans="1:12" x14ac:dyDescent="0.35">
      <c r="A9" s="937" t="s">
        <v>16</v>
      </c>
      <c r="B9" s="938">
        <v>44593</v>
      </c>
      <c r="C9" s="937" t="s">
        <v>884</v>
      </c>
      <c r="D9" s="939">
        <f>+D5</f>
        <v>89640</v>
      </c>
      <c r="E9" s="939"/>
      <c r="F9" s="940"/>
      <c r="G9" s="732"/>
      <c r="H9" s="11"/>
      <c r="I9" s="740"/>
      <c r="K9" s="252"/>
    </row>
    <row r="10" spans="1:12" x14ac:dyDescent="0.35">
      <c r="A10" s="937"/>
      <c r="B10" s="938"/>
      <c r="C10" s="937" t="s">
        <v>867</v>
      </c>
      <c r="D10" s="939"/>
      <c r="E10" s="939">
        <f>+D9-E11</f>
        <v>54640</v>
      </c>
      <c r="F10" s="940"/>
      <c r="G10" s="731"/>
      <c r="H10" s="11"/>
      <c r="I10" s="740"/>
    </row>
    <row r="11" spans="1:12" x14ac:dyDescent="0.35">
      <c r="A11" s="937"/>
      <c r="B11" s="938">
        <v>44593</v>
      </c>
      <c r="C11" s="937" t="s">
        <v>923</v>
      </c>
      <c r="D11" s="939"/>
      <c r="E11" s="939">
        <v>35000</v>
      </c>
      <c r="F11" s="940"/>
      <c r="G11" s="732"/>
      <c r="H11" s="11"/>
      <c r="I11" s="740"/>
      <c r="K11" s="252"/>
    </row>
    <row r="12" spans="1:12" x14ac:dyDescent="0.35">
      <c r="A12" s="937"/>
      <c r="B12" s="938"/>
      <c r="C12" s="937"/>
      <c r="D12" s="939"/>
      <c r="E12" s="939"/>
      <c r="F12" s="940">
        <f>SUM(D9:D12)-SUM(E9:E12)</f>
        <v>0</v>
      </c>
      <c r="G12" s="732">
        <f>+G2</f>
        <v>1542144.38</v>
      </c>
      <c r="H12" s="473"/>
      <c r="I12" s="740"/>
      <c r="K12" s="670"/>
    </row>
    <row r="13" spans="1:12" x14ac:dyDescent="0.35">
      <c r="A13" s="937" t="s">
        <v>17</v>
      </c>
      <c r="B13" s="938">
        <v>44621</v>
      </c>
      <c r="C13" s="937" t="s">
        <v>884</v>
      </c>
      <c r="D13" s="939">
        <f>+D9</f>
        <v>89640</v>
      </c>
      <c r="E13" s="939"/>
      <c r="F13" s="940"/>
      <c r="G13" s="732"/>
      <c r="H13" s="613"/>
      <c r="I13" s="740"/>
    </row>
    <row r="14" spans="1:12" x14ac:dyDescent="0.35">
      <c r="A14" s="937"/>
      <c r="B14" s="938"/>
      <c r="C14" s="937" t="s">
        <v>867</v>
      </c>
      <c r="D14" s="939"/>
      <c r="E14" s="939">
        <f>+D13-E15</f>
        <v>54640</v>
      </c>
      <c r="F14" s="940"/>
      <c r="G14" s="731"/>
      <c r="H14" s="11"/>
      <c r="I14" s="740"/>
    </row>
    <row r="15" spans="1:12" x14ac:dyDescent="0.35">
      <c r="A15" s="937"/>
      <c r="B15" s="938">
        <v>44621</v>
      </c>
      <c r="C15" s="937" t="s">
        <v>923</v>
      </c>
      <c r="D15" s="939"/>
      <c r="E15" s="939">
        <v>35000</v>
      </c>
      <c r="F15" s="940"/>
      <c r="G15" s="732"/>
      <c r="H15" s="613"/>
      <c r="I15" s="740"/>
    </row>
    <row r="16" spans="1:12" x14ac:dyDescent="0.35">
      <c r="A16" s="937"/>
      <c r="B16" s="938"/>
      <c r="C16" s="937"/>
      <c r="D16" s="939"/>
      <c r="E16" s="939"/>
      <c r="F16" s="940">
        <f>SUM(D13:D16)-SUM(E13:E16)</f>
        <v>0</v>
      </c>
      <c r="G16" s="732">
        <f>+G2</f>
        <v>1542144.38</v>
      </c>
      <c r="H16" s="473"/>
      <c r="I16" s="740"/>
    </row>
    <row r="17" spans="1:16" x14ac:dyDescent="0.35">
      <c r="A17" s="937" t="s">
        <v>18</v>
      </c>
      <c r="B17" s="938">
        <v>44652</v>
      </c>
      <c r="C17" s="937" t="s">
        <v>884</v>
      </c>
      <c r="D17" s="939">
        <f>+D13</f>
        <v>89640</v>
      </c>
      <c r="E17" s="939"/>
      <c r="F17" s="940"/>
      <c r="G17" s="732"/>
      <c r="H17" s="473"/>
      <c r="I17" s="740"/>
    </row>
    <row r="18" spans="1:16" x14ac:dyDescent="0.35">
      <c r="A18" s="937"/>
      <c r="B18" s="938"/>
      <c r="C18" s="937" t="s">
        <v>867</v>
      </c>
      <c r="D18" s="939"/>
      <c r="E18" s="939">
        <f>+D17-E19</f>
        <v>54640</v>
      </c>
      <c r="F18" s="940"/>
      <c r="G18" s="731"/>
      <c r="H18" s="11"/>
      <c r="I18" s="740"/>
    </row>
    <row r="19" spans="1:16" x14ac:dyDescent="0.35">
      <c r="A19" s="937"/>
      <c r="B19" s="938">
        <v>44652</v>
      </c>
      <c r="C19" s="937" t="s">
        <v>923</v>
      </c>
      <c r="D19" s="939"/>
      <c r="E19" s="939">
        <v>35000</v>
      </c>
      <c r="F19" s="940"/>
      <c r="G19" s="732"/>
      <c r="H19" s="473"/>
      <c r="I19" s="903"/>
    </row>
    <row r="20" spans="1:16" x14ac:dyDescent="0.35">
      <c r="A20" s="937"/>
      <c r="B20" s="938"/>
      <c r="C20" s="937"/>
      <c r="D20" s="939"/>
      <c r="E20" s="939"/>
      <c r="F20" s="940">
        <f>SUM(D17:D20)-SUM(E17:E20)</f>
        <v>0</v>
      </c>
      <c r="G20" s="732">
        <f>+G2</f>
        <v>1542144.38</v>
      </c>
      <c r="H20" s="11"/>
      <c r="I20" s="903"/>
      <c r="N20" s="77"/>
      <c r="O20" s="77"/>
      <c r="P20" s="77"/>
    </row>
    <row r="21" spans="1:16" x14ac:dyDescent="0.35">
      <c r="A21" s="937" t="s">
        <v>20</v>
      </c>
      <c r="B21" s="938">
        <v>44682</v>
      </c>
      <c r="C21" s="937" t="s">
        <v>884</v>
      </c>
      <c r="D21" s="939">
        <f>+D17</f>
        <v>89640</v>
      </c>
      <c r="E21" s="939"/>
      <c r="F21" s="940"/>
      <c r="G21" s="732"/>
      <c r="H21" s="473"/>
      <c r="I21" s="903"/>
      <c r="N21" s="77"/>
      <c r="O21" s="77"/>
      <c r="P21" s="77"/>
    </row>
    <row r="22" spans="1:16" x14ac:dyDescent="0.35">
      <c r="A22" s="937"/>
      <c r="B22" s="938"/>
      <c r="C22" s="937" t="s">
        <v>867</v>
      </c>
      <c r="D22" s="939"/>
      <c r="E22" s="939">
        <f>+D21-E23</f>
        <v>54640</v>
      </c>
      <c r="F22" s="940"/>
      <c r="G22" s="732"/>
      <c r="H22" s="473"/>
      <c r="I22" s="740"/>
      <c r="N22" s="77"/>
      <c r="O22" s="77"/>
      <c r="P22" s="77"/>
    </row>
    <row r="23" spans="1:16" x14ac:dyDescent="0.35">
      <c r="A23" s="937"/>
      <c r="B23" s="938">
        <v>44682</v>
      </c>
      <c r="C23" s="937" t="s">
        <v>923</v>
      </c>
      <c r="D23" s="939"/>
      <c r="E23" s="939">
        <v>35000</v>
      </c>
      <c r="F23" s="940"/>
      <c r="G23" s="732"/>
      <c r="H23" s="76"/>
      <c r="I23" s="740"/>
      <c r="N23" s="77"/>
      <c r="O23" s="77"/>
      <c r="P23" s="77"/>
    </row>
    <row r="24" spans="1:16" x14ac:dyDescent="0.35">
      <c r="A24" s="937"/>
      <c r="B24" s="938"/>
      <c r="C24" s="937"/>
      <c r="D24" s="939"/>
      <c r="E24" s="939"/>
      <c r="F24" s="940">
        <f>SUM(D21:D24)-SUM(E21:E24)</f>
        <v>0</v>
      </c>
      <c r="G24" s="732">
        <f>+G2</f>
        <v>1542144.38</v>
      </c>
      <c r="H24" s="76"/>
      <c r="I24" s="740"/>
    </row>
    <row r="25" spans="1:16" x14ac:dyDescent="0.35">
      <c r="A25" s="937" t="s">
        <v>21</v>
      </c>
      <c r="B25" s="938">
        <v>44713</v>
      </c>
      <c r="C25" s="937" t="s">
        <v>884</v>
      </c>
      <c r="D25" s="939">
        <f>+D21</f>
        <v>89640</v>
      </c>
      <c r="E25" s="939"/>
      <c r="F25" s="940"/>
      <c r="G25" s="732"/>
      <c r="H25" s="473"/>
      <c r="I25" s="740"/>
    </row>
    <row r="26" spans="1:16" x14ac:dyDescent="0.35">
      <c r="A26" s="937"/>
      <c r="B26" s="938">
        <v>44713</v>
      </c>
      <c r="C26" s="937" t="s">
        <v>962</v>
      </c>
      <c r="D26" s="939">
        <f>+D25/2</f>
        <v>44820</v>
      </c>
      <c r="E26" s="939"/>
      <c r="F26" s="940"/>
      <c r="G26" s="732"/>
      <c r="H26" s="473"/>
      <c r="I26" s="740"/>
    </row>
    <row r="27" spans="1:16" x14ac:dyDescent="0.35">
      <c r="A27" s="937"/>
      <c r="B27" s="938"/>
      <c r="C27" s="937" t="s">
        <v>867</v>
      </c>
      <c r="D27" s="939"/>
      <c r="E27" s="939">
        <f>+D26+D25-E28</f>
        <v>99460</v>
      </c>
      <c r="F27" s="940"/>
      <c r="G27" s="732"/>
      <c r="H27" s="473"/>
      <c r="I27" s="740"/>
    </row>
    <row r="28" spans="1:16" x14ac:dyDescent="0.35">
      <c r="A28" s="937"/>
      <c r="B28" s="938">
        <v>44713</v>
      </c>
      <c r="C28" s="937" t="s">
        <v>923</v>
      </c>
      <c r="D28" s="939"/>
      <c r="E28" s="939">
        <v>35000</v>
      </c>
      <c r="F28" s="940"/>
      <c r="G28" s="732"/>
      <c r="H28" s="473"/>
      <c r="I28" s="740"/>
      <c r="J28" s="740"/>
      <c r="L28" s="700"/>
    </row>
    <row r="29" spans="1:16" x14ac:dyDescent="0.35">
      <c r="A29" s="937"/>
      <c r="B29" s="938"/>
      <c r="C29" s="937"/>
      <c r="D29" s="939"/>
      <c r="E29" s="939"/>
      <c r="F29" s="940">
        <f>SUM(D25:D29)-SUM(E25:E29)</f>
        <v>0</v>
      </c>
      <c r="G29" s="732">
        <f>+G2</f>
        <v>1542144.38</v>
      </c>
      <c r="H29" s="11"/>
      <c r="I29" s="741"/>
      <c r="J29" s="741"/>
      <c r="K29" s="671"/>
      <c r="L29" s="632"/>
      <c r="M29" s="632"/>
    </row>
    <row r="30" spans="1:16" x14ac:dyDescent="0.35">
      <c r="A30" s="937" t="s">
        <v>22</v>
      </c>
      <c r="B30" s="938">
        <v>44743</v>
      </c>
      <c r="C30" s="937" t="s">
        <v>884</v>
      </c>
      <c r="D30" s="939">
        <f>+D25</f>
        <v>89640</v>
      </c>
      <c r="E30" s="939"/>
      <c r="F30" s="940"/>
      <c r="G30" s="732"/>
      <c r="H30" s="473"/>
      <c r="I30" s="741"/>
      <c r="J30" s="741"/>
      <c r="K30" s="671"/>
      <c r="L30" s="632"/>
      <c r="M30" s="632"/>
    </row>
    <row r="31" spans="1:16" x14ac:dyDescent="0.35">
      <c r="A31" s="937"/>
      <c r="B31" s="938"/>
      <c r="C31" s="937" t="s">
        <v>867</v>
      </c>
      <c r="D31" s="939"/>
      <c r="E31" s="939">
        <f>+D30-E32</f>
        <v>54640</v>
      </c>
      <c r="F31" s="940"/>
      <c r="G31" s="732"/>
      <c r="H31" s="473"/>
      <c r="I31" s="741"/>
      <c r="J31" s="741"/>
      <c r="K31" s="671"/>
      <c r="L31" s="632"/>
      <c r="M31" s="632"/>
    </row>
    <row r="32" spans="1:16" x14ac:dyDescent="0.35">
      <c r="A32" s="937"/>
      <c r="B32" s="938">
        <v>44743</v>
      </c>
      <c r="C32" s="937" t="s">
        <v>923</v>
      </c>
      <c r="D32" s="939"/>
      <c r="E32" s="939">
        <v>35000</v>
      </c>
      <c r="F32" s="940"/>
      <c r="G32" s="732"/>
      <c r="H32" s="473"/>
      <c r="I32" s="743"/>
      <c r="J32" s="743"/>
      <c r="K32" s="671"/>
      <c r="L32" s="632"/>
      <c r="M32" s="632"/>
    </row>
    <row r="33" spans="1:14" x14ac:dyDescent="0.35">
      <c r="A33" s="937"/>
      <c r="B33" s="938"/>
      <c r="C33" s="937"/>
      <c r="D33" s="939"/>
      <c r="E33" s="939"/>
      <c r="F33" s="940">
        <f>SUM(D30:D33)-SUM(E30:E33)</f>
        <v>0</v>
      </c>
      <c r="G33" s="732">
        <f>+G2</f>
        <v>1542144.38</v>
      </c>
      <c r="H33" s="11"/>
      <c r="I33" s="741"/>
      <c r="J33" s="754"/>
      <c r="K33" s="672"/>
      <c r="L33" s="632"/>
      <c r="M33" s="632"/>
    </row>
    <row r="34" spans="1:14" x14ac:dyDescent="0.35">
      <c r="A34" s="937" t="s">
        <v>23</v>
      </c>
      <c r="B34" s="938">
        <v>44774</v>
      </c>
      <c r="C34" s="937" t="s">
        <v>884</v>
      </c>
      <c r="D34" s="939">
        <f>+D30</f>
        <v>89640</v>
      </c>
      <c r="E34" s="939"/>
      <c r="F34" s="940"/>
      <c r="G34" s="732"/>
      <c r="J34" s="725"/>
      <c r="K34" s="673"/>
      <c r="L34" s="630"/>
      <c r="M34" s="630"/>
    </row>
    <row r="35" spans="1:14" x14ac:dyDescent="0.35">
      <c r="A35" s="937"/>
      <c r="B35" s="938"/>
      <c r="C35" s="937" t="s">
        <v>867</v>
      </c>
      <c r="D35" s="939"/>
      <c r="E35" s="939">
        <f>+D34-E36</f>
        <v>54640</v>
      </c>
      <c r="F35" s="940"/>
      <c r="G35" s="732"/>
      <c r="H35" s="11"/>
      <c r="I35" s="740"/>
      <c r="J35" s="746"/>
      <c r="K35" s="674"/>
      <c r="N35" s="910"/>
    </row>
    <row r="36" spans="1:14" x14ac:dyDescent="0.35">
      <c r="A36" s="937"/>
      <c r="B36" s="938">
        <v>44774</v>
      </c>
      <c r="C36" s="937" t="s">
        <v>923</v>
      </c>
      <c r="D36" s="939"/>
      <c r="E36" s="939">
        <v>35000</v>
      </c>
      <c r="F36" s="940"/>
      <c r="G36" s="732"/>
      <c r="H36" s="11"/>
      <c r="I36" s="740"/>
      <c r="J36" s="746"/>
      <c r="K36" s="674"/>
      <c r="M36" s="740"/>
      <c r="N36" s="746"/>
    </row>
    <row r="37" spans="1:14" x14ac:dyDescent="0.35">
      <c r="A37" s="937"/>
      <c r="B37" s="938"/>
      <c r="C37" s="937"/>
      <c r="D37" s="939"/>
      <c r="E37" s="939"/>
      <c r="F37" s="940">
        <f>SUM(D34:D37)-SUM(E34:E37)</f>
        <v>0</v>
      </c>
      <c r="G37" s="732">
        <f>+G2</f>
        <v>1542144.38</v>
      </c>
      <c r="H37" s="11"/>
      <c r="I37" s="740"/>
      <c r="J37" s="746"/>
      <c r="K37" s="674"/>
      <c r="M37" s="740"/>
      <c r="N37" s="746"/>
    </row>
    <row r="38" spans="1:14" x14ac:dyDescent="0.35">
      <c r="A38" s="937" t="s">
        <v>24</v>
      </c>
      <c r="B38" s="938">
        <v>44805</v>
      </c>
      <c r="C38" s="937" t="s">
        <v>884</v>
      </c>
      <c r="D38" s="939">
        <f>+D34</f>
        <v>89640</v>
      </c>
      <c r="E38" s="939"/>
      <c r="F38" s="940"/>
      <c r="G38" s="732"/>
      <c r="H38" s="11"/>
      <c r="I38" s="740"/>
      <c r="J38" s="746"/>
      <c r="K38" s="674"/>
      <c r="M38" s="740"/>
      <c r="N38" s="746"/>
    </row>
    <row r="39" spans="1:14" x14ac:dyDescent="0.35">
      <c r="A39" s="937"/>
      <c r="B39" s="938"/>
      <c r="C39" s="937" t="s">
        <v>867</v>
      </c>
      <c r="D39" s="939"/>
      <c r="E39" s="939">
        <f>+D38-E40</f>
        <v>54640</v>
      </c>
      <c r="F39" s="940"/>
      <c r="G39" s="732"/>
      <c r="H39" s="473"/>
      <c r="I39" s="740"/>
      <c r="J39" s="746"/>
      <c r="K39" s="674"/>
    </row>
    <row r="40" spans="1:14" x14ac:dyDescent="0.35">
      <c r="A40" s="937"/>
      <c r="B40" s="938">
        <v>44805</v>
      </c>
      <c r="C40" s="937" t="s">
        <v>923</v>
      </c>
      <c r="D40" s="939"/>
      <c r="E40" s="939">
        <v>35000</v>
      </c>
      <c r="F40" s="940"/>
      <c r="G40" s="732"/>
      <c r="H40" s="473"/>
      <c r="I40" s="740"/>
      <c r="J40" s="746"/>
      <c r="K40" s="674"/>
    </row>
    <row r="41" spans="1:14" x14ac:dyDescent="0.35">
      <c r="A41" s="937"/>
      <c r="B41" s="938"/>
      <c r="C41" s="937"/>
      <c r="D41" s="939"/>
      <c r="E41" s="939"/>
      <c r="F41" s="940">
        <f>SUM(D38:D41)-SUM(E38:E41)</f>
        <v>0</v>
      </c>
      <c r="G41" s="732">
        <f>+G2</f>
        <v>1542144.38</v>
      </c>
      <c r="H41" s="11"/>
      <c r="I41" s="740"/>
      <c r="J41" s="746"/>
      <c r="K41" s="674"/>
    </row>
    <row r="42" spans="1:14" x14ac:dyDescent="0.35">
      <c r="A42" s="937" t="s">
        <v>25</v>
      </c>
      <c r="B42" s="938">
        <v>44835</v>
      </c>
      <c r="C42" s="937" t="s">
        <v>884</v>
      </c>
      <c r="D42" s="939">
        <f>+D38</f>
        <v>89640</v>
      </c>
      <c r="E42" s="939"/>
      <c r="F42" s="940"/>
      <c r="G42" s="732"/>
      <c r="K42" s="674"/>
      <c r="L42" s="700"/>
      <c r="N42" s="910"/>
    </row>
    <row r="43" spans="1:14" x14ac:dyDescent="0.35">
      <c r="A43" s="937"/>
      <c r="B43" s="938"/>
      <c r="C43" s="937" t="s">
        <v>867</v>
      </c>
      <c r="D43" s="939"/>
      <c r="E43" s="939">
        <f>+D42-E44</f>
        <v>54640</v>
      </c>
      <c r="F43" s="940"/>
      <c r="G43" s="732"/>
      <c r="K43" s="674"/>
      <c r="L43" s="700"/>
      <c r="N43" s="910"/>
    </row>
    <row r="44" spans="1:14" x14ac:dyDescent="0.35">
      <c r="A44" s="937"/>
      <c r="B44" s="938">
        <v>44835</v>
      </c>
      <c r="C44" s="937" t="s">
        <v>923</v>
      </c>
      <c r="D44" s="939"/>
      <c r="E44" s="939">
        <v>35000</v>
      </c>
      <c r="F44" s="940"/>
      <c r="G44" s="732"/>
      <c r="H44" s="11"/>
      <c r="I44" s="740"/>
      <c r="J44" s="746"/>
      <c r="K44" s="674"/>
      <c r="L44" s="700"/>
      <c r="M44" s="700"/>
    </row>
    <row r="45" spans="1:14" x14ac:dyDescent="0.35">
      <c r="A45" s="937"/>
      <c r="B45" s="938"/>
      <c r="C45" s="937"/>
      <c r="D45" s="939"/>
      <c r="E45" s="939"/>
      <c r="F45" s="940">
        <f>SUM(D42:D45)-SUM(E42:E45)</f>
        <v>0</v>
      </c>
      <c r="G45" s="732">
        <f>+G2</f>
        <v>1542144.38</v>
      </c>
      <c r="H45" s="473"/>
      <c r="I45" s="740"/>
      <c r="J45" s="746"/>
      <c r="K45" s="674"/>
      <c r="M45" s="700"/>
    </row>
    <row r="46" spans="1:14" x14ac:dyDescent="0.35">
      <c r="A46" s="937" t="s">
        <v>26</v>
      </c>
      <c r="B46" s="938">
        <v>44866</v>
      </c>
      <c r="C46" s="937" t="s">
        <v>884</v>
      </c>
      <c r="D46" s="939">
        <f>+D42</f>
        <v>89640</v>
      </c>
      <c r="E46" s="939"/>
      <c r="F46" s="940"/>
      <c r="G46" s="732"/>
      <c r="H46" s="11"/>
      <c r="I46" s="740"/>
      <c r="J46" s="746"/>
      <c r="K46" s="674"/>
      <c r="L46" s="88"/>
      <c r="M46" s="700"/>
    </row>
    <row r="47" spans="1:14" x14ac:dyDescent="0.35">
      <c r="A47" s="937"/>
      <c r="B47" s="938"/>
      <c r="C47" s="937" t="s">
        <v>867</v>
      </c>
      <c r="D47" s="939"/>
      <c r="E47" s="939">
        <f>+D46-E48</f>
        <v>54640</v>
      </c>
      <c r="F47" s="940"/>
      <c r="G47" s="732"/>
      <c r="H47" s="11"/>
      <c r="I47" s="740"/>
      <c r="J47" s="746"/>
      <c r="K47" s="674"/>
      <c r="L47" s="88"/>
      <c r="M47" s="700"/>
    </row>
    <row r="48" spans="1:14" x14ac:dyDescent="0.35">
      <c r="A48" s="937"/>
      <c r="B48" s="938">
        <v>44866</v>
      </c>
      <c r="C48" s="937" t="s">
        <v>923</v>
      </c>
      <c r="D48" s="939"/>
      <c r="E48" s="939">
        <v>35000</v>
      </c>
      <c r="F48" s="940"/>
      <c r="G48" s="732"/>
      <c r="H48" s="11"/>
      <c r="I48" s="740"/>
      <c r="M48" s="700"/>
    </row>
    <row r="49" spans="1:13" x14ac:dyDescent="0.35">
      <c r="A49" s="937"/>
      <c r="B49" s="938"/>
      <c r="C49" s="937"/>
      <c r="D49" s="939"/>
      <c r="E49" s="939"/>
      <c r="F49" s="940">
        <f>SUM(D46:D49)-SUM(E46:E49)</f>
        <v>0</v>
      </c>
      <c r="G49" s="732">
        <f>+G2</f>
        <v>1542144.38</v>
      </c>
      <c r="H49" s="473"/>
      <c r="I49" s="740"/>
      <c r="J49" s="746"/>
      <c r="K49" s="674"/>
    </row>
    <row r="50" spans="1:13" x14ac:dyDescent="0.35">
      <c r="A50" s="937" t="s">
        <v>27</v>
      </c>
      <c r="B50" s="938">
        <v>44896</v>
      </c>
      <c r="C50" s="937" t="s">
        <v>884</v>
      </c>
      <c r="D50" s="939">
        <f>+D46</f>
        <v>89640</v>
      </c>
      <c r="E50" s="939"/>
      <c r="F50" s="940"/>
      <c r="G50" s="732"/>
      <c r="H50" s="11"/>
      <c r="I50" s="740"/>
      <c r="J50" s="746"/>
      <c r="K50" s="674"/>
    </row>
    <row r="51" spans="1:13" x14ac:dyDescent="0.35">
      <c r="A51" s="937"/>
      <c r="B51" s="938">
        <v>44910</v>
      </c>
      <c r="C51" s="937" t="s">
        <v>956</v>
      </c>
      <c r="D51" s="939">
        <f>+D50/2</f>
        <v>44820</v>
      </c>
      <c r="E51" s="939"/>
      <c r="F51" s="940"/>
      <c r="G51" s="732"/>
      <c r="H51" s="11"/>
      <c r="I51" s="740"/>
    </row>
    <row r="52" spans="1:13" x14ac:dyDescent="0.35">
      <c r="A52" s="937"/>
      <c r="B52" s="938">
        <v>44896</v>
      </c>
      <c r="C52" s="937" t="s">
        <v>867</v>
      </c>
      <c r="D52" s="939"/>
      <c r="E52" s="939">
        <f>+D50+D51-E53</f>
        <v>99460</v>
      </c>
      <c r="F52" s="940"/>
      <c r="G52" s="732"/>
      <c r="H52" s="11"/>
      <c r="I52" s="740"/>
      <c r="M52" s="700"/>
    </row>
    <row r="53" spans="1:13" x14ac:dyDescent="0.35">
      <c r="A53" s="937"/>
      <c r="B53" s="938">
        <v>44896</v>
      </c>
      <c r="C53" s="937" t="s">
        <v>937</v>
      </c>
      <c r="D53" s="939"/>
      <c r="E53" s="939">
        <v>35000</v>
      </c>
      <c r="F53" s="940"/>
      <c r="G53" s="732"/>
      <c r="H53" s="11"/>
      <c r="I53" s="740"/>
      <c r="M53" s="700"/>
    </row>
    <row r="54" spans="1:13" x14ac:dyDescent="0.35">
      <c r="A54" s="937"/>
      <c r="B54" s="938"/>
      <c r="C54" s="937"/>
      <c r="D54" s="939"/>
      <c r="E54" s="939"/>
      <c r="F54" s="940">
        <f>SUM(D50:D54)-SUM(E50:E54)</f>
        <v>0</v>
      </c>
      <c r="G54" s="732">
        <f>+G2</f>
        <v>1542144.38</v>
      </c>
      <c r="H54" s="473"/>
      <c r="I54" s="707"/>
      <c r="J54" s="707"/>
      <c r="K54" s="702"/>
      <c r="L54" s="699"/>
    </row>
    <row r="55" spans="1:13" x14ac:dyDescent="0.35">
      <c r="A55" s="19"/>
      <c r="D55" s="715"/>
      <c r="E55" s="715"/>
      <c r="H55" s="473"/>
      <c r="I55" s="740"/>
    </row>
    <row r="56" spans="1:13" x14ac:dyDescent="0.35">
      <c r="A56" s="19"/>
      <c r="D56" s="715"/>
      <c r="E56" s="715"/>
    </row>
    <row r="57" spans="1:13" x14ac:dyDescent="0.35">
      <c r="A57" s="19"/>
      <c r="D57" s="715"/>
      <c r="E57" s="715"/>
    </row>
    <row r="58" spans="1:13" x14ac:dyDescent="0.35">
      <c r="A58" s="19"/>
      <c r="D58" s="715"/>
      <c r="E58" s="715"/>
    </row>
    <row r="59" spans="1:13" x14ac:dyDescent="0.35">
      <c r="A59" s="19"/>
      <c r="D59" s="715"/>
      <c r="E59" s="715"/>
      <c r="I59" s="745"/>
      <c r="J59" s="745"/>
      <c r="K59" s="675"/>
    </row>
    <row r="60" spans="1:13" x14ac:dyDescent="0.35">
      <c r="A60" s="19"/>
      <c r="D60" s="715"/>
      <c r="E60" s="715"/>
      <c r="I60" s="745"/>
      <c r="J60" s="745">
        <f>+G2</f>
        <v>1542144.38</v>
      </c>
      <c r="K60" s="675"/>
    </row>
    <row r="61" spans="1:13" x14ac:dyDescent="0.35">
      <c r="A61" s="19"/>
      <c r="D61" s="715"/>
      <c r="E61" s="715"/>
      <c r="I61" s="745" t="s">
        <v>137</v>
      </c>
      <c r="J61" s="745" t="s">
        <v>138</v>
      </c>
      <c r="K61" s="675" t="s">
        <v>139</v>
      </c>
    </row>
    <row r="62" spans="1:13" x14ac:dyDescent="0.35">
      <c r="A62" s="19"/>
      <c r="D62" s="715"/>
      <c r="E62" s="715"/>
      <c r="I62" s="745">
        <f>_ENE24v</f>
        <v>1542144.38</v>
      </c>
      <c r="J62" s="745">
        <f>+I62-J60</f>
        <v>0</v>
      </c>
      <c r="K62" s="686">
        <f>(+J62*100/J60)/100</f>
        <v>0</v>
      </c>
      <c r="L62" s="686">
        <f>(+J62*100/$J$60)/100</f>
        <v>0</v>
      </c>
    </row>
    <row r="63" spans="1:13" x14ac:dyDescent="0.35">
      <c r="A63" s="19"/>
      <c r="D63" s="715"/>
      <c r="E63" s="715"/>
      <c r="I63" s="745">
        <f>_FEB24v</f>
        <v>1542144.38</v>
      </c>
      <c r="J63" s="745">
        <f t="shared" ref="J63:J71" si="0">+I63-I62</f>
        <v>0</v>
      </c>
      <c r="K63" s="686">
        <f t="shared" ref="K63:K71" si="1">(+J63*100/I62)/100</f>
        <v>0</v>
      </c>
      <c r="L63" s="686">
        <f t="shared" ref="L63:L74" si="2">(+J63*100/$J$60)/100</f>
        <v>0</v>
      </c>
    </row>
    <row r="64" spans="1:13" x14ac:dyDescent="0.35">
      <c r="A64" s="19"/>
      <c r="D64" s="715"/>
      <c r="E64" s="715"/>
      <c r="I64" s="745">
        <f>_MAR24v</f>
        <v>1542144.38</v>
      </c>
      <c r="J64" s="745">
        <f t="shared" si="0"/>
        <v>0</v>
      </c>
      <c r="K64" s="686">
        <f t="shared" si="1"/>
        <v>0</v>
      </c>
      <c r="L64" s="686">
        <f t="shared" si="2"/>
        <v>0</v>
      </c>
    </row>
    <row r="65" spans="1:15" x14ac:dyDescent="0.35">
      <c r="A65" s="19"/>
      <c r="D65" s="715"/>
      <c r="E65" s="715"/>
      <c r="I65" s="745">
        <f>_ABR24v</f>
        <v>1542144.38</v>
      </c>
      <c r="J65" s="745">
        <f t="shared" si="0"/>
        <v>0</v>
      </c>
      <c r="K65" s="686">
        <f t="shared" si="1"/>
        <v>0</v>
      </c>
      <c r="L65" s="686">
        <f t="shared" si="2"/>
        <v>0</v>
      </c>
    </row>
    <row r="66" spans="1:15" x14ac:dyDescent="0.35">
      <c r="A66" s="19"/>
      <c r="D66" s="715"/>
      <c r="E66" s="715"/>
      <c r="I66" s="745">
        <f>_MAY24v</f>
        <v>1542144.38</v>
      </c>
      <c r="J66" s="745">
        <f t="shared" si="0"/>
        <v>0</v>
      </c>
      <c r="K66" s="686">
        <f t="shared" si="1"/>
        <v>0</v>
      </c>
      <c r="L66" s="686">
        <f t="shared" si="2"/>
        <v>0</v>
      </c>
    </row>
    <row r="67" spans="1:15" x14ac:dyDescent="0.35">
      <c r="A67" s="19"/>
      <c r="D67" s="715"/>
      <c r="E67" s="715"/>
      <c r="I67" s="745">
        <f>_JUN24v</f>
        <v>1542144.38</v>
      </c>
      <c r="J67" s="745">
        <f t="shared" si="0"/>
        <v>0</v>
      </c>
      <c r="K67" s="686">
        <f t="shared" si="1"/>
        <v>0</v>
      </c>
      <c r="L67" s="686">
        <f t="shared" si="2"/>
        <v>0</v>
      </c>
    </row>
    <row r="68" spans="1:15" x14ac:dyDescent="0.35">
      <c r="A68" s="19"/>
      <c r="D68" s="715"/>
      <c r="E68" s="715"/>
      <c r="I68" s="745">
        <f>_JUL24v</f>
        <v>1542144.38</v>
      </c>
      <c r="J68" s="745">
        <f t="shared" si="0"/>
        <v>0</v>
      </c>
      <c r="K68" s="686">
        <f t="shared" si="1"/>
        <v>0</v>
      </c>
      <c r="L68" s="686">
        <f t="shared" si="2"/>
        <v>0</v>
      </c>
    </row>
    <row r="69" spans="1:15" x14ac:dyDescent="0.35">
      <c r="A69" s="19"/>
      <c r="D69" s="715"/>
      <c r="E69" s="715"/>
      <c r="I69" s="745">
        <f>_AGO24v</f>
        <v>1542144.38</v>
      </c>
      <c r="J69" s="745">
        <f t="shared" si="0"/>
        <v>0</v>
      </c>
      <c r="K69" s="686">
        <f t="shared" si="1"/>
        <v>0</v>
      </c>
      <c r="L69" s="686">
        <f t="shared" si="2"/>
        <v>0</v>
      </c>
    </row>
    <row r="70" spans="1:15" x14ac:dyDescent="0.35">
      <c r="A70" s="19"/>
      <c r="D70" s="715"/>
      <c r="E70" s="715"/>
      <c r="I70" s="745">
        <f>_SEP24v</f>
        <v>1542144.38</v>
      </c>
      <c r="J70" s="745">
        <f t="shared" si="0"/>
        <v>0</v>
      </c>
      <c r="K70" s="686">
        <f t="shared" si="1"/>
        <v>0</v>
      </c>
      <c r="L70" s="686">
        <f t="shared" si="2"/>
        <v>0</v>
      </c>
    </row>
    <row r="71" spans="1:15" x14ac:dyDescent="0.35">
      <c r="A71" s="19"/>
      <c r="D71" s="715"/>
      <c r="E71" s="715"/>
      <c r="I71" s="745">
        <f>_OCT24v</f>
        <v>1542144.38</v>
      </c>
      <c r="J71" s="745">
        <f t="shared" si="0"/>
        <v>0</v>
      </c>
      <c r="K71" s="686">
        <f t="shared" si="1"/>
        <v>0</v>
      </c>
      <c r="L71" s="686">
        <f t="shared" si="2"/>
        <v>0</v>
      </c>
    </row>
    <row r="72" spans="1:15" x14ac:dyDescent="0.35">
      <c r="A72" s="19"/>
      <c r="D72" s="715"/>
      <c r="E72" s="715"/>
      <c r="I72" s="745">
        <f>_NOV24v</f>
        <v>1542144.38</v>
      </c>
      <c r="J72" s="745">
        <f>+I72-I71</f>
        <v>0</v>
      </c>
      <c r="K72" s="686">
        <f>(+J72*100/I71)/100</f>
        <v>0</v>
      </c>
      <c r="L72" s="686">
        <f t="shared" si="2"/>
        <v>0</v>
      </c>
    </row>
    <row r="73" spans="1:15" x14ac:dyDescent="0.35">
      <c r="A73" s="19"/>
      <c r="D73" s="715"/>
      <c r="E73" s="715"/>
      <c r="I73" s="745">
        <f>_DIC24v</f>
        <v>1542144.38</v>
      </c>
      <c r="J73" s="745">
        <f>+I73-I72</f>
        <v>0</v>
      </c>
      <c r="K73" s="686">
        <f>(+J73*100/I72)/100</f>
        <v>0</v>
      </c>
      <c r="L73" s="686">
        <f t="shared" si="2"/>
        <v>0</v>
      </c>
    </row>
    <row r="74" spans="1:15" x14ac:dyDescent="0.35">
      <c r="A74" s="19"/>
      <c r="D74" s="715"/>
      <c r="E74" s="715"/>
      <c r="I74" s="745"/>
      <c r="J74" s="745">
        <f>SUM(J62:J73)</f>
        <v>0</v>
      </c>
      <c r="K74" s="686">
        <f>SUM(K62:K73)</f>
        <v>0</v>
      </c>
      <c r="L74" s="686">
        <f t="shared" si="2"/>
        <v>0</v>
      </c>
    </row>
    <row r="75" spans="1:15" x14ac:dyDescent="0.35">
      <c r="A75" s="19"/>
      <c r="D75" s="715"/>
      <c r="E75" s="715"/>
      <c r="G75" s="734"/>
      <c r="I75" s="745" t="s">
        <v>871</v>
      </c>
      <c r="J75" s="745">
        <f>SUM(D4:D55)-SUM(E4:E55)</f>
        <v>0</v>
      </c>
      <c r="K75" s="926">
        <f>(J75*100/$J$60)/100</f>
        <v>0</v>
      </c>
      <c r="M75" s="700"/>
    </row>
    <row r="76" spans="1:15" x14ac:dyDescent="0.35">
      <c r="A76" s="92"/>
      <c r="F76" s="726"/>
      <c r="G76" s="734"/>
      <c r="I76" s="745" t="s">
        <v>872</v>
      </c>
      <c r="J76" s="745">
        <f>+J74-J75</f>
        <v>0</v>
      </c>
      <c r="K76" s="926">
        <f>(J76*100/$J$60)/100</f>
        <v>0</v>
      </c>
      <c r="L76" s="32"/>
      <c r="M76" s="33"/>
      <c r="N76" s="33"/>
    </row>
    <row r="77" spans="1:15" x14ac:dyDescent="0.35">
      <c r="A77" s="92"/>
      <c r="F77" s="726"/>
      <c r="G77" s="734"/>
      <c r="H77" s="30"/>
      <c r="I77" s="748"/>
      <c r="J77" s="755"/>
      <c r="K77" s="676"/>
      <c r="L77" s="33"/>
      <c r="M77" s="33"/>
      <c r="N77" s="33"/>
    </row>
    <row r="78" spans="1:15" x14ac:dyDescent="0.35">
      <c r="A78" s="92"/>
      <c r="D78" s="715"/>
      <c r="E78" s="715"/>
      <c r="F78" s="726"/>
      <c r="G78" s="735"/>
      <c r="H78" s="34"/>
      <c r="I78" s="748"/>
      <c r="J78" s="740"/>
      <c r="K78" s="676"/>
      <c r="L78" s="33"/>
      <c r="M78" s="33"/>
      <c r="N78" s="33"/>
    </row>
    <row r="79" spans="1:15" x14ac:dyDescent="0.35">
      <c r="A79" s="92"/>
      <c r="F79" s="726"/>
      <c r="G79" s="735"/>
      <c r="H79" s="34"/>
      <c r="I79" s="740"/>
      <c r="J79" s="740"/>
    </row>
    <row r="80" spans="1:15" x14ac:dyDescent="0.35">
      <c r="A80" s="92"/>
      <c r="F80" s="726"/>
      <c r="G80" s="735"/>
      <c r="H80" s="93"/>
      <c r="I80" s="749"/>
      <c r="J80" s="749"/>
      <c r="L80" s="700"/>
      <c r="M80" s="700"/>
      <c r="O80" s="700"/>
    </row>
    <row r="81" spans="1:15" x14ac:dyDescent="0.35">
      <c r="A81" s="92"/>
      <c r="F81" s="726"/>
      <c r="G81" s="735"/>
      <c r="H81" s="93"/>
      <c r="I81" s="749"/>
      <c r="J81" s="749"/>
      <c r="L81" s="700"/>
      <c r="M81" s="700"/>
      <c r="O81" s="700"/>
    </row>
    <row r="82" spans="1:15" x14ac:dyDescent="0.35">
      <c r="A82" s="92"/>
      <c r="F82" s="726"/>
      <c r="G82" s="735"/>
      <c r="H82" s="93"/>
      <c r="I82" s="749"/>
      <c r="J82" s="749"/>
      <c r="L82" s="700"/>
      <c r="M82" s="700"/>
      <c r="O82" s="700"/>
    </row>
    <row r="83" spans="1:15" x14ac:dyDescent="0.35">
      <c r="A83" s="92"/>
      <c r="F83" s="726"/>
      <c r="G83" s="735"/>
      <c r="H83" s="93"/>
      <c r="I83" s="749"/>
      <c r="J83" s="749"/>
      <c r="L83" s="700"/>
      <c r="M83" s="700"/>
      <c r="O83" s="700"/>
    </row>
    <row r="84" spans="1:15" x14ac:dyDescent="0.35">
      <c r="A84" s="92"/>
      <c r="F84" s="726"/>
      <c r="G84" s="735"/>
      <c r="H84" s="93"/>
      <c r="I84" s="749"/>
      <c r="J84" s="749"/>
    </row>
    <row r="85" spans="1:15" x14ac:dyDescent="0.35">
      <c r="A85" s="92"/>
      <c r="F85" s="726"/>
      <c r="G85" s="735"/>
      <c r="H85" s="93"/>
      <c r="I85" s="750"/>
      <c r="J85" s="750"/>
    </row>
    <row r="86" spans="1:15" x14ac:dyDescent="0.35">
      <c r="A86" s="92"/>
      <c r="F86" s="726"/>
      <c r="G86" s="735"/>
      <c r="H86" s="93"/>
      <c r="I86" s="750"/>
      <c r="J86" s="750"/>
    </row>
    <row r="87" spans="1:15" x14ac:dyDescent="0.35">
      <c r="A87" s="92"/>
      <c r="F87" s="726"/>
      <c r="G87" s="735"/>
      <c r="H87" s="93"/>
      <c r="I87" s="750"/>
      <c r="J87" s="750"/>
    </row>
    <row r="88" spans="1:15" x14ac:dyDescent="0.35">
      <c r="A88" s="92"/>
      <c r="F88" s="726"/>
      <c r="G88" s="735"/>
      <c r="H88" s="93"/>
      <c r="I88" s="750"/>
      <c r="J88" s="750"/>
    </row>
    <row r="89" spans="1:15" x14ac:dyDescent="0.35">
      <c r="A89" s="92"/>
      <c r="F89" s="726"/>
      <c r="G89" s="735"/>
      <c r="H89" s="93"/>
      <c r="I89" s="750"/>
      <c r="J89" s="750"/>
    </row>
    <row r="90" spans="1:15" x14ac:dyDescent="0.35">
      <c r="A90" s="92"/>
      <c r="F90" s="726"/>
      <c r="G90" s="735"/>
      <c r="H90" s="93"/>
      <c r="I90" s="750"/>
      <c r="J90" s="750"/>
    </row>
    <row r="91" spans="1:15" x14ac:dyDescent="0.35">
      <c r="A91" s="92"/>
      <c r="F91" s="726"/>
      <c r="G91" s="735"/>
      <c r="H91" s="93"/>
      <c r="I91" s="750"/>
      <c r="J91" s="750"/>
    </row>
    <row r="92" spans="1:15" x14ac:dyDescent="0.35">
      <c r="A92" s="92"/>
      <c r="F92" s="726"/>
      <c r="G92" s="735"/>
      <c r="H92" s="93"/>
      <c r="I92" s="750"/>
      <c r="J92" s="750"/>
    </row>
    <row r="93" spans="1:15" x14ac:dyDescent="0.35">
      <c r="A93" s="92"/>
      <c r="F93" s="726"/>
      <c r="G93" s="735"/>
      <c r="H93" s="93"/>
      <c r="I93" s="750"/>
      <c r="J93" s="750"/>
    </row>
    <row r="94" spans="1:15" x14ac:dyDescent="0.35">
      <c r="A94" s="92"/>
      <c r="F94" s="726"/>
      <c r="G94" s="735"/>
      <c r="H94" s="93"/>
      <c r="I94" s="750"/>
      <c r="J94" s="750"/>
    </row>
    <row r="95" spans="1:15" x14ac:dyDescent="0.35">
      <c r="A95" s="92"/>
      <c r="F95" s="726"/>
      <c r="G95" s="735"/>
      <c r="H95" s="93"/>
      <c r="I95" s="750"/>
      <c r="J95" s="750"/>
    </row>
    <row r="96" spans="1:15" x14ac:dyDescent="0.35">
      <c r="A96" s="92"/>
      <c r="F96" s="726"/>
      <c r="G96" s="735"/>
      <c r="H96" s="93"/>
      <c r="I96" s="750"/>
      <c r="J96" s="750"/>
    </row>
    <row r="97" spans="1:10" x14ac:dyDescent="0.35">
      <c r="A97" s="92"/>
      <c r="F97" s="726"/>
      <c r="G97" s="735"/>
      <c r="H97" s="93"/>
      <c r="I97" s="750"/>
      <c r="J97" s="750"/>
    </row>
    <row r="98" spans="1:10" x14ac:dyDescent="0.35">
      <c r="A98" s="92"/>
      <c r="B98" s="380" t="s">
        <v>32</v>
      </c>
      <c r="C98" s="380" t="s">
        <v>33</v>
      </c>
      <c r="F98" s="726"/>
      <c r="G98" s="735"/>
      <c r="H98" s="93"/>
      <c r="I98" s="750"/>
      <c r="J98" s="750"/>
    </row>
    <row r="99" spans="1:10" x14ac:dyDescent="0.35">
      <c r="A99" s="92"/>
      <c r="B99" s="380">
        <f>SUM(D4:D76)</f>
        <v>1165320</v>
      </c>
      <c r="C99" s="380">
        <f>SUM(E4:E76)</f>
        <v>1165320</v>
      </c>
      <c r="F99" s="726"/>
      <c r="G99" s="735"/>
      <c r="H99" s="93"/>
      <c r="I99" s="750"/>
      <c r="J99" s="750"/>
    </row>
    <row r="100" spans="1:10" x14ac:dyDescent="0.35">
      <c r="A100" s="92"/>
      <c r="B100" s="518">
        <f>+B99-C99</f>
        <v>0</v>
      </c>
      <c r="F100" s="726"/>
      <c r="G100" s="735"/>
      <c r="H100" s="93"/>
      <c r="I100" s="750"/>
      <c r="J100" s="750"/>
    </row>
    <row r="101" spans="1:10" x14ac:dyDescent="0.35">
      <c r="A101" s="92"/>
      <c r="F101" s="726"/>
      <c r="G101" s="735"/>
      <c r="H101" s="93"/>
      <c r="I101" s="750"/>
      <c r="J101" s="750"/>
    </row>
    <row r="102" spans="1:10" x14ac:dyDescent="0.35">
      <c r="A102" s="92"/>
      <c r="F102" s="726"/>
      <c r="G102" s="735"/>
      <c r="H102" s="93"/>
      <c r="I102" s="750"/>
      <c r="J102" s="750"/>
    </row>
    <row r="103" spans="1:10" x14ac:dyDescent="0.35">
      <c r="A103" s="92"/>
      <c r="F103" s="726"/>
      <c r="G103" s="735"/>
      <c r="H103" s="93"/>
      <c r="I103" s="750"/>
      <c r="J103" s="750"/>
    </row>
    <row r="104" spans="1:10" x14ac:dyDescent="0.35">
      <c r="A104" s="92"/>
      <c r="F104" s="726"/>
      <c r="G104" s="735"/>
      <c r="H104" s="93"/>
      <c r="I104" s="750"/>
      <c r="J104" s="750"/>
    </row>
    <row r="105" spans="1:10" x14ac:dyDescent="0.35">
      <c r="A105" s="92"/>
      <c r="F105" s="726"/>
      <c r="G105" s="735"/>
      <c r="H105" s="93"/>
      <c r="I105" s="750"/>
      <c r="J105" s="750"/>
    </row>
    <row r="106" spans="1:10" x14ac:dyDescent="0.35">
      <c r="A106" s="92"/>
      <c r="F106" s="726"/>
      <c r="G106" s="735"/>
      <c r="H106" s="93"/>
      <c r="I106" s="750"/>
      <c r="J106" s="750"/>
    </row>
    <row r="107" spans="1:10" x14ac:dyDescent="0.35">
      <c r="A107" s="92"/>
      <c r="F107" s="726"/>
      <c r="G107" s="735"/>
      <c r="H107" s="93"/>
      <c r="I107" s="750"/>
      <c r="J107" s="750"/>
    </row>
    <row r="108" spans="1:10" x14ac:dyDescent="0.35">
      <c r="A108" s="92"/>
      <c r="F108" s="726"/>
      <c r="G108" s="735"/>
      <c r="H108" s="93"/>
      <c r="I108" s="750"/>
      <c r="J108" s="750"/>
    </row>
    <row r="109" spans="1:10" x14ac:dyDescent="0.35">
      <c r="A109" s="92"/>
      <c r="F109" s="726"/>
      <c r="G109" s="735"/>
      <c r="H109" s="93"/>
      <c r="I109" s="750"/>
      <c r="J109" s="750"/>
    </row>
    <row r="110" spans="1:10" x14ac:dyDescent="0.35">
      <c r="A110" s="92"/>
      <c r="F110" s="726"/>
      <c r="G110" s="735"/>
      <c r="H110" s="93"/>
      <c r="I110" s="750"/>
      <c r="J110" s="750"/>
    </row>
    <row r="111" spans="1:10" x14ac:dyDescent="0.35">
      <c r="A111" s="92"/>
      <c r="F111" s="726"/>
      <c r="G111" s="735"/>
      <c r="H111" s="93"/>
      <c r="I111" s="750"/>
      <c r="J111" s="750"/>
    </row>
    <row r="112" spans="1:10" x14ac:dyDescent="0.35">
      <c r="A112" s="92"/>
      <c r="F112" s="726"/>
      <c r="G112" s="735"/>
      <c r="H112" s="93"/>
      <c r="I112" s="750"/>
      <c r="J112" s="750"/>
    </row>
    <row r="113" spans="1:10" x14ac:dyDescent="0.35">
      <c r="A113" s="92"/>
      <c r="F113" s="726"/>
      <c r="G113" s="735"/>
      <c r="H113" s="93"/>
      <c r="I113" s="750"/>
      <c r="J113" s="750"/>
    </row>
    <row r="114" spans="1:10" x14ac:dyDescent="0.35">
      <c r="A114" s="92"/>
      <c r="F114" s="726"/>
      <c r="G114" s="735"/>
      <c r="H114" s="93"/>
      <c r="I114" s="750"/>
      <c r="J114" s="750"/>
    </row>
    <row r="115" spans="1:10" x14ac:dyDescent="0.35">
      <c r="A115" s="92"/>
      <c r="F115" s="726"/>
      <c r="G115" s="735"/>
      <c r="H115" s="93"/>
      <c r="I115" s="750"/>
      <c r="J115" s="750"/>
    </row>
    <row r="116" spans="1:10" x14ac:dyDescent="0.35">
      <c r="A116" s="92"/>
      <c r="F116" s="726"/>
      <c r="G116" s="735"/>
      <c r="H116" s="93"/>
      <c r="I116" s="750"/>
      <c r="J116" s="750"/>
    </row>
    <row r="117" spans="1:10" x14ac:dyDescent="0.35">
      <c r="A117" s="92"/>
      <c r="F117" s="726"/>
      <c r="G117" s="735"/>
      <c r="H117" s="93"/>
      <c r="I117" s="750"/>
      <c r="J117" s="750"/>
    </row>
    <row r="118" spans="1:10" x14ac:dyDescent="0.35">
      <c r="A118" s="92"/>
      <c r="F118" s="726"/>
      <c r="G118" s="735"/>
      <c r="H118" s="93"/>
      <c r="I118" s="750"/>
      <c r="J118" s="750"/>
    </row>
    <row r="119" spans="1:10" x14ac:dyDescent="0.35">
      <c r="A119" s="92"/>
      <c r="F119" s="726"/>
      <c r="G119" s="735"/>
      <c r="H119" s="93"/>
      <c r="I119" s="750"/>
      <c r="J119" s="750"/>
    </row>
    <row r="120" spans="1:10" x14ac:dyDescent="0.35">
      <c r="A120" s="92"/>
      <c r="F120" s="726"/>
      <c r="G120" s="735"/>
      <c r="H120" s="93"/>
      <c r="I120" s="750"/>
      <c r="J120" s="750"/>
    </row>
    <row r="121" spans="1:10" x14ac:dyDescent="0.35">
      <c r="A121" s="92"/>
      <c r="F121" s="726"/>
      <c r="G121" s="735"/>
      <c r="H121" s="93"/>
      <c r="I121" s="750"/>
      <c r="J121" s="750"/>
    </row>
    <row r="122" spans="1:10" x14ac:dyDescent="0.35">
      <c r="A122" s="92"/>
      <c r="F122" s="726"/>
      <c r="G122" s="735"/>
      <c r="H122" s="93"/>
      <c r="I122" s="750"/>
      <c r="J122" s="750"/>
    </row>
    <row r="123" spans="1:10" x14ac:dyDescent="0.35">
      <c r="A123" s="92"/>
      <c r="F123" s="726"/>
      <c r="G123" s="735"/>
      <c r="H123" s="93"/>
      <c r="I123" s="750"/>
      <c r="J123" s="750"/>
    </row>
    <row r="124" spans="1:10" x14ac:dyDescent="0.35">
      <c r="A124" s="92"/>
      <c r="F124" s="726"/>
      <c r="G124" s="735"/>
      <c r="H124" s="93"/>
      <c r="I124" s="750"/>
      <c r="J124" s="750"/>
    </row>
    <row r="125" spans="1:10" x14ac:dyDescent="0.35">
      <c r="A125" s="92"/>
      <c r="F125" s="726"/>
      <c r="G125" s="735"/>
      <c r="H125" s="93"/>
      <c r="I125" s="750"/>
      <c r="J125" s="750"/>
    </row>
    <row r="126" spans="1:10" x14ac:dyDescent="0.35">
      <c r="A126" s="92"/>
      <c r="F126" s="726"/>
      <c r="G126" s="735"/>
      <c r="H126" s="93"/>
      <c r="I126" s="750"/>
      <c r="J126" s="750"/>
    </row>
    <row r="127" spans="1:10" x14ac:dyDescent="0.35">
      <c r="A127" s="92"/>
      <c r="F127" s="726"/>
      <c r="G127" s="735"/>
      <c r="H127" s="93"/>
      <c r="I127" s="750"/>
      <c r="J127" s="750"/>
    </row>
    <row r="128" spans="1:10" x14ac:dyDescent="0.35">
      <c r="A128" s="92"/>
      <c r="F128" s="726"/>
      <c r="G128" s="735"/>
      <c r="H128" s="93"/>
      <c r="I128" s="750"/>
      <c r="J128" s="750"/>
    </row>
    <row r="129" spans="1:10" x14ac:dyDescent="0.35">
      <c r="A129" s="92"/>
      <c r="F129" s="726"/>
      <c r="G129" s="735"/>
      <c r="H129" s="93"/>
      <c r="I129" s="750"/>
      <c r="J129" s="750"/>
    </row>
    <row r="130" spans="1:10" x14ac:dyDescent="0.35">
      <c r="A130" s="92"/>
      <c r="F130" s="726"/>
      <c r="G130" s="735"/>
      <c r="H130" s="93"/>
      <c r="I130" s="750"/>
      <c r="J130" s="750"/>
    </row>
    <row r="131" spans="1:10" x14ac:dyDescent="0.35">
      <c r="A131" s="92"/>
      <c r="F131" s="726"/>
      <c r="G131" s="735"/>
      <c r="H131" s="93"/>
      <c r="I131" s="750"/>
      <c r="J131" s="750"/>
    </row>
    <row r="132" spans="1:10" x14ac:dyDescent="0.35">
      <c r="A132" s="92"/>
      <c r="F132" s="726"/>
      <c r="G132" s="735"/>
      <c r="H132" s="93"/>
      <c r="I132" s="750"/>
      <c r="J132" s="750"/>
    </row>
    <row r="133" spans="1:10" x14ac:dyDescent="0.35">
      <c r="A133" s="92"/>
      <c r="F133" s="726"/>
      <c r="G133" s="735"/>
      <c r="H133" s="93"/>
      <c r="I133" s="750"/>
      <c r="J133" s="750"/>
    </row>
    <row r="134" spans="1:10" x14ac:dyDescent="0.35">
      <c r="A134" s="92"/>
      <c r="F134" s="726"/>
      <c r="G134" s="735"/>
      <c r="H134" s="93"/>
      <c r="I134" s="750"/>
      <c r="J134" s="750"/>
    </row>
    <row r="135" spans="1:10" x14ac:dyDescent="0.35">
      <c r="A135" s="92"/>
      <c r="F135" s="726"/>
      <c r="G135" s="735"/>
      <c r="H135" s="93"/>
      <c r="I135" s="750"/>
      <c r="J135" s="750"/>
    </row>
    <row r="136" spans="1:10" x14ac:dyDescent="0.35">
      <c r="A136" s="92"/>
      <c r="F136" s="726"/>
      <c r="G136" s="735"/>
      <c r="H136" s="93"/>
      <c r="I136" s="750"/>
      <c r="J136" s="750"/>
    </row>
    <row r="137" spans="1:10" x14ac:dyDescent="0.35">
      <c r="A137" s="92"/>
      <c r="F137" s="726"/>
      <c r="G137" s="735"/>
      <c r="H137" s="93"/>
      <c r="I137" s="750"/>
      <c r="J137" s="750"/>
    </row>
    <row r="138" spans="1:10" x14ac:dyDescent="0.35">
      <c r="A138" s="92"/>
      <c r="F138" s="726"/>
      <c r="G138" s="735"/>
      <c r="H138" s="93"/>
      <c r="I138" s="750"/>
      <c r="J138" s="750"/>
    </row>
    <row r="139" spans="1:10" x14ac:dyDescent="0.35">
      <c r="A139" s="92"/>
      <c r="F139" s="726"/>
      <c r="G139" s="735"/>
      <c r="H139" s="93"/>
      <c r="I139" s="750"/>
      <c r="J139" s="750"/>
    </row>
    <row r="140" spans="1:10" x14ac:dyDescent="0.35">
      <c r="A140" s="92"/>
      <c r="F140" s="726"/>
      <c r="G140" s="735"/>
      <c r="H140" s="93"/>
      <c r="I140" s="750"/>
      <c r="J140" s="750"/>
    </row>
    <row r="141" spans="1:10" x14ac:dyDescent="0.35">
      <c r="A141" s="92"/>
      <c r="F141" s="726"/>
      <c r="G141" s="735"/>
      <c r="H141" s="93"/>
      <c r="I141" s="750"/>
      <c r="J141" s="750"/>
    </row>
    <row r="142" spans="1:10" x14ac:dyDescent="0.35">
      <c r="A142" s="92"/>
      <c r="F142" s="726"/>
      <c r="G142" s="735"/>
      <c r="H142" s="93"/>
      <c r="I142" s="750"/>
      <c r="J142" s="750"/>
    </row>
    <row r="143" spans="1:10" x14ac:dyDescent="0.35">
      <c r="A143" s="92"/>
      <c r="F143" s="726"/>
      <c r="G143" s="735"/>
      <c r="H143" s="93"/>
      <c r="I143" s="750"/>
      <c r="J143" s="750"/>
    </row>
    <row r="144" spans="1:10" x14ac:dyDescent="0.35">
      <c r="A144" s="92"/>
      <c r="F144" s="726"/>
      <c r="G144" s="735"/>
      <c r="H144" s="93"/>
      <c r="I144" s="750"/>
      <c r="J144" s="750"/>
    </row>
    <row r="145" spans="1:10" x14ac:dyDescent="0.35">
      <c r="A145" s="92"/>
      <c r="F145" s="726"/>
      <c r="G145" s="735"/>
      <c r="H145" s="93"/>
      <c r="I145" s="750"/>
      <c r="J145" s="750"/>
    </row>
    <row r="146" spans="1:10" x14ac:dyDescent="0.35">
      <c r="A146" s="92"/>
      <c r="F146" s="726"/>
      <c r="G146" s="735"/>
      <c r="H146" s="93"/>
      <c r="I146" s="750"/>
      <c r="J146" s="750"/>
    </row>
    <row r="147" spans="1:10" x14ac:dyDescent="0.35">
      <c r="A147" s="92"/>
      <c r="F147" s="726"/>
      <c r="G147" s="735"/>
      <c r="H147" s="93"/>
      <c r="I147" s="750"/>
      <c r="J147" s="750"/>
    </row>
    <row r="148" spans="1:10" x14ac:dyDescent="0.35">
      <c r="A148" s="92"/>
      <c r="F148" s="726"/>
      <c r="G148" s="735"/>
      <c r="H148" s="93"/>
      <c r="I148" s="750"/>
      <c r="J148" s="750"/>
    </row>
    <row r="149" spans="1:10" x14ac:dyDescent="0.35">
      <c r="A149" s="92"/>
      <c r="F149" s="726"/>
      <c r="G149" s="735"/>
      <c r="H149" s="93"/>
      <c r="I149" s="750"/>
      <c r="J149" s="750"/>
    </row>
    <row r="150" spans="1:10" x14ac:dyDescent="0.35">
      <c r="A150" s="92"/>
      <c r="F150" s="726"/>
      <c r="G150" s="735"/>
      <c r="H150" s="93"/>
      <c r="I150" s="750"/>
      <c r="J150" s="750"/>
    </row>
    <row r="151" spans="1:10" x14ac:dyDescent="0.35">
      <c r="A151" s="92"/>
      <c r="F151" s="726"/>
      <c r="G151" s="735"/>
      <c r="H151" s="93"/>
      <c r="I151" s="750"/>
      <c r="J151" s="750"/>
    </row>
    <row r="152" spans="1:10" x14ac:dyDescent="0.35">
      <c r="A152" s="92"/>
      <c r="F152" s="726"/>
      <c r="G152" s="735"/>
      <c r="H152" s="93"/>
      <c r="I152" s="750"/>
      <c r="J152" s="750"/>
    </row>
    <row r="153" spans="1:10" x14ac:dyDescent="0.35">
      <c r="A153" s="92"/>
      <c r="F153" s="726"/>
      <c r="G153" s="735"/>
      <c r="H153" s="93"/>
      <c r="I153" s="750"/>
      <c r="J153" s="750"/>
    </row>
    <row r="154" spans="1:10" x14ac:dyDescent="0.35">
      <c r="A154" s="92"/>
      <c r="F154" s="726"/>
      <c r="G154" s="735"/>
      <c r="H154" s="93"/>
      <c r="I154" s="750"/>
      <c r="J154" s="750"/>
    </row>
    <row r="155" spans="1:10" x14ac:dyDescent="0.35">
      <c r="A155" s="92"/>
      <c r="F155" s="726"/>
      <c r="G155" s="735"/>
      <c r="H155" s="93"/>
      <c r="I155" s="750"/>
      <c r="J155" s="750"/>
    </row>
    <row r="156" spans="1:10" x14ac:dyDescent="0.35">
      <c r="A156" s="92"/>
      <c r="F156" s="726"/>
      <c r="G156" s="735"/>
      <c r="H156" s="93"/>
      <c r="I156" s="750"/>
      <c r="J156" s="750"/>
    </row>
    <row r="157" spans="1:10" x14ac:dyDescent="0.35">
      <c r="A157" s="92"/>
      <c r="F157" s="726"/>
      <c r="G157" s="735"/>
      <c r="H157" s="93"/>
      <c r="I157" s="750"/>
      <c r="J157" s="750"/>
    </row>
    <row r="158" spans="1:10" x14ac:dyDescent="0.35">
      <c r="A158" s="92"/>
      <c r="F158" s="726"/>
      <c r="G158" s="735"/>
      <c r="H158" s="93"/>
      <c r="I158" s="750"/>
      <c r="J158" s="750"/>
    </row>
    <row r="159" spans="1:10" x14ac:dyDescent="0.35">
      <c r="A159" s="92"/>
      <c r="F159" s="726"/>
      <c r="G159" s="735"/>
      <c r="H159" s="93"/>
      <c r="I159" s="750"/>
      <c r="J159" s="750"/>
    </row>
    <row r="160" spans="1:10" x14ac:dyDescent="0.35">
      <c r="A160" s="92"/>
      <c r="F160" s="726"/>
      <c r="G160" s="735"/>
      <c r="H160" s="93"/>
      <c r="I160" s="750"/>
      <c r="J160" s="750"/>
    </row>
    <row r="161" spans="1:10" x14ac:dyDescent="0.35">
      <c r="A161" s="92"/>
      <c r="F161" s="726"/>
      <c r="G161" s="735"/>
      <c r="H161" s="93"/>
      <c r="I161" s="750"/>
      <c r="J161" s="750"/>
    </row>
    <row r="162" spans="1:10" x14ac:dyDescent="0.35">
      <c r="A162" s="92"/>
      <c r="F162" s="726"/>
      <c r="G162" s="735"/>
      <c r="H162" s="93"/>
      <c r="I162" s="750"/>
      <c r="J162" s="750"/>
    </row>
    <row r="163" spans="1:10" x14ac:dyDescent="0.35">
      <c r="A163" s="92"/>
      <c r="F163" s="726"/>
      <c r="G163" s="735"/>
      <c r="H163" s="93"/>
      <c r="I163" s="750"/>
      <c r="J163" s="750"/>
    </row>
    <row r="164" spans="1:10" x14ac:dyDescent="0.35">
      <c r="A164" s="92"/>
      <c r="F164" s="726"/>
      <c r="G164" s="735"/>
      <c r="H164" s="93"/>
      <c r="I164" s="750"/>
      <c r="J164" s="750"/>
    </row>
    <row r="165" spans="1:10" x14ac:dyDescent="0.35">
      <c r="A165" s="92"/>
      <c r="F165" s="726"/>
      <c r="G165" s="735"/>
      <c r="H165" s="93"/>
      <c r="I165" s="750"/>
      <c r="J165" s="750"/>
    </row>
    <row r="166" spans="1:10" x14ac:dyDescent="0.35">
      <c r="A166" s="92"/>
      <c r="F166" s="726"/>
      <c r="G166" s="735"/>
      <c r="H166" s="93"/>
      <c r="I166" s="750"/>
      <c r="J166" s="750"/>
    </row>
    <row r="167" spans="1:10" x14ac:dyDescent="0.35">
      <c r="A167" s="92"/>
      <c r="F167" s="726"/>
      <c r="G167" s="735"/>
      <c r="H167" s="93"/>
      <c r="I167" s="750"/>
      <c r="J167" s="750"/>
    </row>
    <row r="168" spans="1:10" x14ac:dyDescent="0.35">
      <c r="A168" s="92"/>
      <c r="F168" s="726"/>
      <c r="G168" s="735"/>
      <c r="H168" s="93"/>
      <c r="I168" s="750"/>
      <c r="J168" s="750"/>
    </row>
    <row r="169" spans="1:10" x14ac:dyDescent="0.35">
      <c r="A169" s="92"/>
      <c r="F169" s="726"/>
      <c r="G169" s="735"/>
      <c r="H169" s="93"/>
      <c r="I169" s="750"/>
      <c r="J169" s="750"/>
    </row>
    <row r="170" spans="1:10" x14ac:dyDescent="0.35">
      <c r="A170" s="92"/>
      <c r="F170" s="726"/>
      <c r="G170" s="735"/>
      <c r="H170" s="93"/>
      <c r="I170" s="750"/>
      <c r="J170" s="750"/>
    </row>
    <row r="171" spans="1:10" x14ac:dyDescent="0.35">
      <c r="A171" s="92"/>
      <c r="F171" s="726"/>
      <c r="G171" s="735"/>
      <c r="H171" s="93"/>
      <c r="I171" s="750"/>
      <c r="J171" s="750"/>
    </row>
    <row r="172" spans="1:10" x14ac:dyDescent="0.35">
      <c r="A172" s="92"/>
      <c r="F172" s="726"/>
      <c r="G172" s="735"/>
      <c r="H172" s="93"/>
      <c r="I172" s="750"/>
      <c r="J172" s="750"/>
    </row>
    <row r="173" spans="1:10" x14ac:dyDescent="0.35">
      <c r="A173" s="92"/>
      <c r="F173" s="726"/>
      <c r="G173" s="735"/>
      <c r="H173" s="93"/>
      <c r="I173" s="750"/>
      <c r="J173" s="750"/>
    </row>
    <row r="174" spans="1:10" x14ac:dyDescent="0.35">
      <c r="A174" s="92"/>
      <c r="F174" s="726"/>
      <c r="G174" s="735"/>
      <c r="H174" s="93"/>
      <c r="I174" s="750"/>
      <c r="J174" s="750"/>
    </row>
    <row r="175" spans="1:10" x14ac:dyDescent="0.35">
      <c r="A175" s="92"/>
      <c r="F175" s="726"/>
      <c r="G175" s="735"/>
      <c r="H175" s="93"/>
      <c r="I175" s="750"/>
      <c r="J175" s="750"/>
    </row>
    <row r="176" spans="1:10" x14ac:dyDescent="0.35">
      <c r="A176" s="92"/>
      <c r="F176" s="726"/>
      <c r="G176" s="735"/>
      <c r="H176" s="93"/>
      <c r="I176" s="750"/>
      <c r="J176" s="750"/>
    </row>
    <row r="177" spans="1:10" x14ac:dyDescent="0.35">
      <c r="A177" s="92"/>
      <c r="F177" s="726"/>
      <c r="G177" s="735"/>
      <c r="H177" s="93"/>
      <c r="I177" s="750"/>
      <c r="J177" s="750"/>
    </row>
    <row r="178" spans="1:10" x14ac:dyDescent="0.35">
      <c r="A178" s="92"/>
      <c r="F178" s="726"/>
      <c r="G178" s="735"/>
      <c r="H178" s="93"/>
      <c r="I178" s="750"/>
      <c r="J178" s="750"/>
    </row>
    <row r="179" spans="1:10" x14ac:dyDescent="0.35">
      <c r="A179" s="92"/>
      <c r="F179" s="726"/>
      <c r="G179" s="735"/>
      <c r="H179" s="93"/>
      <c r="I179" s="750"/>
      <c r="J179" s="750"/>
    </row>
    <row r="180" spans="1:10" x14ac:dyDescent="0.35">
      <c r="A180" s="92"/>
      <c r="F180" s="726"/>
      <c r="G180" s="735"/>
      <c r="H180" s="93"/>
      <c r="I180" s="750"/>
      <c r="J180" s="750"/>
    </row>
    <row r="181" spans="1:10" x14ac:dyDescent="0.35">
      <c r="A181" s="92"/>
      <c r="F181" s="726"/>
      <c r="G181" s="735"/>
      <c r="H181" s="93"/>
      <c r="I181" s="750"/>
      <c r="J181" s="750"/>
    </row>
    <row r="182" spans="1:10" x14ac:dyDescent="0.35">
      <c r="A182" s="92"/>
      <c r="F182" s="726"/>
      <c r="G182" s="735"/>
      <c r="H182" s="93"/>
      <c r="I182" s="750"/>
      <c r="J182" s="750"/>
    </row>
    <row r="183" spans="1:10" x14ac:dyDescent="0.35">
      <c r="A183" s="92"/>
      <c r="F183" s="726"/>
      <c r="G183" s="735"/>
      <c r="H183" s="93"/>
      <c r="I183" s="750"/>
      <c r="J183" s="750"/>
    </row>
    <row r="184" spans="1:10" x14ac:dyDescent="0.35">
      <c r="A184" s="92"/>
      <c r="F184" s="726"/>
      <c r="G184" s="735"/>
      <c r="H184" s="93"/>
      <c r="I184" s="750"/>
      <c r="J184" s="750"/>
    </row>
    <row r="185" spans="1:10" x14ac:dyDescent="0.35">
      <c r="A185" s="92"/>
      <c r="F185" s="726"/>
      <c r="G185" s="735"/>
      <c r="H185" s="93"/>
      <c r="I185" s="750"/>
      <c r="J185" s="750"/>
    </row>
    <row r="186" spans="1:10" x14ac:dyDescent="0.35">
      <c r="A186" s="92"/>
      <c r="F186" s="726"/>
      <c r="G186" s="735"/>
      <c r="H186" s="93"/>
      <c r="I186" s="750"/>
      <c r="J186" s="750"/>
    </row>
    <row r="187" spans="1:10" x14ac:dyDescent="0.35">
      <c r="A187" s="92"/>
      <c r="F187" s="726"/>
      <c r="G187" s="735"/>
      <c r="H187" s="93"/>
      <c r="I187" s="750"/>
      <c r="J187" s="750"/>
    </row>
    <row r="188" spans="1:10" x14ac:dyDescent="0.35">
      <c r="A188" s="92"/>
      <c r="F188" s="726"/>
      <c r="G188" s="735"/>
      <c r="H188" s="93"/>
      <c r="I188" s="750"/>
      <c r="J188" s="750"/>
    </row>
    <row r="189" spans="1:10" x14ac:dyDescent="0.35">
      <c r="A189" s="92"/>
      <c r="F189" s="726"/>
      <c r="G189" s="735"/>
      <c r="H189" s="93"/>
      <c r="I189" s="750"/>
      <c r="J189" s="750"/>
    </row>
    <row r="190" spans="1:10" x14ac:dyDescent="0.35">
      <c r="A190" s="92"/>
      <c r="F190" s="726"/>
      <c r="G190" s="735"/>
      <c r="H190" s="93"/>
      <c r="I190" s="750"/>
      <c r="J190" s="750"/>
    </row>
    <row r="191" spans="1:10" x14ac:dyDescent="0.35">
      <c r="A191" s="92"/>
      <c r="F191" s="726"/>
      <c r="G191" s="735"/>
      <c r="H191" s="93"/>
      <c r="I191" s="750"/>
      <c r="J191" s="750"/>
    </row>
    <row r="192" spans="1:10" x14ac:dyDescent="0.35">
      <c r="A192" s="92"/>
      <c r="F192" s="726"/>
      <c r="G192" s="735"/>
      <c r="H192" s="93"/>
      <c r="I192" s="750"/>
      <c r="J192" s="750"/>
    </row>
    <row r="193" spans="1:10" x14ac:dyDescent="0.35">
      <c r="A193" s="92"/>
      <c r="F193" s="726"/>
      <c r="G193" s="735"/>
      <c r="H193" s="93"/>
      <c r="I193" s="750"/>
      <c r="J193" s="750"/>
    </row>
    <row r="194" spans="1:10" x14ac:dyDescent="0.35">
      <c r="A194" s="92"/>
      <c r="F194" s="726"/>
      <c r="G194" s="735"/>
      <c r="H194" s="93"/>
      <c r="I194" s="750"/>
      <c r="J194" s="750"/>
    </row>
    <row r="195" spans="1:10" x14ac:dyDescent="0.35">
      <c r="A195" s="92"/>
      <c r="F195" s="726"/>
      <c r="G195" s="735"/>
      <c r="H195" s="93"/>
      <c r="I195" s="750"/>
      <c r="J195" s="750"/>
    </row>
    <row r="196" spans="1:10" x14ac:dyDescent="0.35">
      <c r="A196" s="92"/>
      <c r="F196" s="726"/>
      <c r="G196" s="735"/>
      <c r="H196" s="93"/>
      <c r="I196" s="750"/>
      <c r="J196" s="750"/>
    </row>
    <row r="197" spans="1:10" x14ac:dyDescent="0.35">
      <c r="A197" s="92"/>
      <c r="F197" s="726"/>
      <c r="G197" s="735"/>
      <c r="H197" s="93"/>
      <c r="I197" s="750"/>
      <c r="J197" s="750"/>
    </row>
    <row r="198" spans="1:10" x14ac:dyDescent="0.35">
      <c r="A198" s="92"/>
      <c r="F198" s="726"/>
      <c r="G198" s="735"/>
      <c r="H198" s="93"/>
      <c r="I198" s="750"/>
      <c r="J198" s="750"/>
    </row>
    <row r="199" spans="1:10" x14ac:dyDescent="0.35">
      <c r="A199" s="92"/>
      <c r="F199" s="726"/>
      <c r="G199" s="735"/>
      <c r="H199" s="93"/>
      <c r="I199" s="750"/>
      <c r="J199" s="750"/>
    </row>
    <row r="200" spans="1:10" x14ac:dyDescent="0.35">
      <c r="A200" s="92"/>
      <c r="F200" s="726"/>
      <c r="G200" s="735"/>
      <c r="H200" s="93"/>
      <c r="I200" s="750"/>
      <c r="J200" s="750"/>
    </row>
    <row r="201" spans="1:10" x14ac:dyDescent="0.35">
      <c r="A201" s="92"/>
      <c r="F201" s="726"/>
      <c r="G201" s="735"/>
      <c r="H201" s="93"/>
      <c r="I201" s="750"/>
      <c r="J201" s="750"/>
    </row>
    <row r="202" spans="1:10" x14ac:dyDescent="0.35">
      <c r="A202" s="92"/>
      <c r="F202" s="726"/>
      <c r="G202" s="735"/>
      <c r="H202" s="93"/>
      <c r="I202" s="750"/>
      <c r="J202" s="750"/>
    </row>
    <row r="203" spans="1:10" x14ac:dyDescent="0.35">
      <c r="A203" s="92"/>
      <c r="F203" s="726"/>
      <c r="G203" s="735"/>
      <c r="H203" s="93"/>
      <c r="I203" s="750"/>
      <c r="J203" s="750"/>
    </row>
    <row r="204" spans="1:10" x14ac:dyDescent="0.35">
      <c r="A204" s="92"/>
      <c r="F204" s="726"/>
      <c r="G204" s="735"/>
      <c r="H204" s="93"/>
      <c r="I204" s="750"/>
      <c r="J204" s="750"/>
    </row>
    <row r="205" spans="1:10" x14ac:dyDescent="0.35">
      <c r="A205" s="92"/>
      <c r="F205" s="726"/>
      <c r="G205" s="735"/>
      <c r="H205" s="93"/>
      <c r="I205" s="750"/>
      <c r="J205" s="750"/>
    </row>
    <row r="206" spans="1:10" x14ac:dyDescent="0.35">
      <c r="A206" s="92"/>
      <c r="F206" s="726"/>
      <c r="G206" s="735"/>
      <c r="H206" s="93"/>
      <c r="I206" s="750"/>
      <c r="J206" s="750"/>
    </row>
    <row r="207" spans="1:10" x14ac:dyDescent="0.35">
      <c r="A207" s="92"/>
      <c r="F207" s="726"/>
      <c r="G207" s="735"/>
      <c r="H207" s="93"/>
      <c r="I207" s="750"/>
      <c r="J207" s="750"/>
    </row>
    <row r="208" spans="1:10" x14ac:dyDescent="0.35">
      <c r="A208" s="92"/>
      <c r="F208" s="726"/>
      <c r="G208" s="735"/>
      <c r="H208" s="93"/>
      <c r="I208" s="750"/>
      <c r="J208" s="750"/>
    </row>
    <row r="209" spans="1:10" x14ac:dyDescent="0.35">
      <c r="A209" s="92"/>
      <c r="F209" s="726"/>
      <c r="G209" s="735"/>
      <c r="H209" s="93"/>
      <c r="I209" s="750"/>
      <c r="J209" s="750"/>
    </row>
    <row r="210" spans="1:10" x14ac:dyDescent="0.35">
      <c r="A210" s="92"/>
      <c r="F210" s="726"/>
      <c r="G210" s="735"/>
      <c r="H210" s="93"/>
      <c r="I210" s="750"/>
      <c r="J210" s="750"/>
    </row>
    <row r="211" spans="1:10" x14ac:dyDescent="0.35">
      <c r="A211" s="92"/>
      <c r="F211" s="726"/>
      <c r="G211" s="735"/>
      <c r="H211" s="93"/>
      <c r="I211" s="750"/>
      <c r="J211" s="750"/>
    </row>
    <row r="212" spans="1:10" x14ac:dyDescent="0.35">
      <c r="A212" s="92"/>
      <c r="F212" s="726"/>
      <c r="G212" s="735"/>
      <c r="H212" s="93"/>
      <c r="I212" s="750"/>
      <c r="J212" s="750"/>
    </row>
    <row r="213" spans="1:10" x14ac:dyDescent="0.35">
      <c r="A213" s="92"/>
      <c r="F213" s="726"/>
      <c r="G213" s="735"/>
      <c r="H213" s="93"/>
      <c r="I213" s="750"/>
      <c r="J213" s="750"/>
    </row>
    <row r="214" spans="1:10" x14ac:dyDescent="0.35">
      <c r="A214" s="92"/>
      <c r="F214" s="726"/>
      <c r="G214" s="735"/>
      <c r="H214" s="93"/>
      <c r="I214" s="750"/>
      <c r="J214" s="750"/>
    </row>
    <row r="215" spans="1:10" x14ac:dyDescent="0.35">
      <c r="A215" s="92"/>
      <c r="F215" s="726"/>
      <c r="G215" s="735"/>
      <c r="H215" s="93"/>
      <c r="I215" s="750"/>
      <c r="J215" s="750"/>
    </row>
    <row r="216" spans="1:10" x14ac:dyDescent="0.35">
      <c r="A216" s="92"/>
      <c r="F216" s="726"/>
      <c r="G216" s="735"/>
      <c r="H216" s="93"/>
      <c r="I216" s="750"/>
      <c r="J216" s="750"/>
    </row>
    <row r="217" spans="1:10" x14ac:dyDescent="0.35">
      <c r="A217" s="92"/>
      <c r="F217" s="726"/>
      <c r="G217" s="735"/>
      <c r="H217" s="93"/>
      <c r="I217" s="750"/>
      <c r="J217" s="750"/>
    </row>
    <row r="218" spans="1:10" x14ac:dyDescent="0.35">
      <c r="A218" s="92"/>
      <c r="F218" s="726"/>
      <c r="G218" s="735"/>
      <c r="H218" s="93"/>
      <c r="I218" s="750"/>
      <c r="J218" s="750"/>
    </row>
    <row r="219" spans="1:10" x14ac:dyDescent="0.35">
      <c r="A219" s="92"/>
      <c r="F219" s="726"/>
      <c r="G219" s="735"/>
      <c r="H219" s="93"/>
      <c r="I219" s="750"/>
      <c r="J219" s="750"/>
    </row>
    <row r="220" spans="1:10" x14ac:dyDescent="0.35">
      <c r="A220" s="92"/>
      <c r="F220" s="726"/>
      <c r="G220" s="735"/>
      <c r="H220" s="93"/>
      <c r="I220" s="750"/>
      <c r="J220" s="750"/>
    </row>
    <row r="221" spans="1:10" x14ac:dyDescent="0.35">
      <c r="A221" s="92"/>
      <c r="F221" s="726"/>
      <c r="G221" s="735"/>
      <c r="H221" s="93"/>
      <c r="I221" s="750"/>
      <c r="J221" s="750"/>
    </row>
    <row r="222" spans="1:10" x14ac:dyDescent="0.35">
      <c r="A222" s="92"/>
      <c r="F222" s="726"/>
      <c r="G222" s="735"/>
      <c r="H222" s="93"/>
      <c r="I222" s="750"/>
      <c r="J222" s="750"/>
    </row>
    <row r="223" spans="1:10" x14ac:dyDescent="0.35">
      <c r="A223" s="92"/>
      <c r="F223" s="726"/>
      <c r="G223" s="735"/>
      <c r="H223" s="93"/>
      <c r="I223" s="750"/>
      <c r="J223" s="750"/>
    </row>
    <row r="224" spans="1:10" x14ac:dyDescent="0.35">
      <c r="A224" s="92"/>
      <c r="F224" s="726"/>
      <c r="G224" s="735"/>
      <c r="H224" s="93"/>
      <c r="I224" s="750"/>
      <c r="J224" s="750"/>
    </row>
    <row r="225" spans="1:10" x14ac:dyDescent="0.35">
      <c r="A225" s="92"/>
      <c r="F225" s="726"/>
      <c r="G225" s="735"/>
      <c r="H225" s="93"/>
      <c r="I225" s="750"/>
      <c r="J225" s="750"/>
    </row>
    <row r="226" spans="1:10" x14ac:dyDescent="0.35">
      <c r="A226" s="92"/>
      <c r="F226" s="726"/>
      <c r="G226" s="735"/>
      <c r="H226" s="93"/>
      <c r="I226" s="750"/>
      <c r="J226" s="750"/>
    </row>
    <row r="227" spans="1:10" x14ac:dyDescent="0.35">
      <c r="A227" s="92"/>
      <c r="F227" s="726"/>
      <c r="G227" s="735"/>
      <c r="H227" s="93"/>
      <c r="I227" s="750"/>
      <c r="J227" s="750"/>
    </row>
    <row r="228" spans="1:10" x14ac:dyDescent="0.35">
      <c r="A228" s="92"/>
      <c r="F228" s="726"/>
      <c r="G228" s="735"/>
      <c r="H228" s="93"/>
      <c r="I228" s="750"/>
      <c r="J228" s="750"/>
    </row>
    <row r="229" spans="1:10" x14ac:dyDescent="0.35">
      <c r="A229" s="92"/>
      <c r="F229" s="726"/>
      <c r="G229" s="735"/>
      <c r="H229" s="93"/>
      <c r="I229" s="750"/>
      <c r="J229" s="750"/>
    </row>
    <row r="230" spans="1:10" x14ac:dyDescent="0.35">
      <c r="A230" s="92"/>
      <c r="F230" s="726"/>
      <c r="G230" s="735"/>
      <c r="H230" s="93"/>
      <c r="I230" s="750"/>
      <c r="J230" s="750"/>
    </row>
    <row r="231" spans="1:10" x14ac:dyDescent="0.35">
      <c r="A231" s="92"/>
      <c r="F231" s="726"/>
      <c r="G231" s="735"/>
      <c r="H231" s="93"/>
      <c r="I231" s="750"/>
      <c r="J231" s="750"/>
    </row>
    <row r="232" spans="1:10" x14ac:dyDescent="0.35">
      <c r="A232" s="92"/>
      <c r="F232" s="726"/>
      <c r="G232" s="735"/>
      <c r="H232" s="93"/>
      <c r="I232" s="750"/>
      <c r="J232" s="750"/>
    </row>
    <row r="233" spans="1:10" x14ac:dyDescent="0.35">
      <c r="A233" s="92"/>
      <c r="F233" s="726"/>
      <c r="G233" s="735"/>
      <c r="H233" s="93"/>
      <c r="I233" s="750"/>
      <c r="J233" s="750"/>
    </row>
    <row r="234" spans="1:10" x14ac:dyDescent="0.35">
      <c r="A234" s="92"/>
      <c r="F234" s="726"/>
      <c r="G234" s="735"/>
      <c r="H234" s="93"/>
      <c r="I234" s="750"/>
      <c r="J234" s="750"/>
    </row>
    <row r="235" spans="1:10" x14ac:dyDescent="0.35">
      <c r="A235" s="92"/>
      <c r="F235" s="726"/>
      <c r="G235" s="735"/>
      <c r="H235" s="93"/>
      <c r="I235" s="750"/>
      <c r="J235" s="750"/>
    </row>
    <row r="236" spans="1:10" x14ac:dyDescent="0.35">
      <c r="A236" s="92"/>
      <c r="F236" s="726"/>
      <c r="G236" s="735"/>
      <c r="H236" s="93"/>
      <c r="I236" s="750"/>
      <c r="J236" s="750"/>
    </row>
    <row r="237" spans="1:10" x14ac:dyDescent="0.35">
      <c r="A237" s="92"/>
      <c r="F237" s="726"/>
      <c r="G237" s="735"/>
      <c r="H237" s="93"/>
      <c r="I237" s="750"/>
      <c r="J237" s="750"/>
    </row>
    <row r="238" spans="1:10" x14ac:dyDescent="0.35">
      <c r="A238" s="92"/>
      <c r="F238" s="726"/>
      <c r="G238" s="735"/>
      <c r="H238" s="93"/>
      <c r="I238" s="750"/>
      <c r="J238" s="750"/>
    </row>
    <row r="239" spans="1:10" x14ac:dyDescent="0.35">
      <c r="A239" s="92"/>
      <c r="F239" s="726"/>
      <c r="G239" s="735"/>
      <c r="H239" s="93"/>
      <c r="I239" s="750"/>
      <c r="J239" s="750"/>
    </row>
    <row r="240" spans="1:10" x14ac:dyDescent="0.35">
      <c r="A240" s="92"/>
      <c r="F240" s="726"/>
      <c r="G240" s="735"/>
      <c r="H240" s="93"/>
      <c r="I240" s="750"/>
      <c r="J240" s="750"/>
    </row>
    <row r="241" spans="1:10" x14ac:dyDescent="0.35">
      <c r="A241" s="92"/>
      <c r="F241" s="726"/>
      <c r="G241" s="735"/>
      <c r="H241" s="93"/>
      <c r="I241" s="750"/>
      <c r="J241" s="750"/>
    </row>
    <row r="242" spans="1:10" x14ac:dyDescent="0.35">
      <c r="A242" s="92"/>
      <c r="F242" s="726"/>
      <c r="G242" s="735"/>
      <c r="H242" s="93"/>
      <c r="I242" s="750"/>
      <c r="J242" s="750"/>
    </row>
    <row r="243" spans="1:10" x14ac:dyDescent="0.35">
      <c r="A243" s="92"/>
      <c r="F243" s="726"/>
      <c r="G243" s="735"/>
      <c r="H243" s="93"/>
      <c r="I243" s="750"/>
      <c r="J243" s="750"/>
    </row>
    <row r="244" spans="1:10" x14ac:dyDescent="0.35">
      <c r="A244" s="92"/>
      <c r="F244" s="726"/>
      <c r="G244" s="735"/>
      <c r="H244" s="93"/>
      <c r="I244" s="750"/>
      <c r="J244" s="750"/>
    </row>
    <row r="245" spans="1:10" x14ac:dyDescent="0.35">
      <c r="A245" s="92"/>
      <c r="F245" s="726"/>
      <c r="G245" s="735"/>
      <c r="H245" s="93"/>
      <c r="I245" s="750"/>
      <c r="J245" s="750"/>
    </row>
    <row r="246" spans="1:10" x14ac:dyDescent="0.35">
      <c r="A246" s="92"/>
      <c r="F246" s="726"/>
      <c r="G246" s="735"/>
      <c r="H246" s="93"/>
      <c r="I246" s="750"/>
      <c r="J246" s="750"/>
    </row>
    <row r="247" spans="1:10" x14ac:dyDescent="0.35">
      <c r="A247" s="92"/>
      <c r="F247" s="726"/>
      <c r="G247" s="735"/>
      <c r="H247" s="93"/>
      <c r="I247" s="750"/>
      <c r="J247" s="750"/>
    </row>
    <row r="248" spans="1:10" x14ac:dyDescent="0.35">
      <c r="A248" s="92"/>
      <c r="F248" s="726"/>
      <c r="G248" s="735"/>
      <c r="H248" s="93"/>
      <c r="I248" s="750"/>
      <c r="J248" s="750"/>
    </row>
    <row r="249" spans="1:10" x14ac:dyDescent="0.35">
      <c r="A249" s="92"/>
      <c r="F249" s="726"/>
      <c r="G249" s="735"/>
      <c r="H249" s="93"/>
      <c r="I249" s="750"/>
      <c r="J249" s="750"/>
    </row>
    <row r="250" spans="1:10" x14ac:dyDescent="0.35">
      <c r="A250" s="92"/>
      <c r="F250" s="726"/>
      <c r="G250" s="735"/>
      <c r="H250" s="93"/>
      <c r="I250" s="750"/>
      <c r="J250" s="750"/>
    </row>
    <row r="251" spans="1:10" x14ac:dyDescent="0.35">
      <c r="A251" s="92"/>
      <c r="F251" s="726"/>
      <c r="G251" s="735"/>
      <c r="H251" s="93"/>
      <c r="I251" s="750"/>
      <c r="J251" s="750"/>
    </row>
    <row r="252" spans="1:10" x14ac:dyDescent="0.35">
      <c r="A252" s="92"/>
      <c r="F252" s="726"/>
      <c r="G252" s="735"/>
      <c r="H252" s="93"/>
      <c r="I252" s="750"/>
      <c r="J252" s="750"/>
    </row>
    <row r="253" spans="1:10" x14ac:dyDescent="0.35">
      <c r="A253" s="92"/>
      <c r="F253" s="726"/>
      <c r="G253" s="735"/>
      <c r="H253" s="93"/>
      <c r="I253" s="750"/>
      <c r="J253" s="750"/>
    </row>
    <row r="254" spans="1:10" x14ac:dyDescent="0.35">
      <c r="A254" s="92"/>
      <c r="F254" s="726"/>
      <c r="G254" s="735"/>
      <c r="H254" s="93"/>
      <c r="I254" s="750"/>
      <c r="J254" s="750"/>
    </row>
    <row r="255" spans="1:10" x14ac:dyDescent="0.35">
      <c r="A255" s="92"/>
      <c r="F255" s="726"/>
      <c r="G255" s="735"/>
      <c r="H255" s="93"/>
      <c r="I255" s="750"/>
      <c r="J255" s="750"/>
    </row>
    <row r="256" spans="1:10" x14ac:dyDescent="0.35">
      <c r="A256" s="92"/>
      <c r="F256" s="726"/>
      <c r="G256" s="735"/>
      <c r="H256" s="93"/>
      <c r="I256" s="750"/>
      <c r="J256" s="750"/>
    </row>
    <row r="257" spans="1:10" x14ac:dyDescent="0.35">
      <c r="A257" s="92"/>
      <c r="F257" s="726"/>
      <c r="G257" s="735"/>
      <c r="H257" s="93"/>
      <c r="I257" s="750"/>
      <c r="J257" s="750"/>
    </row>
    <row r="258" spans="1:10" x14ac:dyDescent="0.35">
      <c r="A258" s="92"/>
      <c r="F258" s="726"/>
      <c r="G258" s="735"/>
      <c r="H258" s="93"/>
      <c r="I258" s="750"/>
      <c r="J258" s="750"/>
    </row>
    <row r="259" spans="1:10" x14ac:dyDescent="0.35">
      <c r="A259" s="92"/>
      <c r="F259" s="726"/>
      <c r="G259" s="735"/>
      <c r="H259" s="93"/>
      <c r="I259" s="750"/>
      <c r="J259" s="750"/>
    </row>
    <row r="260" spans="1:10" x14ac:dyDescent="0.35">
      <c r="A260" s="92"/>
      <c r="F260" s="726"/>
      <c r="G260" s="735"/>
      <c r="H260" s="93"/>
      <c r="I260" s="750"/>
      <c r="J260" s="750"/>
    </row>
    <row r="261" spans="1:10" x14ac:dyDescent="0.35">
      <c r="A261" s="92"/>
      <c r="F261" s="726"/>
      <c r="G261" s="735"/>
      <c r="H261" s="93"/>
      <c r="I261" s="750"/>
      <c r="J261" s="750"/>
    </row>
    <row r="262" spans="1:10" x14ac:dyDescent="0.35">
      <c r="A262" s="92"/>
      <c r="F262" s="726"/>
      <c r="G262" s="735"/>
      <c r="H262" s="93"/>
      <c r="I262" s="750"/>
      <c r="J262" s="750"/>
    </row>
    <row r="263" spans="1:10" x14ac:dyDescent="0.35">
      <c r="A263" s="92"/>
      <c r="F263" s="726"/>
      <c r="G263" s="735"/>
      <c r="H263" s="93"/>
      <c r="I263" s="750"/>
      <c r="J263" s="750"/>
    </row>
    <row r="264" spans="1:10" x14ac:dyDescent="0.35">
      <c r="A264" s="92"/>
      <c r="F264" s="726"/>
      <c r="G264" s="735"/>
      <c r="H264" s="93"/>
      <c r="I264" s="750"/>
      <c r="J264" s="750"/>
    </row>
    <row r="265" spans="1:10" x14ac:dyDescent="0.35">
      <c r="A265" s="92"/>
      <c r="F265" s="726"/>
      <c r="G265" s="735"/>
      <c r="H265" s="93"/>
      <c r="I265" s="750"/>
      <c r="J265" s="750"/>
    </row>
    <row r="266" spans="1:10" x14ac:dyDescent="0.35">
      <c r="A266" s="92"/>
      <c r="F266" s="726"/>
      <c r="G266" s="735"/>
      <c r="H266" s="93"/>
      <c r="I266" s="750"/>
      <c r="J266" s="750"/>
    </row>
    <row r="267" spans="1:10" x14ac:dyDescent="0.35">
      <c r="A267" s="92"/>
      <c r="F267" s="726"/>
      <c r="G267" s="735"/>
      <c r="H267" s="93"/>
      <c r="I267" s="750"/>
      <c r="J267" s="750"/>
    </row>
    <row r="268" spans="1:10" x14ac:dyDescent="0.35">
      <c r="A268" s="92"/>
      <c r="F268" s="726"/>
      <c r="G268" s="735"/>
      <c r="H268" s="93"/>
      <c r="I268" s="750"/>
      <c r="J268" s="750"/>
    </row>
    <row r="269" spans="1:10" x14ac:dyDescent="0.35">
      <c r="A269" s="92"/>
      <c r="F269" s="726"/>
      <c r="G269" s="735"/>
      <c r="H269" s="93"/>
      <c r="I269" s="750"/>
      <c r="J269" s="750"/>
    </row>
    <row r="270" spans="1:10" x14ac:dyDescent="0.35">
      <c r="A270" s="92"/>
      <c r="F270" s="726"/>
      <c r="G270" s="735"/>
      <c r="H270" s="93"/>
      <c r="I270" s="750"/>
      <c r="J270" s="750"/>
    </row>
    <row r="271" spans="1:10" x14ac:dyDescent="0.35">
      <c r="A271" s="92"/>
      <c r="F271" s="726"/>
      <c r="G271" s="735"/>
      <c r="H271" s="93"/>
      <c r="I271" s="750"/>
      <c r="J271" s="750"/>
    </row>
    <row r="272" spans="1:10" x14ac:dyDescent="0.35">
      <c r="A272" s="92"/>
      <c r="F272" s="726"/>
      <c r="G272" s="735"/>
      <c r="H272" s="93"/>
      <c r="I272" s="750"/>
      <c r="J272" s="750"/>
    </row>
    <row r="273" spans="1:10" x14ac:dyDescent="0.35">
      <c r="A273" s="92"/>
      <c r="F273" s="726"/>
      <c r="G273" s="735"/>
      <c r="H273" s="93"/>
      <c r="I273" s="750"/>
      <c r="J273" s="750"/>
    </row>
    <row r="274" spans="1:10" x14ac:dyDescent="0.35">
      <c r="A274" s="92"/>
      <c r="F274" s="726"/>
      <c r="G274" s="735"/>
      <c r="H274" s="93"/>
      <c r="I274" s="750"/>
      <c r="J274" s="750"/>
    </row>
    <row r="275" spans="1:10" x14ac:dyDescent="0.35">
      <c r="A275" s="92"/>
      <c r="F275" s="726"/>
      <c r="G275" s="735"/>
      <c r="H275" s="93"/>
      <c r="I275" s="750"/>
      <c r="J275" s="750"/>
    </row>
    <row r="276" spans="1:10" x14ac:dyDescent="0.35">
      <c r="A276" s="92"/>
      <c r="F276" s="726"/>
      <c r="G276" s="735"/>
      <c r="H276" s="93"/>
      <c r="I276" s="750"/>
      <c r="J276" s="750"/>
    </row>
    <row r="277" spans="1:10" x14ac:dyDescent="0.35">
      <c r="A277" s="92"/>
      <c r="F277" s="726"/>
      <c r="G277" s="735"/>
      <c r="H277" s="93"/>
      <c r="I277" s="750"/>
      <c r="J277" s="750"/>
    </row>
    <row r="278" spans="1:10" x14ac:dyDescent="0.35">
      <c r="A278" s="92"/>
      <c r="F278" s="726"/>
      <c r="G278" s="735"/>
      <c r="H278" s="93"/>
      <c r="I278" s="750"/>
      <c r="J278" s="750"/>
    </row>
    <row r="279" spans="1:10" x14ac:dyDescent="0.35">
      <c r="A279" s="92"/>
      <c r="F279" s="726"/>
      <c r="G279" s="735"/>
      <c r="H279" s="93"/>
      <c r="I279" s="750"/>
      <c r="J279" s="750"/>
    </row>
    <row r="280" spans="1:10" x14ac:dyDescent="0.35">
      <c r="A280" s="92"/>
      <c r="F280" s="726"/>
      <c r="G280" s="735"/>
      <c r="H280" s="93"/>
      <c r="I280" s="750"/>
      <c r="J280" s="750"/>
    </row>
    <row r="281" spans="1:10" x14ac:dyDescent="0.35">
      <c r="A281" s="92"/>
      <c r="F281" s="726"/>
      <c r="G281" s="735"/>
      <c r="H281" s="93"/>
      <c r="I281" s="750"/>
      <c r="J281" s="750"/>
    </row>
    <row r="282" spans="1:10" x14ac:dyDescent="0.35">
      <c r="A282" s="92"/>
      <c r="F282" s="726"/>
      <c r="G282" s="735"/>
      <c r="H282" s="93"/>
      <c r="I282" s="750"/>
      <c r="J282" s="750"/>
    </row>
    <row r="283" spans="1:10" x14ac:dyDescent="0.35">
      <c r="A283" s="92"/>
      <c r="F283" s="726"/>
      <c r="G283" s="735"/>
      <c r="H283" s="93"/>
      <c r="I283" s="750"/>
      <c r="J283" s="750"/>
    </row>
    <row r="284" spans="1:10" x14ac:dyDescent="0.35">
      <c r="A284" s="92"/>
      <c r="F284" s="726"/>
      <c r="G284" s="735"/>
      <c r="H284" s="93"/>
      <c r="I284" s="750"/>
      <c r="J284" s="750"/>
    </row>
    <row r="285" spans="1:10" x14ac:dyDescent="0.35">
      <c r="A285" s="92"/>
      <c r="F285" s="726"/>
      <c r="G285" s="735"/>
      <c r="H285" s="93"/>
      <c r="I285" s="750"/>
      <c r="J285" s="750"/>
    </row>
    <row r="286" spans="1:10" x14ac:dyDescent="0.35">
      <c r="A286" s="92"/>
      <c r="F286" s="726"/>
      <c r="G286" s="735"/>
      <c r="H286" s="93"/>
      <c r="I286" s="750"/>
      <c r="J286" s="750"/>
    </row>
    <row r="287" spans="1:10" x14ac:dyDescent="0.35">
      <c r="A287" s="92"/>
      <c r="F287" s="726"/>
      <c r="G287" s="735"/>
      <c r="H287" s="93"/>
      <c r="I287" s="750"/>
      <c r="J287" s="750"/>
    </row>
    <row r="288" spans="1:10" x14ac:dyDescent="0.35">
      <c r="A288" s="92"/>
      <c r="F288" s="726"/>
      <c r="G288" s="735"/>
      <c r="H288" s="93"/>
      <c r="I288" s="750"/>
      <c r="J288" s="750"/>
    </row>
    <row r="289" spans="1:10" x14ac:dyDescent="0.35">
      <c r="A289" s="92"/>
      <c r="F289" s="726"/>
      <c r="G289" s="735"/>
      <c r="H289" s="93"/>
      <c r="I289" s="750"/>
      <c r="J289" s="750"/>
    </row>
    <row r="290" spans="1:10" x14ac:dyDescent="0.35">
      <c r="A290" s="92"/>
      <c r="F290" s="726"/>
      <c r="G290" s="735"/>
      <c r="H290" s="93"/>
      <c r="I290" s="750"/>
      <c r="J290" s="750"/>
    </row>
    <row r="291" spans="1:10" x14ac:dyDescent="0.35">
      <c r="A291" s="92"/>
      <c r="F291" s="726"/>
      <c r="G291" s="735"/>
      <c r="H291" s="93"/>
      <c r="I291" s="750"/>
      <c r="J291" s="750"/>
    </row>
    <row r="292" spans="1:10" x14ac:dyDescent="0.35">
      <c r="A292" s="92"/>
      <c r="F292" s="726"/>
      <c r="G292" s="735"/>
      <c r="H292" s="93"/>
      <c r="I292" s="750"/>
      <c r="J292" s="750"/>
    </row>
    <row r="293" spans="1:10" x14ac:dyDescent="0.35">
      <c r="A293" s="92"/>
      <c r="F293" s="726"/>
      <c r="G293" s="735"/>
      <c r="H293" s="93"/>
      <c r="I293" s="750"/>
      <c r="J293" s="750"/>
    </row>
    <row r="294" spans="1:10" x14ac:dyDescent="0.35">
      <c r="A294" s="92"/>
      <c r="F294" s="726"/>
      <c r="G294" s="735"/>
      <c r="H294" s="93"/>
      <c r="I294" s="750"/>
      <c r="J294" s="750"/>
    </row>
    <row r="295" spans="1:10" x14ac:dyDescent="0.35">
      <c r="A295" s="92"/>
      <c r="F295" s="726"/>
      <c r="G295" s="735"/>
      <c r="H295" s="93"/>
      <c r="I295" s="750"/>
      <c r="J295" s="750"/>
    </row>
    <row r="296" spans="1:10" x14ac:dyDescent="0.35">
      <c r="A296" s="92"/>
      <c r="F296" s="726"/>
      <c r="G296" s="735"/>
      <c r="H296" s="93"/>
      <c r="I296" s="750"/>
      <c r="J296" s="750"/>
    </row>
    <row r="297" spans="1:10" x14ac:dyDescent="0.35">
      <c r="A297" s="92"/>
      <c r="F297" s="726"/>
      <c r="G297" s="735"/>
      <c r="H297" s="93"/>
      <c r="I297" s="750"/>
      <c r="J297" s="750"/>
    </row>
    <row r="298" spans="1:10" x14ac:dyDescent="0.35">
      <c r="A298" s="92"/>
      <c r="F298" s="726"/>
      <c r="G298" s="735"/>
      <c r="H298" s="93"/>
      <c r="I298" s="750"/>
      <c r="J298" s="750"/>
    </row>
    <row r="299" spans="1:10" x14ac:dyDescent="0.35">
      <c r="A299" s="92"/>
      <c r="F299" s="726"/>
      <c r="G299" s="735"/>
      <c r="H299" s="93"/>
      <c r="I299" s="750"/>
      <c r="J299" s="750"/>
    </row>
    <row r="300" spans="1:10" x14ac:dyDescent="0.35">
      <c r="A300" s="92"/>
      <c r="F300" s="726"/>
      <c r="G300" s="735"/>
      <c r="H300" s="93"/>
      <c r="I300" s="750"/>
      <c r="J300" s="750"/>
    </row>
    <row r="301" spans="1:10" x14ac:dyDescent="0.35">
      <c r="A301" s="92"/>
      <c r="F301" s="726"/>
      <c r="G301" s="735"/>
      <c r="H301" s="93"/>
      <c r="I301" s="750"/>
      <c r="J301" s="750"/>
    </row>
    <row r="302" spans="1:10" x14ac:dyDescent="0.35">
      <c r="A302" s="92"/>
      <c r="F302" s="726"/>
      <c r="G302" s="735"/>
      <c r="H302" s="93"/>
      <c r="I302" s="750"/>
      <c r="J302" s="750"/>
    </row>
    <row r="303" spans="1:10" x14ac:dyDescent="0.35">
      <c r="A303" s="92"/>
      <c r="F303" s="726"/>
      <c r="G303" s="735"/>
      <c r="H303" s="93"/>
      <c r="I303" s="750"/>
      <c r="J303" s="750"/>
    </row>
    <row r="304" spans="1:10" x14ac:dyDescent="0.35">
      <c r="A304" s="92"/>
      <c r="F304" s="726"/>
      <c r="G304" s="735"/>
      <c r="H304" s="93"/>
      <c r="I304" s="750"/>
      <c r="J304" s="750"/>
    </row>
    <row r="305" spans="1:10" x14ac:dyDescent="0.35">
      <c r="A305" s="92"/>
      <c r="F305" s="726"/>
      <c r="G305" s="735"/>
      <c r="H305" s="93"/>
      <c r="I305" s="750"/>
      <c r="J305" s="750"/>
    </row>
    <row r="306" spans="1:10" x14ac:dyDescent="0.35">
      <c r="A306" s="92"/>
      <c r="F306" s="726"/>
      <c r="G306" s="735"/>
      <c r="H306" s="93"/>
      <c r="I306" s="750"/>
      <c r="J306" s="750"/>
    </row>
    <row r="307" spans="1:10" x14ac:dyDescent="0.35">
      <c r="A307" s="92"/>
      <c r="F307" s="726"/>
      <c r="G307" s="735"/>
      <c r="H307" s="93"/>
      <c r="I307" s="750"/>
      <c r="J307" s="750"/>
    </row>
    <row r="308" spans="1:10" x14ac:dyDescent="0.35">
      <c r="A308" s="92"/>
      <c r="F308" s="726"/>
      <c r="G308" s="735"/>
      <c r="H308" s="93"/>
      <c r="I308" s="750"/>
      <c r="J308" s="750"/>
    </row>
    <row r="309" spans="1:10" x14ac:dyDescent="0.35">
      <c r="A309" s="92"/>
      <c r="F309" s="726"/>
      <c r="G309" s="735"/>
      <c r="H309" s="93"/>
      <c r="I309" s="750"/>
      <c r="J309" s="750"/>
    </row>
    <row r="310" spans="1:10" x14ac:dyDescent="0.35">
      <c r="A310" s="92"/>
      <c r="F310" s="726"/>
      <c r="G310" s="735"/>
      <c r="H310" s="93"/>
      <c r="I310" s="750"/>
      <c r="J310" s="750"/>
    </row>
    <row r="311" spans="1:10" x14ac:dyDescent="0.35">
      <c r="A311" s="92"/>
      <c r="F311" s="726"/>
      <c r="G311" s="735"/>
      <c r="H311" s="93"/>
      <c r="I311" s="750"/>
      <c r="J311" s="750"/>
    </row>
    <row r="312" spans="1:10" x14ac:dyDescent="0.35">
      <c r="A312" s="92"/>
      <c r="F312" s="726"/>
      <c r="G312" s="735"/>
      <c r="H312" s="93"/>
      <c r="I312" s="750"/>
      <c r="J312" s="750"/>
    </row>
    <row r="313" spans="1:10" x14ac:dyDescent="0.35">
      <c r="A313" s="92"/>
      <c r="F313" s="726"/>
      <c r="G313" s="735"/>
      <c r="H313" s="93"/>
      <c r="I313" s="750"/>
      <c r="J313" s="750"/>
    </row>
    <row r="314" spans="1:10" x14ac:dyDescent="0.35">
      <c r="A314" s="92"/>
      <c r="F314" s="726"/>
      <c r="G314" s="735"/>
      <c r="H314" s="93"/>
      <c r="I314" s="750"/>
      <c r="J314" s="750"/>
    </row>
    <row r="315" spans="1:10" x14ac:dyDescent="0.35">
      <c r="A315" s="92"/>
      <c r="F315" s="726"/>
      <c r="G315" s="735"/>
      <c r="H315" s="93"/>
      <c r="I315" s="750"/>
      <c r="J315" s="750"/>
    </row>
    <row r="316" spans="1:10" x14ac:dyDescent="0.35">
      <c r="A316" s="92"/>
      <c r="F316" s="726"/>
      <c r="G316" s="735"/>
      <c r="H316" s="93"/>
      <c r="I316" s="750"/>
      <c r="J316" s="750"/>
    </row>
    <row r="317" spans="1:10" x14ac:dyDescent="0.35">
      <c r="A317" s="92"/>
      <c r="F317" s="726"/>
      <c r="G317" s="735"/>
      <c r="H317" s="93"/>
      <c r="I317" s="750"/>
      <c r="J317" s="750"/>
    </row>
    <row r="318" spans="1:10" x14ac:dyDescent="0.35">
      <c r="A318" s="92"/>
      <c r="F318" s="726"/>
      <c r="G318" s="735"/>
      <c r="H318" s="93"/>
      <c r="I318" s="750"/>
      <c r="J318" s="750"/>
    </row>
    <row r="319" spans="1:10" x14ac:dyDescent="0.35">
      <c r="A319" s="92"/>
      <c r="F319" s="726"/>
      <c r="G319" s="735"/>
      <c r="H319" s="93"/>
      <c r="I319" s="750"/>
      <c r="J319" s="750"/>
    </row>
    <row r="320" spans="1:10" x14ac:dyDescent="0.35">
      <c r="A320" s="92"/>
      <c r="F320" s="726"/>
      <c r="G320" s="735"/>
      <c r="H320" s="93"/>
      <c r="I320" s="750"/>
      <c r="J320" s="750"/>
    </row>
    <row r="321" spans="1:10" x14ac:dyDescent="0.35">
      <c r="A321" s="92"/>
      <c r="F321" s="726"/>
      <c r="G321" s="735"/>
      <c r="H321" s="93"/>
      <c r="I321" s="750"/>
      <c r="J321" s="750"/>
    </row>
    <row r="322" spans="1:10" x14ac:dyDescent="0.35">
      <c r="A322" s="92"/>
      <c r="F322" s="726"/>
      <c r="G322" s="735"/>
      <c r="H322" s="93"/>
      <c r="I322" s="750"/>
      <c r="J322" s="750"/>
    </row>
    <row r="323" spans="1:10" x14ac:dyDescent="0.35">
      <c r="A323" s="92"/>
      <c r="F323" s="726"/>
      <c r="G323" s="735"/>
      <c r="H323" s="93"/>
      <c r="I323" s="750"/>
      <c r="J323" s="750"/>
    </row>
    <row r="324" spans="1:10" x14ac:dyDescent="0.35">
      <c r="A324" s="92"/>
      <c r="F324" s="726"/>
      <c r="G324" s="735"/>
      <c r="H324" s="93"/>
      <c r="I324" s="750"/>
      <c r="J324" s="750"/>
    </row>
    <row r="325" spans="1:10" x14ac:dyDescent="0.35">
      <c r="A325" s="92"/>
      <c r="F325" s="726"/>
      <c r="G325" s="735"/>
      <c r="H325" s="93"/>
      <c r="I325" s="750"/>
      <c r="J325" s="750"/>
    </row>
    <row r="326" spans="1:10" x14ac:dyDescent="0.35">
      <c r="A326" s="92"/>
      <c r="F326" s="726"/>
      <c r="G326" s="735"/>
      <c r="H326" s="93"/>
      <c r="I326" s="750"/>
      <c r="J326" s="750"/>
    </row>
    <row r="327" spans="1:10" x14ac:dyDescent="0.35">
      <c r="A327" s="92"/>
      <c r="F327" s="726"/>
      <c r="G327" s="735"/>
      <c r="H327" s="93"/>
      <c r="I327" s="750"/>
      <c r="J327" s="750"/>
    </row>
    <row r="328" spans="1:10" x14ac:dyDescent="0.35">
      <c r="A328" s="92"/>
      <c r="F328" s="726"/>
      <c r="G328" s="735"/>
      <c r="H328" s="93"/>
      <c r="I328" s="750"/>
      <c r="J328" s="750"/>
    </row>
    <row r="329" spans="1:10" x14ac:dyDescent="0.35">
      <c r="A329" s="92"/>
      <c r="F329" s="726"/>
      <c r="G329" s="735"/>
      <c r="H329" s="93"/>
      <c r="I329" s="750"/>
      <c r="J329" s="750"/>
    </row>
    <row r="330" spans="1:10" x14ac:dyDescent="0.35">
      <c r="A330" s="92"/>
      <c r="F330" s="726"/>
      <c r="G330" s="735"/>
      <c r="H330" s="93"/>
      <c r="I330" s="750"/>
      <c r="J330" s="750"/>
    </row>
    <row r="331" spans="1:10" x14ac:dyDescent="0.35">
      <c r="A331" s="92"/>
      <c r="F331" s="726"/>
      <c r="G331" s="735"/>
      <c r="H331" s="93"/>
      <c r="I331" s="750"/>
      <c r="J331" s="750"/>
    </row>
    <row r="332" spans="1:10" x14ac:dyDescent="0.35">
      <c r="A332" s="92"/>
      <c r="F332" s="726"/>
      <c r="G332" s="735"/>
      <c r="H332" s="93"/>
      <c r="I332" s="750"/>
      <c r="J332" s="750"/>
    </row>
    <row r="333" spans="1:10" x14ac:dyDescent="0.35">
      <c r="A333" s="92"/>
      <c r="F333" s="726"/>
      <c r="G333" s="735"/>
      <c r="H333" s="93"/>
      <c r="I333" s="750"/>
      <c r="J333" s="750"/>
    </row>
    <row r="334" spans="1:10" x14ac:dyDescent="0.35">
      <c r="A334" s="92"/>
      <c r="F334" s="726"/>
      <c r="G334" s="735"/>
      <c r="H334" s="93"/>
      <c r="I334" s="750"/>
      <c r="J334" s="750"/>
    </row>
    <row r="335" spans="1:10" x14ac:dyDescent="0.35">
      <c r="A335" s="92"/>
      <c r="F335" s="726"/>
      <c r="G335" s="735"/>
      <c r="H335" s="93"/>
      <c r="I335" s="750"/>
      <c r="J335" s="750"/>
    </row>
    <row r="336" spans="1:10" x14ac:dyDescent="0.35">
      <c r="A336" s="92"/>
      <c r="F336" s="726"/>
      <c r="G336" s="735"/>
      <c r="H336" s="93"/>
      <c r="I336" s="750"/>
      <c r="J336" s="750"/>
    </row>
    <row r="337" spans="1:10" x14ac:dyDescent="0.35">
      <c r="A337" s="92"/>
      <c r="F337" s="726"/>
      <c r="G337" s="735"/>
      <c r="H337" s="93"/>
      <c r="I337" s="750"/>
      <c r="J337" s="750"/>
    </row>
    <row r="338" spans="1:10" x14ac:dyDescent="0.35">
      <c r="A338" s="92"/>
      <c r="F338" s="726"/>
      <c r="G338" s="735"/>
      <c r="H338" s="93"/>
      <c r="I338" s="750"/>
      <c r="J338" s="750"/>
    </row>
    <row r="339" spans="1:10" x14ac:dyDescent="0.35">
      <c r="A339" s="92"/>
      <c r="F339" s="726"/>
      <c r="G339" s="735"/>
      <c r="H339" s="93"/>
      <c r="I339" s="750"/>
      <c r="J339" s="750"/>
    </row>
    <row r="340" spans="1:10" x14ac:dyDescent="0.35">
      <c r="A340" s="92"/>
      <c r="F340" s="726"/>
      <c r="G340" s="735"/>
      <c r="H340" s="93"/>
      <c r="I340" s="750"/>
      <c r="J340" s="750"/>
    </row>
    <row r="341" spans="1:10" x14ac:dyDescent="0.35">
      <c r="A341" s="92"/>
      <c r="F341" s="726"/>
      <c r="G341" s="735"/>
      <c r="H341" s="93"/>
      <c r="I341" s="750"/>
      <c r="J341" s="750"/>
    </row>
    <row r="342" spans="1:10" x14ac:dyDescent="0.35">
      <c r="A342" s="92"/>
      <c r="F342" s="726"/>
      <c r="G342" s="735"/>
      <c r="H342" s="93"/>
      <c r="I342" s="750"/>
      <c r="J342" s="750"/>
    </row>
    <row r="343" spans="1:10" x14ac:dyDescent="0.35">
      <c r="A343" s="92"/>
      <c r="F343" s="726"/>
      <c r="G343" s="735"/>
      <c r="H343" s="93"/>
      <c r="I343" s="750"/>
      <c r="J343" s="750"/>
    </row>
    <row r="344" spans="1:10" x14ac:dyDescent="0.35">
      <c r="A344" s="92"/>
      <c r="F344" s="726"/>
      <c r="G344" s="735"/>
      <c r="H344" s="93"/>
      <c r="I344" s="750"/>
      <c r="J344" s="750"/>
    </row>
    <row r="345" spans="1:10" x14ac:dyDescent="0.35">
      <c r="A345" s="92"/>
      <c r="F345" s="726"/>
      <c r="G345" s="735"/>
      <c r="H345" s="93"/>
      <c r="I345" s="750"/>
      <c r="J345" s="750"/>
    </row>
    <row r="346" spans="1:10" x14ac:dyDescent="0.35">
      <c r="A346" s="92"/>
      <c r="F346" s="726"/>
      <c r="G346" s="735"/>
      <c r="H346" s="93"/>
      <c r="I346" s="750"/>
      <c r="J346" s="750"/>
    </row>
    <row r="347" spans="1:10" x14ac:dyDescent="0.35">
      <c r="A347" s="92"/>
      <c r="F347" s="726"/>
      <c r="G347" s="735"/>
      <c r="H347" s="93"/>
      <c r="I347" s="750"/>
      <c r="J347" s="750"/>
    </row>
    <row r="348" spans="1:10" x14ac:dyDescent="0.35">
      <c r="A348" s="92"/>
      <c r="F348" s="726"/>
      <c r="G348" s="735"/>
      <c r="H348" s="93"/>
      <c r="I348" s="750"/>
      <c r="J348" s="750"/>
    </row>
    <row r="349" spans="1:10" x14ac:dyDescent="0.35">
      <c r="A349" s="92"/>
      <c r="F349" s="726"/>
      <c r="G349" s="735"/>
      <c r="H349" s="93"/>
      <c r="I349" s="750"/>
      <c r="J349" s="750"/>
    </row>
    <row r="350" spans="1:10" x14ac:dyDescent="0.35">
      <c r="A350" s="92"/>
      <c r="F350" s="726"/>
      <c r="G350" s="735"/>
      <c r="H350" s="93"/>
      <c r="I350" s="750"/>
      <c r="J350" s="750"/>
    </row>
    <row r="351" spans="1:10" x14ac:dyDescent="0.35">
      <c r="A351" s="92"/>
      <c r="F351" s="726"/>
      <c r="G351" s="735"/>
      <c r="H351" s="93"/>
      <c r="I351" s="750"/>
      <c r="J351" s="750"/>
    </row>
    <row r="352" spans="1:10" x14ac:dyDescent="0.35">
      <c r="A352" s="92"/>
      <c r="F352" s="726"/>
      <c r="G352" s="735"/>
      <c r="H352" s="93"/>
      <c r="I352" s="750"/>
      <c r="J352" s="750"/>
    </row>
    <row r="353" spans="1:10" x14ac:dyDescent="0.35">
      <c r="A353" s="92"/>
      <c r="F353" s="726"/>
      <c r="G353" s="735"/>
      <c r="H353" s="93"/>
      <c r="I353" s="750"/>
      <c r="J353" s="750"/>
    </row>
    <row r="354" spans="1:10" x14ac:dyDescent="0.35">
      <c r="A354" s="92"/>
      <c r="F354" s="726"/>
      <c r="G354" s="735"/>
      <c r="H354" s="93"/>
      <c r="I354" s="750"/>
      <c r="J354" s="750"/>
    </row>
    <row r="355" spans="1:10" x14ac:dyDescent="0.35">
      <c r="A355" s="92"/>
      <c r="F355" s="726"/>
      <c r="G355" s="735"/>
      <c r="H355" s="93"/>
      <c r="I355" s="750"/>
      <c r="J355" s="750"/>
    </row>
    <row r="356" spans="1:10" x14ac:dyDescent="0.35">
      <c r="A356" s="92"/>
      <c r="F356" s="726"/>
      <c r="G356" s="735"/>
      <c r="H356" s="93"/>
      <c r="I356" s="750"/>
      <c r="J356" s="750"/>
    </row>
    <row r="357" spans="1:10" x14ac:dyDescent="0.35">
      <c r="A357" s="92"/>
      <c r="F357" s="726"/>
      <c r="G357" s="735"/>
      <c r="H357" s="93"/>
      <c r="I357" s="750"/>
      <c r="J357" s="750"/>
    </row>
    <row r="358" spans="1:10" x14ac:dyDescent="0.35">
      <c r="A358" s="92"/>
      <c r="F358" s="726"/>
      <c r="G358" s="735"/>
      <c r="H358" s="93"/>
      <c r="I358" s="750"/>
      <c r="J358" s="750"/>
    </row>
    <row r="359" spans="1:10" x14ac:dyDescent="0.35">
      <c r="A359" s="92"/>
      <c r="F359" s="726"/>
      <c r="G359" s="735"/>
      <c r="H359" s="93"/>
      <c r="I359" s="750"/>
      <c r="J359" s="750"/>
    </row>
    <row r="360" spans="1:10" x14ac:dyDescent="0.35">
      <c r="A360" s="92"/>
      <c r="F360" s="726"/>
      <c r="G360" s="735"/>
      <c r="H360" s="93"/>
      <c r="I360" s="750"/>
      <c r="J360" s="750"/>
    </row>
    <row r="361" spans="1:10" x14ac:dyDescent="0.35">
      <c r="A361" s="92"/>
      <c r="F361" s="726"/>
      <c r="G361" s="735"/>
      <c r="H361" s="93"/>
      <c r="I361" s="750"/>
      <c r="J361" s="750"/>
    </row>
    <row r="362" spans="1:10" x14ac:dyDescent="0.35">
      <c r="A362" s="92"/>
      <c r="F362" s="726"/>
      <c r="G362" s="735"/>
      <c r="H362" s="93"/>
      <c r="I362" s="750"/>
      <c r="J362" s="750"/>
    </row>
    <row r="363" spans="1:10" x14ac:dyDescent="0.35">
      <c r="A363" s="92"/>
      <c r="F363" s="726"/>
      <c r="G363" s="735"/>
      <c r="H363" s="93"/>
      <c r="I363" s="750"/>
      <c r="J363" s="750"/>
    </row>
    <row r="364" spans="1:10" x14ac:dyDescent="0.35">
      <c r="A364" s="92"/>
      <c r="F364" s="726"/>
      <c r="G364" s="735"/>
      <c r="H364" s="93"/>
      <c r="I364" s="750"/>
      <c r="J364" s="750"/>
    </row>
    <row r="365" spans="1:10" x14ac:dyDescent="0.35">
      <c r="A365" s="92"/>
      <c r="F365" s="726"/>
      <c r="G365" s="735"/>
      <c r="H365" s="93"/>
      <c r="I365" s="750"/>
      <c r="J365" s="750"/>
    </row>
    <row r="366" spans="1:10" x14ac:dyDescent="0.35">
      <c r="A366" s="92"/>
      <c r="F366" s="726"/>
      <c r="G366" s="735"/>
      <c r="H366" s="93"/>
      <c r="I366" s="750"/>
      <c r="J366" s="750"/>
    </row>
    <row r="367" spans="1:10" x14ac:dyDescent="0.35">
      <c r="A367" s="92"/>
      <c r="F367" s="726"/>
      <c r="G367" s="735"/>
      <c r="H367" s="93"/>
      <c r="I367" s="750"/>
      <c r="J367" s="750"/>
    </row>
    <row r="368" spans="1:10" x14ac:dyDescent="0.35">
      <c r="A368" s="92"/>
      <c r="F368" s="726"/>
      <c r="G368" s="735"/>
      <c r="H368" s="93"/>
      <c r="I368" s="750"/>
      <c r="J368" s="750"/>
    </row>
    <row r="369" spans="1:10" x14ac:dyDescent="0.35">
      <c r="A369" s="92"/>
      <c r="F369" s="726"/>
      <c r="G369" s="735"/>
      <c r="H369" s="93"/>
      <c r="I369" s="750"/>
      <c r="J369" s="750"/>
    </row>
    <row r="370" spans="1:10" x14ac:dyDescent="0.35">
      <c r="A370" s="92"/>
      <c r="F370" s="726"/>
      <c r="G370" s="735"/>
      <c r="H370" s="93"/>
      <c r="I370" s="750"/>
      <c r="J370" s="750"/>
    </row>
    <row r="371" spans="1:10" x14ac:dyDescent="0.35">
      <c r="A371" s="92"/>
      <c r="F371" s="726"/>
      <c r="G371" s="735"/>
      <c r="H371" s="93"/>
      <c r="I371" s="750"/>
      <c r="J371" s="750"/>
    </row>
    <row r="372" spans="1:10" x14ac:dyDescent="0.35">
      <c r="A372" s="92"/>
      <c r="F372" s="726"/>
      <c r="G372" s="735"/>
      <c r="H372" s="93"/>
      <c r="I372" s="750"/>
      <c r="J372" s="750"/>
    </row>
    <row r="373" spans="1:10" x14ac:dyDescent="0.35">
      <c r="A373" s="92"/>
      <c r="F373" s="726"/>
      <c r="G373" s="735"/>
      <c r="H373" s="93"/>
      <c r="I373" s="750"/>
      <c r="J373" s="750"/>
    </row>
    <row r="374" spans="1:10" x14ac:dyDescent="0.35">
      <c r="A374" s="92"/>
      <c r="F374" s="726"/>
      <c r="G374" s="735"/>
      <c r="H374" s="93"/>
      <c r="I374" s="750"/>
      <c r="J374" s="750"/>
    </row>
    <row r="375" spans="1:10" x14ac:dyDescent="0.35">
      <c r="A375" s="92"/>
      <c r="F375" s="726"/>
      <c r="G375" s="735"/>
      <c r="H375" s="93"/>
      <c r="I375" s="750"/>
      <c r="J375" s="750"/>
    </row>
    <row r="376" spans="1:10" x14ac:dyDescent="0.35">
      <c r="A376" s="92"/>
      <c r="F376" s="726"/>
      <c r="G376" s="735"/>
      <c r="H376" s="93"/>
      <c r="I376" s="750"/>
      <c r="J376" s="750"/>
    </row>
    <row r="377" spans="1:10" x14ac:dyDescent="0.35">
      <c r="A377" s="92"/>
      <c r="F377" s="726"/>
      <c r="G377" s="735"/>
      <c r="H377" s="93"/>
      <c r="I377" s="750"/>
      <c r="J377" s="750"/>
    </row>
    <row r="378" spans="1:10" x14ac:dyDescent="0.35">
      <c r="A378" s="92"/>
      <c r="F378" s="726"/>
      <c r="G378" s="735"/>
      <c r="H378" s="93"/>
      <c r="I378" s="750"/>
      <c r="J378" s="750"/>
    </row>
    <row r="379" spans="1:10" x14ac:dyDescent="0.35">
      <c r="A379" s="92"/>
      <c r="F379" s="726"/>
      <c r="G379" s="735"/>
      <c r="H379" s="93"/>
      <c r="I379" s="750"/>
      <c r="J379" s="750"/>
    </row>
    <row r="380" spans="1:10" x14ac:dyDescent="0.35">
      <c r="A380" s="92"/>
      <c r="F380" s="726"/>
      <c r="G380" s="735"/>
      <c r="H380" s="93"/>
      <c r="I380" s="750"/>
      <c r="J380" s="750"/>
    </row>
    <row r="381" spans="1:10" x14ac:dyDescent="0.35">
      <c r="A381" s="92"/>
      <c r="F381" s="726"/>
      <c r="G381" s="735"/>
      <c r="H381" s="93"/>
      <c r="I381" s="750"/>
      <c r="J381" s="750"/>
    </row>
    <row r="382" spans="1:10" x14ac:dyDescent="0.35">
      <c r="A382" s="92"/>
      <c r="F382" s="726"/>
      <c r="G382" s="735"/>
      <c r="H382" s="93"/>
      <c r="I382" s="750"/>
      <c r="J382" s="750"/>
    </row>
    <row r="383" spans="1:10" x14ac:dyDescent="0.35">
      <c r="A383" s="92"/>
      <c r="F383" s="726"/>
      <c r="G383" s="735"/>
      <c r="H383" s="93"/>
      <c r="I383" s="750"/>
      <c r="J383" s="750"/>
    </row>
    <row r="384" spans="1:10" x14ac:dyDescent="0.35">
      <c r="A384" s="92"/>
      <c r="F384" s="726"/>
      <c r="G384" s="735"/>
      <c r="H384" s="93"/>
      <c r="I384" s="750"/>
      <c r="J384" s="750"/>
    </row>
    <row r="385" spans="1:10" x14ac:dyDescent="0.35">
      <c r="A385" s="92"/>
      <c r="F385" s="726"/>
      <c r="G385" s="735"/>
      <c r="H385" s="93"/>
      <c r="I385" s="750"/>
      <c r="J385" s="750"/>
    </row>
    <row r="386" spans="1:10" x14ac:dyDescent="0.35">
      <c r="A386" s="92"/>
      <c r="F386" s="726"/>
      <c r="G386" s="735"/>
      <c r="H386" s="93"/>
      <c r="I386" s="750"/>
      <c r="J386" s="750"/>
    </row>
    <row r="387" spans="1:10" x14ac:dyDescent="0.35">
      <c r="A387" s="92"/>
      <c r="F387" s="726"/>
      <c r="G387" s="735"/>
      <c r="H387" s="93"/>
      <c r="I387" s="750"/>
      <c r="J387" s="750"/>
    </row>
    <row r="388" spans="1:10" x14ac:dyDescent="0.35">
      <c r="A388" s="92"/>
      <c r="F388" s="726"/>
      <c r="G388" s="735"/>
      <c r="H388" s="93"/>
      <c r="I388" s="750"/>
      <c r="J388" s="750"/>
    </row>
    <row r="389" spans="1:10" x14ac:dyDescent="0.35">
      <c r="A389" s="92"/>
      <c r="F389" s="726"/>
      <c r="G389" s="735"/>
      <c r="H389" s="93"/>
      <c r="I389" s="750"/>
      <c r="J389" s="750"/>
    </row>
    <row r="390" spans="1:10" x14ac:dyDescent="0.35">
      <c r="A390" s="92"/>
      <c r="F390" s="726"/>
      <c r="G390" s="735"/>
      <c r="H390" s="93"/>
      <c r="I390" s="750"/>
      <c r="J390" s="750"/>
    </row>
    <row r="391" spans="1:10" x14ac:dyDescent="0.35">
      <c r="A391" s="92"/>
      <c r="F391" s="726"/>
      <c r="G391" s="735"/>
      <c r="H391" s="93"/>
      <c r="I391" s="750"/>
      <c r="J391" s="750"/>
    </row>
    <row r="392" spans="1:10" x14ac:dyDescent="0.35">
      <c r="A392" s="92"/>
      <c r="F392" s="726"/>
      <c r="G392" s="735"/>
      <c r="H392" s="93"/>
      <c r="I392" s="750"/>
      <c r="J392" s="750"/>
    </row>
    <row r="393" spans="1:10" x14ac:dyDescent="0.35">
      <c r="A393" s="92"/>
      <c r="F393" s="726"/>
      <c r="G393" s="735"/>
      <c r="H393" s="93"/>
      <c r="I393" s="750"/>
      <c r="J393" s="750"/>
    </row>
    <row r="394" spans="1:10" x14ac:dyDescent="0.35">
      <c r="A394" s="92"/>
      <c r="F394" s="726"/>
      <c r="G394" s="735"/>
      <c r="H394" s="93"/>
      <c r="I394" s="750"/>
      <c r="J394" s="750"/>
    </row>
    <row r="395" spans="1:10" x14ac:dyDescent="0.35">
      <c r="A395" s="92"/>
      <c r="F395" s="726"/>
      <c r="G395" s="735"/>
      <c r="H395" s="93"/>
      <c r="I395" s="750"/>
      <c r="J395" s="750"/>
    </row>
    <row r="396" spans="1:10" x14ac:dyDescent="0.35">
      <c r="A396" s="92"/>
      <c r="F396" s="726"/>
      <c r="G396" s="735"/>
      <c r="H396" s="93"/>
      <c r="I396" s="750"/>
      <c r="J396" s="750"/>
    </row>
    <row r="397" spans="1:10" x14ac:dyDescent="0.35">
      <c r="A397" s="92"/>
      <c r="F397" s="726"/>
      <c r="G397" s="735"/>
      <c r="H397" s="93"/>
      <c r="I397" s="750"/>
      <c r="J397" s="750"/>
    </row>
    <row r="398" spans="1:10" x14ac:dyDescent="0.35">
      <c r="A398" s="92"/>
      <c r="F398" s="726"/>
      <c r="G398" s="735"/>
      <c r="H398" s="93"/>
      <c r="I398" s="750"/>
      <c r="J398" s="750"/>
    </row>
    <row r="399" spans="1:10" x14ac:dyDescent="0.35">
      <c r="A399" s="92"/>
      <c r="F399" s="726"/>
      <c r="G399" s="735"/>
      <c r="H399" s="93"/>
      <c r="I399" s="750"/>
      <c r="J399" s="750"/>
    </row>
    <row r="400" spans="1:10" x14ac:dyDescent="0.35">
      <c r="A400" s="92"/>
      <c r="F400" s="726"/>
      <c r="G400" s="735"/>
      <c r="H400" s="93"/>
      <c r="I400" s="750"/>
      <c r="J400" s="750"/>
    </row>
    <row r="401" spans="1:10" x14ac:dyDescent="0.35">
      <c r="A401" s="92"/>
      <c r="F401" s="726"/>
      <c r="G401" s="735"/>
      <c r="H401" s="93"/>
      <c r="I401" s="750"/>
      <c r="J401" s="750"/>
    </row>
    <row r="402" spans="1:10" x14ac:dyDescent="0.35">
      <c r="A402" s="92"/>
      <c r="F402" s="726"/>
      <c r="G402" s="735"/>
      <c r="H402" s="93"/>
      <c r="I402" s="750"/>
      <c r="J402" s="750"/>
    </row>
    <row r="403" spans="1:10" x14ac:dyDescent="0.35">
      <c r="A403" s="92"/>
      <c r="F403" s="726"/>
      <c r="G403" s="735"/>
      <c r="H403" s="93"/>
      <c r="I403" s="750"/>
      <c r="J403" s="750"/>
    </row>
    <row r="404" spans="1:10" x14ac:dyDescent="0.35">
      <c r="A404" s="92"/>
      <c r="F404" s="726"/>
      <c r="G404" s="735"/>
      <c r="H404" s="93"/>
      <c r="I404" s="750"/>
      <c r="J404" s="750"/>
    </row>
    <row r="405" spans="1:10" x14ac:dyDescent="0.35">
      <c r="A405" s="92"/>
      <c r="F405" s="726"/>
      <c r="G405" s="735"/>
      <c r="H405" s="93"/>
      <c r="I405" s="750"/>
      <c r="J405" s="750"/>
    </row>
    <row r="406" spans="1:10" x14ac:dyDescent="0.35">
      <c r="A406" s="92"/>
      <c r="F406" s="726"/>
      <c r="G406" s="735"/>
      <c r="H406" s="93"/>
      <c r="I406" s="750"/>
      <c r="J406" s="750"/>
    </row>
    <row r="407" spans="1:10" x14ac:dyDescent="0.35">
      <c r="A407" s="92"/>
      <c r="F407" s="726"/>
      <c r="G407" s="735"/>
      <c r="H407" s="93"/>
      <c r="I407" s="750"/>
      <c r="J407" s="750"/>
    </row>
    <row r="408" spans="1:10" x14ac:dyDescent="0.35">
      <c r="A408" s="92"/>
      <c r="F408" s="726"/>
      <c r="G408" s="735"/>
      <c r="H408" s="93"/>
      <c r="I408" s="750"/>
      <c r="J408" s="750"/>
    </row>
    <row r="409" spans="1:10" x14ac:dyDescent="0.35">
      <c r="A409" s="92"/>
      <c r="F409" s="726"/>
      <c r="G409" s="735"/>
      <c r="H409" s="93"/>
      <c r="I409" s="750"/>
      <c r="J409" s="750"/>
    </row>
    <row r="410" spans="1:10" x14ac:dyDescent="0.35">
      <c r="A410" s="92"/>
      <c r="F410" s="726"/>
      <c r="G410" s="735"/>
      <c r="H410" s="93"/>
      <c r="I410" s="750"/>
      <c r="J410" s="750"/>
    </row>
    <row r="411" spans="1:10" x14ac:dyDescent="0.35">
      <c r="A411" s="92"/>
      <c r="F411" s="726"/>
      <c r="G411" s="735"/>
      <c r="H411" s="93"/>
      <c r="I411" s="750"/>
      <c r="J411" s="750"/>
    </row>
    <row r="412" spans="1:10" x14ac:dyDescent="0.35">
      <c r="A412" s="92"/>
      <c r="F412" s="726"/>
      <c r="G412" s="735"/>
      <c r="H412" s="93"/>
      <c r="I412" s="750"/>
      <c r="J412" s="750"/>
    </row>
    <row r="413" spans="1:10" x14ac:dyDescent="0.35">
      <c r="A413" s="92"/>
      <c r="F413" s="726"/>
      <c r="G413" s="735"/>
      <c r="H413" s="93"/>
      <c r="I413" s="750"/>
      <c r="J413" s="750"/>
    </row>
    <row r="414" spans="1:10" x14ac:dyDescent="0.35">
      <c r="A414" s="92"/>
      <c r="F414" s="726"/>
      <c r="G414" s="735"/>
      <c r="H414" s="93"/>
      <c r="I414" s="750"/>
      <c r="J414" s="750"/>
    </row>
    <row r="415" spans="1:10" x14ac:dyDescent="0.35">
      <c r="A415" s="92"/>
      <c r="F415" s="726"/>
      <c r="G415" s="735"/>
      <c r="H415" s="93"/>
      <c r="I415" s="750"/>
      <c r="J415" s="750"/>
    </row>
    <row r="416" spans="1:10" x14ac:dyDescent="0.35">
      <c r="A416" s="92"/>
      <c r="F416" s="726"/>
      <c r="G416" s="735"/>
      <c r="H416" s="93"/>
      <c r="I416" s="750"/>
      <c r="J416" s="750"/>
    </row>
    <row r="417" spans="1:10" x14ac:dyDescent="0.35">
      <c r="A417" s="92"/>
      <c r="F417" s="726"/>
      <c r="G417" s="735"/>
      <c r="H417" s="93"/>
      <c r="I417" s="750"/>
      <c r="J417" s="750"/>
    </row>
    <row r="418" spans="1:10" x14ac:dyDescent="0.35">
      <c r="A418" s="92"/>
      <c r="F418" s="726"/>
      <c r="G418" s="735"/>
      <c r="H418" s="93"/>
      <c r="I418" s="750"/>
      <c r="J418" s="750"/>
    </row>
    <row r="419" spans="1:10" x14ac:dyDescent="0.35">
      <c r="A419" s="92"/>
      <c r="F419" s="726"/>
      <c r="G419" s="735"/>
      <c r="H419" s="93"/>
      <c r="I419" s="750"/>
      <c r="J419" s="750"/>
    </row>
    <row r="420" spans="1:10" x14ac:dyDescent="0.35">
      <c r="A420" s="92"/>
      <c r="F420" s="726"/>
      <c r="G420" s="735"/>
      <c r="H420" s="93"/>
      <c r="I420" s="750"/>
      <c r="J420" s="750"/>
    </row>
    <row r="421" spans="1:10" x14ac:dyDescent="0.35">
      <c r="A421" s="92"/>
      <c r="F421" s="726"/>
      <c r="G421" s="735"/>
      <c r="H421" s="93"/>
      <c r="I421" s="750"/>
      <c r="J421" s="750"/>
    </row>
    <row r="422" spans="1:10" x14ac:dyDescent="0.35">
      <c r="A422" s="92"/>
      <c r="F422" s="726"/>
      <c r="G422" s="735"/>
      <c r="H422" s="93"/>
      <c r="I422" s="750"/>
      <c r="J422" s="750"/>
    </row>
    <row r="423" spans="1:10" x14ac:dyDescent="0.35">
      <c r="A423" s="92"/>
      <c r="F423" s="726"/>
      <c r="G423" s="735"/>
      <c r="H423" s="93"/>
      <c r="I423" s="750"/>
      <c r="J423" s="750"/>
    </row>
    <row r="424" spans="1:10" x14ac:dyDescent="0.35">
      <c r="A424" s="92"/>
      <c r="F424" s="726"/>
      <c r="G424" s="735"/>
      <c r="H424" s="93"/>
      <c r="I424" s="750"/>
      <c r="J424" s="750"/>
    </row>
    <row r="425" spans="1:10" x14ac:dyDescent="0.35">
      <c r="A425" s="92"/>
      <c r="F425" s="726"/>
      <c r="G425" s="735"/>
      <c r="H425" s="93"/>
      <c r="I425" s="750"/>
      <c r="J425" s="750"/>
    </row>
    <row r="426" spans="1:10" x14ac:dyDescent="0.35">
      <c r="A426" s="92"/>
      <c r="F426" s="726"/>
      <c r="G426" s="735"/>
      <c r="H426" s="93"/>
      <c r="I426" s="750"/>
      <c r="J426" s="750"/>
    </row>
    <row r="427" spans="1:10" x14ac:dyDescent="0.35">
      <c r="A427" s="92"/>
      <c r="F427" s="726"/>
      <c r="G427" s="735"/>
      <c r="H427" s="93"/>
      <c r="I427" s="750"/>
      <c r="J427" s="750"/>
    </row>
    <row r="428" spans="1:10" x14ac:dyDescent="0.35">
      <c r="A428" s="92"/>
      <c r="F428" s="726"/>
      <c r="G428" s="735"/>
      <c r="H428" s="93"/>
      <c r="I428" s="750"/>
      <c r="J428" s="750"/>
    </row>
    <row r="429" spans="1:10" x14ac:dyDescent="0.35">
      <c r="A429" s="92"/>
      <c r="F429" s="726"/>
      <c r="G429" s="735"/>
      <c r="H429" s="93"/>
      <c r="I429" s="750"/>
      <c r="J429" s="750"/>
    </row>
    <row r="430" spans="1:10" x14ac:dyDescent="0.35">
      <c r="A430" s="92"/>
      <c r="F430" s="726"/>
      <c r="G430" s="735"/>
      <c r="H430" s="93"/>
      <c r="I430" s="750"/>
      <c r="J430" s="750"/>
    </row>
    <row r="431" spans="1:10" x14ac:dyDescent="0.35">
      <c r="A431" s="92"/>
      <c r="F431" s="726"/>
      <c r="G431" s="735"/>
      <c r="H431" s="93"/>
      <c r="I431" s="750"/>
      <c r="J431" s="750"/>
    </row>
    <row r="432" spans="1:10" x14ac:dyDescent="0.35">
      <c r="A432" s="92"/>
      <c r="F432" s="726"/>
      <c r="G432" s="735"/>
      <c r="H432" s="93"/>
      <c r="I432" s="750"/>
      <c r="J432" s="750"/>
    </row>
    <row r="433" spans="1:10" x14ac:dyDescent="0.35">
      <c r="A433" s="92"/>
      <c r="F433" s="726"/>
      <c r="G433" s="735"/>
      <c r="H433" s="93"/>
      <c r="I433" s="750"/>
      <c r="J433" s="750"/>
    </row>
    <row r="434" spans="1:10" x14ac:dyDescent="0.35">
      <c r="A434" s="92"/>
      <c r="F434" s="726"/>
      <c r="G434" s="735"/>
      <c r="H434" s="93"/>
      <c r="I434" s="750"/>
      <c r="J434" s="750"/>
    </row>
    <row r="435" spans="1:10" x14ac:dyDescent="0.35">
      <c r="A435" s="92"/>
      <c r="F435" s="726"/>
      <c r="G435" s="735"/>
      <c r="H435" s="93"/>
      <c r="I435" s="750"/>
      <c r="J435" s="750"/>
    </row>
    <row r="436" spans="1:10" x14ac:dyDescent="0.35">
      <c r="A436" s="92"/>
      <c r="F436" s="726"/>
      <c r="G436" s="735"/>
      <c r="H436" s="93"/>
      <c r="I436" s="750"/>
      <c r="J436" s="750"/>
    </row>
    <row r="437" spans="1:10" x14ac:dyDescent="0.35">
      <c r="A437" s="92"/>
      <c r="F437" s="726"/>
      <c r="G437" s="735"/>
      <c r="H437" s="93"/>
      <c r="I437" s="750"/>
      <c r="J437" s="750"/>
    </row>
    <row r="438" spans="1:10" x14ac:dyDescent="0.35">
      <c r="A438" s="92"/>
      <c r="F438" s="726"/>
      <c r="G438" s="735"/>
      <c r="H438" s="93"/>
      <c r="I438" s="750"/>
      <c r="J438" s="750"/>
    </row>
    <row r="439" spans="1:10" x14ac:dyDescent="0.35">
      <c r="A439" s="92"/>
      <c r="F439" s="726"/>
      <c r="G439" s="735"/>
      <c r="H439" s="93"/>
      <c r="I439" s="750"/>
      <c r="J439" s="750"/>
    </row>
    <row r="440" spans="1:10" x14ac:dyDescent="0.35">
      <c r="A440" s="92"/>
      <c r="F440" s="726"/>
      <c r="G440" s="735"/>
      <c r="H440" s="93"/>
      <c r="I440" s="750"/>
      <c r="J440" s="750"/>
    </row>
    <row r="441" spans="1:10" x14ac:dyDescent="0.35">
      <c r="A441" s="92"/>
      <c r="F441" s="726"/>
      <c r="G441" s="735"/>
      <c r="H441" s="93"/>
      <c r="I441" s="750"/>
      <c r="J441" s="750"/>
    </row>
    <row r="442" spans="1:10" x14ac:dyDescent="0.35">
      <c r="A442" s="92"/>
      <c r="F442" s="726"/>
      <c r="G442" s="735"/>
      <c r="H442" s="93"/>
      <c r="I442" s="750"/>
      <c r="J442" s="750"/>
    </row>
    <row r="443" spans="1:10" x14ac:dyDescent="0.35">
      <c r="A443" s="92"/>
      <c r="F443" s="726"/>
      <c r="G443" s="735"/>
      <c r="H443" s="93"/>
      <c r="I443" s="750"/>
      <c r="J443" s="750"/>
    </row>
    <row r="444" spans="1:10" x14ac:dyDescent="0.35">
      <c r="A444" s="92"/>
      <c r="F444" s="726"/>
      <c r="G444" s="735"/>
      <c r="H444" s="93"/>
      <c r="I444" s="750"/>
      <c r="J444" s="750"/>
    </row>
    <row r="445" spans="1:10" x14ac:dyDescent="0.35">
      <c r="A445" s="92"/>
      <c r="F445" s="726"/>
      <c r="G445" s="735"/>
      <c r="H445" s="93"/>
      <c r="I445" s="750"/>
      <c r="J445" s="750"/>
    </row>
    <row r="446" spans="1:10" x14ac:dyDescent="0.35">
      <c r="A446" s="92"/>
      <c r="F446" s="726"/>
      <c r="G446" s="735"/>
      <c r="H446" s="93"/>
      <c r="I446" s="750"/>
      <c r="J446" s="750"/>
    </row>
    <row r="447" spans="1:10" x14ac:dyDescent="0.35">
      <c r="A447" s="92"/>
      <c r="F447" s="726"/>
      <c r="G447" s="735"/>
      <c r="H447" s="93"/>
      <c r="I447" s="750"/>
      <c r="J447" s="750"/>
    </row>
    <row r="448" spans="1:10" x14ac:dyDescent="0.35">
      <c r="A448" s="92"/>
      <c r="F448" s="726"/>
      <c r="G448" s="735"/>
      <c r="H448" s="93"/>
      <c r="I448" s="750"/>
      <c r="J448" s="750"/>
    </row>
    <row r="449" spans="1:10" x14ac:dyDescent="0.35">
      <c r="A449" s="92"/>
      <c r="F449" s="726"/>
      <c r="G449" s="735"/>
      <c r="H449" s="93"/>
      <c r="I449" s="750"/>
      <c r="J449" s="750"/>
    </row>
    <row r="450" spans="1:10" x14ac:dyDescent="0.35">
      <c r="A450" s="92"/>
      <c r="F450" s="726"/>
      <c r="G450" s="735"/>
      <c r="H450" s="93"/>
      <c r="I450" s="750"/>
      <c r="J450" s="750"/>
    </row>
    <row r="451" spans="1:10" x14ac:dyDescent="0.35">
      <c r="A451" s="92"/>
      <c r="F451" s="726"/>
      <c r="G451" s="735"/>
      <c r="H451" s="93"/>
      <c r="I451" s="750"/>
      <c r="J451" s="750"/>
    </row>
    <row r="452" spans="1:10" x14ac:dyDescent="0.35">
      <c r="A452" s="92"/>
      <c r="F452" s="726"/>
      <c r="G452" s="735"/>
      <c r="H452" s="93"/>
      <c r="I452" s="750"/>
      <c r="J452" s="750"/>
    </row>
    <row r="453" spans="1:10" x14ac:dyDescent="0.35">
      <c r="A453" s="92"/>
      <c r="F453" s="726"/>
      <c r="G453" s="735"/>
      <c r="H453" s="93"/>
      <c r="I453" s="750"/>
      <c r="J453" s="750"/>
    </row>
    <row r="454" spans="1:10" x14ac:dyDescent="0.35">
      <c r="A454" s="92"/>
      <c r="F454" s="726"/>
      <c r="G454" s="735"/>
      <c r="H454" s="93"/>
      <c r="I454" s="750"/>
      <c r="J454" s="750"/>
    </row>
    <row r="455" spans="1:10" x14ac:dyDescent="0.35">
      <c r="A455" s="92"/>
      <c r="F455" s="726"/>
      <c r="G455" s="735"/>
      <c r="H455" s="93"/>
      <c r="I455" s="750"/>
      <c r="J455" s="750"/>
    </row>
    <row r="456" spans="1:10" x14ac:dyDescent="0.35">
      <c r="A456" s="92"/>
      <c r="F456" s="726"/>
      <c r="G456" s="735"/>
      <c r="H456" s="93"/>
      <c r="I456" s="750"/>
      <c r="J456" s="750"/>
    </row>
    <row r="457" spans="1:10" x14ac:dyDescent="0.35">
      <c r="A457" s="92"/>
      <c r="F457" s="726"/>
      <c r="G457" s="735"/>
      <c r="H457" s="93"/>
      <c r="I457" s="750"/>
      <c r="J457" s="750"/>
    </row>
    <row r="458" spans="1:10" x14ac:dyDescent="0.35">
      <c r="A458" s="92"/>
      <c r="F458" s="726"/>
      <c r="G458" s="735"/>
      <c r="H458" s="93"/>
      <c r="I458" s="750"/>
      <c r="J458" s="750"/>
    </row>
    <row r="459" spans="1:10" x14ac:dyDescent="0.35">
      <c r="A459" s="92"/>
      <c r="F459" s="726"/>
      <c r="G459" s="735"/>
      <c r="H459" s="93"/>
      <c r="I459" s="750"/>
      <c r="J459" s="750"/>
    </row>
    <row r="460" spans="1:10" x14ac:dyDescent="0.35">
      <c r="A460" s="92"/>
      <c r="F460" s="726"/>
      <c r="G460" s="735"/>
      <c r="H460" s="93"/>
      <c r="I460" s="750"/>
      <c r="J460" s="750"/>
    </row>
    <row r="461" spans="1:10" x14ac:dyDescent="0.35">
      <c r="A461" s="92"/>
      <c r="F461" s="726"/>
      <c r="G461" s="735"/>
      <c r="H461" s="93"/>
      <c r="I461" s="750"/>
      <c r="J461" s="750"/>
    </row>
    <row r="462" spans="1:10" x14ac:dyDescent="0.35">
      <c r="A462" s="92"/>
      <c r="F462" s="726"/>
      <c r="G462" s="735"/>
      <c r="H462" s="93"/>
      <c r="I462" s="750"/>
      <c r="J462" s="750"/>
    </row>
    <row r="463" spans="1:10" x14ac:dyDescent="0.35">
      <c r="A463" s="92"/>
      <c r="F463" s="726"/>
      <c r="G463" s="735"/>
      <c r="H463" s="93"/>
      <c r="I463" s="750"/>
      <c r="J463" s="750"/>
    </row>
    <row r="464" spans="1:10" x14ac:dyDescent="0.35">
      <c r="A464" s="92"/>
      <c r="F464" s="726"/>
      <c r="G464" s="735"/>
      <c r="H464" s="93"/>
      <c r="I464" s="750"/>
      <c r="J464" s="750"/>
    </row>
    <row r="465" spans="1:10" x14ac:dyDescent="0.35">
      <c r="A465" s="92"/>
      <c r="F465" s="726"/>
      <c r="G465" s="735"/>
      <c r="H465" s="93"/>
      <c r="I465" s="750"/>
      <c r="J465" s="750"/>
    </row>
    <row r="466" spans="1:10" x14ac:dyDescent="0.35">
      <c r="A466" s="92"/>
      <c r="F466" s="726"/>
      <c r="G466" s="735"/>
      <c r="H466" s="93"/>
      <c r="I466" s="750"/>
      <c r="J466" s="750"/>
    </row>
    <row r="467" spans="1:10" x14ac:dyDescent="0.35">
      <c r="A467" s="92"/>
      <c r="F467" s="726"/>
      <c r="G467" s="735"/>
      <c r="H467" s="93"/>
      <c r="I467" s="750"/>
      <c r="J467" s="750"/>
    </row>
    <row r="468" spans="1:10" x14ac:dyDescent="0.35">
      <c r="A468" s="92"/>
      <c r="F468" s="726"/>
      <c r="G468" s="735"/>
      <c r="H468" s="93"/>
      <c r="I468" s="750"/>
      <c r="J468" s="750"/>
    </row>
    <row r="469" spans="1:10" x14ac:dyDescent="0.35">
      <c r="A469" s="92"/>
      <c r="F469" s="726"/>
      <c r="G469" s="735"/>
      <c r="H469" s="93"/>
      <c r="I469" s="750"/>
      <c r="J469" s="750"/>
    </row>
    <row r="470" spans="1:10" x14ac:dyDescent="0.35">
      <c r="A470" s="92"/>
      <c r="F470" s="726"/>
      <c r="G470" s="735"/>
      <c r="H470" s="93"/>
      <c r="I470" s="750"/>
      <c r="J470" s="750"/>
    </row>
    <row r="471" spans="1:10" x14ac:dyDescent="0.35">
      <c r="A471" s="92"/>
      <c r="F471" s="726"/>
      <c r="G471" s="735"/>
      <c r="H471" s="93"/>
      <c r="I471" s="750"/>
      <c r="J471" s="750"/>
    </row>
    <row r="472" spans="1:10" x14ac:dyDescent="0.35">
      <c r="A472" s="92"/>
      <c r="F472" s="726"/>
      <c r="G472" s="735"/>
      <c r="H472" s="93"/>
      <c r="I472" s="750"/>
      <c r="J472" s="750"/>
    </row>
    <row r="473" spans="1:10" x14ac:dyDescent="0.35">
      <c r="A473" s="92"/>
      <c r="F473" s="726"/>
      <c r="G473" s="735"/>
      <c r="H473" s="93"/>
      <c r="I473" s="750"/>
      <c r="J473" s="750"/>
    </row>
    <row r="474" spans="1:10" x14ac:dyDescent="0.35">
      <c r="A474" s="92"/>
      <c r="F474" s="726"/>
      <c r="G474" s="735"/>
      <c r="H474" s="93"/>
      <c r="I474" s="750"/>
      <c r="J474" s="750"/>
    </row>
    <row r="475" spans="1:10" x14ac:dyDescent="0.35">
      <c r="A475" s="92"/>
      <c r="F475" s="726"/>
      <c r="G475" s="735"/>
      <c r="H475" s="93"/>
      <c r="I475" s="750"/>
      <c r="J475" s="750"/>
    </row>
    <row r="476" spans="1:10" x14ac:dyDescent="0.35">
      <c r="A476" s="92"/>
      <c r="F476" s="726"/>
      <c r="G476" s="735"/>
      <c r="H476" s="93"/>
      <c r="I476" s="750"/>
      <c r="J476" s="750"/>
    </row>
    <row r="477" spans="1:10" x14ac:dyDescent="0.35">
      <c r="A477" s="92"/>
      <c r="F477" s="726"/>
      <c r="G477" s="735"/>
      <c r="H477" s="93"/>
      <c r="I477" s="750"/>
      <c r="J477" s="750"/>
    </row>
    <row r="478" spans="1:10" x14ac:dyDescent="0.35">
      <c r="A478" s="92"/>
      <c r="F478" s="726"/>
      <c r="G478" s="735"/>
      <c r="H478" s="93"/>
      <c r="I478" s="750"/>
      <c r="J478" s="750"/>
    </row>
    <row r="479" spans="1:10" x14ac:dyDescent="0.35">
      <c r="A479" s="92"/>
      <c r="F479" s="726"/>
      <c r="G479" s="735"/>
      <c r="H479" s="93"/>
      <c r="I479" s="750"/>
      <c r="J479" s="750"/>
    </row>
    <row r="480" spans="1:10" x14ac:dyDescent="0.35">
      <c r="A480" s="92"/>
      <c r="F480" s="726"/>
      <c r="G480" s="735"/>
      <c r="H480" s="93"/>
      <c r="I480" s="750"/>
      <c r="J480" s="750"/>
    </row>
    <row r="481" spans="1:10" x14ac:dyDescent="0.35">
      <c r="A481" s="92"/>
      <c r="F481" s="726"/>
      <c r="G481" s="735"/>
      <c r="H481" s="93"/>
      <c r="I481" s="750"/>
      <c r="J481" s="750"/>
    </row>
    <row r="482" spans="1:10" x14ac:dyDescent="0.35">
      <c r="A482" s="92"/>
      <c r="F482" s="726"/>
      <c r="G482" s="735"/>
      <c r="H482" s="93"/>
      <c r="I482" s="750"/>
      <c r="J482" s="750"/>
    </row>
    <row r="483" spans="1:10" x14ac:dyDescent="0.35">
      <c r="A483" s="92"/>
      <c r="F483" s="726"/>
      <c r="G483" s="735"/>
      <c r="H483" s="93"/>
      <c r="I483" s="750"/>
      <c r="J483" s="750"/>
    </row>
    <row r="484" spans="1:10" x14ac:dyDescent="0.35">
      <c r="A484" s="92"/>
      <c r="F484" s="726"/>
      <c r="G484" s="735"/>
      <c r="H484" s="93"/>
      <c r="I484" s="750"/>
      <c r="J484" s="750"/>
    </row>
    <row r="485" spans="1:10" x14ac:dyDescent="0.35">
      <c r="A485" s="92"/>
      <c r="F485" s="726"/>
      <c r="G485" s="735"/>
      <c r="H485" s="93"/>
      <c r="I485" s="750"/>
      <c r="J485" s="750"/>
    </row>
    <row r="486" spans="1:10" x14ac:dyDescent="0.35">
      <c r="A486" s="92"/>
      <c r="F486" s="726"/>
      <c r="G486" s="735"/>
      <c r="H486" s="93"/>
      <c r="I486" s="750"/>
      <c r="J486" s="750"/>
    </row>
    <row r="487" spans="1:10" x14ac:dyDescent="0.35">
      <c r="A487" s="92"/>
      <c r="F487" s="726"/>
      <c r="G487" s="735"/>
      <c r="H487" s="93"/>
      <c r="I487" s="750"/>
      <c r="J487" s="750"/>
    </row>
    <row r="488" spans="1:10" x14ac:dyDescent="0.35">
      <c r="A488" s="92"/>
      <c r="F488" s="726"/>
      <c r="G488" s="735"/>
      <c r="H488" s="93"/>
      <c r="I488" s="750"/>
      <c r="J488" s="750"/>
    </row>
    <row r="489" spans="1:10" x14ac:dyDescent="0.35">
      <c r="A489" s="92"/>
      <c r="F489" s="726"/>
      <c r="G489" s="735"/>
      <c r="H489" s="93"/>
      <c r="I489" s="750"/>
      <c r="J489" s="750"/>
    </row>
    <row r="490" spans="1:10" x14ac:dyDescent="0.35">
      <c r="A490" s="92"/>
      <c r="F490" s="726"/>
      <c r="G490" s="735"/>
      <c r="H490" s="93"/>
      <c r="I490" s="750"/>
      <c r="J490" s="750"/>
    </row>
    <row r="491" spans="1:10" x14ac:dyDescent="0.35">
      <c r="A491" s="92"/>
      <c r="F491" s="726"/>
      <c r="G491" s="735"/>
      <c r="H491" s="93"/>
      <c r="I491" s="750"/>
      <c r="J491" s="750"/>
    </row>
    <row r="492" spans="1:10" x14ac:dyDescent="0.35">
      <c r="A492" s="92"/>
      <c r="F492" s="726"/>
      <c r="G492" s="735"/>
      <c r="H492" s="93"/>
      <c r="I492" s="750"/>
      <c r="J492" s="750"/>
    </row>
    <row r="493" spans="1:10" x14ac:dyDescent="0.35">
      <c r="A493" s="92"/>
      <c r="F493" s="726"/>
      <c r="G493" s="735"/>
      <c r="H493" s="93"/>
      <c r="I493" s="750"/>
      <c r="J493" s="750"/>
    </row>
    <row r="494" spans="1:10" x14ac:dyDescent="0.35">
      <c r="A494" s="92"/>
      <c r="F494" s="726"/>
      <c r="G494" s="735"/>
      <c r="H494" s="93"/>
      <c r="I494" s="750"/>
      <c r="J494" s="750"/>
    </row>
    <row r="495" spans="1:10" x14ac:dyDescent="0.35">
      <c r="A495" s="92"/>
      <c r="F495" s="726"/>
      <c r="G495" s="735"/>
      <c r="H495" s="93"/>
      <c r="I495" s="750"/>
      <c r="J495" s="750"/>
    </row>
    <row r="496" spans="1:10" x14ac:dyDescent="0.35">
      <c r="A496" s="92"/>
      <c r="F496" s="726"/>
      <c r="G496" s="735"/>
      <c r="H496" s="93"/>
      <c r="I496" s="750"/>
      <c r="J496" s="750"/>
    </row>
    <row r="497" spans="1:10" x14ac:dyDescent="0.35">
      <c r="A497" s="92"/>
      <c r="F497" s="726"/>
      <c r="G497" s="735"/>
      <c r="H497" s="93"/>
      <c r="I497" s="750"/>
      <c r="J497" s="750"/>
    </row>
    <row r="498" spans="1:10" x14ac:dyDescent="0.35">
      <c r="A498" s="92"/>
      <c r="F498" s="726"/>
      <c r="G498" s="735"/>
      <c r="H498" s="93"/>
      <c r="I498" s="750"/>
      <c r="J498" s="750"/>
    </row>
    <row r="499" spans="1:10" x14ac:dyDescent="0.35">
      <c r="A499" s="92"/>
      <c r="F499" s="726"/>
      <c r="G499" s="735"/>
      <c r="H499" s="93"/>
      <c r="I499" s="750"/>
      <c r="J499" s="750"/>
    </row>
    <row r="500" spans="1:10" x14ac:dyDescent="0.35">
      <c r="A500" s="92"/>
      <c r="F500" s="726"/>
      <c r="G500" s="735"/>
      <c r="H500" s="93"/>
      <c r="I500" s="750"/>
      <c r="J500" s="750"/>
    </row>
    <row r="501" spans="1:10" x14ac:dyDescent="0.35">
      <c r="A501" s="92"/>
      <c r="F501" s="726"/>
      <c r="G501" s="735"/>
      <c r="H501" s="93"/>
      <c r="I501" s="750"/>
      <c r="J501" s="750"/>
    </row>
    <row r="502" spans="1:10" x14ac:dyDescent="0.35">
      <c r="A502" s="92"/>
      <c r="F502" s="726"/>
      <c r="G502" s="735"/>
      <c r="H502" s="93"/>
      <c r="I502" s="750"/>
      <c r="J502" s="750"/>
    </row>
    <row r="503" spans="1:10" x14ac:dyDescent="0.35">
      <c r="A503" s="92"/>
      <c r="F503" s="726"/>
      <c r="G503" s="735"/>
      <c r="H503" s="93"/>
      <c r="I503" s="750"/>
      <c r="J503" s="750"/>
    </row>
    <row r="504" spans="1:10" x14ac:dyDescent="0.35">
      <c r="A504" s="92"/>
      <c r="F504" s="726"/>
      <c r="G504" s="735"/>
      <c r="H504" s="93"/>
      <c r="I504" s="750"/>
      <c r="J504" s="750"/>
    </row>
    <row r="505" spans="1:10" x14ac:dyDescent="0.35">
      <c r="A505" s="92"/>
      <c r="F505" s="726"/>
      <c r="G505" s="735"/>
      <c r="H505" s="93"/>
      <c r="I505" s="750"/>
      <c r="J505" s="750"/>
    </row>
    <row r="506" spans="1:10" x14ac:dyDescent="0.35">
      <c r="A506" s="92"/>
      <c r="F506" s="726"/>
      <c r="G506" s="735"/>
      <c r="H506" s="93"/>
      <c r="I506" s="750"/>
      <c r="J506" s="750"/>
    </row>
    <row r="507" spans="1:10" x14ac:dyDescent="0.35">
      <c r="A507" s="92"/>
      <c r="F507" s="726"/>
      <c r="G507" s="735"/>
      <c r="H507" s="93"/>
      <c r="I507" s="750"/>
      <c r="J507" s="750"/>
    </row>
    <row r="508" spans="1:10" x14ac:dyDescent="0.35">
      <c r="A508" s="92"/>
      <c r="F508" s="726"/>
      <c r="G508" s="735"/>
      <c r="H508" s="93"/>
      <c r="I508" s="750"/>
      <c r="J508" s="750"/>
    </row>
    <row r="509" spans="1:10" x14ac:dyDescent="0.35">
      <c r="A509" s="92"/>
      <c r="F509" s="726"/>
      <c r="G509" s="735"/>
      <c r="H509" s="93"/>
      <c r="I509" s="750"/>
      <c r="J509" s="750"/>
    </row>
    <row r="510" spans="1:10" x14ac:dyDescent="0.35">
      <c r="A510" s="92"/>
      <c r="F510" s="726"/>
      <c r="G510" s="735"/>
      <c r="H510" s="93"/>
      <c r="I510" s="750"/>
      <c r="J510" s="750"/>
    </row>
    <row r="511" spans="1:10" x14ac:dyDescent="0.35">
      <c r="A511" s="92"/>
      <c r="F511" s="726"/>
      <c r="G511" s="735"/>
      <c r="H511" s="93"/>
      <c r="I511" s="750"/>
      <c r="J511" s="750"/>
    </row>
    <row r="512" spans="1:10" x14ac:dyDescent="0.35">
      <c r="A512" s="92"/>
      <c r="F512" s="726"/>
      <c r="G512" s="735"/>
      <c r="H512" s="93"/>
      <c r="I512" s="750"/>
      <c r="J512" s="750"/>
    </row>
    <row r="513" spans="1:10" x14ac:dyDescent="0.35">
      <c r="A513" s="92"/>
      <c r="F513" s="726"/>
      <c r="G513" s="735"/>
      <c r="H513" s="93"/>
      <c r="I513" s="750"/>
      <c r="J513" s="750"/>
    </row>
    <row r="514" spans="1:10" x14ac:dyDescent="0.35">
      <c r="A514" s="92"/>
      <c r="F514" s="726"/>
      <c r="G514" s="735"/>
      <c r="H514" s="93"/>
      <c r="I514" s="750"/>
      <c r="J514" s="750"/>
    </row>
    <row r="515" spans="1:10" x14ac:dyDescent="0.35">
      <c r="A515" s="92"/>
      <c r="F515" s="726"/>
      <c r="G515" s="735"/>
      <c r="H515" s="93"/>
      <c r="I515" s="750"/>
      <c r="J515" s="750"/>
    </row>
    <row r="516" spans="1:10" x14ac:dyDescent="0.35">
      <c r="A516" s="92"/>
      <c r="F516" s="726"/>
      <c r="G516" s="735"/>
      <c r="H516" s="93"/>
      <c r="I516" s="750"/>
      <c r="J516" s="750"/>
    </row>
    <row r="517" spans="1:10" x14ac:dyDescent="0.35">
      <c r="A517" s="92"/>
      <c r="F517" s="726"/>
      <c r="G517" s="735"/>
      <c r="H517" s="93"/>
      <c r="I517" s="750"/>
      <c r="J517" s="750"/>
    </row>
    <row r="518" spans="1:10" x14ac:dyDescent="0.35">
      <c r="A518" s="92"/>
      <c r="F518" s="726"/>
      <c r="G518" s="735"/>
      <c r="H518" s="93"/>
      <c r="I518" s="750"/>
      <c r="J518" s="750"/>
    </row>
    <row r="519" spans="1:10" x14ac:dyDescent="0.35">
      <c r="A519" s="92"/>
      <c r="F519" s="726"/>
      <c r="G519" s="735"/>
      <c r="H519" s="93"/>
      <c r="I519" s="750"/>
      <c r="J519" s="750"/>
    </row>
    <row r="520" spans="1:10" x14ac:dyDescent="0.35">
      <c r="A520" s="92"/>
      <c r="F520" s="726"/>
      <c r="G520" s="735"/>
      <c r="H520" s="93"/>
      <c r="I520" s="750"/>
      <c r="J520" s="750"/>
    </row>
    <row r="521" spans="1:10" x14ac:dyDescent="0.35">
      <c r="A521" s="92"/>
      <c r="F521" s="726"/>
      <c r="G521" s="735"/>
      <c r="H521" s="93"/>
      <c r="I521" s="750"/>
      <c r="J521" s="750"/>
    </row>
    <row r="522" spans="1:10" x14ac:dyDescent="0.35">
      <c r="A522" s="92"/>
      <c r="F522" s="726"/>
      <c r="G522" s="735"/>
      <c r="H522" s="93"/>
      <c r="I522" s="750"/>
      <c r="J522" s="750"/>
    </row>
    <row r="523" spans="1:10" x14ac:dyDescent="0.35">
      <c r="A523" s="92"/>
      <c r="F523" s="726"/>
      <c r="G523" s="735"/>
      <c r="H523" s="93"/>
      <c r="I523" s="750"/>
      <c r="J523" s="750"/>
    </row>
    <row r="524" spans="1:10" x14ac:dyDescent="0.35">
      <c r="A524" s="92"/>
      <c r="F524" s="726"/>
      <c r="G524" s="735"/>
      <c r="H524" s="93"/>
      <c r="I524" s="750"/>
      <c r="J524" s="750"/>
    </row>
    <row r="525" spans="1:10" x14ac:dyDescent="0.35">
      <c r="A525" s="92"/>
      <c r="F525" s="726"/>
      <c r="G525" s="735"/>
      <c r="H525" s="93"/>
      <c r="I525" s="750"/>
      <c r="J525" s="750"/>
    </row>
    <row r="526" spans="1:10" x14ac:dyDescent="0.35">
      <c r="A526" s="92"/>
      <c r="F526" s="726"/>
      <c r="G526" s="735"/>
      <c r="H526" s="93"/>
      <c r="I526" s="750"/>
      <c r="J526" s="750"/>
    </row>
    <row r="527" spans="1:10" x14ac:dyDescent="0.35">
      <c r="A527" s="92"/>
      <c r="F527" s="726"/>
      <c r="G527" s="735"/>
      <c r="H527" s="93"/>
      <c r="I527" s="750"/>
      <c r="J527" s="750"/>
    </row>
    <row r="528" spans="1:10" x14ac:dyDescent="0.35">
      <c r="A528" s="92"/>
      <c r="F528" s="726"/>
      <c r="G528" s="735"/>
      <c r="H528" s="93"/>
      <c r="I528" s="750"/>
      <c r="J528" s="750"/>
    </row>
    <row r="529" spans="1:10" x14ac:dyDescent="0.35">
      <c r="A529" s="92"/>
      <c r="F529" s="726"/>
      <c r="G529" s="735"/>
      <c r="H529" s="93"/>
      <c r="I529" s="750"/>
      <c r="J529" s="750"/>
    </row>
    <row r="530" spans="1:10" x14ac:dyDescent="0.35">
      <c r="A530" s="92"/>
      <c r="F530" s="726"/>
      <c r="G530" s="735"/>
      <c r="H530" s="93"/>
      <c r="I530" s="750"/>
      <c r="J530" s="750"/>
    </row>
    <row r="531" spans="1:10" x14ac:dyDescent="0.35">
      <c r="A531" s="92"/>
      <c r="F531" s="726"/>
      <c r="G531" s="735"/>
      <c r="H531" s="93"/>
      <c r="I531" s="750"/>
      <c r="J531" s="750"/>
    </row>
    <row r="532" spans="1:10" x14ac:dyDescent="0.35">
      <c r="A532" s="92"/>
      <c r="F532" s="726"/>
      <c r="G532" s="735"/>
      <c r="H532" s="93"/>
      <c r="I532" s="750"/>
      <c r="J532" s="750"/>
    </row>
    <row r="533" spans="1:10" x14ac:dyDescent="0.35">
      <c r="A533" s="92"/>
      <c r="F533" s="726"/>
      <c r="G533" s="735"/>
      <c r="H533" s="93"/>
      <c r="I533" s="750"/>
      <c r="J533" s="750"/>
    </row>
    <row r="534" spans="1:10" x14ac:dyDescent="0.35">
      <c r="A534" s="92"/>
      <c r="F534" s="726"/>
      <c r="G534" s="735"/>
      <c r="H534" s="93"/>
      <c r="I534" s="750"/>
      <c r="J534" s="750"/>
    </row>
    <row r="535" spans="1:10" x14ac:dyDescent="0.35">
      <c r="A535" s="92"/>
      <c r="F535" s="726"/>
      <c r="G535" s="735"/>
      <c r="H535" s="93"/>
      <c r="I535" s="750"/>
      <c r="J535" s="750"/>
    </row>
    <row r="536" spans="1:10" x14ac:dyDescent="0.35">
      <c r="A536" s="92"/>
      <c r="F536" s="726"/>
      <c r="G536" s="735"/>
      <c r="H536" s="93"/>
      <c r="I536" s="750"/>
      <c r="J536" s="750"/>
    </row>
    <row r="537" spans="1:10" x14ac:dyDescent="0.35">
      <c r="A537" s="92"/>
      <c r="F537" s="726"/>
      <c r="G537" s="735"/>
      <c r="H537" s="93"/>
      <c r="I537" s="750"/>
      <c r="J537" s="750"/>
    </row>
    <row r="538" spans="1:10" x14ac:dyDescent="0.35">
      <c r="A538" s="92"/>
      <c r="F538" s="726"/>
      <c r="G538" s="735"/>
      <c r="H538" s="93"/>
      <c r="I538" s="750"/>
      <c r="J538" s="750"/>
    </row>
    <row r="539" spans="1:10" x14ac:dyDescent="0.35">
      <c r="A539" s="92"/>
      <c r="F539" s="726"/>
      <c r="G539" s="735"/>
      <c r="H539" s="93"/>
      <c r="I539" s="750"/>
      <c r="J539" s="750"/>
    </row>
    <row r="540" spans="1:10" x14ac:dyDescent="0.35">
      <c r="A540" s="92"/>
      <c r="F540" s="726"/>
      <c r="G540" s="735"/>
      <c r="H540" s="93"/>
      <c r="I540" s="750"/>
      <c r="J540" s="750"/>
    </row>
    <row r="541" spans="1:10" x14ac:dyDescent="0.35">
      <c r="A541" s="92"/>
      <c r="F541" s="726"/>
      <c r="G541" s="735"/>
      <c r="H541" s="93"/>
      <c r="I541" s="750"/>
      <c r="J541" s="750"/>
    </row>
    <row r="542" spans="1:10" x14ac:dyDescent="0.35">
      <c r="A542" s="92"/>
      <c r="F542" s="726"/>
      <c r="G542" s="735"/>
      <c r="H542" s="93"/>
      <c r="I542" s="750"/>
      <c r="J542" s="750"/>
    </row>
    <row r="543" spans="1:10" x14ac:dyDescent="0.35">
      <c r="A543" s="92"/>
      <c r="F543" s="726"/>
      <c r="G543" s="735"/>
      <c r="H543" s="93"/>
      <c r="I543" s="750"/>
      <c r="J543" s="750"/>
    </row>
    <row r="544" spans="1:10" x14ac:dyDescent="0.35">
      <c r="A544" s="92"/>
      <c r="F544" s="726"/>
      <c r="G544" s="735"/>
      <c r="H544" s="93"/>
      <c r="I544" s="750"/>
      <c r="J544" s="750"/>
    </row>
    <row r="545" spans="1:10" x14ac:dyDescent="0.35">
      <c r="A545" s="92"/>
      <c r="F545" s="726"/>
      <c r="G545" s="735"/>
      <c r="H545" s="93"/>
      <c r="I545" s="750"/>
      <c r="J545" s="750"/>
    </row>
    <row r="546" spans="1:10" x14ac:dyDescent="0.35">
      <c r="A546" s="92"/>
      <c r="F546" s="726"/>
      <c r="G546" s="735"/>
      <c r="H546" s="93"/>
      <c r="I546" s="750"/>
      <c r="J546" s="750"/>
    </row>
    <row r="547" spans="1:10" x14ac:dyDescent="0.35">
      <c r="A547" s="92"/>
      <c r="F547" s="726"/>
      <c r="G547" s="735"/>
      <c r="H547" s="93"/>
      <c r="I547" s="750"/>
      <c r="J547" s="750"/>
    </row>
    <row r="548" spans="1:10" x14ac:dyDescent="0.35">
      <c r="A548" s="92"/>
      <c r="F548" s="726"/>
      <c r="G548" s="735"/>
      <c r="H548" s="93"/>
      <c r="I548" s="750"/>
      <c r="J548" s="750"/>
    </row>
    <row r="549" spans="1:10" x14ac:dyDescent="0.35">
      <c r="A549" s="92"/>
      <c r="F549" s="726"/>
      <c r="G549" s="735"/>
      <c r="H549" s="93"/>
      <c r="I549" s="750"/>
      <c r="J549" s="750"/>
    </row>
    <row r="550" spans="1:10" x14ac:dyDescent="0.35">
      <c r="A550" s="92"/>
      <c r="F550" s="726"/>
      <c r="G550" s="735"/>
      <c r="H550" s="93"/>
      <c r="I550" s="750"/>
      <c r="J550" s="750"/>
    </row>
    <row r="551" spans="1:10" x14ac:dyDescent="0.35">
      <c r="A551" s="92"/>
      <c r="F551" s="726"/>
      <c r="G551" s="735"/>
      <c r="H551" s="93"/>
      <c r="I551" s="750"/>
      <c r="J551" s="750"/>
    </row>
    <row r="552" spans="1:10" x14ac:dyDescent="0.35">
      <c r="A552" s="92"/>
      <c r="F552" s="726"/>
      <c r="G552" s="735"/>
      <c r="H552" s="93"/>
      <c r="I552" s="750"/>
      <c r="J552" s="750"/>
    </row>
    <row r="553" spans="1:10" x14ac:dyDescent="0.35">
      <c r="A553" s="92"/>
      <c r="F553" s="726"/>
      <c r="G553" s="735"/>
      <c r="H553" s="93"/>
      <c r="I553" s="750"/>
      <c r="J553" s="750"/>
    </row>
    <row r="554" spans="1:10" x14ac:dyDescent="0.35">
      <c r="A554" s="92"/>
      <c r="F554" s="726"/>
      <c r="G554" s="735"/>
      <c r="H554" s="93"/>
      <c r="I554" s="750"/>
      <c r="J554" s="750"/>
    </row>
    <row r="555" spans="1:10" x14ac:dyDescent="0.35">
      <c r="A555" s="92"/>
      <c r="F555" s="726"/>
      <c r="G555" s="735"/>
      <c r="H555" s="93"/>
      <c r="I555" s="750"/>
      <c r="J555" s="750"/>
    </row>
    <row r="556" spans="1:10" x14ac:dyDescent="0.35">
      <c r="A556" s="92"/>
      <c r="F556" s="726"/>
      <c r="G556" s="735"/>
      <c r="H556" s="93"/>
      <c r="I556" s="750"/>
      <c r="J556" s="750"/>
    </row>
    <row r="557" spans="1:10" x14ac:dyDescent="0.35">
      <c r="A557" s="92"/>
      <c r="F557" s="726"/>
      <c r="G557" s="735"/>
      <c r="H557" s="93"/>
      <c r="I557" s="750"/>
      <c r="J557" s="750"/>
    </row>
    <row r="558" spans="1:10" x14ac:dyDescent="0.35">
      <c r="A558" s="92"/>
      <c r="F558" s="726"/>
      <c r="G558" s="735"/>
      <c r="H558" s="93"/>
      <c r="I558" s="750"/>
      <c r="J558" s="750"/>
    </row>
    <row r="559" spans="1:10" x14ac:dyDescent="0.35">
      <c r="A559" s="92"/>
      <c r="F559" s="726"/>
      <c r="G559" s="735"/>
      <c r="H559" s="93"/>
      <c r="I559" s="750"/>
      <c r="J559" s="750"/>
    </row>
    <row r="560" spans="1:10" x14ac:dyDescent="0.35">
      <c r="A560" s="92"/>
      <c r="F560" s="726"/>
      <c r="G560" s="735"/>
      <c r="H560" s="93"/>
      <c r="I560" s="750"/>
      <c r="J560" s="750"/>
    </row>
    <row r="561" spans="1:10" x14ac:dyDescent="0.35">
      <c r="A561" s="92"/>
      <c r="F561" s="726"/>
      <c r="G561" s="735"/>
      <c r="H561" s="93"/>
      <c r="I561" s="750"/>
      <c r="J561" s="750"/>
    </row>
    <row r="562" spans="1:10" x14ac:dyDescent="0.35">
      <c r="A562" s="92"/>
      <c r="F562" s="726"/>
      <c r="G562" s="735"/>
      <c r="H562" s="93"/>
      <c r="I562" s="750"/>
      <c r="J562" s="750"/>
    </row>
    <row r="563" spans="1:10" x14ac:dyDescent="0.35">
      <c r="A563" s="92"/>
      <c r="F563" s="726"/>
      <c r="G563" s="735"/>
      <c r="H563" s="93"/>
      <c r="I563" s="750"/>
      <c r="J563" s="750"/>
    </row>
    <row r="564" spans="1:10" x14ac:dyDescent="0.35">
      <c r="A564" s="92"/>
      <c r="F564" s="726"/>
      <c r="G564" s="735"/>
      <c r="H564" s="93"/>
      <c r="I564" s="750"/>
      <c r="J564" s="750"/>
    </row>
    <row r="565" spans="1:10" x14ac:dyDescent="0.35">
      <c r="A565" s="92"/>
      <c r="F565" s="726"/>
      <c r="G565" s="735"/>
      <c r="H565" s="93"/>
      <c r="I565" s="750"/>
      <c r="J565" s="750"/>
    </row>
    <row r="566" spans="1:10" x14ac:dyDescent="0.35">
      <c r="A566" s="92"/>
      <c r="F566" s="726"/>
      <c r="G566" s="735"/>
      <c r="H566" s="93"/>
      <c r="I566" s="750"/>
      <c r="J566" s="750"/>
    </row>
    <row r="567" spans="1:10" x14ac:dyDescent="0.35">
      <c r="A567" s="92"/>
      <c r="F567" s="726"/>
      <c r="G567" s="735"/>
      <c r="H567" s="93"/>
      <c r="I567" s="750"/>
      <c r="J567" s="750"/>
    </row>
    <row r="568" spans="1:10" x14ac:dyDescent="0.35">
      <c r="A568" s="92"/>
      <c r="F568" s="726"/>
      <c r="G568" s="735"/>
      <c r="H568" s="93"/>
      <c r="I568" s="750"/>
      <c r="J568" s="750"/>
    </row>
    <row r="569" spans="1:10" x14ac:dyDescent="0.35">
      <c r="A569" s="92"/>
      <c r="F569" s="726"/>
      <c r="G569" s="735"/>
      <c r="H569" s="93"/>
      <c r="I569" s="750"/>
      <c r="J569" s="750"/>
    </row>
    <row r="570" spans="1:10" x14ac:dyDescent="0.35">
      <c r="A570" s="92"/>
      <c r="F570" s="726"/>
      <c r="G570" s="735"/>
      <c r="H570" s="93"/>
      <c r="I570" s="750"/>
      <c r="J570" s="750"/>
    </row>
    <row r="571" spans="1:10" x14ac:dyDescent="0.35">
      <c r="A571" s="92"/>
      <c r="F571" s="726"/>
      <c r="G571" s="735"/>
      <c r="H571" s="93"/>
      <c r="I571" s="750"/>
      <c r="J571" s="750"/>
    </row>
    <row r="572" spans="1:10" x14ac:dyDescent="0.35">
      <c r="A572" s="92"/>
      <c r="F572" s="726"/>
      <c r="G572" s="735"/>
      <c r="H572" s="93"/>
      <c r="I572" s="750"/>
      <c r="J572" s="750"/>
    </row>
    <row r="573" spans="1:10" x14ac:dyDescent="0.35">
      <c r="A573" s="92"/>
      <c r="F573" s="726"/>
      <c r="G573" s="735"/>
      <c r="H573" s="93"/>
      <c r="I573" s="750"/>
      <c r="J573" s="750"/>
    </row>
    <row r="574" spans="1:10" x14ac:dyDescent="0.35">
      <c r="A574" s="92"/>
      <c r="F574" s="726"/>
      <c r="G574" s="735"/>
      <c r="H574" s="93"/>
      <c r="I574" s="750"/>
      <c r="J574" s="750"/>
    </row>
    <row r="575" spans="1:10" x14ac:dyDescent="0.35">
      <c r="A575" s="92"/>
      <c r="F575" s="726"/>
      <c r="G575" s="735"/>
      <c r="H575" s="93"/>
      <c r="I575" s="750"/>
      <c r="J575" s="750"/>
    </row>
    <row r="576" spans="1:10" x14ac:dyDescent="0.35">
      <c r="A576" s="92"/>
      <c r="F576" s="726"/>
      <c r="G576" s="735"/>
      <c r="H576" s="93"/>
      <c r="I576" s="750"/>
      <c r="J576" s="750"/>
    </row>
    <row r="577" spans="1:10" x14ac:dyDescent="0.35">
      <c r="A577" s="92"/>
      <c r="F577" s="726"/>
      <c r="G577" s="735"/>
      <c r="H577" s="93"/>
      <c r="I577" s="750"/>
      <c r="J577" s="750"/>
    </row>
    <row r="578" spans="1:10" x14ac:dyDescent="0.35">
      <c r="A578" s="92"/>
      <c r="F578" s="726"/>
      <c r="G578" s="735"/>
      <c r="H578" s="93"/>
      <c r="I578" s="750"/>
      <c r="J578" s="750"/>
    </row>
    <row r="579" spans="1:10" x14ac:dyDescent="0.35">
      <c r="A579" s="92"/>
      <c r="F579" s="726"/>
      <c r="G579" s="735"/>
      <c r="H579" s="93"/>
      <c r="I579" s="750"/>
      <c r="J579" s="750"/>
    </row>
    <row r="580" spans="1:10" x14ac:dyDescent="0.35">
      <c r="A580" s="92"/>
      <c r="F580" s="726"/>
      <c r="G580" s="735"/>
      <c r="H580" s="93"/>
      <c r="I580" s="750"/>
      <c r="J580" s="750"/>
    </row>
    <row r="581" spans="1:10" x14ac:dyDescent="0.35">
      <c r="A581" s="92"/>
      <c r="F581" s="726"/>
      <c r="G581" s="735"/>
      <c r="H581" s="93"/>
      <c r="I581" s="750"/>
      <c r="J581" s="750"/>
    </row>
    <row r="582" spans="1:10" x14ac:dyDescent="0.35">
      <c r="A582" s="92"/>
      <c r="F582" s="726"/>
      <c r="G582" s="735"/>
      <c r="H582" s="93"/>
      <c r="I582" s="750"/>
      <c r="J582" s="750"/>
    </row>
    <row r="583" spans="1:10" x14ac:dyDescent="0.35">
      <c r="A583" s="92"/>
      <c r="F583" s="726"/>
      <c r="G583" s="735"/>
      <c r="H583" s="93"/>
      <c r="I583" s="750"/>
      <c r="J583" s="750"/>
    </row>
    <row r="584" spans="1:10" x14ac:dyDescent="0.35">
      <c r="A584" s="92"/>
      <c r="F584" s="726"/>
      <c r="G584" s="735"/>
      <c r="H584" s="93"/>
      <c r="I584" s="750"/>
      <c r="J584" s="750"/>
    </row>
    <row r="585" spans="1:10" x14ac:dyDescent="0.35">
      <c r="A585" s="92"/>
      <c r="F585" s="726"/>
      <c r="G585" s="735"/>
      <c r="H585" s="93"/>
      <c r="I585" s="750"/>
      <c r="J585" s="750"/>
    </row>
    <row r="586" spans="1:10" x14ac:dyDescent="0.35">
      <c r="A586" s="92"/>
      <c r="F586" s="726"/>
      <c r="G586" s="735"/>
      <c r="H586" s="93"/>
      <c r="I586" s="750"/>
      <c r="J586" s="750"/>
    </row>
    <row r="587" spans="1:10" x14ac:dyDescent="0.35">
      <c r="A587" s="92"/>
      <c r="F587" s="726"/>
      <c r="G587" s="735"/>
      <c r="H587" s="93"/>
      <c r="I587" s="750"/>
      <c r="J587" s="750"/>
    </row>
    <row r="588" spans="1:10" x14ac:dyDescent="0.35">
      <c r="A588" s="92"/>
      <c r="F588" s="726"/>
      <c r="G588" s="735"/>
      <c r="H588" s="93"/>
      <c r="I588" s="750"/>
      <c r="J588" s="750"/>
    </row>
    <row r="589" spans="1:10" x14ac:dyDescent="0.35">
      <c r="A589" s="92"/>
      <c r="F589" s="726"/>
      <c r="G589" s="735"/>
      <c r="H589" s="93"/>
      <c r="I589" s="750"/>
      <c r="J589" s="750"/>
    </row>
    <row r="590" spans="1:10" x14ac:dyDescent="0.35">
      <c r="A590" s="92"/>
      <c r="F590" s="726"/>
      <c r="G590" s="735"/>
      <c r="H590" s="93"/>
      <c r="I590" s="750"/>
      <c r="J590" s="750"/>
    </row>
    <row r="591" spans="1:10" x14ac:dyDescent="0.35">
      <c r="A591" s="92"/>
      <c r="F591" s="726"/>
      <c r="G591" s="735"/>
      <c r="H591" s="93"/>
      <c r="I591" s="750"/>
      <c r="J591" s="750"/>
    </row>
    <row r="592" spans="1:10" x14ac:dyDescent="0.35">
      <c r="A592" s="92"/>
      <c r="F592" s="726"/>
      <c r="G592" s="735"/>
      <c r="H592" s="93"/>
      <c r="I592" s="750"/>
      <c r="J592" s="750"/>
    </row>
    <row r="593" spans="1:10" x14ac:dyDescent="0.35">
      <c r="A593" s="92"/>
      <c r="F593" s="726"/>
      <c r="G593" s="735"/>
      <c r="H593" s="93"/>
      <c r="I593" s="750"/>
      <c r="J593" s="750"/>
    </row>
    <row r="594" spans="1:10" x14ac:dyDescent="0.35">
      <c r="A594" s="92"/>
      <c r="F594" s="726"/>
      <c r="G594" s="735"/>
      <c r="H594" s="93"/>
      <c r="I594" s="750"/>
      <c r="J594" s="750"/>
    </row>
    <row r="595" spans="1:10" x14ac:dyDescent="0.35">
      <c r="A595" s="92"/>
      <c r="F595" s="726"/>
      <c r="G595" s="735"/>
      <c r="H595" s="93"/>
      <c r="I595" s="750"/>
      <c r="J595" s="750"/>
    </row>
    <row r="596" spans="1:10" x14ac:dyDescent="0.35">
      <c r="A596" s="92"/>
      <c r="F596" s="726"/>
      <c r="G596" s="735"/>
      <c r="H596" s="93"/>
      <c r="I596" s="750"/>
      <c r="J596" s="750"/>
    </row>
    <row r="597" spans="1:10" x14ac:dyDescent="0.35">
      <c r="A597" s="92"/>
      <c r="F597" s="726"/>
      <c r="G597" s="735"/>
      <c r="H597" s="93"/>
      <c r="I597" s="750"/>
      <c r="J597" s="750"/>
    </row>
    <row r="598" spans="1:10" x14ac:dyDescent="0.35">
      <c r="A598" s="92"/>
      <c r="F598" s="726"/>
      <c r="G598" s="735"/>
      <c r="H598" s="93"/>
      <c r="I598" s="750"/>
      <c r="J598" s="750"/>
    </row>
    <row r="599" spans="1:10" x14ac:dyDescent="0.35">
      <c r="A599" s="92"/>
      <c r="F599" s="726"/>
      <c r="G599" s="735"/>
      <c r="H599" s="93"/>
      <c r="I599" s="750"/>
      <c r="J599" s="750"/>
    </row>
    <row r="600" spans="1:10" x14ac:dyDescent="0.35">
      <c r="A600" s="92"/>
      <c r="F600" s="726"/>
      <c r="G600" s="735"/>
      <c r="H600" s="93"/>
      <c r="I600" s="750"/>
      <c r="J600" s="750"/>
    </row>
    <row r="601" spans="1:10" x14ac:dyDescent="0.35">
      <c r="A601" s="92"/>
      <c r="F601" s="726"/>
      <c r="G601" s="735"/>
      <c r="H601" s="93"/>
      <c r="I601" s="750"/>
      <c r="J601" s="750"/>
    </row>
    <row r="602" spans="1:10" x14ac:dyDescent="0.35">
      <c r="A602" s="92"/>
      <c r="F602" s="726"/>
      <c r="G602" s="735"/>
      <c r="H602" s="93"/>
      <c r="I602" s="750"/>
      <c r="J602" s="750"/>
    </row>
    <row r="603" spans="1:10" x14ac:dyDescent="0.35">
      <c r="A603" s="92"/>
      <c r="F603" s="726"/>
      <c r="G603" s="735"/>
      <c r="H603" s="93"/>
      <c r="I603" s="750"/>
      <c r="J603" s="750"/>
    </row>
    <row r="604" spans="1:10" x14ac:dyDescent="0.35">
      <c r="A604" s="92"/>
      <c r="F604" s="726"/>
      <c r="G604" s="735"/>
      <c r="H604" s="93"/>
      <c r="I604" s="750"/>
      <c r="J604" s="750"/>
    </row>
    <row r="605" spans="1:10" x14ac:dyDescent="0.35">
      <c r="A605" s="92"/>
      <c r="F605" s="726"/>
      <c r="G605" s="735"/>
      <c r="H605" s="93"/>
      <c r="I605" s="750"/>
      <c r="J605" s="750"/>
    </row>
    <row r="606" spans="1:10" x14ac:dyDescent="0.35">
      <c r="A606" s="92"/>
      <c r="F606" s="726"/>
      <c r="G606" s="735"/>
      <c r="H606" s="93"/>
      <c r="I606" s="750"/>
      <c r="J606" s="750"/>
    </row>
    <row r="607" spans="1:10" x14ac:dyDescent="0.35">
      <c r="A607" s="92"/>
      <c r="F607" s="726"/>
      <c r="G607" s="735"/>
      <c r="H607" s="93"/>
      <c r="I607" s="750"/>
      <c r="J607" s="750"/>
    </row>
    <row r="608" spans="1:10" x14ac:dyDescent="0.35">
      <c r="A608" s="92"/>
      <c r="F608" s="726"/>
      <c r="G608" s="735"/>
      <c r="H608" s="93"/>
      <c r="I608" s="750"/>
      <c r="J608" s="750"/>
    </row>
    <row r="609" spans="1:10" x14ac:dyDescent="0.35">
      <c r="A609" s="92"/>
      <c r="F609" s="726"/>
      <c r="G609" s="735"/>
      <c r="H609" s="93"/>
      <c r="I609" s="750"/>
      <c r="J609" s="750"/>
    </row>
    <row r="610" spans="1:10" x14ac:dyDescent="0.35">
      <c r="A610" s="92"/>
      <c r="F610" s="726"/>
      <c r="G610" s="735"/>
      <c r="H610" s="93"/>
      <c r="I610" s="750"/>
      <c r="J610" s="750"/>
    </row>
    <row r="611" spans="1:10" x14ac:dyDescent="0.35">
      <c r="A611" s="92"/>
      <c r="F611" s="726"/>
      <c r="G611" s="735"/>
      <c r="H611" s="93"/>
      <c r="I611" s="750"/>
      <c r="J611" s="750"/>
    </row>
    <row r="612" spans="1:10" x14ac:dyDescent="0.35">
      <c r="A612" s="92"/>
      <c r="F612" s="726"/>
      <c r="G612" s="735"/>
      <c r="H612" s="93"/>
      <c r="I612" s="750"/>
      <c r="J612" s="750"/>
    </row>
    <row r="613" spans="1:10" x14ac:dyDescent="0.35">
      <c r="A613" s="92"/>
      <c r="F613" s="726"/>
      <c r="G613" s="735"/>
      <c r="H613" s="93"/>
      <c r="I613" s="750"/>
      <c r="J613" s="750"/>
    </row>
    <row r="614" spans="1:10" x14ac:dyDescent="0.35">
      <c r="A614" s="92"/>
      <c r="F614" s="726"/>
      <c r="G614" s="735"/>
      <c r="H614" s="93"/>
      <c r="I614" s="750"/>
      <c r="J614" s="750"/>
    </row>
    <row r="615" spans="1:10" x14ac:dyDescent="0.35">
      <c r="A615" s="92"/>
      <c r="F615" s="726"/>
      <c r="G615" s="735"/>
      <c r="H615" s="93"/>
      <c r="I615" s="750"/>
      <c r="J615" s="750"/>
    </row>
    <row r="616" spans="1:10" x14ac:dyDescent="0.35">
      <c r="A616" s="92"/>
      <c r="F616" s="726"/>
      <c r="G616" s="735"/>
      <c r="H616" s="93"/>
      <c r="I616" s="750"/>
      <c r="J616" s="750"/>
    </row>
    <row r="617" spans="1:10" x14ac:dyDescent="0.35">
      <c r="A617" s="92"/>
      <c r="F617" s="726"/>
      <c r="G617" s="735"/>
      <c r="H617" s="93"/>
      <c r="I617" s="750"/>
      <c r="J617" s="750"/>
    </row>
    <row r="618" spans="1:10" x14ac:dyDescent="0.35">
      <c r="A618" s="92"/>
      <c r="F618" s="726"/>
      <c r="G618" s="735"/>
      <c r="H618" s="93"/>
      <c r="I618" s="750"/>
      <c r="J618" s="750"/>
    </row>
    <row r="619" spans="1:10" x14ac:dyDescent="0.35">
      <c r="A619" s="92"/>
      <c r="F619" s="726"/>
      <c r="G619" s="735"/>
      <c r="H619" s="93"/>
      <c r="I619" s="750"/>
      <c r="J619" s="750"/>
    </row>
    <row r="620" spans="1:10" x14ac:dyDescent="0.35">
      <c r="A620" s="92"/>
      <c r="F620" s="726"/>
      <c r="G620" s="735"/>
      <c r="H620" s="93"/>
      <c r="I620" s="750"/>
      <c r="J620" s="750"/>
    </row>
    <row r="621" spans="1:10" x14ac:dyDescent="0.35">
      <c r="A621" s="92"/>
      <c r="F621" s="726"/>
      <c r="G621" s="735"/>
      <c r="H621" s="93"/>
      <c r="I621" s="750"/>
      <c r="J621" s="750"/>
    </row>
    <row r="622" spans="1:10" x14ac:dyDescent="0.35">
      <c r="A622" s="92"/>
      <c r="F622" s="726"/>
      <c r="G622" s="735"/>
      <c r="H622" s="93"/>
      <c r="I622" s="750"/>
      <c r="J622" s="750"/>
    </row>
    <row r="623" spans="1:10" x14ac:dyDescent="0.35">
      <c r="A623" s="92"/>
      <c r="F623" s="726"/>
      <c r="G623" s="735"/>
      <c r="H623" s="93"/>
      <c r="I623" s="750"/>
      <c r="J623" s="750"/>
    </row>
    <row r="624" spans="1:10" x14ac:dyDescent="0.35">
      <c r="A624" s="92"/>
      <c r="F624" s="726"/>
      <c r="G624" s="735"/>
      <c r="H624" s="93"/>
      <c r="I624" s="750"/>
      <c r="J624" s="750"/>
    </row>
    <row r="625" spans="1:10" x14ac:dyDescent="0.35">
      <c r="A625" s="92"/>
      <c r="F625" s="726"/>
      <c r="G625" s="735"/>
      <c r="H625" s="93"/>
      <c r="I625" s="750"/>
      <c r="J625" s="750"/>
    </row>
    <row r="626" spans="1:10" x14ac:dyDescent="0.35">
      <c r="A626" s="92"/>
      <c r="F626" s="726"/>
      <c r="G626" s="735"/>
      <c r="H626" s="93"/>
      <c r="I626" s="750"/>
      <c r="J626" s="750"/>
    </row>
    <row r="627" spans="1:10" x14ac:dyDescent="0.35">
      <c r="A627" s="92"/>
      <c r="F627" s="726"/>
      <c r="G627" s="735"/>
      <c r="H627" s="93"/>
      <c r="I627" s="750"/>
      <c r="J627" s="750"/>
    </row>
    <row r="628" spans="1:10" x14ac:dyDescent="0.35">
      <c r="A628" s="92"/>
      <c r="F628" s="726"/>
      <c r="G628" s="735"/>
      <c r="H628" s="93"/>
      <c r="I628" s="750"/>
      <c r="J628" s="750"/>
    </row>
    <row r="629" spans="1:10" x14ac:dyDescent="0.35">
      <c r="A629" s="92"/>
      <c r="F629" s="726"/>
      <c r="G629" s="735"/>
      <c r="H629" s="93"/>
      <c r="I629" s="750"/>
      <c r="J629" s="750"/>
    </row>
    <row r="630" spans="1:10" x14ac:dyDescent="0.35">
      <c r="A630" s="92"/>
      <c r="F630" s="726"/>
      <c r="G630" s="735"/>
      <c r="H630" s="93"/>
      <c r="I630" s="750"/>
      <c r="J630" s="750"/>
    </row>
    <row r="631" spans="1:10" x14ac:dyDescent="0.35">
      <c r="A631" s="92"/>
      <c r="F631" s="726"/>
      <c r="G631" s="735"/>
      <c r="H631" s="93"/>
      <c r="I631" s="750"/>
      <c r="J631" s="750"/>
    </row>
    <row r="632" spans="1:10" x14ac:dyDescent="0.35">
      <c r="A632" s="92"/>
      <c r="F632" s="726"/>
      <c r="G632" s="735"/>
      <c r="H632" s="93"/>
      <c r="I632" s="750"/>
      <c r="J632" s="750"/>
    </row>
    <row r="633" spans="1:10" x14ac:dyDescent="0.35">
      <c r="A633" s="92"/>
      <c r="F633" s="726"/>
      <c r="G633" s="735"/>
      <c r="H633" s="93"/>
      <c r="I633" s="750"/>
      <c r="J633" s="750"/>
    </row>
    <row r="634" spans="1:10" x14ac:dyDescent="0.35">
      <c r="A634" s="92"/>
      <c r="F634" s="726"/>
      <c r="G634" s="735"/>
      <c r="H634" s="93"/>
      <c r="I634" s="750"/>
      <c r="J634" s="750"/>
    </row>
    <row r="635" spans="1:10" x14ac:dyDescent="0.35">
      <c r="A635" s="92"/>
      <c r="F635" s="726"/>
      <c r="G635" s="735"/>
      <c r="H635" s="93"/>
      <c r="I635" s="750"/>
      <c r="J635" s="750"/>
    </row>
    <row r="636" spans="1:10" x14ac:dyDescent="0.35">
      <c r="A636" s="92"/>
      <c r="F636" s="726"/>
      <c r="G636" s="735"/>
      <c r="H636" s="93"/>
      <c r="I636" s="750"/>
      <c r="J636" s="750"/>
    </row>
    <row r="637" spans="1:10" x14ac:dyDescent="0.35">
      <c r="A637" s="92"/>
      <c r="F637" s="726"/>
      <c r="G637" s="735"/>
      <c r="H637" s="93"/>
      <c r="I637" s="750"/>
      <c r="J637" s="750"/>
    </row>
    <row r="638" spans="1:10" x14ac:dyDescent="0.35">
      <c r="A638" s="92"/>
      <c r="F638" s="726"/>
      <c r="G638" s="735"/>
      <c r="H638" s="93"/>
      <c r="I638" s="750"/>
      <c r="J638" s="750"/>
    </row>
    <row r="639" spans="1:10" x14ac:dyDescent="0.35">
      <c r="A639" s="92"/>
      <c r="F639" s="726"/>
      <c r="G639" s="735"/>
      <c r="H639" s="93"/>
      <c r="I639" s="750"/>
      <c r="J639" s="750"/>
    </row>
    <row r="640" spans="1:10" x14ac:dyDescent="0.35">
      <c r="A640" s="92"/>
      <c r="F640" s="726"/>
      <c r="G640" s="735"/>
      <c r="H640" s="93"/>
      <c r="I640" s="750"/>
      <c r="J640" s="750"/>
    </row>
    <row r="641" spans="1:10" x14ac:dyDescent="0.35">
      <c r="A641" s="92"/>
      <c r="F641" s="726"/>
      <c r="G641" s="735"/>
      <c r="H641" s="93"/>
      <c r="I641" s="750"/>
      <c r="J641" s="750"/>
    </row>
    <row r="642" spans="1:10" x14ac:dyDescent="0.35">
      <c r="A642" s="92"/>
      <c r="F642" s="726"/>
      <c r="G642" s="735"/>
      <c r="H642" s="93"/>
      <c r="I642" s="750"/>
      <c r="J642" s="750"/>
    </row>
    <row r="643" spans="1:10" x14ac:dyDescent="0.35">
      <c r="A643" s="92"/>
      <c r="F643" s="726"/>
      <c r="G643" s="735"/>
      <c r="H643" s="93"/>
      <c r="I643" s="750"/>
      <c r="J643" s="750"/>
    </row>
    <row r="644" spans="1:10" x14ac:dyDescent="0.35">
      <c r="A644" s="92"/>
      <c r="F644" s="726"/>
      <c r="G644" s="735"/>
      <c r="H644" s="93"/>
      <c r="I644" s="750"/>
      <c r="J644" s="750"/>
    </row>
    <row r="645" spans="1:10" x14ac:dyDescent="0.35">
      <c r="A645" s="92"/>
      <c r="F645" s="726"/>
      <c r="G645" s="735"/>
      <c r="H645" s="93"/>
      <c r="I645" s="750"/>
      <c r="J645" s="750"/>
    </row>
    <row r="646" spans="1:10" x14ac:dyDescent="0.35">
      <c r="A646" s="92"/>
      <c r="F646" s="726"/>
      <c r="G646" s="735"/>
      <c r="H646" s="93"/>
      <c r="I646" s="750"/>
      <c r="J646" s="750"/>
    </row>
    <row r="647" spans="1:10" x14ac:dyDescent="0.35">
      <c r="A647" s="92"/>
      <c r="F647" s="726"/>
      <c r="G647" s="735"/>
      <c r="H647" s="93"/>
      <c r="I647" s="750"/>
      <c r="J647" s="750"/>
    </row>
    <row r="648" spans="1:10" x14ac:dyDescent="0.35">
      <c r="A648" s="92"/>
      <c r="F648" s="726"/>
      <c r="G648" s="735"/>
      <c r="H648" s="93"/>
      <c r="I648" s="750"/>
      <c r="J648" s="750"/>
    </row>
    <row r="649" spans="1:10" x14ac:dyDescent="0.35">
      <c r="A649" s="92"/>
      <c r="F649" s="726"/>
      <c r="G649" s="735"/>
      <c r="H649" s="93"/>
      <c r="I649" s="750"/>
      <c r="J649" s="750"/>
    </row>
    <row r="650" spans="1:10" x14ac:dyDescent="0.35">
      <c r="A650" s="92"/>
      <c r="F650" s="726"/>
      <c r="G650" s="735"/>
      <c r="H650" s="93"/>
      <c r="I650" s="750"/>
      <c r="J650" s="750"/>
    </row>
    <row r="651" spans="1:10" x14ac:dyDescent="0.35">
      <c r="A651" s="92"/>
      <c r="F651" s="726"/>
      <c r="G651" s="735"/>
      <c r="H651" s="93"/>
      <c r="I651" s="750"/>
      <c r="J651" s="750"/>
    </row>
    <row r="652" spans="1:10" x14ac:dyDescent="0.35">
      <c r="A652" s="92"/>
      <c r="F652" s="726"/>
      <c r="G652" s="735"/>
      <c r="H652" s="93"/>
      <c r="I652" s="750"/>
      <c r="J652" s="750"/>
    </row>
    <row r="653" spans="1:10" x14ac:dyDescent="0.35">
      <c r="A653" s="92"/>
      <c r="F653" s="726"/>
      <c r="G653" s="735"/>
      <c r="H653" s="93"/>
      <c r="I653" s="750"/>
      <c r="J653" s="750"/>
    </row>
    <row r="654" spans="1:10" x14ac:dyDescent="0.35">
      <c r="A654" s="92"/>
      <c r="F654" s="726"/>
      <c r="G654" s="735"/>
      <c r="H654" s="93"/>
      <c r="I654" s="750"/>
      <c r="J654" s="750"/>
    </row>
    <row r="655" spans="1:10" x14ac:dyDescent="0.35">
      <c r="A655" s="92"/>
      <c r="F655" s="726"/>
      <c r="G655" s="735"/>
      <c r="H655" s="93"/>
      <c r="I655" s="750"/>
      <c r="J655" s="750"/>
    </row>
    <row r="656" spans="1:10" x14ac:dyDescent="0.35">
      <c r="A656" s="92"/>
      <c r="F656" s="726"/>
      <c r="G656" s="735"/>
      <c r="H656" s="93"/>
      <c r="I656" s="750"/>
      <c r="J656" s="750"/>
    </row>
    <row r="657" spans="1:10" x14ac:dyDescent="0.35">
      <c r="A657" s="92"/>
      <c r="F657" s="726"/>
      <c r="G657" s="735"/>
      <c r="H657" s="93"/>
      <c r="I657" s="750"/>
      <c r="J657" s="750"/>
    </row>
    <row r="658" spans="1:10" x14ac:dyDescent="0.35">
      <c r="A658" s="92"/>
      <c r="F658" s="726"/>
      <c r="G658" s="735"/>
      <c r="H658" s="93"/>
      <c r="I658" s="750"/>
      <c r="J658" s="750"/>
    </row>
    <row r="659" spans="1:10" x14ac:dyDescent="0.35">
      <c r="A659" s="92"/>
      <c r="F659" s="726"/>
      <c r="G659" s="735"/>
      <c r="H659" s="93"/>
      <c r="I659" s="750"/>
      <c r="J659" s="750"/>
    </row>
    <row r="660" spans="1:10" x14ac:dyDescent="0.35">
      <c r="A660" s="92"/>
      <c r="F660" s="726"/>
      <c r="G660" s="735"/>
      <c r="H660" s="93"/>
      <c r="I660" s="750"/>
      <c r="J660" s="750"/>
    </row>
    <row r="661" spans="1:10" x14ac:dyDescent="0.35">
      <c r="A661" s="92"/>
      <c r="F661" s="726"/>
      <c r="G661" s="735"/>
      <c r="H661" s="93"/>
      <c r="I661" s="750"/>
      <c r="J661" s="750"/>
    </row>
    <row r="662" spans="1:10" x14ac:dyDescent="0.35">
      <c r="A662" s="92"/>
      <c r="F662" s="726"/>
      <c r="G662" s="735"/>
      <c r="H662" s="93"/>
      <c r="I662" s="750"/>
      <c r="J662" s="750"/>
    </row>
    <row r="663" spans="1:10" x14ac:dyDescent="0.35">
      <c r="A663" s="92"/>
      <c r="F663" s="726"/>
      <c r="G663" s="735"/>
      <c r="H663" s="93"/>
      <c r="I663" s="750"/>
      <c r="J663" s="750"/>
    </row>
    <row r="664" spans="1:10" x14ac:dyDescent="0.35">
      <c r="A664" s="92"/>
      <c r="F664" s="726"/>
      <c r="G664" s="735"/>
      <c r="H664" s="93"/>
      <c r="I664" s="750"/>
      <c r="J664" s="750"/>
    </row>
    <row r="665" spans="1:10" x14ac:dyDescent="0.35">
      <c r="A665" s="92"/>
      <c r="F665" s="726"/>
      <c r="G665" s="735"/>
      <c r="H665" s="93"/>
      <c r="I665" s="750"/>
      <c r="J665" s="750"/>
    </row>
    <row r="666" spans="1:10" x14ac:dyDescent="0.35">
      <c r="A666" s="92"/>
      <c r="F666" s="726"/>
      <c r="G666" s="735"/>
      <c r="H666" s="93"/>
      <c r="I666" s="750"/>
      <c r="J666" s="750"/>
    </row>
    <row r="667" spans="1:10" x14ac:dyDescent="0.35">
      <c r="A667" s="92"/>
      <c r="F667" s="726"/>
      <c r="G667" s="735"/>
      <c r="H667" s="93"/>
      <c r="I667" s="750"/>
      <c r="J667" s="750"/>
    </row>
    <row r="668" spans="1:10" x14ac:dyDescent="0.35">
      <c r="A668" s="92"/>
      <c r="F668" s="726"/>
      <c r="G668" s="735"/>
      <c r="H668" s="93"/>
      <c r="I668" s="750"/>
      <c r="J668" s="750"/>
    </row>
    <row r="669" spans="1:10" x14ac:dyDescent="0.35">
      <c r="A669" s="92"/>
      <c r="F669" s="726"/>
      <c r="G669" s="735"/>
      <c r="H669" s="93"/>
      <c r="I669" s="750"/>
      <c r="J669" s="750"/>
    </row>
    <row r="670" spans="1:10" x14ac:dyDescent="0.35">
      <c r="A670" s="92"/>
      <c r="F670" s="726"/>
      <c r="G670" s="735"/>
      <c r="H670" s="93"/>
      <c r="I670" s="750"/>
      <c r="J670" s="750"/>
    </row>
    <row r="671" spans="1:10" x14ac:dyDescent="0.35">
      <c r="A671" s="92"/>
      <c r="F671" s="726"/>
      <c r="G671" s="735"/>
      <c r="H671" s="93"/>
      <c r="I671" s="750"/>
      <c r="J671" s="750"/>
    </row>
    <row r="672" spans="1:10" x14ac:dyDescent="0.35">
      <c r="A672" s="92"/>
      <c r="F672" s="726"/>
      <c r="G672" s="735"/>
      <c r="H672" s="93"/>
      <c r="I672" s="750"/>
      <c r="J672" s="750"/>
    </row>
    <row r="673" spans="1:10" x14ac:dyDescent="0.35">
      <c r="A673" s="92"/>
      <c r="F673" s="726"/>
      <c r="G673" s="735"/>
      <c r="H673" s="93"/>
      <c r="I673" s="750"/>
      <c r="J673" s="750"/>
    </row>
    <row r="674" spans="1:10" x14ac:dyDescent="0.35">
      <c r="A674" s="92"/>
      <c r="F674" s="726"/>
      <c r="G674" s="735"/>
      <c r="H674" s="93"/>
      <c r="I674" s="750"/>
      <c r="J674" s="750"/>
    </row>
    <row r="675" spans="1:10" x14ac:dyDescent="0.35">
      <c r="A675" s="92"/>
      <c r="F675" s="726"/>
      <c r="G675" s="735"/>
      <c r="H675" s="93"/>
      <c r="I675" s="750"/>
      <c r="J675" s="750"/>
    </row>
    <row r="676" spans="1:10" x14ac:dyDescent="0.35">
      <c r="A676" s="92"/>
      <c r="F676" s="726"/>
      <c r="G676" s="735"/>
      <c r="H676" s="93"/>
      <c r="I676" s="750"/>
      <c r="J676" s="750"/>
    </row>
    <row r="677" spans="1:10" x14ac:dyDescent="0.35">
      <c r="A677" s="92"/>
      <c r="F677" s="726"/>
      <c r="G677" s="735"/>
      <c r="H677" s="93"/>
      <c r="I677" s="750"/>
      <c r="J677" s="750"/>
    </row>
    <row r="678" spans="1:10" x14ac:dyDescent="0.35">
      <c r="A678" s="92"/>
      <c r="F678" s="726"/>
      <c r="G678" s="735"/>
      <c r="H678" s="93"/>
      <c r="I678" s="750"/>
      <c r="J678" s="750"/>
    </row>
    <row r="679" spans="1:10" x14ac:dyDescent="0.35">
      <c r="A679" s="92"/>
      <c r="F679" s="726"/>
      <c r="G679" s="735"/>
      <c r="H679" s="93"/>
      <c r="I679" s="750"/>
      <c r="J679" s="750"/>
    </row>
    <row r="680" spans="1:10" x14ac:dyDescent="0.35">
      <c r="A680" s="92"/>
      <c r="F680" s="726"/>
      <c r="G680" s="735"/>
      <c r="H680" s="93"/>
      <c r="I680" s="750"/>
      <c r="J680" s="750"/>
    </row>
    <row r="681" spans="1:10" x14ac:dyDescent="0.35">
      <c r="A681" s="92"/>
      <c r="F681" s="726"/>
      <c r="G681" s="735"/>
      <c r="H681" s="93"/>
      <c r="I681" s="750"/>
      <c r="J681" s="750"/>
    </row>
    <row r="682" spans="1:10" x14ac:dyDescent="0.35">
      <c r="A682" s="92"/>
      <c r="F682" s="726"/>
      <c r="G682" s="735"/>
      <c r="H682" s="93"/>
      <c r="I682" s="750"/>
      <c r="J682" s="750"/>
    </row>
    <row r="683" spans="1:10" x14ac:dyDescent="0.35">
      <c r="A683" s="92"/>
      <c r="F683" s="726"/>
      <c r="G683" s="735"/>
      <c r="H683" s="93"/>
      <c r="I683" s="750"/>
      <c r="J683" s="750"/>
    </row>
    <row r="684" spans="1:10" x14ac:dyDescent="0.35">
      <c r="A684" s="92"/>
      <c r="F684" s="726"/>
      <c r="G684" s="735"/>
      <c r="H684" s="93"/>
      <c r="I684" s="750"/>
      <c r="J684" s="750"/>
    </row>
    <row r="685" spans="1:10" x14ac:dyDescent="0.35">
      <c r="A685" s="92"/>
      <c r="F685" s="726"/>
      <c r="G685" s="735"/>
      <c r="H685" s="93"/>
      <c r="I685" s="750"/>
      <c r="J685" s="750"/>
    </row>
    <row r="686" spans="1:10" x14ac:dyDescent="0.35">
      <c r="A686" s="92"/>
      <c r="F686" s="726"/>
      <c r="G686" s="735"/>
      <c r="H686" s="93"/>
      <c r="I686" s="750"/>
      <c r="J686" s="750"/>
    </row>
    <row r="687" spans="1:10" x14ac:dyDescent="0.35">
      <c r="A687" s="92"/>
      <c r="F687" s="726"/>
      <c r="G687" s="735"/>
      <c r="H687" s="93"/>
      <c r="I687" s="750"/>
      <c r="J687" s="750"/>
    </row>
    <row r="688" spans="1:10" x14ac:dyDescent="0.35">
      <c r="A688" s="92"/>
      <c r="F688" s="726"/>
      <c r="G688" s="735"/>
      <c r="H688" s="93"/>
      <c r="I688" s="750"/>
      <c r="J688" s="750"/>
    </row>
    <row r="689" spans="1:10" x14ac:dyDescent="0.35">
      <c r="A689" s="92"/>
      <c r="F689" s="726"/>
      <c r="G689" s="735"/>
      <c r="H689" s="93"/>
      <c r="I689" s="750"/>
      <c r="J689" s="750"/>
    </row>
    <row r="690" spans="1:10" x14ac:dyDescent="0.35">
      <c r="A690" s="92"/>
      <c r="F690" s="726"/>
      <c r="G690" s="735"/>
      <c r="H690" s="93"/>
      <c r="I690" s="750"/>
      <c r="J690" s="750"/>
    </row>
    <row r="691" spans="1:10" x14ac:dyDescent="0.35">
      <c r="A691" s="92"/>
      <c r="F691" s="726"/>
      <c r="G691" s="735"/>
      <c r="H691" s="93"/>
      <c r="I691" s="750"/>
      <c r="J691" s="750"/>
    </row>
    <row r="692" spans="1:10" x14ac:dyDescent="0.35">
      <c r="A692" s="92"/>
      <c r="F692" s="726"/>
      <c r="G692" s="735"/>
      <c r="H692" s="93"/>
      <c r="I692" s="750"/>
      <c r="J692" s="750"/>
    </row>
    <row r="693" spans="1:10" x14ac:dyDescent="0.35">
      <c r="A693" s="92"/>
      <c r="F693" s="726"/>
      <c r="G693" s="735"/>
      <c r="H693" s="93"/>
      <c r="I693" s="750"/>
      <c r="J693" s="750"/>
    </row>
    <row r="694" spans="1:10" x14ac:dyDescent="0.35">
      <c r="A694" s="92"/>
      <c r="F694" s="726"/>
      <c r="G694" s="735"/>
      <c r="H694" s="93"/>
      <c r="I694" s="750"/>
      <c r="J694" s="750"/>
    </row>
    <row r="695" spans="1:10" x14ac:dyDescent="0.35">
      <c r="A695" s="92"/>
      <c r="F695" s="726"/>
      <c r="G695" s="735"/>
      <c r="H695" s="93"/>
      <c r="I695" s="750"/>
      <c r="J695" s="750"/>
    </row>
    <row r="696" spans="1:10" x14ac:dyDescent="0.35">
      <c r="A696" s="92"/>
      <c r="F696" s="726"/>
      <c r="G696" s="735"/>
      <c r="H696" s="93"/>
      <c r="I696" s="750"/>
      <c r="J696" s="750"/>
    </row>
    <row r="697" spans="1:10" x14ac:dyDescent="0.35">
      <c r="A697" s="92"/>
      <c r="F697" s="726"/>
      <c r="G697" s="735"/>
      <c r="H697" s="93"/>
      <c r="I697" s="750"/>
      <c r="J697" s="750"/>
    </row>
    <row r="698" spans="1:10" x14ac:dyDescent="0.35">
      <c r="A698" s="92"/>
      <c r="F698" s="726"/>
      <c r="G698" s="735"/>
      <c r="H698" s="93"/>
      <c r="I698" s="750"/>
      <c r="J698" s="750"/>
    </row>
    <row r="699" spans="1:10" x14ac:dyDescent="0.35">
      <c r="A699" s="92"/>
      <c r="F699" s="726"/>
      <c r="G699" s="735"/>
      <c r="H699" s="93"/>
      <c r="I699" s="750"/>
      <c r="J699" s="750"/>
    </row>
    <row r="700" spans="1:10" x14ac:dyDescent="0.35">
      <c r="A700" s="92"/>
      <c r="F700" s="726"/>
      <c r="G700" s="735"/>
      <c r="H700" s="93"/>
      <c r="I700" s="750"/>
      <c r="J700" s="750"/>
    </row>
    <row r="701" spans="1:10" x14ac:dyDescent="0.35">
      <c r="A701" s="92"/>
      <c r="F701" s="726"/>
      <c r="G701" s="735"/>
      <c r="H701" s="93"/>
      <c r="I701" s="750"/>
      <c r="J701" s="750"/>
    </row>
    <row r="702" spans="1:10" x14ac:dyDescent="0.35">
      <c r="A702" s="92"/>
      <c r="F702" s="726"/>
      <c r="G702" s="735"/>
      <c r="H702" s="93"/>
      <c r="I702" s="750"/>
      <c r="J702" s="750"/>
    </row>
    <row r="703" spans="1:10" x14ac:dyDescent="0.35">
      <c r="A703" s="92"/>
      <c r="F703" s="726"/>
      <c r="G703" s="735"/>
      <c r="H703" s="93"/>
      <c r="I703" s="750"/>
      <c r="J703" s="750"/>
    </row>
    <row r="704" spans="1:10" x14ac:dyDescent="0.35">
      <c r="A704" s="92"/>
      <c r="F704" s="726"/>
      <c r="G704" s="735"/>
      <c r="H704" s="93"/>
      <c r="I704" s="750"/>
      <c r="J704" s="750"/>
    </row>
    <row r="705" spans="1:10" x14ac:dyDescent="0.35">
      <c r="A705" s="92"/>
      <c r="F705" s="726"/>
      <c r="G705" s="735"/>
      <c r="H705" s="93"/>
      <c r="I705" s="750"/>
      <c r="J705" s="750"/>
    </row>
    <row r="706" spans="1:10" x14ac:dyDescent="0.35">
      <c r="A706" s="92"/>
      <c r="F706" s="726"/>
      <c r="G706" s="735"/>
      <c r="H706" s="93"/>
      <c r="I706" s="750"/>
      <c r="J706" s="750"/>
    </row>
    <row r="707" spans="1:10" x14ac:dyDescent="0.35">
      <c r="A707" s="92"/>
      <c r="F707" s="726"/>
      <c r="G707" s="735"/>
      <c r="H707" s="93"/>
      <c r="I707" s="750"/>
      <c r="J707" s="750"/>
    </row>
    <row r="708" spans="1:10" x14ac:dyDescent="0.35">
      <c r="A708" s="92"/>
      <c r="F708" s="726"/>
      <c r="G708" s="735"/>
      <c r="H708" s="93"/>
      <c r="I708" s="750"/>
      <c r="J708" s="750"/>
    </row>
    <row r="709" spans="1:10" x14ac:dyDescent="0.35">
      <c r="A709" s="92"/>
      <c r="F709" s="726"/>
      <c r="G709" s="735"/>
      <c r="H709" s="93"/>
      <c r="I709" s="750"/>
      <c r="J709" s="750"/>
    </row>
    <row r="710" spans="1:10" x14ac:dyDescent="0.35">
      <c r="A710" s="92"/>
      <c r="F710" s="726"/>
      <c r="G710" s="735"/>
      <c r="H710" s="93"/>
      <c r="I710" s="750"/>
      <c r="J710" s="750"/>
    </row>
    <row r="711" spans="1:10" x14ac:dyDescent="0.35">
      <c r="A711" s="92"/>
      <c r="F711" s="726"/>
      <c r="G711" s="735"/>
      <c r="H711" s="93"/>
      <c r="I711" s="750"/>
      <c r="J711" s="750"/>
    </row>
    <row r="712" spans="1:10" x14ac:dyDescent="0.35">
      <c r="A712" s="92"/>
      <c r="F712" s="726"/>
      <c r="G712" s="735"/>
      <c r="H712" s="93"/>
      <c r="I712" s="750"/>
      <c r="J712" s="750"/>
    </row>
    <row r="713" spans="1:10" x14ac:dyDescent="0.35">
      <c r="A713" s="92"/>
      <c r="F713" s="726"/>
      <c r="G713" s="735"/>
      <c r="H713" s="93"/>
      <c r="I713" s="750"/>
      <c r="J713" s="750"/>
    </row>
    <row r="714" spans="1:10" x14ac:dyDescent="0.35">
      <c r="A714" s="92"/>
      <c r="F714" s="726"/>
      <c r="G714" s="735"/>
      <c r="H714" s="93"/>
      <c r="I714" s="750"/>
      <c r="J714" s="750"/>
    </row>
    <row r="715" spans="1:10" x14ac:dyDescent="0.35">
      <c r="A715" s="92"/>
      <c r="F715" s="726"/>
      <c r="G715" s="735"/>
      <c r="H715" s="93"/>
      <c r="I715" s="750"/>
      <c r="J715" s="750"/>
    </row>
    <row r="716" spans="1:10" x14ac:dyDescent="0.35">
      <c r="A716" s="92"/>
      <c r="F716" s="726"/>
      <c r="G716" s="735"/>
      <c r="H716" s="93"/>
      <c r="I716" s="750"/>
      <c r="J716" s="750"/>
    </row>
    <row r="717" spans="1:10" x14ac:dyDescent="0.35">
      <c r="A717" s="92"/>
      <c r="F717" s="726"/>
      <c r="G717" s="735"/>
      <c r="H717" s="93"/>
      <c r="I717" s="750"/>
      <c r="J717" s="750"/>
    </row>
    <row r="718" spans="1:10" x14ac:dyDescent="0.35">
      <c r="A718" s="92"/>
      <c r="F718" s="726"/>
      <c r="G718" s="735"/>
      <c r="H718" s="93"/>
      <c r="I718" s="750"/>
      <c r="J718" s="750"/>
    </row>
    <row r="719" spans="1:10" x14ac:dyDescent="0.35">
      <c r="A719" s="92"/>
      <c r="F719" s="726"/>
      <c r="G719" s="735"/>
      <c r="H719" s="93"/>
      <c r="I719" s="750"/>
      <c r="J719" s="750"/>
    </row>
    <row r="720" spans="1:10" x14ac:dyDescent="0.35">
      <c r="A720" s="92"/>
      <c r="F720" s="726"/>
      <c r="G720" s="735"/>
      <c r="H720" s="93"/>
      <c r="I720" s="750"/>
      <c r="J720" s="750"/>
    </row>
    <row r="721" spans="1:10" x14ac:dyDescent="0.35">
      <c r="A721" s="92"/>
      <c r="F721" s="726"/>
      <c r="G721" s="735"/>
      <c r="H721" s="93"/>
      <c r="I721" s="750"/>
      <c r="J721" s="750"/>
    </row>
    <row r="722" spans="1:10" x14ac:dyDescent="0.35">
      <c r="A722" s="92"/>
      <c r="F722" s="726"/>
      <c r="G722" s="735"/>
      <c r="H722" s="93"/>
      <c r="I722" s="750"/>
      <c r="J722" s="750"/>
    </row>
    <row r="723" spans="1:10" x14ac:dyDescent="0.35">
      <c r="A723" s="92"/>
      <c r="F723" s="726"/>
      <c r="G723" s="735"/>
      <c r="H723" s="93"/>
      <c r="I723" s="750"/>
      <c r="J723" s="750"/>
    </row>
    <row r="724" spans="1:10" x14ac:dyDescent="0.35">
      <c r="A724" s="92"/>
      <c r="F724" s="726"/>
      <c r="G724" s="735"/>
      <c r="H724" s="93"/>
      <c r="I724" s="750"/>
      <c r="J724" s="750"/>
    </row>
    <row r="725" spans="1:10" x14ac:dyDescent="0.35">
      <c r="A725" s="92"/>
      <c r="F725" s="726"/>
      <c r="G725" s="735"/>
      <c r="H725" s="93"/>
      <c r="I725" s="750"/>
      <c r="J725" s="750"/>
    </row>
    <row r="726" spans="1:10" x14ac:dyDescent="0.35">
      <c r="A726" s="92"/>
      <c r="F726" s="726"/>
      <c r="G726" s="735"/>
      <c r="H726" s="93"/>
      <c r="I726" s="750"/>
      <c r="J726" s="750"/>
    </row>
    <row r="727" spans="1:10" x14ac:dyDescent="0.35">
      <c r="A727" s="92"/>
      <c r="F727" s="726"/>
      <c r="G727" s="735"/>
      <c r="H727" s="93"/>
      <c r="I727" s="750"/>
      <c r="J727" s="750"/>
    </row>
    <row r="728" spans="1:10" x14ac:dyDescent="0.35">
      <c r="A728" s="92"/>
      <c r="F728" s="726"/>
      <c r="G728" s="735"/>
      <c r="H728" s="93"/>
      <c r="I728" s="750"/>
      <c r="J728" s="750"/>
    </row>
    <row r="729" spans="1:10" x14ac:dyDescent="0.35">
      <c r="A729" s="92"/>
      <c r="F729" s="726"/>
      <c r="G729" s="735"/>
      <c r="H729" s="93"/>
      <c r="I729" s="750"/>
      <c r="J729" s="750"/>
    </row>
    <row r="730" spans="1:10" x14ac:dyDescent="0.35">
      <c r="A730" s="92"/>
      <c r="F730" s="726"/>
      <c r="G730" s="735"/>
      <c r="H730" s="93"/>
      <c r="I730" s="750"/>
      <c r="J730" s="750"/>
    </row>
    <row r="731" spans="1:10" x14ac:dyDescent="0.35">
      <c r="A731" s="92"/>
      <c r="F731" s="726"/>
      <c r="G731" s="735"/>
      <c r="H731" s="93"/>
      <c r="I731" s="750"/>
      <c r="J731" s="750"/>
    </row>
    <row r="732" spans="1:10" x14ac:dyDescent="0.35">
      <c r="A732" s="92"/>
      <c r="F732" s="726"/>
      <c r="G732" s="735"/>
      <c r="H732" s="93"/>
      <c r="I732" s="750"/>
      <c r="J732" s="750"/>
    </row>
    <row r="733" spans="1:10" x14ac:dyDescent="0.35">
      <c r="A733" s="92"/>
      <c r="F733" s="726"/>
      <c r="G733" s="735"/>
      <c r="H733" s="93"/>
      <c r="I733" s="750"/>
      <c r="J733" s="750"/>
    </row>
    <row r="734" spans="1:10" x14ac:dyDescent="0.35">
      <c r="A734" s="92"/>
      <c r="F734" s="726"/>
      <c r="G734" s="735"/>
      <c r="H734" s="93"/>
      <c r="I734" s="750"/>
      <c r="J734" s="750"/>
    </row>
    <row r="735" spans="1:10" x14ac:dyDescent="0.35">
      <c r="A735" s="92"/>
      <c r="F735" s="726"/>
      <c r="G735" s="735"/>
      <c r="H735" s="93"/>
      <c r="I735" s="750"/>
      <c r="J735" s="750"/>
    </row>
    <row r="736" spans="1:10" x14ac:dyDescent="0.35">
      <c r="A736" s="92"/>
      <c r="F736" s="726"/>
      <c r="G736" s="735"/>
      <c r="H736" s="93"/>
      <c r="I736" s="750"/>
      <c r="J736" s="750"/>
    </row>
    <row r="737" spans="1:10" x14ac:dyDescent="0.35">
      <c r="A737" s="92"/>
      <c r="F737" s="726"/>
      <c r="G737" s="735"/>
      <c r="H737" s="93"/>
      <c r="I737" s="750"/>
      <c r="J737" s="750"/>
    </row>
    <row r="738" spans="1:10" x14ac:dyDescent="0.35">
      <c r="A738" s="92"/>
      <c r="F738" s="726"/>
      <c r="G738" s="735"/>
      <c r="H738" s="93"/>
      <c r="I738" s="750"/>
      <c r="J738" s="750"/>
    </row>
    <row r="739" spans="1:10" x14ac:dyDescent="0.35">
      <c r="A739" s="92"/>
      <c r="F739" s="726"/>
      <c r="G739" s="735"/>
      <c r="H739" s="93"/>
      <c r="I739" s="750"/>
      <c r="J739" s="750"/>
    </row>
    <row r="740" spans="1:10" x14ac:dyDescent="0.35">
      <c r="A740" s="92"/>
      <c r="F740" s="726"/>
      <c r="G740" s="735"/>
      <c r="H740" s="93"/>
      <c r="I740" s="750"/>
      <c r="J740" s="750"/>
    </row>
    <row r="741" spans="1:10" x14ac:dyDescent="0.35">
      <c r="A741" s="92"/>
      <c r="F741" s="726"/>
      <c r="G741" s="735"/>
      <c r="H741" s="93"/>
      <c r="I741" s="750"/>
      <c r="J741" s="750"/>
    </row>
    <row r="742" spans="1:10" x14ac:dyDescent="0.35">
      <c r="A742" s="92"/>
      <c r="F742" s="726"/>
      <c r="G742" s="735"/>
      <c r="H742" s="93"/>
      <c r="I742" s="750"/>
      <c r="J742" s="750"/>
    </row>
    <row r="743" spans="1:10" x14ac:dyDescent="0.35">
      <c r="A743" s="92"/>
      <c r="F743" s="726"/>
      <c r="G743" s="735"/>
      <c r="H743" s="93"/>
      <c r="I743" s="750"/>
      <c r="J743" s="750"/>
    </row>
    <row r="744" spans="1:10" x14ac:dyDescent="0.35">
      <c r="A744" s="92"/>
      <c r="F744" s="726"/>
      <c r="G744" s="735"/>
      <c r="H744" s="93"/>
      <c r="I744" s="750"/>
      <c r="J744" s="750"/>
    </row>
    <row r="745" spans="1:10" x14ac:dyDescent="0.35">
      <c r="A745" s="92"/>
      <c r="F745" s="726"/>
      <c r="G745" s="735"/>
      <c r="H745" s="93"/>
      <c r="I745" s="750"/>
      <c r="J745" s="750"/>
    </row>
    <row r="746" spans="1:10" x14ac:dyDescent="0.35">
      <c r="A746" s="92"/>
      <c r="F746" s="726"/>
      <c r="G746" s="735"/>
      <c r="H746" s="93"/>
      <c r="I746" s="750"/>
      <c r="J746" s="750"/>
    </row>
    <row r="747" spans="1:10" x14ac:dyDescent="0.35">
      <c r="A747" s="92"/>
      <c r="F747" s="726"/>
      <c r="G747" s="735"/>
      <c r="H747" s="93"/>
      <c r="I747" s="750"/>
      <c r="J747" s="750"/>
    </row>
    <row r="748" spans="1:10" x14ac:dyDescent="0.35">
      <c r="A748" s="92"/>
      <c r="F748" s="726"/>
      <c r="G748" s="735"/>
      <c r="H748" s="93"/>
      <c r="I748" s="750"/>
      <c r="J748" s="750"/>
    </row>
    <row r="749" spans="1:10" x14ac:dyDescent="0.35">
      <c r="A749" s="92"/>
      <c r="F749" s="726"/>
      <c r="G749" s="735"/>
      <c r="H749" s="93"/>
      <c r="I749" s="750"/>
      <c r="J749" s="750"/>
    </row>
    <row r="750" spans="1:10" x14ac:dyDescent="0.35">
      <c r="A750" s="92"/>
      <c r="F750" s="726"/>
      <c r="G750" s="735"/>
      <c r="H750" s="93"/>
      <c r="I750" s="750"/>
      <c r="J750" s="750"/>
    </row>
    <row r="751" spans="1:10" x14ac:dyDescent="0.35">
      <c r="A751" s="92"/>
      <c r="F751" s="726"/>
      <c r="G751" s="735"/>
      <c r="H751" s="93"/>
      <c r="I751" s="750"/>
      <c r="J751" s="750"/>
    </row>
    <row r="752" spans="1:10" x14ac:dyDescent="0.35">
      <c r="A752" s="92"/>
      <c r="F752" s="726"/>
      <c r="G752" s="735"/>
      <c r="H752" s="93"/>
      <c r="I752" s="750"/>
      <c r="J752" s="750"/>
    </row>
    <row r="753" spans="1:10" x14ac:dyDescent="0.35">
      <c r="A753" s="92"/>
      <c r="F753" s="726"/>
      <c r="G753" s="735"/>
      <c r="H753" s="93"/>
      <c r="I753" s="750"/>
      <c r="J753" s="750"/>
    </row>
    <row r="754" spans="1:10" x14ac:dyDescent="0.35">
      <c r="A754" s="92"/>
      <c r="F754" s="726"/>
      <c r="G754" s="735"/>
      <c r="H754" s="93"/>
      <c r="I754" s="750"/>
      <c r="J754" s="750"/>
    </row>
    <row r="755" spans="1:10" x14ac:dyDescent="0.35">
      <c r="A755" s="92"/>
      <c r="F755" s="726"/>
      <c r="G755" s="735"/>
      <c r="H755" s="93"/>
      <c r="I755" s="750"/>
      <c r="J755" s="750"/>
    </row>
    <row r="756" spans="1:10" x14ac:dyDescent="0.35">
      <c r="A756" s="92"/>
      <c r="F756" s="726"/>
      <c r="G756" s="735"/>
      <c r="H756" s="93"/>
      <c r="I756" s="750"/>
      <c r="J756" s="750"/>
    </row>
    <row r="757" spans="1:10" x14ac:dyDescent="0.35">
      <c r="A757" s="92"/>
      <c r="F757" s="726"/>
      <c r="G757" s="735"/>
      <c r="H757" s="93"/>
      <c r="I757" s="750"/>
      <c r="J757" s="750"/>
    </row>
    <row r="758" spans="1:10" x14ac:dyDescent="0.35">
      <c r="A758" s="92"/>
      <c r="F758" s="726"/>
      <c r="G758" s="735"/>
      <c r="H758" s="93"/>
      <c r="I758" s="750"/>
      <c r="J758" s="750"/>
    </row>
    <row r="759" spans="1:10" x14ac:dyDescent="0.35">
      <c r="A759" s="92"/>
      <c r="F759" s="726"/>
      <c r="G759" s="735"/>
      <c r="H759" s="93"/>
      <c r="I759" s="750"/>
      <c r="J759" s="750"/>
    </row>
    <row r="760" spans="1:10" x14ac:dyDescent="0.35">
      <c r="A760" s="92"/>
      <c r="F760" s="726"/>
      <c r="G760" s="735"/>
      <c r="H760" s="93"/>
      <c r="I760" s="750"/>
      <c r="J760" s="750"/>
    </row>
    <row r="761" spans="1:10" x14ac:dyDescent="0.35">
      <c r="A761" s="92"/>
      <c r="F761" s="726"/>
      <c r="G761" s="735"/>
      <c r="H761" s="93"/>
      <c r="I761" s="750"/>
      <c r="J761" s="750"/>
    </row>
    <row r="762" spans="1:10" x14ac:dyDescent="0.35">
      <c r="A762" s="92"/>
      <c r="F762" s="726"/>
      <c r="G762" s="735"/>
      <c r="H762" s="93"/>
      <c r="I762" s="750"/>
      <c r="J762" s="750"/>
    </row>
    <row r="763" spans="1:10" x14ac:dyDescent="0.35">
      <c r="A763" s="92"/>
      <c r="F763" s="726"/>
      <c r="G763" s="735"/>
      <c r="H763" s="93"/>
      <c r="I763" s="750"/>
      <c r="J763" s="750"/>
    </row>
    <row r="764" spans="1:10" x14ac:dyDescent="0.35">
      <c r="A764" s="92"/>
      <c r="F764" s="726"/>
      <c r="G764" s="735"/>
      <c r="H764" s="93"/>
      <c r="I764" s="750"/>
      <c r="J764" s="750"/>
    </row>
    <row r="765" spans="1:10" x14ac:dyDescent="0.35">
      <c r="A765" s="92"/>
      <c r="F765" s="726"/>
      <c r="G765" s="735"/>
      <c r="H765" s="93"/>
      <c r="I765" s="750"/>
      <c r="J765" s="750"/>
    </row>
    <row r="766" spans="1:10" x14ac:dyDescent="0.35">
      <c r="A766" s="92"/>
      <c r="F766" s="726"/>
      <c r="G766" s="735"/>
      <c r="H766" s="93"/>
      <c r="I766" s="750"/>
      <c r="J766" s="750"/>
    </row>
    <row r="767" spans="1:10" x14ac:dyDescent="0.35">
      <c r="A767" s="92"/>
      <c r="F767" s="726"/>
      <c r="G767" s="735"/>
      <c r="H767" s="93"/>
      <c r="I767" s="750"/>
      <c r="J767" s="750"/>
    </row>
    <row r="768" spans="1:10" x14ac:dyDescent="0.35">
      <c r="A768" s="92"/>
      <c r="F768" s="726"/>
      <c r="G768" s="735"/>
      <c r="H768" s="93"/>
      <c r="I768" s="750"/>
      <c r="J768" s="750"/>
    </row>
    <row r="769" spans="1:10" x14ac:dyDescent="0.35">
      <c r="A769" s="92"/>
      <c r="F769" s="726"/>
      <c r="G769" s="735"/>
      <c r="H769" s="93"/>
      <c r="I769" s="750"/>
      <c r="J769" s="750"/>
    </row>
    <row r="770" spans="1:10" x14ac:dyDescent="0.35">
      <c r="A770" s="92"/>
      <c r="F770" s="726"/>
      <c r="G770" s="735"/>
      <c r="H770" s="93"/>
      <c r="I770" s="750"/>
      <c r="J770" s="750"/>
    </row>
    <row r="771" spans="1:10" x14ac:dyDescent="0.35">
      <c r="A771" s="92"/>
      <c r="F771" s="726"/>
      <c r="G771" s="735"/>
      <c r="H771" s="93"/>
      <c r="I771" s="750"/>
      <c r="J771" s="750"/>
    </row>
    <row r="772" spans="1:10" x14ac:dyDescent="0.35">
      <c r="A772" s="92"/>
      <c r="F772" s="726"/>
      <c r="G772" s="735"/>
      <c r="H772" s="93"/>
      <c r="I772" s="750"/>
      <c r="J772" s="750"/>
    </row>
    <row r="773" spans="1:10" x14ac:dyDescent="0.35">
      <c r="A773" s="92"/>
      <c r="F773" s="726"/>
      <c r="G773" s="735"/>
      <c r="H773" s="93"/>
      <c r="I773" s="750"/>
      <c r="J773" s="750"/>
    </row>
    <row r="774" spans="1:10" x14ac:dyDescent="0.35">
      <c r="A774" s="92"/>
      <c r="F774" s="726"/>
      <c r="G774" s="735"/>
      <c r="H774" s="93"/>
      <c r="I774" s="750"/>
      <c r="J774" s="750"/>
    </row>
    <row r="775" spans="1:10" x14ac:dyDescent="0.35">
      <c r="A775" s="92"/>
      <c r="F775" s="726"/>
      <c r="G775" s="735"/>
      <c r="H775" s="93"/>
      <c r="I775" s="750"/>
      <c r="J775" s="750"/>
    </row>
    <row r="776" spans="1:10" x14ac:dyDescent="0.35">
      <c r="A776" s="92"/>
      <c r="F776" s="726"/>
      <c r="G776" s="735"/>
      <c r="H776" s="93"/>
      <c r="I776" s="750"/>
      <c r="J776" s="750"/>
    </row>
    <row r="777" spans="1:10" x14ac:dyDescent="0.35">
      <c r="A777" s="92"/>
      <c r="F777" s="726"/>
      <c r="G777" s="735"/>
      <c r="H777" s="93"/>
      <c r="I777" s="750"/>
      <c r="J777" s="750"/>
    </row>
    <row r="778" spans="1:10" x14ac:dyDescent="0.35">
      <c r="A778" s="92"/>
      <c r="F778" s="726"/>
      <c r="G778" s="735"/>
      <c r="H778" s="93"/>
      <c r="I778" s="750"/>
      <c r="J778" s="750"/>
    </row>
    <row r="779" spans="1:10" x14ac:dyDescent="0.35">
      <c r="A779" s="92"/>
      <c r="F779" s="726"/>
      <c r="G779" s="735"/>
      <c r="H779" s="93"/>
      <c r="I779" s="750"/>
      <c r="J779" s="750"/>
    </row>
    <row r="780" spans="1:10" x14ac:dyDescent="0.35">
      <c r="A780" s="92"/>
      <c r="F780" s="726"/>
      <c r="G780" s="735"/>
      <c r="H780" s="93"/>
      <c r="I780" s="750"/>
      <c r="J780" s="750"/>
    </row>
    <row r="781" spans="1:10" x14ac:dyDescent="0.35">
      <c r="A781" s="92"/>
      <c r="F781" s="726"/>
      <c r="G781" s="735"/>
      <c r="H781" s="93"/>
      <c r="I781" s="750"/>
      <c r="J781" s="750"/>
    </row>
    <row r="782" spans="1:10" x14ac:dyDescent="0.35">
      <c r="A782" s="92"/>
      <c r="F782" s="726"/>
      <c r="G782" s="735"/>
      <c r="H782" s="93"/>
      <c r="I782" s="750"/>
      <c r="J782" s="750"/>
    </row>
    <row r="783" spans="1:10" x14ac:dyDescent="0.35">
      <c r="A783" s="92"/>
      <c r="F783" s="726"/>
      <c r="G783" s="735"/>
      <c r="H783" s="93"/>
      <c r="I783" s="750"/>
      <c r="J783" s="750"/>
    </row>
    <row r="784" spans="1:10" x14ac:dyDescent="0.35">
      <c r="A784" s="92"/>
      <c r="F784" s="726"/>
      <c r="G784" s="735"/>
      <c r="H784" s="93"/>
      <c r="I784" s="750"/>
      <c r="J784" s="750"/>
    </row>
    <row r="785" spans="1:10" x14ac:dyDescent="0.35">
      <c r="A785" s="92"/>
      <c r="F785" s="726"/>
      <c r="G785" s="735"/>
      <c r="H785" s="93"/>
      <c r="I785" s="750"/>
      <c r="J785" s="750"/>
    </row>
    <row r="786" spans="1:10" x14ac:dyDescent="0.35">
      <c r="A786" s="92"/>
      <c r="F786" s="726"/>
      <c r="G786" s="735"/>
      <c r="H786" s="93"/>
      <c r="I786" s="750"/>
      <c r="J786" s="750"/>
    </row>
    <row r="787" spans="1:10" x14ac:dyDescent="0.35">
      <c r="A787" s="92"/>
      <c r="F787" s="726"/>
      <c r="G787" s="735"/>
      <c r="H787" s="93"/>
      <c r="I787" s="750"/>
      <c r="J787" s="750"/>
    </row>
    <row r="788" spans="1:10" x14ac:dyDescent="0.35">
      <c r="A788" s="92"/>
      <c r="F788" s="726"/>
      <c r="G788" s="735"/>
      <c r="H788" s="93"/>
      <c r="I788" s="750"/>
      <c r="J788" s="750"/>
    </row>
    <row r="789" spans="1:10" x14ac:dyDescent="0.35">
      <c r="A789" s="92"/>
      <c r="F789" s="726"/>
      <c r="G789" s="735"/>
      <c r="H789" s="93"/>
      <c r="I789" s="750"/>
      <c r="J789" s="750"/>
    </row>
    <row r="790" spans="1:10" x14ac:dyDescent="0.35">
      <c r="A790" s="92"/>
      <c r="F790" s="726"/>
      <c r="G790" s="735"/>
      <c r="H790" s="93"/>
      <c r="I790" s="750"/>
      <c r="J790" s="750"/>
    </row>
    <row r="791" spans="1:10" x14ac:dyDescent="0.35">
      <c r="A791" s="92"/>
      <c r="F791" s="726"/>
      <c r="G791" s="735"/>
      <c r="H791" s="93"/>
      <c r="I791" s="750"/>
      <c r="J791" s="750"/>
    </row>
    <row r="792" spans="1:10" x14ac:dyDescent="0.35">
      <c r="A792" s="92"/>
      <c r="F792" s="726"/>
      <c r="G792" s="735"/>
      <c r="H792" s="93"/>
      <c r="I792" s="750"/>
      <c r="J792" s="750"/>
    </row>
    <row r="793" spans="1:10" x14ac:dyDescent="0.35">
      <c r="A793" s="92"/>
      <c r="F793" s="726"/>
      <c r="G793" s="735"/>
      <c r="H793" s="93"/>
      <c r="I793" s="750"/>
      <c r="J793" s="750"/>
    </row>
    <row r="794" spans="1:10" x14ac:dyDescent="0.35">
      <c r="A794" s="92"/>
      <c r="F794" s="726"/>
      <c r="G794" s="735"/>
      <c r="H794" s="93"/>
      <c r="I794" s="750"/>
      <c r="J794" s="750"/>
    </row>
    <row r="795" spans="1:10" x14ac:dyDescent="0.35">
      <c r="A795" s="92"/>
      <c r="F795" s="726"/>
      <c r="G795" s="735"/>
      <c r="H795" s="93"/>
      <c r="I795" s="750"/>
      <c r="J795" s="750"/>
    </row>
    <row r="796" spans="1:10" x14ac:dyDescent="0.35">
      <c r="A796" s="92"/>
      <c r="F796" s="726"/>
      <c r="G796" s="735"/>
      <c r="H796" s="93"/>
      <c r="I796" s="750"/>
      <c r="J796" s="750"/>
    </row>
    <row r="797" spans="1:10" x14ac:dyDescent="0.35">
      <c r="A797" s="92"/>
      <c r="F797" s="726"/>
      <c r="G797" s="735"/>
      <c r="H797" s="93"/>
      <c r="I797" s="750"/>
      <c r="J797" s="750"/>
    </row>
    <row r="798" spans="1:10" x14ac:dyDescent="0.35">
      <c r="A798" s="92"/>
      <c r="F798" s="726"/>
      <c r="G798" s="735"/>
      <c r="H798" s="93"/>
      <c r="I798" s="750"/>
      <c r="J798" s="750"/>
    </row>
    <row r="799" spans="1:10" x14ac:dyDescent="0.35">
      <c r="A799" s="92"/>
      <c r="F799" s="726"/>
      <c r="G799" s="735"/>
      <c r="H799" s="93"/>
      <c r="I799" s="750"/>
      <c r="J799" s="750"/>
    </row>
    <row r="800" spans="1:10" x14ac:dyDescent="0.35">
      <c r="A800" s="92"/>
      <c r="F800" s="726"/>
      <c r="G800" s="735"/>
      <c r="H800" s="93"/>
      <c r="I800" s="750"/>
      <c r="J800" s="750"/>
    </row>
    <row r="801" spans="1:10" x14ac:dyDescent="0.35">
      <c r="A801" s="92"/>
      <c r="F801" s="726"/>
      <c r="G801" s="735"/>
      <c r="H801" s="93"/>
      <c r="I801" s="750"/>
      <c r="J801" s="750"/>
    </row>
    <row r="802" spans="1:10" x14ac:dyDescent="0.35">
      <c r="A802" s="92"/>
      <c r="F802" s="726"/>
      <c r="G802" s="735"/>
      <c r="H802" s="93"/>
      <c r="I802" s="750"/>
      <c r="J802" s="750"/>
    </row>
    <row r="803" spans="1:10" x14ac:dyDescent="0.35">
      <c r="A803" s="92"/>
      <c r="F803" s="726"/>
      <c r="G803" s="735"/>
      <c r="H803" s="93"/>
      <c r="I803" s="750"/>
      <c r="J803" s="750"/>
    </row>
    <row r="804" spans="1:10" x14ac:dyDescent="0.35">
      <c r="A804" s="92"/>
      <c r="F804" s="726"/>
      <c r="G804" s="735"/>
      <c r="H804" s="93"/>
      <c r="I804" s="750"/>
      <c r="J804" s="750"/>
    </row>
    <row r="805" spans="1:10" x14ac:dyDescent="0.35">
      <c r="A805" s="92"/>
      <c r="F805" s="726"/>
      <c r="G805" s="735"/>
      <c r="H805" s="93"/>
      <c r="I805" s="750"/>
      <c r="J805" s="750"/>
    </row>
    <row r="806" spans="1:10" x14ac:dyDescent="0.35">
      <c r="A806" s="92"/>
      <c r="F806" s="726"/>
      <c r="G806" s="735"/>
      <c r="H806" s="93"/>
      <c r="I806" s="750"/>
      <c r="J806" s="750"/>
    </row>
    <row r="807" spans="1:10" x14ac:dyDescent="0.35">
      <c r="A807" s="92"/>
      <c r="F807" s="726"/>
      <c r="G807" s="735"/>
      <c r="H807" s="93"/>
      <c r="I807" s="750"/>
      <c r="J807" s="750"/>
    </row>
    <row r="808" spans="1:10" x14ac:dyDescent="0.35">
      <c r="A808" s="92"/>
      <c r="F808" s="726"/>
      <c r="G808" s="735"/>
      <c r="H808" s="93"/>
      <c r="I808" s="750"/>
      <c r="J808" s="750"/>
    </row>
    <row r="809" spans="1:10" x14ac:dyDescent="0.35">
      <c r="A809" s="92"/>
      <c r="F809" s="726"/>
      <c r="G809" s="735"/>
      <c r="H809" s="93"/>
      <c r="I809" s="750"/>
      <c r="J809" s="750"/>
    </row>
    <row r="810" spans="1:10" x14ac:dyDescent="0.35">
      <c r="A810" s="92"/>
      <c r="F810" s="726"/>
      <c r="G810" s="735"/>
      <c r="H810" s="93"/>
      <c r="I810" s="750"/>
      <c r="J810" s="750"/>
    </row>
    <row r="811" spans="1:10" x14ac:dyDescent="0.35">
      <c r="A811" s="92"/>
      <c r="F811" s="726"/>
      <c r="G811" s="735"/>
      <c r="H811" s="93"/>
      <c r="I811" s="750"/>
      <c r="J811" s="750"/>
    </row>
    <row r="812" spans="1:10" x14ac:dyDescent="0.35">
      <c r="A812" s="92"/>
      <c r="F812" s="726"/>
      <c r="G812" s="735"/>
      <c r="H812" s="93"/>
      <c r="I812" s="750"/>
      <c r="J812" s="750"/>
    </row>
    <row r="813" spans="1:10" x14ac:dyDescent="0.35">
      <c r="A813" s="92"/>
      <c r="F813" s="726"/>
      <c r="G813" s="735"/>
      <c r="H813" s="93"/>
      <c r="I813" s="750"/>
      <c r="J813" s="750"/>
    </row>
    <row r="814" spans="1:10" x14ac:dyDescent="0.35">
      <c r="A814" s="92"/>
      <c r="F814" s="726"/>
      <c r="G814" s="735"/>
      <c r="H814" s="93"/>
      <c r="I814" s="750"/>
      <c r="J814" s="750"/>
    </row>
    <row r="815" spans="1:10" x14ac:dyDescent="0.35">
      <c r="A815" s="92"/>
      <c r="F815" s="726"/>
      <c r="G815" s="735"/>
      <c r="H815" s="93"/>
      <c r="I815" s="750"/>
      <c r="J815" s="750"/>
    </row>
    <row r="816" spans="1:10" x14ac:dyDescent="0.35">
      <c r="A816" s="92"/>
      <c r="F816" s="726"/>
      <c r="G816" s="735"/>
      <c r="H816" s="93"/>
      <c r="I816" s="750"/>
      <c r="J816" s="750"/>
    </row>
    <row r="817" spans="1:10" x14ac:dyDescent="0.35">
      <c r="A817" s="92"/>
      <c r="F817" s="726"/>
      <c r="G817" s="735"/>
      <c r="H817" s="93"/>
      <c r="I817" s="750"/>
      <c r="J817" s="750"/>
    </row>
    <row r="818" spans="1:10" x14ac:dyDescent="0.35">
      <c r="A818" s="92"/>
      <c r="F818" s="726"/>
      <c r="G818" s="735"/>
      <c r="H818" s="93"/>
      <c r="I818" s="750"/>
      <c r="J818" s="750"/>
    </row>
    <row r="819" spans="1:10" x14ac:dyDescent="0.35">
      <c r="A819" s="92"/>
      <c r="F819" s="726"/>
      <c r="G819" s="735"/>
      <c r="H819" s="93"/>
      <c r="I819" s="750"/>
      <c r="J819" s="750"/>
    </row>
    <row r="820" spans="1:10" x14ac:dyDescent="0.35">
      <c r="A820" s="92"/>
      <c r="F820" s="726"/>
      <c r="G820" s="735"/>
      <c r="H820" s="93"/>
      <c r="I820" s="750"/>
      <c r="J820" s="750"/>
    </row>
    <row r="821" spans="1:10" x14ac:dyDescent="0.35">
      <c r="A821" s="92"/>
      <c r="F821" s="726"/>
      <c r="G821" s="735"/>
      <c r="H821" s="93"/>
      <c r="I821" s="750"/>
      <c r="J821" s="750"/>
    </row>
    <row r="822" spans="1:10" x14ac:dyDescent="0.35">
      <c r="A822" s="92"/>
      <c r="F822" s="726"/>
      <c r="G822" s="735"/>
      <c r="H822" s="93"/>
      <c r="I822" s="750"/>
      <c r="J822" s="750"/>
    </row>
    <row r="823" spans="1:10" x14ac:dyDescent="0.35">
      <c r="A823" s="92"/>
      <c r="F823" s="726"/>
      <c r="G823" s="735"/>
      <c r="H823" s="93"/>
      <c r="I823" s="750"/>
      <c r="J823" s="750"/>
    </row>
    <row r="824" spans="1:10" x14ac:dyDescent="0.35">
      <c r="A824" s="92"/>
      <c r="F824" s="726"/>
      <c r="G824" s="735"/>
      <c r="H824" s="93"/>
      <c r="I824" s="750"/>
      <c r="J824" s="750"/>
    </row>
    <row r="825" spans="1:10" x14ac:dyDescent="0.35">
      <c r="A825" s="92"/>
      <c r="F825" s="726"/>
      <c r="G825" s="735"/>
      <c r="H825" s="93"/>
      <c r="I825" s="750"/>
      <c r="J825" s="750"/>
    </row>
    <row r="826" spans="1:10" x14ac:dyDescent="0.35">
      <c r="A826" s="92"/>
      <c r="F826" s="726"/>
      <c r="G826" s="735"/>
      <c r="H826" s="93"/>
      <c r="I826" s="750"/>
      <c r="J826" s="750"/>
    </row>
    <row r="827" spans="1:10" x14ac:dyDescent="0.35">
      <c r="A827" s="92"/>
      <c r="F827" s="726"/>
      <c r="G827" s="735"/>
      <c r="H827" s="93"/>
      <c r="I827" s="750"/>
      <c r="J827" s="750"/>
    </row>
    <row r="828" spans="1:10" x14ac:dyDescent="0.35">
      <c r="A828" s="92"/>
      <c r="F828" s="726"/>
      <c r="G828" s="735"/>
      <c r="H828" s="93"/>
      <c r="I828" s="750"/>
      <c r="J828" s="750"/>
    </row>
    <row r="829" spans="1:10" x14ac:dyDescent="0.35">
      <c r="A829" s="92"/>
      <c r="F829" s="726"/>
      <c r="G829" s="735"/>
      <c r="H829" s="93"/>
      <c r="I829" s="750"/>
      <c r="J829" s="750"/>
    </row>
    <row r="830" spans="1:10" x14ac:dyDescent="0.35">
      <c r="A830" s="92"/>
      <c r="F830" s="726"/>
      <c r="G830" s="735"/>
      <c r="H830" s="93"/>
      <c r="I830" s="750"/>
      <c r="J830" s="750"/>
    </row>
    <row r="831" spans="1:10" x14ac:dyDescent="0.35">
      <c r="A831" s="92"/>
      <c r="F831" s="726"/>
      <c r="G831" s="735"/>
      <c r="H831" s="93"/>
      <c r="I831" s="750"/>
      <c r="J831" s="750"/>
    </row>
    <row r="832" spans="1:10" x14ac:dyDescent="0.35">
      <c r="A832" s="92"/>
      <c r="F832" s="726"/>
      <c r="G832" s="735"/>
      <c r="H832" s="93"/>
      <c r="I832" s="750"/>
      <c r="J832" s="750"/>
    </row>
    <row r="833" spans="1:10" x14ac:dyDescent="0.35">
      <c r="A833" s="92"/>
      <c r="F833" s="726"/>
      <c r="G833" s="735"/>
      <c r="H833" s="93"/>
      <c r="I833" s="750"/>
      <c r="J833" s="750"/>
    </row>
    <row r="834" spans="1:10" x14ac:dyDescent="0.35">
      <c r="A834" s="92"/>
      <c r="F834" s="726"/>
      <c r="G834" s="735"/>
      <c r="H834" s="93"/>
      <c r="I834" s="750"/>
      <c r="J834" s="750"/>
    </row>
    <row r="835" spans="1:10" x14ac:dyDescent="0.35">
      <c r="A835" s="92"/>
      <c r="F835" s="726"/>
      <c r="G835" s="735"/>
      <c r="H835" s="93"/>
      <c r="I835" s="750"/>
      <c r="J835" s="750"/>
    </row>
    <row r="836" spans="1:10" x14ac:dyDescent="0.35">
      <c r="A836" s="92"/>
      <c r="F836" s="726"/>
      <c r="G836" s="735"/>
      <c r="H836" s="93"/>
      <c r="I836" s="750"/>
      <c r="J836" s="750"/>
    </row>
    <row r="837" spans="1:10" x14ac:dyDescent="0.35">
      <c r="A837" s="92"/>
      <c r="F837" s="726"/>
      <c r="G837" s="735"/>
      <c r="H837" s="93"/>
      <c r="I837" s="750"/>
      <c r="J837" s="750"/>
    </row>
    <row r="838" spans="1:10" x14ac:dyDescent="0.35">
      <c r="A838" s="92"/>
      <c r="F838" s="726"/>
      <c r="G838" s="735"/>
      <c r="H838" s="93"/>
      <c r="I838" s="750"/>
      <c r="J838" s="750"/>
    </row>
    <row r="839" spans="1:10" x14ac:dyDescent="0.35">
      <c r="A839" s="92"/>
      <c r="F839" s="726"/>
      <c r="G839" s="735"/>
      <c r="H839" s="93"/>
      <c r="I839" s="750"/>
      <c r="J839" s="750"/>
    </row>
    <row r="840" spans="1:10" x14ac:dyDescent="0.35">
      <c r="A840" s="92"/>
      <c r="F840" s="726"/>
      <c r="G840" s="735"/>
      <c r="H840" s="93"/>
      <c r="I840" s="750"/>
      <c r="J840" s="750"/>
    </row>
    <row r="841" spans="1:10" x14ac:dyDescent="0.35">
      <c r="A841" s="92"/>
      <c r="F841" s="726"/>
      <c r="G841" s="735"/>
      <c r="H841" s="93"/>
      <c r="I841" s="750"/>
      <c r="J841" s="750"/>
    </row>
    <row r="842" spans="1:10" x14ac:dyDescent="0.35">
      <c r="A842" s="92"/>
      <c r="F842" s="726"/>
      <c r="G842" s="735"/>
      <c r="H842" s="93"/>
      <c r="I842" s="750"/>
      <c r="J842" s="750"/>
    </row>
    <row r="843" spans="1:10" x14ac:dyDescent="0.35">
      <c r="A843" s="92"/>
      <c r="F843" s="726"/>
      <c r="G843" s="735"/>
      <c r="H843" s="93"/>
      <c r="I843" s="750"/>
      <c r="J843" s="750"/>
    </row>
    <row r="844" spans="1:10" x14ac:dyDescent="0.35">
      <c r="A844" s="92"/>
      <c r="F844" s="726"/>
      <c r="G844" s="735"/>
      <c r="H844" s="93"/>
      <c r="I844" s="750"/>
      <c r="J844" s="750"/>
    </row>
    <row r="845" spans="1:10" x14ac:dyDescent="0.35">
      <c r="A845" s="92"/>
      <c r="F845" s="726"/>
      <c r="G845" s="735"/>
      <c r="H845" s="93"/>
      <c r="I845" s="750"/>
      <c r="J845" s="750"/>
    </row>
    <row r="846" spans="1:10" x14ac:dyDescent="0.35">
      <c r="A846" s="92"/>
      <c r="F846" s="726"/>
      <c r="G846" s="735"/>
      <c r="H846" s="93"/>
      <c r="I846" s="750"/>
      <c r="J846" s="750"/>
    </row>
    <row r="847" spans="1:10" x14ac:dyDescent="0.35">
      <c r="A847" s="92"/>
      <c r="F847" s="726"/>
      <c r="G847" s="735"/>
      <c r="H847" s="93"/>
      <c r="I847" s="750"/>
      <c r="J847" s="750"/>
    </row>
    <row r="848" spans="1:10" x14ac:dyDescent="0.35">
      <c r="A848" s="92"/>
      <c r="F848" s="726"/>
      <c r="G848" s="735"/>
      <c r="H848" s="93"/>
      <c r="I848" s="750"/>
      <c r="J848" s="750"/>
    </row>
    <row r="849" spans="1:10" x14ac:dyDescent="0.35">
      <c r="A849" s="92"/>
      <c r="F849" s="726"/>
      <c r="G849" s="735"/>
      <c r="H849" s="93"/>
      <c r="I849" s="750"/>
      <c r="J849" s="750"/>
    </row>
    <row r="850" spans="1:10" x14ac:dyDescent="0.35">
      <c r="A850" s="92"/>
      <c r="F850" s="726"/>
      <c r="G850" s="735"/>
      <c r="H850" s="93"/>
      <c r="I850" s="750"/>
      <c r="J850" s="750"/>
    </row>
    <row r="851" spans="1:10" x14ac:dyDescent="0.35">
      <c r="A851" s="92"/>
      <c r="F851" s="726"/>
      <c r="G851" s="735"/>
      <c r="H851" s="93"/>
      <c r="I851" s="750"/>
      <c r="J851" s="750"/>
    </row>
    <row r="852" spans="1:10" x14ac:dyDescent="0.35">
      <c r="A852" s="92"/>
      <c r="F852" s="726"/>
      <c r="G852" s="735"/>
      <c r="H852" s="93"/>
      <c r="I852" s="750"/>
      <c r="J852" s="750"/>
    </row>
    <row r="853" spans="1:10" x14ac:dyDescent="0.35">
      <c r="A853" s="92"/>
      <c r="F853" s="726"/>
      <c r="G853" s="735"/>
      <c r="H853" s="93"/>
      <c r="I853" s="750"/>
      <c r="J853" s="750"/>
    </row>
    <row r="854" spans="1:10" x14ac:dyDescent="0.35">
      <c r="A854" s="92"/>
      <c r="F854" s="726"/>
      <c r="G854" s="735"/>
      <c r="H854" s="93"/>
      <c r="I854" s="750"/>
      <c r="J854" s="750"/>
    </row>
    <row r="855" spans="1:10" x14ac:dyDescent="0.35">
      <c r="A855" s="92"/>
      <c r="F855" s="726"/>
      <c r="G855" s="735"/>
      <c r="H855" s="93"/>
      <c r="I855" s="750"/>
      <c r="J855" s="750"/>
    </row>
    <row r="856" spans="1:10" x14ac:dyDescent="0.35">
      <c r="A856" s="92"/>
      <c r="F856" s="726"/>
      <c r="G856" s="735"/>
      <c r="H856" s="93"/>
      <c r="I856" s="750"/>
      <c r="J856" s="750"/>
    </row>
    <row r="857" spans="1:10" x14ac:dyDescent="0.35">
      <c r="A857" s="92"/>
      <c r="F857" s="726"/>
      <c r="G857" s="735"/>
      <c r="H857" s="93"/>
      <c r="I857" s="750"/>
      <c r="J857" s="750"/>
    </row>
    <row r="858" spans="1:10" x14ac:dyDescent="0.35">
      <c r="A858" s="92"/>
      <c r="F858" s="726"/>
      <c r="G858" s="735"/>
      <c r="H858" s="93"/>
      <c r="I858" s="750"/>
      <c r="J858" s="750"/>
    </row>
    <row r="859" spans="1:10" x14ac:dyDescent="0.35">
      <c r="A859" s="92"/>
      <c r="F859" s="726"/>
      <c r="G859" s="735"/>
      <c r="H859" s="93"/>
      <c r="I859" s="750"/>
      <c r="J859" s="750"/>
    </row>
    <row r="860" spans="1:10" x14ac:dyDescent="0.35">
      <c r="A860" s="92"/>
      <c r="F860" s="726"/>
      <c r="G860" s="735"/>
      <c r="H860" s="93"/>
      <c r="I860" s="750"/>
      <c r="J860" s="750"/>
    </row>
    <row r="861" spans="1:10" x14ac:dyDescent="0.35">
      <c r="A861" s="92"/>
      <c r="F861" s="726"/>
      <c r="G861" s="735"/>
      <c r="H861" s="93"/>
      <c r="I861" s="750"/>
      <c r="J861" s="750"/>
    </row>
    <row r="862" spans="1:10" x14ac:dyDescent="0.35">
      <c r="A862" s="92"/>
      <c r="F862" s="726"/>
      <c r="G862" s="735"/>
      <c r="H862" s="93"/>
      <c r="I862" s="750"/>
      <c r="J862" s="750"/>
    </row>
    <row r="863" spans="1:10" x14ac:dyDescent="0.35">
      <c r="A863" s="92"/>
      <c r="F863" s="726"/>
      <c r="G863" s="735"/>
      <c r="H863" s="93"/>
      <c r="I863" s="750"/>
      <c r="J863" s="750"/>
    </row>
    <row r="864" spans="1:10" x14ac:dyDescent="0.35">
      <c r="A864" s="92"/>
      <c r="F864" s="726"/>
      <c r="G864" s="735"/>
      <c r="H864" s="93"/>
      <c r="I864" s="750"/>
      <c r="J864" s="750"/>
    </row>
    <row r="865" spans="1:10" x14ac:dyDescent="0.35">
      <c r="A865" s="92"/>
      <c r="F865" s="726"/>
      <c r="G865" s="735"/>
      <c r="H865" s="93"/>
      <c r="I865" s="750"/>
      <c r="J865" s="750"/>
    </row>
    <row r="866" spans="1:10" x14ac:dyDescent="0.35">
      <c r="A866" s="92"/>
      <c r="F866" s="726"/>
      <c r="G866" s="735"/>
      <c r="H866" s="93"/>
      <c r="I866" s="750"/>
      <c r="J866" s="750"/>
    </row>
    <row r="867" spans="1:10" x14ac:dyDescent="0.35">
      <c r="A867" s="92"/>
      <c r="F867" s="726"/>
      <c r="G867" s="735"/>
      <c r="H867" s="93"/>
      <c r="I867" s="750"/>
      <c r="J867" s="750"/>
    </row>
    <row r="868" spans="1:10" x14ac:dyDescent="0.35">
      <c r="A868" s="92"/>
      <c r="F868" s="726"/>
      <c r="G868" s="735"/>
      <c r="H868" s="93"/>
      <c r="I868" s="750"/>
      <c r="J868" s="750"/>
    </row>
    <row r="869" spans="1:10" x14ac:dyDescent="0.35">
      <c r="A869" s="92"/>
      <c r="F869" s="726"/>
      <c r="G869" s="735"/>
      <c r="H869" s="93"/>
      <c r="I869" s="750"/>
      <c r="J869" s="750"/>
    </row>
    <row r="870" spans="1:10" x14ac:dyDescent="0.35">
      <c r="A870" s="92"/>
      <c r="F870" s="726"/>
      <c r="G870" s="735"/>
      <c r="H870" s="93"/>
      <c r="I870" s="750"/>
      <c r="J870" s="750"/>
    </row>
    <row r="871" spans="1:10" x14ac:dyDescent="0.35">
      <c r="A871" s="92"/>
      <c r="F871" s="726"/>
      <c r="G871" s="735"/>
      <c r="H871" s="93"/>
      <c r="I871" s="750"/>
      <c r="J871" s="750"/>
    </row>
    <row r="872" spans="1:10" x14ac:dyDescent="0.35">
      <c r="A872" s="92"/>
      <c r="F872" s="726"/>
      <c r="G872" s="735"/>
      <c r="H872" s="93"/>
      <c r="I872" s="750"/>
      <c r="J872" s="750"/>
    </row>
    <row r="873" spans="1:10" x14ac:dyDescent="0.35">
      <c r="A873" s="92"/>
      <c r="F873" s="726"/>
      <c r="G873" s="735"/>
      <c r="H873" s="93"/>
      <c r="I873" s="750"/>
      <c r="J873" s="750"/>
    </row>
    <row r="874" spans="1:10" x14ac:dyDescent="0.35">
      <c r="A874" s="92"/>
      <c r="F874" s="726"/>
      <c r="G874" s="735"/>
      <c r="H874" s="93"/>
      <c r="I874" s="750"/>
      <c r="J874" s="750"/>
    </row>
    <row r="875" spans="1:10" x14ac:dyDescent="0.35">
      <c r="A875" s="92"/>
      <c r="F875" s="726"/>
      <c r="G875" s="735"/>
      <c r="H875" s="93"/>
      <c r="I875" s="750"/>
      <c r="J875" s="750"/>
    </row>
    <row r="876" spans="1:10" x14ac:dyDescent="0.35">
      <c r="A876" s="92"/>
      <c r="F876" s="726"/>
      <c r="G876" s="735"/>
      <c r="H876" s="93"/>
      <c r="I876" s="750"/>
      <c r="J876" s="750"/>
    </row>
    <row r="877" spans="1:10" x14ac:dyDescent="0.35">
      <c r="A877" s="92"/>
      <c r="F877" s="726"/>
      <c r="G877" s="735"/>
      <c r="H877" s="93"/>
      <c r="I877" s="750"/>
      <c r="J877" s="750"/>
    </row>
    <row r="878" spans="1:10" x14ac:dyDescent="0.35">
      <c r="A878" s="92"/>
      <c r="F878" s="726"/>
      <c r="G878" s="735"/>
      <c r="H878" s="93"/>
      <c r="I878" s="750"/>
      <c r="J878" s="750"/>
    </row>
    <row r="879" spans="1:10" x14ac:dyDescent="0.35">
      <c r="A879" s="92"/>
      <c r="F879" s="726"/>
      <c r="G879" s="735"/>
      <c r="H879" s="93"/>
      <c r="I879" s="750"/>
      <c r="J879" s="750"/>
    </row>
    <row r="880" spans="1:10" x14ac:dyDescent="0.35">
      <c r="A880" s="92"/>
      <c r="F880" s="726"/>
      <c r="G880" s="735"/>
      <c r="H880" s="93"/>
      <c r="I880" s="750"/>
      <c r="J880" s="750"/>
    </row>
    <row r="881" spans="1:10" x14ac:dyDescent="0.35">
      <c r="A881" s="92"/>
      <c r="F881" s="726"/>
      <c r="G881" s="735"/>
      <c r="H881" s="93"/>
      <c r="I881" s="750"/>
      <c r="J881" s="750"/>
    </row>
    <row r="882" spans="1:10" x14ac:dyDescent="0.35">
      <c r="A882" s="92"/>
      <c r="F882" s="726"/>
      <c r="G882" s="735"/>
      <c r="H882" s="93"/>
      <c r="I882" s="750"/>
      <c r="J882" s="750"/>
    </row>
    <row r="883" spans="1:10" x14ac:dyDescent="0.35">
      <c r="A883" s="92"/>
      <c r="F883" s="726"/>
      <c r="G883" s="735"/>
      <c r="H883" s="93"/>
      <c r="I883" s="750"/>
      <c r="J883" s="750"/>
    </row>
    <row r="884" spans="1:10" x14ac:dyDescent="0.35">
      <c r="A884" s="92"/>
      <c r="F884" s="726"/>
      <c r="G884" s="735"/>
      <c r="H884" s="93"/>
      <c r="I884" s="750"/>
      <c r="J884" s="750"/>
    </row>
    <row r="885" spans="1:10" x14ac:dyDescent="0.35">
      <c r="A885" s="92"/>
      <c r="F885" s="726"/>
      <c r="G885" s="735"/>
      <c r="H885" s="93"/>
      <c r="I885" s="750"/>
      <c r="J885" s="750"/>
    </row>
    <row r="886" spans="1:10" x14ac:dyDescent="0.35">
      <c r="A886" s="92"/>
      <c r="F886" s="726"/>
      <c r="G886" s="735"/>
      <c r="H886" s="93"/>
      <c r="I886" s="750"/>
      <c r="J886" s="750"/>
    </row>
    <row r="887" spans="1:10" x14ac:dyDescent="0.35">
      <c r="A887" s="92"/>
      <c r="F887" s="726"/>
      <c r="G887" s="735"/>
      <c r="H887" s="93"/>
      <c r="I887" s="750"/>
      <c r="J887" s="750"/>
    </row>
    <row r="888" spans="1:10" x14ac:dyDescent="0.35">
      <c r="A888" s="92"/>
      <c r="F888" s="726"/>
      <c r="G888" s="735"/>
      <c r="H888" s="93"/>
      <c r="I888" s="750"/>
      <c r="J888" s="750"/>
    </row>
    <row r="889" spans="1:10" x14ac:dyDescent="0.35">
      <c r="A889" s="92"/>
      <c r="F889" s="726"/>
      <c r="G889" s="735"/>
      <c r="H889" s="93"/>
      <c r="I889" s="750"/>
      <c r="J889" s="750"/>
    </row>
    <row r="890" spans="1:10" x14ac:dyDescent="0.35">
      <c r="A890" s="92"/>
      <c r="F890" s="726"/>
      <c r="G890" s="735"/>
      <c r="H890" s="93"/>
      <c r="I890" s="750"/>
      <c r="J890" s="750"/>
    </row>
    <row r="891" spans="1:10" x14ac:dyDescent="0.35">
      <c r="A891" s="92"/>
      <c r="F891" s="726"/>
      <c r="G891" s="735"/>
      <c r="H891" s="93"/>
      <c r="I891" s="750"/>
      <c r="J891" s="750"/>
    </row>
    <row r="892" spans="1:10" x14ac:dyDescent="0.35">
      <c r="A892" s="92"/>
      <c r="F892" s="726"/>
      <c r="G892" s="735"/>
      <c r="H892" s="93"/>
      <c r="I892" s="750"/>
      <c r="J892" s="750"/>
    </row>
    <row r="893" spans="1:10" x14ac:dyDescent="0.35">
      <c r="A893" s="92"/>
      <c r="F893" s="726"/>
      <c r="G893" s="735"/>
      <c r="H893" s="93"/>
      <c r="I893" s="750"/>
      <c r="J893" s="750"/>
    </row>
    <row r="894" spans="1:10" x14ac:dyDescent="0.35">
      <c r="A894" s="92"/>
      <c r="F894" s="726"/>
      <c r="G894" s="735"/>
      <c r="H894" s="93"/>
      <c r="I894" s="750"/>
      <c r="J894" s="750"/>
    </row>
    <row r="895" spans="1:10" x14ac:dyDescent="0.35">
      <c r="A895" s="92"/>
      <c r="F895" s="726"/>
      <c r="G895" s="735"/>
      <c r="H895" s="93"/>
      <c r="I895" s="750"/>
      <c r="J895" s="750"/>
    </row>
    <row r="896" spans="1:10" x14ac:dyDescent="0.35">
      <c r="A896" s="92"/>
      <c r="F896" s="726"/>
      <c r="G896" s="735"/>
      <c r="H896" s="93"/>
      <c r="I896" s="750"/>
      <c r="J896" s="750"/>
    </row>
    <row r="897" spans="1:10" x14ac:dyDescent="0.35">
      <c r="A897" s="92"/>
      <c r="F897" s="726"/>
      <c r="G897" s="735"/>
      <c r="H897" s="93"/>
      <c r="I897" s="750"/>
      <c r="J897" s="750"/>
    </row>
    <row r="898" spans="1:10" x14ac:dyDescent="0.35">
      <c r="A898" s="92"/>
      <c r="F898" s="726"/>
      <c r="G898" s="735"/>
      <c r="H898" s="93"/>
      <c r="I898" s="750"/>
      <c r="J898" s="750"/>
    </row>
    <row r="899" spans="1:10" x14ac:dyDescent="0.35">
      <c r="A899" s="92"/>
      <c r="F899" s="726"/>
      <c r="G899" s="735"/>
      <c r="H899" s="93"/>
      <c r="I899" s="750"/>
      <c r="J899" s="750"/>
    </row>
    <row r="900" spans="1:10" x14ac:dyDescent="0.35">
      <c r="A900" s="92"/>
      <c r="F900" s="726"/>
      <c r="G900" s="735"/>
      <c r="H900" s="93"/>
      <c r="I900" s="750"/>
      <c r="J900" s="750"/>
    </row>
    <row r="901" spans="1:10" x14ac:dyDescent="0.35">
      <c r="A901" s="92"/>
      <c r="F901" s="726"/>
      <c r="G901" s="735"/>
      <c r="H901" s="93"/>
      <c r="I901" s="750"/>
      <c r="J901" s="750"/>
    </row>
    <row r="902" spans="1:10" x14ac:dyDescent="0.35">
      <c r="A902" s="92"/>
      <c r="F902" s="726"/>
      <c r="G902" s="735"/>
      <c r="H902" s="93"/>
      <c r="I902" s="750"/>
      <c r="J902" s="750"/>
    </row>
    <row r="903" spans="1:10" x14ac:dyDescent="0.35">
      <c r="A903" s="92"/>
      <c r="F903" s="726"/>
      <c r="G903" s="735"/>
      <c r="H903" s="93"/>
      <c r="I903" s="750"/>
      <c r="J903" s="750"/>
    </row>
    <row r="904" spans="1:10" x14ac:dyDescent="0.35">
      <c r="A904" s="92"/>
      <c r="F904" s="726"/>
      <c r="G904" s="735"/>
      <c r="H904" s="93"/>
      <c r="I904" s="750"/>
      <c r="J904" s="750"/>
    </row>
    <row r="905" spans="1:10" x14ac:dyDescent="0.35">
      <c r="A905" s="92"/>
      <c r="F905" s="726"/>
      <c r="G905" s="735"/>
      <c r="H905" s="93"/>
      <c r="I905" s="750"/>
      <c r="J905" s="750"/>
    </row>
    <row r="906" spans="1:10" x14ac:dyDescent="0.35">
      <c r="A906" s="92"/>
      <c r="F906" s="726"/>
      <c r="G906" s="735"/>
      <c r="H906" s="93"/>
      <c r="I906" s="750"/>
      <c r="J906" s="750"/>
    </row>
    <row r="907" spans="1:10" x14ac:dyDescent="0.35">
      <c r="A907" s="92"/>
      <c r="F907" s="726"/>
      <c r="G907" s="735"/>
      <c r="H907" s="93"/>
      <c r="I907" s="750"/>
      <c r="J907" s="750"/>
    </row>
    <row r="908" spans="1:10" x14ac:dyDescent="0.35">
      <c r="A908" s="92"/>
      <c r="F908" s="726"/>
      <c r="G908" s="735"/>
      <c r="H908" s="93"/>
      <c r="I908" s="750"/>
      <c r="J908" s="750"/>
    </row>
    <row r="909" spans="1:10" x14ac:dyDescent="0.35">
      <c r="A909" s="92"/>
      <c r="F909" s="726"/>
      <c r="G909" s="735"/>
      <c r="H909" s="93"/>
      <c r="I909" s="750"/>
      <c r="J909" s="750"/>
    </row>
    <row r="910" spans="1:10" x14ac:dyDescent="0.35">
      <c r="A910" s="92"/>
      <c r="F910" s="726"/>
      <c r="G910" s="735"/>
      <c r="H910" s="93"/>
      <c r="I910" s="750"/>
      <c r="J910" s="750"/>
    </row>
    <row r="911" spans="1:10" x14ac:dyDescent="0.35">
      <c r="A911" s="92"/>
      <c r="F911" s="726"/>
      <c r="G911" s="735"/>
      <c r="H911" s="93"/>
      <c r="I911" s="750"/>
      <c r="J911" s="750"/>
    </row>
    <row r="912" spans="1:10" x14ac:dyDescent="0.35">
      <c r="A912" s="92"/>
      <c r="F912" s="726"/>
      <c r="G912" s="735"/>
      <c r="H912" s="93"/>
      <c r="I912" s="750"/>
      <c r="J912" s="750"/>
    </row>
    <row r="913" spans="1:10" x14ac:dyDescent="0.35">
      <c r="A913" s="92"/>
      <c r="F913" s="726"/>
      <c r="G913" s="735"/>
      <c r="H913" s="93"/>
      <c r="I913" s="750"/>
      <c r="J913" s="750"/>
    </row>
    <row r="914" spans="1:10" x14ac:dyDescent="0.35">
      <c r="A914" s="92"/>
      <c r="F914" s="726"/>
      <c r="G914" s="735"/>
      <c r="H914" s="93"/>
      <c r="I914" s="750"/>
      <c r="J914" s="750"/>
    </row>
    <row r="915" spans="1:10" x14ac:dyDescent="0.35">
      <c r="A915" s="92"/>
      <c r="F915" s="726"/>
      <c r="G915" s="735"/>
      <c r="H915" s="93"/>
      <c r="I915" s="750"/>
      <c r="J915" s="750"/>
    </row>
    <row r="916" spans="1:10" x14ac:dyDescent="0.35">
      <c r="A916" s="92"/>
      <c r="F916" s="726"/>
      <c r="G916" s="735"/>
      <c r="H916" s="93"/>
      <c r="I916" s="750"/>
      <c r="J916" s="750"/>
    </row>
    <row r="917" spans="1:10" x14ac:dyDescent="0.35">
      <c r="A917" s="92"/>
      <c r="F917" s="726"/>
      <c r="G917" s="735"/>
      <c r="H917" s="93"/>
      <c r="I917" s="750"/>
      <c r="J917" s="750"/>
    </row>
    <row r="918" spans="1:10" x14ac:dyDescent="0.35">
      <c r="A918" s="92"/>
      <c r="F918" s="726"/>
      <c r="G918" s="735"/>
      <c r="H918" s="93"/>
      <c r="I918" s="750"/>
      <c r="J918" s="750"/>
    </row>
    <row r="919" spans="1:10" x14ac:dyDescent="0.35">
      <c r="A919" s="92"/>
      <c r="F919" s="726"/>
      <c r="G919" s="735"/>
      <c r="H919" s="93"/>
      <c r="I919" s="750"/>
      <c r="J919" s="750"/>
    </row>
    <row r="920" spans="1:10" x14ac:dyDescent="0.35">
      <c r="A920" s="92"/>
      <c r="F920" s="726"/>
      <c r="G920" s="735"/>
      <c r="H920" s="93"/>
      <c r="I920" s="750"/>
      <c r="J920" s="750"/>
    </row>
    <row r="921" spans="1:10" x14ac:dyDescent="0.35">
      <c r="A921" s="92"/>
      <c r="F921" s="726"/>
      <c r="G921" s="735"/>
      <c r="H921" s="93"/>
      <c r="I921" s="750"/>
      <c r="J921" s="750"/>
    </row>
    <row r="922" spans="1:10" x14ac:dyDescent="0.35">
      <c r="A922" s="92"/>
      <c r="F922" s="726"/>
      <c r="G922" s="735"/>
      <c r="H922" s="93"/>
      <c r="I922" s="750"/>
      <c r="J922" s="750"/>
    </row>
    <row r="923" spans="1:10" x14ac:dyDescent="0.35">
      <c r="A923" s="92"/>
      <c r="F923" s="726"/>
      <c r="G923" s="735"/>
      <c r="H923" s="93"/>
      <c r="I923" s="750"/>
      <c r="J923" s="750"/>
    </row>
    <row r="924" spans="1:10" x14ac:dyDescent="0.35">
      <c r="A924" s="92"/>
      <c r="F924" s="726"/>
      <c r="G924" s="735"/>
      <c r="H924" s="93"/>
      <c r="I924" s="750"/>
      <c r="J924" s="750"/>
    </row>
    <row r="925" spans="1:10" x14ac:dyDescent="0.35">
      <c r="A925" s="92"/>
      <c r="F925" s="726"/>
      <c r="G925" s="735"/>
      <c r="H925" s="93"/>
      <c r="I925" s="750"/>
      <c r="J925" s="750"/>
    </row>
    <row r="926" spans="1:10" x14ac:dyDescent="0.35">
      <c r="A926" s="92"/>
      <c r="F926" s="726"/>
      <c r="G926" s="735"/>
      <c r="H926" s="93"/>
      <c r="I926" s="750"/>
      <c r="J926" s="750"/>
    </row>
    <row r="927" spans="1:10" x14ac:dyDescent="0.35">
      <c r="A927" s="92"/>
      <c r="F927" s="726"/>
      <c r="G927" s="735"/>
      <c r="H927" s="93"/>
      <c r="I927" s="750"/>
      <c r="J927" s="750"/>
    </row>
    <row r="928" spans="1:10" x14ac:dyDescent="0.35">
      <c r="A928" s="92"/>
      <c r="F928" s="726"/>
      <c r="G928" s="735"/>
      <c r="H928" s="93"/>
      <c r="I928" s="750"/>
      <c r="J928" s="750"/>
    </row>
    <row r="929" spans="1:10" x14ac:dyDescent="0.35">
      <c r="A929" s="92"/>
      <c r="F929" s="726"/>
      <c r="G929" s="735"/>
      <c r="H929" s="93"/>
      <c r="I929" s="750"/>
      <c r="J929" s="750"/>
    </row>
    <row r="930" spans="1:10" x14ac:dyDescent="0.35">
      <c r="A930" s="92"/>
      <c r="F930" s="726"/>
      <c r="G930" s="735"/>
      <c r="H930" s="93"/>
      <c r="I930" s="750"/>
      <c r="J930" s="750"/>
    </row>
    <row r="931" spans="1:10" x14ac:dyDescent="0.35">
      <c r="A931" s="92"/>
      <c r="F931" s="726"/>
      <c r="G931" s="735"/>
      <c r="H931" s="93"/>
      <c r="I931" s="750"/>
      <c r="J931" s="750"/>
    </row>
    <row r="932" spans="1:10" x14ac:dyDescent="0.35">
      <c r="A932" s="92"/>
      <c r="F932" s="726"/>
      <c r="G932" s="735"/>
      <c r="H932" s="93"/>
      <c r="I932" s="750"/>
      <c r="J932" s="750"/>
    </row>
    <row r="933" spans="1:10" x14ac:dyDescent="0.35">
      <c r="A933" s="92"/>
      <c r="F933" s="726"/>
      <c r="G933" s="735"/>
      <c r="H933" s="93"/>
      <c r="I933" s="750"/>
      <c r="J933" s="750"/>
    </row>
    <row r="934" spans="1:10" x14ac:dyDescent="0.35">
      <c r="A934" s="92"/>
      <c r="F934" s="726"/>
      <c r="G934" s="735"/>
      <c r="H934" s="93"/>
      <c r="I934" s="750"/>
      <c r="J934" s="750"/>
    </row>
    <row r="935" spans="1:10" x14ac:dyDescent="0.35">
      <c r="A935" s="92"/>
      <c r="F935" s="726"/>
      <c r="G935" s="735"/>
      <c r="H935" s="93"/>
      <c r="I935" s="750"/>
      <c r="J935" s="750"/>
    </row>
    <row r="936" spans="1:10" x14ac:dyDescent="0.35">
      <c r="A936" s="92"/>
      <c r="F936" s="726"/>
      <c r="G936" s="735"/>
      <c r="H936" s="93"/>
      <c r="I936" s="750"/>
      <c r="J936" s="750"/>
    </row>
    <row r="937" spans="1:10" x14ac:dyDescent="0.35">
      <c r="A937" s="92"/>
      <c r="F937" s="726"/>
      <c r="G937" s="735"/>
      <c r="H937" s="93"/>
      <c r="I937" s="750"/>
      <c r="J937" s="750"/>
    </row>
    <row r="938" spans="1:10" x14ac:dyDescent="0.35">
      <c r="A938" s="92"/>
      <c r="F938" s="726"/>
      <c r="G938" s="735"/>
      <c r="H938" s="93"/>
      <c r="I938" s="750"/>
      <c r="J938" s="750"/>
    </row>
    <row r="939" spans="1:10" x14ac:dyDescent="0.35">
      <c r="A939" s="92"/>
      <c r="F939" s="726"/>
      <c r="G939" s="735"/>
      <c r="H939" s="93"/>
      <c r="I939" s="750"/>
      <c r="J939" s="750"/>
    </row>
    <row r="940" spans="1:10" x14ac:dyDescent="0.35">
      <c r="A940" s="92"/>
      <c r="F940" s="726"/>
      <c r="G940" s="735"/>
      <c r="H940" s="93"/>
      <c r="I940" s="750"/>
      <c r="J940" s="750"/>
    </row>
    <row r="941" spans="1:10" x14ac:dyDescent="0.35">
      <c r="A941" s="92"/>
      <c r="F941" s="726"/>
      <c r="G941" s="735"/>
      <c r="H941" s="93"/>
      <c r="I941" s="750"/>
      <c r="J941" s="750"/>
    </row>
    <row r="942" spans="1:10" x14ac:dyDescent="0.35">
      <c r="A942" s="92"/>
      <c r="F942" s="726"/>
      <c r="G942" s="735"/>
      <c r="H942" s="93"/>
      <c r="I942" s="750"/>
      <c r="J942" s="750"/>
    </row>
    <row r="943" spans="1:10" x14ac:dyDescent="0.35">
      <c r="A943" s="92"/>
      <c r="F943" s="726"/>
      <c r="G943" s="735"/>
      <c r="H943" s="93"/>
      <c r="I943" s="750"/>
      <c r="J943" s="750"/>
    </row>
    <row r="944" spans="1:10" x14ac:dyDescent="0.35">
      <c r="A944" s="92"/>
      <c r="F944" s="726"/>
      <c r="G944" s="735"/>
      <c r="H944" s="93"/>
      <c r="I944" s="750"/>
      <c r="J944" s="750"/>
    </row>
    <row r="945" spans="1:10" x14ac:dyDescent="0.35">
      <c r="A945" s="92"/>
      <c r="F945" s="726"/>
      <c r="G945" s="735"/>
      <c r="H945" s="93"/>
      <c r="I945" s="750"/>
      <c r="J945" s="750"/>
    </row>
    <row r="946" spans="1:10" x14ac:dyDescent="0.35">
      <c r="A946" s="92"/>
      <c r="F946" s="726"/>
      <c r="G946" s="735"/>
      <c r="H946" s="93"/>
      <c r="I946" s="750"/>
      <c r="J946" s="750"/>
    </row>
    <row r="947" spans="1:10" x14ac:dyDescent="0.35">
      <c r="A947" s="92"/>
      <c r="F947" s="726"/>
      <c r="G947" s="735"/>
      <c r="H947" s="93"/>
      <c r="I947" s="750"/>
      <c r="J947" s="750"/>
    </row>
    <row r="948" spans="1:10" x14ac:dyDescent="0.35">
      <c r="A948" s="92"/>
      <c r="F948" s="726"/>
      <c r="G948" s="735"/>
      <c r="H948" s="93"/>
      <c r="I948" s="750"/>
      <c r="J948" s="750"/>
    </row>
    <row r="949" spans="1:10" x14ac:dyDescent="0.35">
      <c r="A949" s="92"/>
      <c r="F949" s="726"/>
      <c r="G949" s="735"/>
      <c r="H949" s="93"/>
      <c r="I949" s="750"/>
      <c r="J949" s="750"/>
    </row>
    <row r="950" spans="1:10" x14ac:dyDescent="0.35">
      <c r="A950" s="92"/>
      <c r="F950" s="726"/>
      <c r="G950" s="735"/>
      <c r="H950" s="93"/>
      <c r="I950" s="750"/>
      <c r="J950" s="750"/>
    </row>
    <row r="951" spans="1:10" x14ac:dyDescent="0.35">
      <c r="A951" s="92"/>
      <c r="F951" s="726"/>
      <c r="G951" s="735"/>
      <c r="H951" s="93"/>
      <c r="I951" s="750"/>
      <c r="J951" s="750"/>
    </row>
    <row r="952" spans="1:10" x14ac:dyDescent="0.35">
      <c r="A952" s="92"/>
      <c r="F952" s="726"/>
      <c r="G952" s="735"/>
      <c r="H952" s="93"/>
      <c r="I952" s="750"/>
      <c r="J952" s="750"/>
    </row>
    <row r="953" spans="1:10" x14ac:dyDescent="0.35">
      <c r="A953" s="92"/>
      <c r="F953" s="726"/>
      <c r="G953" s="735"/>
      <c r="H953" s="93"/>
      <c r="I953" s="750"/>
      <c r="J953" s="750"/>
    </row>
    <row r="954" spans="1:10" x14ac:dyDescent="0.35">
      <c r="A954" s="92"/>
      <c r="F954" s="726"/>
      <c r="G954" s="735"/>
      <c r="H954" s="93"/>
      <c r="I954" s="750"/>
      <c r="J954" s="750"/>
    </row>
    <row r="955" spans="1:10" x14ac:dyDescent="0.35">
      <c r="A955" s="92"/>
      <c r="F955" s="726"/>
      <c r="G955" s="735"/>
      <c r="H955" s="93"/>
      <c r="I955" s="750"/>
      <c r="J955" s="750"/>
    </row>
    <row r="956" spans="1:10" x14ac:dyDescent="0.35">
      <c r="A956" s="92"/>
      <c r="F956" s="726"/>
      <c r="G956" s="735"/>
      <c r="H956" s="93"/>
      <c r="I956" s="750"/>
      <c r="J956" s="750"/>
    </row>
    <row r="957" spans="1:10" x14ac:dyDescent="0.35">
      <c r="A957" s="92"/>
      <c r="F957" s="726"/>
      <c r="G957" s="735"/>
      <c r="H957" s="93"/>
      <c r="I957" s="750"/>
      <c r="J957" s="750"/>
    </row>
    <row r="958" spans="1:10" x14ac:dyDescent="0.35">
      <c r="A958" s="92"/>
      <c r="F958" s="726"/>
      <c r="G958" s="735"/>
      <c r="H958" s="93"/>
      <c r="I958" s="750"/>
      <c r="J958" s="750"/>
    </row>
    <row r="959" spans="1:10" x14ac:dyDescent="0.35">
      <c r="A959" s="92"/>
      <c r="F959" s="726"/>
      <c r="G959" s="735"/>
      <c r="H959" s="93"/>
      <c r="I959" s="750"/>
      <c r="J959" s="750"/>
    </row>
    <row r="960" spans="1:10" x14ac:dyDescent="0.35">
      <c r="A960" s="92"/>
      <c r="F960" s="726"/>
      <c r="G960" s="735"/>
      <c r="H960" s="93"/>
      <c r="I960" s="750"/>
      <c r="J960" s="750"/>
    </row>
    <row r="961" spans="1:10" x14ac:dyDescent="0.35">
      <c r="A961" s="92"/>
      <c r="F961" s="726"/>
      <c r="G961" s="735"/>
      <c r="H961" s="93"/>
      <c r="I961" s="750"/>
      <c r="J961" s="750"/>
    </row>
    <row r="962" spans="1:10" x14ac:dyDescent="0.35">
      <c r="A962" s="92"/>
      <c r="F962" s="726"/>
      <c r="G962" s="735"/>
      <c r="H962" s="93"/>
      <c r="I962" s="750"/>
      <c r="J962" s="750"/>
    </row>
    <row r="963" spans="1:10" x14ac:dyDescent="0.35">
      <c r="A963" s="92"/>
      <c r="F963" s="726"/>
      <c r="G963" s="735"/>
      <c r="H963" s="93"/>
      <c r="I963" s="750"/>
      <c r="J963" s="750"/>
    </row>
    <row r="964" spans="1:10" x14ac:dyDescent="0.35">
      <c r="A964" s="92"/>
      <c r="F964" s="726"/>
      <c r="G964" s="735"/>
      <c r="H964" s="93"/>
      <c r="I964" s="750"/>
      <c r="J964" s="750"/>
    </row>
    <row r="965" spans="1:10" x14ac:dyDescent="0.35">
      <c r="A965" s="92"/>
      <c r="F965" s="726"/>
      <c r="G965" s="735"/>
      <c r="H965" s="93"/>
      <c r="I965" s="750"/>
      <c r="J965" s="750"/>
    </row>
    <row r="966" spans="1:10" x14ac:dyDescent="0.35">
      <c r="A966" s="92"/>
      <c r="F966" s="726"/>
      <c r="G966" s="735"/>
      <c r="H966" s="93"/>
      <c r="I966" s="750"/>
      <c r="J966" s="750"/>
    </row>
    <row r="967" spans="1:10" x14ac:dyDescent="0.35">
      <c r="A967" s="92"/>
      <c r="F967" s="726"/>
      <c r="G967" s="735"/>
      <c r="H967" s="93"/>
      <c r="I967" s="750"/>
      <c r="J967" s="750"/>
    </row>
    <row r="968" spans="1:10" x14ac:dyDescent="0.35">
      <c r="A968" s="92"/>
      <c r="F968" s="726"/>
      <c r="G968" s="735"/>
      <c r="H968" s="93"/>
      <c r="I968" s="750"/>
      <c r="J968" s="750"/>
    </row>
    <row r="969" spans="1:10" x14ac:dyDescent="0.35">
      <c r="A969" s="92"/>
      <c r="F969" s="726"/>
      <c r="G969" s="735"/>
      <c r="H969" s="93"/>
      <c r="I969" s="750"/>
      <c r="J969" s="750"/>
    </row>
    <row r="970" spans="1:10" x14ac:dyDescent="0.35">
      <c r="A970" s="92"/>
      <c r="F970" s="726"/>
      <c r="G970" s="735"/>
      <c r="H970" s="93"/>
      <c r="I970" s="750"/>
      <c r="J970" s="750"/>
    </row>
    <row r="971" spans="1:10" x14ac:dyDescent="0.35">
      <c r="A971" s="92"/>
      <c r="F971" s="726"/>
      <c r="G971" s="735"/>
      <c r="H971" s="93"/>
      <c r="I971" s="750"/>
      <c r="J971" s="750"/>
    </row>
    <row r="972" spans="1:10" x14ac:dyDescent="0.35">
      <c r="A972" s="92"/>
      <c r="F972" s="726"/>
      <c r="G972" s="735"/>
      <c r="H972" s="93"/>
      <c r="I972" s="750"/>
      <c r="J972" s="750"/>
    </row>
    <row r="973" spans="1:10" x14ac:dyDescent="0.35">
      <c r="A973" s="92"/>
      <c r="F973" s="726"/>
      <c r="G973" s="735"/>
      <c r="H973" s="93"/>
      <c r="I973" s="750"/>
      <c r="J973" s="750"/>
    </row>
    <row r="974" spans="1:10" x14ac:dyDescent="0.35">
      <c r="A974" s="92"/>
      <c r="F974" s="726"/>
      <c r="G974" s="735"/>
      <c r="H974" s="93"/>
      <c r="I974" s="750"/>
      <c r="J974" s="750"/>
    </row>
    <row r="975" spans="1:10" x14ac:dyDescent="0.35">
      <c r="A975" s="92"/>
      <c r="F975" s="726"/>
      <c r="G975" s="735"/>
      <c r="H975" s="93"/>
      <c r="I975" s="750"/>
      <c r="J975" s="750"/>
    </row>
    <row r="976" spans="1:10" x14ac:dyDescent="0.35">
      <c r="A976" s="92"/>
      <c r="F976" s="726"/>
      <c r="G976" s="735"/>
      <c r="H976" s="93"/>
      <c r="I976" s="750"/>
      <c r="J976" s="750"/>
    </row>
    <row r="977" spans="1:10" x14ac:dyDescent="0.35">
      <c r="A977" s="92"/>
      <c r="F977" s="726"/>
      <c r="G977" s="735"/>
      <c r="H977" s="93"/>
      <c r="I977" s="750"/>
      <c r="J977" s="750"/>
    </row>
    <row r="978" spans="1:10" x14ac:dyDescent="0.35">
      <c r="A978" s="92"/>
      <c r="F978" s="726"/>
      <c r="G978" s="735"/>
      <c r="H978" s="93"/>
      <c r="I978" s="750"/>
      <c r="J978" s="750"/>
    </row>
    <row r="979" spans="1:10" x14ac:dyDescent="0.35">
      <c r="A979" s="92"/>
      <c r="F979" s="726"/>
      <c r="G979" s="735"/>
      <c r="H979" s="93"/>
      <c r="I979" s="750"/>
      <c r="J979" s="750"/>
    </row>
    <row r="980" spans="1:10" x14ac:dyDescent="0.35">
      <c r="A980" s="92"/>
      <c r="F980" s="726"/>
      <c r="G980" s="735"/>
      <c r="H980" s="93"/>
      <c r="I980" s="750"/>
      <c r="J980" s="750"/>
    </row>
    <row r="981" spans="1:10" x14ac:dyDescent="0.35">
      <c r="A981" s="92"/>
      <c r="F981" s="726"/>
      <c r="G981" s="735"/>
      <c r="H981" s="93"/>
      <c r="I981" s="750"/>
      <c r="J981" s="750"/>
    </row>
    <row r="982" spans="1:10" x14ac:dyDescent="0.35">
      <c r="A982" s="92"/>
      <c r="F982" s="726"/>
      <c r="G982" s="735"/>
      <c r="H982" s="93"/>
      <c r="I982" s="750"/>
      <c r="J982" s="750"/>
    </row>
    <row r="983" spans="1:10" x14ac:dyDescent="0.35">
      <c r="A983" s="92"/>
      <c r="F983" s="726"/>
      <c r="G983" s="735"/>
      <c r="H983" s="93"/>
      <c r="I983" s="750"/>
      <c r="J983" s="750"/>
    </row>
    <row r="984" spans="1:10" x14ac:dyDescent="0.35">
      <c r="A984" s="92"/>
      <c r="F984" s="726"/>
      <c r="G984" s="735"/>
      <c r="H984" s="93"/>
      <c r="I984" s="750"/>
      <c r="J984" s="750"/>
    </row>
    <row r="985" spans="1:10" x14ac:dyDescent="0.35">
      <c r="A985" s="92"/>
      <c r="F985" s="726"/>
      <c r="G985" s="735"/>
      <c r="H985" s="93"/>
      <c r="I985" s="750"/>
      <c r="J985" s="750"/>
    </row>
    <row r="986" spans="1:10" x14ac:dyDescent="0.35">
      <c r="A986" s="92"/>
      <c r="F986" s="726"/>
      <c r="G986" s="735"/>
      <c r="H986" s="93"/>
      <c r="I986" s="750"/>
      <c r="J986" s="750"/>
    </row>
    <row r="987" spans="1:10" x14ac:dyDescent="0.35">
      <c r="A987" s="92"/>
      <c r="F987" s="726"/>
      <c r="G987" s="735"/>
      <c r="H987" s="93"/>
      <c r="I987" s="750"/>
      <c r="J987" s="750"/>
    </row>
    <row r="988" spans="1:10" x14ac:dyDescent="0.35">
      <c r="A988" s="92"/>
      <c r="F988" s="726"/>
      <c r="G988" s="735"/>
      <c r="H988" s="93"/>
      <c r="I988" s="750"/>
      <c r="J988" s="750"/>
    </row>
    <row r="989" spans="1:10" x14ac:dyDescent="0.35">
      <c r="A989" s="92"/>
      <c r="F989" s="726"/>
      <c r="G989" s="735"/>
      <c r="H989" s="93"/>
      <c r="I989" s="750"/>
      <c r="J989" s="750"/>
    </row>
    <row r="990" spans="1:10" x14ac:dyDescent="0.35">
      <c r="A990" s="92"/>
      <c r="F990" s="726"/>
      <c r="G990" s="735"/>
      <c r="H990" s="93"/>
      <c r="I990" s="750"/>
      <c r="J990" s="750"/>
    </row>
    <row r="991" spans="1:10" x14ac:dyDescent="0.35">
      <c r="A991" s="92"/>
      <c r="F991" s="726"/>
      <c r="G991" s="735"/>
      <c r="H991" s="93"/>
      <c r="I991" s="750"/>
      <c r="J991" s="750"/>
    </row>
    <row r="992" spans="1:10" x14ac:dyDescent="0.35">
      <c r="A992" s="92"/>
      <c r="F992" s="726"/>
      <c r="G992" s="735"/>
      <c r="H992" s="93"/>
      <c r="I992" s="750"/>
      <c r="J992" s="750"/>
    </row>
    <row r="993" spans="1:10" x14ac:dyDescent="0.35">
      <c r="A993" s="92"/>
      <c r="F993" s="726"/>
      <c r="G993" s="735"/>
      <c r="H993" s="93"/>
      <c r="I993" s="750"/>
      <c r="J993" s="750"/>
    </row>
    <row r="994" spans="1:10" x14ac:dyDescent="0.35">
      <c r="A994" s="92"/>
      <c r="F994" s="726"/>
      <c r="G994" s="735"/>
      <c r="H994" s="93"/>
      <c r="I994" s="750"/>
      <c r="J994" s="750"/>
    </row>
    <row r="995" spans="1:10" x14ac:dyDescent="0.35">
      <c r="A995" s="92"/>
      <c r="F995" s="726"/>
      <c r="G995" s="735"/>
      <c r="H995" s="93"/>
      <c r="I995" s="750"/>
      <c r="J995" s="750"/>
    </row>
    <row r="996" spans="1:10" x14ac:dyDescent="0.35">
      <c r="A996" s="92"/>
      <c r="F996" s="726"/>
      <c r="G996" s="735"/>
      <c r="H996" s="93"/>
      <c r="I996" s="750"/>
      <c r="J996" s="750"/>
    </row>
    <row r="997" spans="1:10" x14ac:dyDescent="0.35">
      <c r="A997" s="92"/>
      <c r="F997" s="726"/>
      <c r="G997" s="735"/>
      <c r="H997" s="93"/>
      <c r="I997" s="750"/>
      <c r="J997" s="750"/>
    </row>
    <row r="998" spans="1:10" x14ac:dyDescent="0.35">
      <c r="A998" s="92"/>
      <c r="F998" s="726"/>
      <c r="G998" s="735"/>
      <c r="H998" s="93"/>
      <c r="I998" s="750"/>
      <c r="J998" s="750"/>
    </row>
    <row r="999" spans="1:10" x14ac:dyDescent="0.35">
      <c r="A999" s="92"/>
      <c r="F999" s="726"/>
      <c r="G999" s="735"/>
      <c r="H999" s="93"/>
      <c r="I999" s="750"/>
      <c r="J999" s="750"/>
    </row>
    <row r="1000" spans="1:10" x14ac:dyDescent="0.35">
      <c r="A1000" s="92"/>
      <c r="F1000" s="726"/>
      <c r="G1000" s="735"/>
      <c r="H1000" s="93"/>
      <c r="I1000" s="750"/>
      <c r="J1000" s="750"/>
    </row>
    <row r="1001" spans="1:10" x14ac:dyDescent="0.35">
      <c r="A1001" s="92"/>
      <c r="F1001" s="726"/>
      <c r="G1001" s="735"/>
      <c r="H1001" s="93"/>
      <c r="I1001" s="750"/>
      <c r="J1001" s="750"/>
    </row>
    <row r="1002" spans="1:10" x14ac:dyDescent="0.35">
      <c r="A1002" s="92"/>
      <c r="F1002" s="726"/>
      <c r="G1002" s="735"/>
      <c r="H1002" s="93"/>
      <c r="I1002" s="750"/>
      <c r="J1002" s="750"/>
    </row>
    <row r="1003" spans="1:10" x14ac:dyDescent="0.35">
      <c r="A1003" s="92"/>
      <c r="F1003" s="726"/>
      <c r="G1003" s="735"/>
      <c r="H1003" s="93"/>
      <c r="I1003" s="750"/>
      <c r="J1003" s="750"/>
    </row>
    <row r="1004" spans="1:10" x14ac:dyDescent="0.35">
      <c r="A1004" s="92"/>
      <c r="F1004" s="726"/>
      <c r="G1004" s="735"/>
      <c r="H1004" s="93"/>
      <c r="I1004" s="750"/>
      <c r="J1004" s="750"/>
    </row>
    <row r="1005" spans="1:10" x14ac:dyDescent="0.35">
      <c r="A1005" s="92"/>
      <c r="F1005" s="726"/>
      <c r="G1005" s="735"/>
      <c r="H1005" s="93"/>
      <c r="I1005" s="750"/>
      <c r="J1005" s="750"/>
    </row>
    <row r="1006" spans="1:10" x14ac:dyDescent="0.35">
      <c r="A1006" s="92"/>
      <c r="F1006" s="726"/>
      <c r="G1006" s="735"/>
      <c r="H1006" s="93"/>
      <c r="I1006" s="750"/>
      <c r="J1006" s="750"/>
    </row>
    <row r="1007" spans="1:10" x14ac:dyDescent="0.35">
      <c r="A1007" s="92"/>
      <c r="F1007" s="726"/>
      <c r="G1007" s="735"/>
      <c r="H1007" s="93"/>
      <c r="I1007" s="750"/>
      <c r="J1007" s="750"/>
    </row>
    <row r="1008" spans="1:10" x14ac:dyDescent="0.35">
      <c r="A1008" s="92"/>
      <c r="F1008" s="726"/>
      <c r="G1008" s="735"/>
      <c r="H1008" s="93"/>
      <c r="I1008" s="750"/>
      <c r="J1008" s="750"/>
    </row>
    <row r="1009" spans="1:10" x14ac:dyDescent="0.35">
      <c r="A1009" s="92"/>
      <c r="F1009" s="726"/>
      <c r="G1009" s="735"/>
      <c r="H1009" s="93"/>
      <c r="I1009" s="750"/>
      <c r="J1009" s="750"/>
    </row>
    <row r="1010" spans="1:10" x14ac:dyDescent="0.35">
      <c r="A1010" s="92"/>
      <c r="F1010" s="726"/>
      <c r="G1010" s="735"/>
      <c r="H1010" s="93"/>
      <c r="I1010" s="750"/>
      <c r="J1010" s="750"/>
    </row>
    <row r="1011" spans="1:10" x14ac:dyDescent="0.35">
      <c r="A1011" s="92"/>
      <c r="F1011" s="726"/>
      <c r="G1011" s="735"/>
      <c r="H1011" s="93"/>
      <c r="I1011" s="750"/>
      <c r="J1011" s="750"/>
    </row>
    <row r="1012" spans="1:10" x14ac:dyDescent="0.35">
      <c r="A1012" s="92"/>
      <c r="F1012" s="726"/>
      <c r="G1012" s="735"/>
      <c r="H1012" s="93"/>
      <c r="I1012" s="750"/>
      <c r="J1012" s="750"/>
    </row>
    <row r="1013" spans="1:10" x14ac:dyDescent="0.35">
      <c r="A1013" s="92"/>
      <c r="F1013" s="726"/>
      <c r="G1013" s="735"/>
      <c r="H1013" s="93"/>
      <c r="I1013" s="750"/>
      <c r="J1013" s="750"/>
    </row>
    <row r="1014" spans="1:10" x14ac:dyDescent="0.35">
      <c r="A1014" s="92"/>
      <c r="F1014" s="726"/>
      <c r="G1014" s="735"/>
      <c r="H1014" s="93"/>
      <c r="I1014" s="750"/>
      <c r="J1014" s="750"/>
    </row>
    <row r="1015" spans="1:10" x14ac:dyDescent="0.35">
      <c r="A1015" s="92"/>
      <c r="F1015" s="726"/>
      <c r="G1015" s="735"/>
      <c r="H1015" s="93"/>
      <c r="I1015" s="750"/>
      <c r="J1015" s="750"/>
    </row>
    <row r="1016" spans="1:10" x14ac:dyDescent="0.35">
      <c r="A1016" s="92"/>
      <c r="F1016" s="726"/>
      <c r="G1016" s="735"/>
      <c r="H1016" s="93"/>
      <c r="I1016" s="750"/>
      <c r="J1016" s="750"/>
    </row>
    <row r="1017" spans="1:10" x14ac:dyDescent="0.35">
      <c r="A1017" s="92"/>
      <c r="F1017" s="726"/>
      <c r="G1017" s="735"/>
      <c r="H1017" s="93"/>
      <c r="I1017" s="750"/>
      <c r="J1017" s="750"/>
    </row>
    <row r="1018" spans="1:10" x14ac:dyDescent="0.35">
      <c r="A1018" s="92"/>
      <c r="F1018" s="726"/>
      <c r="G1018" s="735"/>
      <c r="H1018" s="93"/>
      <c r="I1018" s="750"/>
      <c r="J1018" s="750"/>
    </row>
    <row r="1019" spans="1:10" x14ac:dyDescent="0.35">
      <c r="A1019" s="92"/>
      <c r="F1019" s="726"/>
      <c r="G1019" s="735"/>
      <c r="H1019" s="93"/>
      <c r="I1019" s="750"/>
      <c r="J1019" s="750"/>
    </row>
    <row r="1020" spans="1:10" x14ac:dyDescent="0.35">
      <c r="A1020" s="92"/>
      <c r="F1020" s="726"/>
      <c r="G1020" s="735"/>
      <c r="H1020" s="93"/>
      <c r="I1020" s="750"/>
      <c r="J1020" s="750"/>
    </row>
    <row r="1021" spans="1:10" x14ac:dyDescent="0.35">
      <c r="A1021" s="92"/>
      <c r="F1021" s="726"/>
      <c r="G1021" s="735"/>
      <c r="H1021" s="93"/>
      <c r="I1021" s="750"/>
      <c r="J1021" s="750"/>
    </row>
    <row r="1022" spans="1:10" x14ac:dyDescent="0.35">
      <c r="A1022" s="92"/>
      <c r="F1022" s="726"/>
      <c r="G1022" s="735"/>
      <c r="H1022" s="93"/>
      <c r="I1022" s="750"/>
      <c r="J1022" s="750"/>
    </row>
    <row r="1023" spans="1:10" x14ac:dyDescent="0.35">
      <c r="A1023" s="92"/>
      <c r="F1023" s="726"/>
      <c r="G1023" s="735"/>
      <c r="H1023" s="93"/>
      <c r="I1023" s="750"/>
      <c r="J1023" s="750"/>
    </row>
    <row r="1024" spans="1:10" x14ac:dyDescent="0.35">
      <c r="A1024" s="92"/>
      <c r="F1024" s="726"/>
      <c r="G1024" s="735"/>
      <c r="H1024" s="93"/>
      <c r="I1024" s="750"/>
      <c r="J1024" s="750"/>
    </row>
    <row r="1025" spans="1:10" x14ac:dyDescent="0.35">
      <c r="A1025" s="92"/>
      <c r="F1025" s="726"/>
      <c r="G1025" s="735"/>
      <c r="H1025" s="93"/>
      <c r="I1025" s="750"/>
      <c r="J1025" s="750"/>
    </row>
    <row r="1026" spans="1:10" x14ac:dyDescent="0.35">
      <c r="A1026" s="92"/>
      <c r="F1026" s="726"/>
      <c r="G1026" s="735"/>
      <c r="H1026" s="93"/>
      <c r="I1026" s="750"/>
      <c r="J1026" s="750"/>
    </row>
    <row r="1027" spans="1:10" x14ac:dyDescent="0.35">
      <c r="A1027" s="92"/>
      <c r="F1027" s="726"/>
      <c r="G1027" s="735"/>
      <c r="H1027" s="93"/>
      <c r="I1027" s="750"/>
      <c r="J1027" s="750"/>
    </row>
    <row r="1028" spans="1:10" x14ac:dyDescent="0.35">
      <c r="A1028" s="92"/>
      <c r="F1028" s="726"/>
      <c r="G1028" s="735"/>
      <c r="H1028" s="93"/>
      <c r="I1028" s="750"/>
      <c r="J1028" s="750"/>
    </row>
    <row r="1029" spans="1:10" x14ac:dyDescent="0.35">
      <c r="A1029" s="92"/>
      <c r="F1029" s="726"/>
      <c r="G1029" s="735"/>
      <c r="H1029" s="93"/>
      <c r="I1029" s="750"/>
      <c r="J1029" s="750"/>
    </row>
    <row r="1030" spans="1:10" x14ac:dyDescent="0.35">
      <c r="A1030" s="92"/>
      <c r="F1030" s="726"/>
      <c r="G1030" s="735"/>
      <c r="H1030" s="93"/>
      <c r="I1030" s="750"/>
      <c r="J1030" s="750"/>
    </row>
    <row r="1031" spans="1:10" x14ac:dyDescent="0.35">
      <c r="A1031" s="92"/>
      <c r="F1031" s="726"/>
      <c r="G1031" s="735"/>
      <c r="H1031" s="93"/>
      <c r="I1031" s="750"/>
      <c r="J1031" s="750"/>
    </row>
    <row r="1032" spans="1:10" x14ac:dyDescent="0.35">
      <c r="A1032" s="92"/>
      <c r="F1032" s="726"/>
      <c r="G1032" s="735"/>
      <c r="H1032" s="93"/>
      <c r="I1032" s="750"/>
      <c r="J1032" s="750"/>
    </row>
    <row r="1033" spans="1:10" x14ac:dyDescent="0.35">
      <c r="A1033" s="92"/>
      <c r="F1033" s="726"/>
      <c r="G1033" s="735"/>
      <c r="H1033" s="93"/>
      <c r="I1033" s="750"/>
      <c r="J1033" s="750"/>
    </row>
    <row r="1034" spans="1:10" x14ac:dyDescent="0.35">
      <c r="A1034" s="92"/>
      <c r="F1034" s="726"/>
      <c r="G1034" s="735"/>
      <c r="H1034" s="93"/>
      <c r="I1034" s="750"/>
      <c r="J1034" s="750"/>
    </row>
    <row r="1035" spans="1:10" x14ac:dyDescent="0.35">
      <c r="A1035" s="92"/>
      <c r="F1035" s="726"/>
      <c r="G1035" s="735"/>
      <c r="H1035" s="93"/>
      <c r="I1035" s="750"/>
      <c r="J1035" s="750"/>
    </row>
    <row r="1036" spans="1:10" x14ac:dyDescent="0.35">
      <c r="A1036" s="92"/>
      <c r="F1036" s="726"/>
      <c r="G1036" s="735"/>
      <c r="H1036" s="93"/>
      <c r="I1036" s="750"/>
      <c r="J1036" s="750"/>
    </row>
    <row r="1037" spans="1:10" x14ac:dyDescent="0.35">
      <c r="A1037" s="92"/>
      <c r="F1037" s="726"/>
      <c r="G1037" s="735"/>
      <c r="H1037" s="93"/>
      <c r="I1037" s="750"/>
      <c r="J1037" s="750"/>
    </row>
    <row r="1038" spans="1:10" x14ac:dyDescent="0.35">
      <c r="A1038" s="92"/>
      <c r="F1038" s="726"/>
      <c r="G1038" s="735"/>
      <c r="H1038" s="93"/>
      <c r="I1038" s="750"/>
      <c r="J1038" s="750"/>
    </row>
    <row r="1039" spans="1:10" x14ac:dyDescent="0.35">
      <c r="A1039" s="92"/>
      <c r="F1039" s="726"/>
      <c r="G1039" s="735"/>
      <c r="H1039" s="93"/>
      <c r="I1039" s="750"/>
      <c r="J1039" s="750"/>
    </row>
    <row r="1040" spans="1:10" x14ac:dyDescent="0.35">
      <c r="A1040" s="92"/>
      <c r="F1040" s="726"/>
      <c r="G1040" s="735"/>
      <c r="H1040" s="93"/>
      <c r="I1040" s="750"/>
      <c r="J1040" s="750"/>
    </row>
    <row r="1041" spans="1:10" x14ac:dyDescent="0.35">
      <c r="A1041" s="92"/>
      <c r="F1041" s="726"/>
      <c r="G1041" s="735"/>
      <c r="H1041" s="93"/>
      <c r="I1041" s="750"/>
      <c r="J1041" s="750"/>
    </row>
    <row r="1042" spans="1:10" x14ac:dyDescent="0.35">
      <c r="A1042" s="92"/>
      <c r="F1042" s="726"/>
      <c r="G1042" s="735"/>
      <c r="H1042" s="93"/>
      <c r="I1042" s="750"/>
      <c r="J1042" s="750"/>
    </row>
    <row r="1043" spans="1:10" x14ac:dyDescent="0.35">
      <c r="A1043" s="92"/>
      <c r="F1043" s="726"/>
      <c r="G1043" s="735"/>
      <c r="H1043" s="93"/>
      <c r="I1043" s="750"/>
      <c r="J1043" s="750"/>
    </row>
    <row r="1044" spans="1:10" x14ac:dyDescent="0.35">
      <c r="A1044" s="92"/>
      <c r="F1044" s="726"/>
      <c r="G1044" s="735"/>
      <c r="H1044" s="93"/>
      <c r="I1044" s="750"/>
      <c r="J1044" s="750"/>
    </row>
    <row r="1045" spans="1:10" x14ac:dyDescent="0.35">
      <c r="A1045" s="92"/>
      <c r="F1045" s="726"/>
      <c r="G1045" s="735"/>
      <c r="H1045" s="93"/>
      <c r="I1045" s="750"/>
      <c r="J1045" s="750"/>
    </row>
    <row r="1046" spans="1:10" x14ac:dyDescent="0.35">
      <c r="A1046" s="92"/>
      <c r="F1046" s="726"/>
      <c r="G1046" s="735"/>
      <c r="H1046" s="93"/>
      <c r="I1046" s="750"/>
      <c r="J1046" s="750"/>
    </row>
    <row r="1047" spans="1:10" x14ac:dyDescent="0.35">
      <c r="A1047" s="92"/>
      <c r="F1047" s="726"/>
      <c r="G1047" s="735"/>
      <c r="H1047" s="93"/>
      <c r="I1047" s="750"/>
      <c r="J1047" s="750"/>
    </row>
    <row r="1048" spans="1:10" x14ac:dyDescent="0.35">
      <c r="A1048" s="92"/>
      <c r="F1048" s="726"/>
      <c r="G1048" s="735"/>
      <c r="H1048" s="93"/>
      <c r="I1048" s="750"/>
      <c r="J1048" s="750"/>
    </row>
    <row r="1049" spans="1:10" x14ac:dyDescent="0.35">
      <c r="A1049" s="92"/>
      <c r="F1049" s="726"/>
      <c r="G1049" s="735"/>
      <c r="H1049" s="93"/>
      <c r="I1049" s="750"/>
      <c r="J1049" s="750"/>
    </row>
    <row r="1050" spans="1:10" x14ac:dyDescent="0.35">
      <c r="A1050" s="92"/>
      <c r="F1050" s="726"/>
      <c r="G1050" s="735"/>
      <c r="H1050" s="93"/>
      <c r="I1050" s="750"/>
      <c r="J1050" s="750"/>
    </row>
    <row r="1051" spans="1:10" x14ac:dyDescent="0.35">
      <c r="A1051" s="92"/>
      <c r="F1051" s="726"/>
      <c r="G1051" s="735"/>
      <c r="H1051" s="93"/>
      <c r="I1051" s="750"/>
      <c r="J1051" s="750"/>
    </row>
    <row r="1052" spans="1:10" x14ac:dyDescent="0.35">
      <c r="A1052" s="92"/>
      <c r="F1052" s="726"/>
      <c r="G1052" s="735"/>
      <c r="H1052" s="93"/>
      <c r="I1052" s="750"/>
      <c r="J1052" s="750"/>
    </row>
    <row r="1053" spans="1:10" x14ac:dyDescent="0.35">
      <c r="A1053" s="92"/>
      <c r="F1053" s="726"/>
      <c r="G1053" s="735"/>
      <c r="H1053" s="93"/>
      <c r="I1053" s="750"/>
      <c r="J1053" s="750"/>
    </row>
    <row r="1054" spans="1:10" x14ac:dyDescent="0.35">
      <c r="A1054" s="92"/>
      <c r="F1054" s="726"/>
      <c r="G1054" s="735"/>
      <c r="H1054" s="93"/>
      <c r="I1054" s="750"/>
      <c r="J1054" s="750"/>
    </row>
    <row r="1055" spans="1:10" x14ac:dyDescent="0.35">
      <c r="A1055" s="92"/>
      <c r="F1055" s="726"/>
      <c r="G1055" s="735"/>
      <c r="H1055" s="93"/>
      <c r="I1055" s="750"/>
      <c r="J1055" s="750"/>
    </row>
    <row r="1056" spans="1:10" x14ac:dyDescent="0.35">
      <c r="A1056" s="92"/>
      <c r="F1056" s="726"/>
      <c r="G1056" s="735"/>
      <c r="H1056" s="93"/>
      <c r="I1056" s="750"/>
      <c r="J1056" s="750"/>
    </row>
    <row r="1057" spans="1:10" x14ac:dyDescent="0.35">
      <c r="A1057" s="92"/>
      <c r="F1057" s="726"/>
      <c r="G1057" s="735"/>
      <c r="H1057" s="93"/>
      <c r="I1057" s="750"/>
      <c r="J1057" s="750"/>
    </row>
    <row r="1058" spans="1:10" x14ac:dyDescent="0.35">
      <c r="A1058" s="92"/>
      <c r="F1058" s="726"/>
      <c r="G1058" s="735"/>
      <c r="H1058" s="93"/>
      <c r="I1058" s="750"/>
      <c r="J1058" s="750"/>
    </row>
    <row r="1059" spans="1:10" x14ac:dyDescent="0.35">
      <c r="A1059" s="92"/>
      <c r="F1059" s="726"/>
      <c r="G1059" s="735"/>
      <c r="H1059" s="93"/>
      <c r="I1059" s="750"/>
      <c r="J1059" s="750"/>
    </row>
    <row r="1060" spans="1:10" x14ac:dyDescent="0.35">
      <c r="A1060" s="92"/>
      <c r="F1060" s="726"/>
      <c r="G1060" s="735"/>
      <c r="H1060" s="93"/>
      <c r="I1060" s="750"/>
      <c r="J1060" s="750"/>
    </row>
    <row r="1061" spans="1:10" x14ac:dyDescent="0.35">
      <c r="A1061" s="92"/>
      <c r="F1061" s="726"/>
      <c r="G1061" s="735"/>
      <c r="H1061" s="93"/>
      <c r="I1061" s="750"/>
      <c r="J1061" s="750"/>
    </row>
    <row r="1062" spans="1:10" x14ac:dyDescent="0.35">
      <c r="A1062" s="92"/>
      <c r="F1062" s="726"/>
      <c r="G1062" s="735"/>
      <c r="H1062" s="93"/>
      <c r="I1062" s="750"/>
      <c r="J1062" s="750"/>
    </row>
    <row r="1063" spans="1:10" x14ac:dyDescent="0.35">
      <c r="A1063" s="92"/>
      <c r="F1063" s="726"/>
      <c r="G1063" s="735"/>
      <c r="H1063" s="93"/>
      <c r="I1063" s="750"/>
      <c r="J1063" s="750"/>
    </row>
    <row r="1064" spans="1:10" x14ac:dyDescent="0.35">
      <c r="A1064" s="92"/>
      <c r="F1064" s="726"/>
      <c r="G1064" s="735"/>
      <c r="H1064" s="93"/>
      <c r="I1064" s="750"/>
      <c r="J1064" s="750"/>
    </row>
    <row r="1065" spans="1:10" x14ac:dyDescent="0.35">
      <c r="A1065" s="92"/>
      <c r="F1065" s="726"/>
      <c r="G1065" s="735"/>
      <c r="H1065" s="93"/>
      <c r="I1065" s="750"/>
      <c r="J1065" s="750"/>
    </row>
    <row r="1066" spans="1:10" x14ac:dyDescent="0.35">
      <c r="A1066" s="92"/>
      <c r="F1066" s="726"/>
      <c r="G1066" s="735"/>
      <c r="H1066" s="93"/>
      <c r="I1066" s="750"/>
      <c r="J1066" s="750"/>
    </row>
    <row r="1067" spans="1:10" x14ac:dyDescent="0.35">
      <c r="A1067" s="92"/>
      <c r="F1067" s="726"/>
      <c r="G1067" s="735"/>
      <c r="H1067" s="93"/>
      <c r="I1067" s="750"/>
      <c r="J1067" s="750"/>
    </row>
    <row r="1068" spans="1:10" x14ac:dyDescent="0.35">
      <c r="A1068" s="92"/>
      <c r="F1068" s="726"/>
      <c r="G1068" s="735"/>
      <c r="H1068" s="93"/>
      <c r="I1068" s="750"/>
      <c r="J1068" s="750"/>
    </row>
    <row r="1069" spans="1:10" x14ac:dyDescent="0.35">
      <c r="A1069" s="92"/>
      <c r="F1069" s="726"/>
      <c r="G1069" s="735"/>
      <c r="H1069" s="93"/>
      <c r="I1069" s="750"/>
      <c r="J1069" s="750"/>
    </row>
    <row r="1070" spans="1:10" x14ac:dyDescent="0.35">
      <c r="A1070" s="92"/>
      <c r="F1070" s="726"/>
      <c r="G1070" s="735"/>
      <c r="H1070" s="93"/>
      <c r="I1070" s="750"/>
      <c r="J1070" s="750"/>
    </row>
    <row r="1071" spans="1:10" x14ac:dyDescent="0.35">
      <c r="A1071" s="92"/>
      <c r="F1071" s="726"/>
      <c r="G1071" s="735"/>
      <c r="H1071" s="93"/>
      <c r="I1071" s="750"/>
      <c r="J1071" s="750"/>
    </row>
    <row r="1072" spans="1:10" x14ac:dyDescent="0.35">
      <c r="A1072" s="92"/>
      <c r="F1072" s="726"/>
      <c r="G1072" s="735"/>
      <c r="H1072" s="93"/>
      <c r="I1072" s="750"/>
      <c r="J1072" s="750"/>
    </row>
    <row r="1073" spans="1:10" x14ac:dyDescent="0.35">
      <c r="A1073" s="92"/>
      <c r="F1073" s="726"/>
      <c r="G1073" s="735"/>
      <c r="H1073" s="93"/>
      <c r="I1073" s="750"/>
      <c r="J1073" s="750"/>
    </row>
    <row r="1074" spans="1:10" x14ac:dyDescent="0.35">
      <c r="A1074" s="92"/>
      <c r="F1074" s="726"/>
      <c r="G1074" s="735"/>
      <c r="H1074" s="93"/>
      <c r="I1074" s="750"/>
      <c r="J1074" s="750"/>
    </row>
    <row r="1075" spans="1:10" x14ac:dyDescent="0.35">
      <c r="A1075" s="92"/>
      <c r="F1075" s="726"/>
      <c r="G1075" s="735"/>
      <c r="H1075" s="93"/>
      <c r="I1075" s="750"/>
      <c r="J1075" s="750"/>
    </row>
    <row r="1076" spans="1:10" x14ac:dyDescent="0.35">
      <c r="A1076" s="92"/>
      <c r="F1076" s="726"/>
      <c r="G1076" s="735"/>
      <c r="H1076" s="93"/>
      <c r="I1076" s="750"/>
      <c r="J1076" s="750"/>
    </row>
    <row r="1077" spans="1:10" x14ac:dyDescent="0.35">
      <c r="A1077" s="92"/>
      <c r="F1077" s="726"/>
      <c r="G1077" s="735"/>
      <c r="H1077" s="93"/>
      <c r="I1077" s="750"/>
      <c r="J1077" s="750"/>
    </row>
    <row r="1078" spans="1:10" x14ac:dyDescent="0.35">
      <c r="A1078" s="92"/>
      <c r="F1078" s="726"/>
      <c r="G1078" s="735"/>
      <c r="H1078" s="93"/>
      <c r="I1078" s="750"/>
      <c r="J1078" s="750"/>
    </row>
    <row r="1079" spans="1:10" x14ac:dyDescent="0.35">
      <c r="A1079" s="92"/>
      <c r="F1079" s="726"/>
      <c r="G1079" s="735"/>
      <c r="H1079" s="93"/>
      <c r="I1079" s="750"/>
      <c r="J1079" s="750"/>
    </row>
    <row r="1080" spans="1:10" x14ac:dyDescent="0.35">
      <c r="A1080" s="92"/>
      <c r="F1080" s="726"/>
      <c r="G1080" s="735"/>
      <c r="H1080" s="93"/>
      <c r="I1080" s="750"/>
      <c r="J1080" s="750"/>
    </row>
    <row r="1081" spans="1:10" x14ac:dyDescent="0.35">
      <c r="A1081" s="92"/>
      <c r="F1081" s="726"/>
      <c r="G1081" s="735"/>
      <c r="H1081" s="93"/>
      <c r="I1081" s="750"/>
      <c r="J1081" s="750"/>
    </row>
    <row r="1082" spans="1:10" x14ac:dyDescent="0.35">
      <c r="A1082" s="92"/>
      <c r="F1082" s="726"/>
      <c r="G1082" s="735"/>
      <c r="H1082" s="93"/>
      <c r="I1082" s="750"/>
      <c r="J1082" s="750"/>
    </row>
    <row r="1083" spans="1:10" x14ac:dyDescent="0.35">
      <c r="A1083" s="92"/>
      <c r="F1083" s="726"/>
      <c r="G1083" s="735"/>
      <c r="H1083" s="93"/>
      <c r="I1083" s="750"/>
      <c r="J1083" s="750"/>
    </row>
    <row r="1084" spans="1:10" x14ac:dyDescent="0.35">
      <c r="A1084" s="92"/>
      <c r="F1084" s="726"/>
      <c r="G1084" s="735"/>
      <c r="H1084" s="93"/>
      <c r="I1084" s="750"/>
      <c r="J1084" s="750"/>
    </row>
    <row r="1085" spans="1:10" x14ac:dyDescent="0.35">
      <c r="A1085" s="92"/>
      <c r="F1085" s="726"/>
      <c r="G1085" s="735"/>
      <c r="H1085" s="93"/>
      <c r="I1085" s="750"/>
      <c r="J1085" s="750"/>
    </row>
    <row r="1086" spans="1:10" x14ac:dyDescent="0.35">
      <c r="A1086" s="92"/>
      <c r="F1086" s="726"/>
      <c r="G1086" s="735"/>
      <c r="H1086" s="93"/>
      <c r="I1086" s="750"/>
      <c r="J1086" s="750"/>
    </row>
    <row r="1087" spans="1:10" x14ac:dyDescent="0.35">
      <c r="A1087" s="92"/>
      <c r="F1087" s="726"/>
      <c r="G1087" s="735"/>
      <c r="H1087" s="93"/>
      <c r="I1087" s="750"/>
      <c r="J1087" s="750"/>
    </row>
    <row r="1088" spans="1:10" x14ac:dyDescent="0.35">
      <c r="A1088" s="92"/>
      <c r="F1088" s="726"/>
      <c r="G1088" s="735"/>
      <c r="H1088" s="93"/>
      <c r="I1088" s="750"/>
      <c r="J1088" s="750"/>
    </row>
    <row r="1089" spans="1:10" x14ac:dyDescent="0.35">
      <c r="A1089" s="92"/>
      <c r="F1089" s="726"/>
      <c r="G1089" s="735"/>
      <c r="H1089" s="93"/>
      <c r="I1089" s="750"/>
      <c r="J1089" s="750"/>
    </row>
    <row r="1090" spans="1:10" x14ac:dyDescent="0.35">
      <c r="A1090" s="92"/>
      <c r="F1090" s="726"/>
      <c r="G1090" s="735"/>
      <c r="H1090" s="93"/>
      <c r="I1090" s="750"/>
      <c r="J1090" s="750"/>
    </row>
    <row r="1091" spans="1:10" x14ac:dyDescent="0.35">
      <c r="A1091" s="92"/>
      <c r="F1091" s="726"/>
      <c r="G1091" s="735"/>
      <c r="H1091" s="93"/>
      <c r="I1091" s="750"/>
      <c r="J1091" s="750"/>
    </row>
    <row r="1092" spans="1:10" x14ac:dyDescent="0.35">
      <c r="A1092" s="92"/>
      <c r="F1092" s="726"/>
      <c r="G1092" s="735"/>
      <c r="H1092" s="93"/>
      <c r="I1092" s="750"/>
      <c r="J1092" s="750"/>
    </row>
    <row r="1093" spans="1:10" x14ac:dyDescent="0.35">
      <c r="A1093" s="92"/>
      <c r="F1093" s="726"/>
      <c r="G1093" s="735"/>
      <c r="H1093" s="93"/>
      <c r="I1093" s="750"/>
      <c r="J1093" s="750"/>
    </row>
    <row r="1094" spans="1:10" x14ac:dyDescent="0.35">
      <c r="A1094" s="92"/>
      <c r="F1094" s="726"/>
      <c r="G1094" s="735"/>
      <c r="H1094" s="93"/>
      <c r="I1094" s="750"/>
      <c r="J1094" s="750"/>
    </row>
    <row r="1095" spans="1:10" x14ac:dyDescent="0.35">
      <c r="A1095" s="92"/>
      <c r="F1095" s="726"/>
      <c r="G1095" s="735"/>
      <c r="H1095" s="93"/>
      <c r="I1095" s="750"/>
      <c r="J1095" s="750"/>
    </row>
    <row r="1096" spans="1:10" x14ac:dyDescent="0.35">
      <c r="A1096" s="92"/>
      <c r="F1096" s="726"/>
      <c r="G1096" s="735"/>
      <c r="H1096" s="93"/>
      <c r="I1096" s="750"/>
      <c r="J1096" s="750"/>
    </row>
    <row r="1097" spans="1:10" x14ac:dyDescent="0.35">
      <c r="A1097" s="92"/>
      <c r="F1097" s="726"/>
      <c r="G1097" s="735"/>
      <c r="H1097" s="93"/>
      <c r="I1097" s="750"/>
      <c r="J1097" s="750"/>
    </row>
    <row r="1098" spans="1:10" x14ac:dyDescent="0.35">
      <c r="A1098" s="92"/>
      <c r="F1098" s="726"/>
      <c r="G1098" s="735"/>
      <c r="H1098" s="93"/>
      <c r="I1098" s="750"/>
      <c r="J1098" s="750"/>
    </row>
    <row r="1099" spans="1:10" x14ac:dyDescent="0.35">
      <c r="A1099" s="92"/>
      <c r="F1099" s="726"/>
      <c r="G1099" s="735"/>
      <c r="H1099" s="93"/>
      <c r="I1099" s="750"/>
      <c r="J1099" s="750"/>
    </row>
    <row r="1100" spans="1:10" x14ac:dyDescent="0.35">
      <c r="A1100" s="92"/>
      <c r="F1100" s="726"/>
      <c r="G1100" s="735"/>
      <c r="H1100" s="93"/>
      <c r="I1100" s="750"/>
      <c r="J1100" s="750"/>
    </row>
    <row r="1101" spans="1:10" x14ac:dyDescent="0.35">
      <c r="A1101" s="92"/>
      <c r="F1101" s="726"/>
      <c r="G1101" s="735"/>
      <c r="H1101" s="93"/>
      <c r="I1101" s="750"/>
      <c r="J1101" s="750"/>
    </row>
    <row r="1102" spans="1:10" x14ac:dyDescent="0.35">
      <c r="A1102" s="92"/>
      <c r="F1102" s="726"/>
      <c r="G1102" s="735"/>
      <c r="H1102" s="93"/>
      <c r="I1102" s="750"/>
      <c r="J1102" s="750"/>
    </row>
    <row r="1103" spans="1:10" x14ac:dyDescent="0.35">
      <c r="A1103" s="92"/>
      <c r="F1103" s="726"/>
      <c r="G1103" s="735"/>
      <c r="H1103" s="93"/>
      <c r="I1103" s="750"/>
      <c r="J1103" s="750"/>
    </row>
    <row r="1104" spans="1:10" x14ac:dyDescent="0.35">
      <c r="A1104" s="92"/>
      <c r="F1104" s="726"/>
      <c r="G1104" s="735"/>
      <c r="H1104" s="93"/>
      <c r="I1104" s="750"/>
      <c r="J1104" s="750"/>
    </row>
    <row r="1105" spans="1:10" x14ac:dyDescent="0.35">
      <c r="A1105" s="92"/>
      <c r="F1105" s="726"/>
      <c r="G1105" s="735"/>
      <c r="H1105" s="93"/>
      <c r="I1105" s="750"/>
      <c r="J1105" s="750"/>
    </row>
    <row r="1106" spans="1:10" x14ac:dyDescent="0.35">
      <c r="A1106" s="92"/>
      <c r="F1106" s="726"/>
      <c r="G1106" s="735"/>
      <c r="H1106" s="93"/>
      <c r="I1106" s="750"/>
      <c r="J1106" s="750"/>
    </row>
    <row r="1107" spans="1:10" x14ac:dyDescent="0.35">
      <c r="A1107" s="92"/>
      <c r="F1107" s="726"/>
      <c r="G1107" s="735"/>
      <c r="H1107" s="93"/>
      <c r="I1107" s="750"/>
      <c r="J1107" s="750"/>
    </row>
    <row r="1108" spans="1:10" x14ac:dyDescent="0.35">
      <c r="A1108" s="92"/>
      <c r="F1108" s="726"/>
      <c r="G1108" s="735"/>
      <c r="H1108" s="93"/>
      <c r="I1108" s="750"/>
      <c r="J1108" s="750"/>
    </row>
    <row r="1109" spans="1:10" x14ac:dyDescent="0.35">
      <c r="A1109" s="92"/>
      <c r="F1109" s="726"/>
      <c r="G1109" s="735"/>
      <c r="H1109" s="93"/>
      <c r="I1109" s="750"/>
      <c r="J1109" s="750"/>
    </row>
    <row r="1110" spans="1:10" x14ac:dyDescent="0.35">
      <c r="A1110" s="92"/>
      <c r="F1110" s="726"/>
      <c r="G1110" s="735"/>
      <c r="H1110" s="93"/>
      <c r="I1110" s="750"/>
      <c r="J1110" s="750"/>
    </row>
    <row r="1111" spans="1:10" x14ac:dyDescent="0.35">
      <c r="A1111" s="92"/>
      <c r="F1111" s="726"/>
      <c r="G1111" s="735"/>
      <c r="H1111" s="93"/>
      <c r="I1111" s="750"/>
      <c r="J1111" s="750"/>
    </row>
    <row r="1112" spans="1:10" x14ac:dyDescent="0.35">
      <c r="A1112" s="92"/>
      <c r="F1112" s="726"/>
      <c r="G1112" s="735"/>
      <c r="H1112" s="93"/>
      <c r="I1112" s="750"/>
      <c r="J1112" s="750"/>
    </row>
    <row r="1113" spans="1:10" x14ac:dyDescent="0.35">
      <c r="A1113" s="92"/>
      <c r="F1113" s="726"/>
      <c r="G1113" s="735"/>
      <c r="H1113" s="93"/>
      <c r="I1113" s="750"/>
      <c r="J1113" s="750"/>
    </row>
    <row r="1114" spans="1:10" x14ac:dyDescent="0.35">
      <c r="A1114" s="92"/>
      <c r="F1114" s="726"/>
      <c r="G1114" s="735"/>
      <c r="H1114" s="93"/>
      <c r="I1114" s="750"/>
      <c r="J1114" s="750"/>
    </row>
    <row r="1115" spans="1:10" x14ac:dyDescent="0.35">
      <c r="A1115" s="92"/>
      <c r="F1115" s="726"/>
      <c r="G1115" s="735"/>
      <c r="H1115" s="93"/>
      <c r="I1115" s="750"/>
      <c r="J1115" s="750"/>
    </row>
    <row r="1116" spans="1:10" x14ac:dyDescent="0.35">
      <c r="A1116" s="92"/>
      <c r="F1116" s="726"/>
      <c r="G1116" s="735"/>
      <c r="H1116" s="93"/>
      <c r="I1116" s="750"/>
      <c r="J1116" s="750"/>
    </row>
    <row r="1117" spans="1:10" x14ac:dyDescent="0.35">
      <c r="A1117" s="92"/>
      <c r="F1117" s="726"/>
      <c r="G1117" s="735"/>
      <c r="H1117" s="93"/>
      <c r="I1117" s="750"/>
      <c r="J1117" s="750"/>
    </row>
    <row r="1118" spans="1:10" x14ac:dyDescent="0.35">
      <c r="A1118" s="92"/>
      <c r="F1118" s="726"/>
      <c r="G1118" s="735"/>
      <c r="H1118" s="93"/>
      <c r="I1118" s="750"/>
      <c r="J1118" s="750"/>
    </row>
    <row r="1119" spans="1:10" x14ac:dyDescent="0.35">
      <c r="A1119" s="92"/>
      <c r="F1119" s="726"/>
      <c r="G1119" s="735"/>
      <c r="H1119" s="93"/>
      <c r="I1119" s="750"/>
      <c r="J1119" s="750"/>
    </row>
    <row r="1120" spans="1:10" x14ac:dyDescent="0.35">
      <c r="A1120" s="92"/>
      <c r="F1120" s="726"/>
      <c r="G1120" s="735"/>
      <c r="H1120" s="93"/>
      <c r="I1120" s="750"/>
      <c r="J1120" s="750"/>
    </row>
    <row r="1121" spans="1:10" x14ac:dyDescent="0.35">
      <c r="A1121" s="92"/>
      <c r="F1121" s="726"/>
      <c r="G1121" s="735"/>
      <c r="H1121" s="93"/>
      <c r="I1121" s="750"/>
      <c r="J1121" s="750"/>
    </row>
    <row r="1122" spans="1:10" x14ac:dyDescent="0.35">
      <c r="A1122" s="92"/>
      <c r="F1122" s="726"/>
      <c r="G1122" s="735"/>
      <c r="H1122" s="93"/>
      <c r="I1122" s="750"/>
      <c r="J1122" s="750"/>
    </row>
    <row r="1123" spans="1:10" x14ac:dyDescent="0.35">
      <c r="A1123" s="92"/>
      <c r="F1123" s="726"/>
      <c r="G1123" s="735"/>
      <c r="H1123" s="93"/>
      <c r="I1123" s="750"/>
      <c r="J1123" s="750"/>
    </row>
    <row r="1124" spans="1:10" x14ac:dyDescent="0.35">
      <c r="A1124" s="92"/>
      <c r="F1124" s="726"/>
      <c r="G1124" s="735"/>
      <c r="H1124" s="93"/>
      <c r="I1124" s="750"/>
      <c r="J1124" s="750"/>
    </row>
    <row r="1125" spans="1:10" x14ac:dyDescent="0.35">
      <c r="A1125" s="92"/>
      <c r="F1125" s="726"/>
      <c r="G1125" s="735"/>
      <c r="H1125" s="93"/>
      <c r="I1125" s="750"/>
      <c r="J1125" s="750"/>
    </row>
    <row r="1126" spans="1:10" x14ac:dyDescent="0.35">
      <c r="A1126" s="92"/>
      <c r="F1126" s="726"/>
      <c r="G1126" s="735"/>
      <c r="H1126" s="93"/>
      <c r="I1126" s="750"/>
      <c r="J1126" s="750"/>
    </row>
    <row r="1127" spans="1:10" x14ac:dyDescent="0.35">
      <c r="A1127" s="92"/>
      <c r="F1127" s="726"/>
      <c r="G1127" s="735"/>
      <c r="H1127" s="93"/>
      <c r="I1127" s="750"/>
      <c r="J1127" s="750"/>
    </row>
    <row r="1128" spans="1:10" x14ac:dyDescent="0.35">
      <c r="A1128" s="92"/>
      <c r="F1128" s="726"/>
      <c r="G1128" s="735"/>
      <c r="H1128" s="93"/>
      <c r="I1128" s="750"/>
      <c r="J1128" s="750"/>
    </row>
    <row r="1129" spans="1:10" x14ac:dyDescent="0.35">
      <c r="A1129" s="92"/>
      <c r="F1129" s="726"/>
      <c r="G1129" s="735"/>
      <c r="H1129" s="93"/>
      <c r="I1129" s="750"/>
      <c r="J1129" s="750"/>
    </row>
    <row r="1130" spans="1:10" x14ac:dyDescent="0.35">
      <c r="A1130" s="92"/>
      <c r="F1130" s="726"/>
      <c r="G1130" s="735"/>
      <c r="H1130" s="93"/>
      <c r="I1130" s="750"/>
      <c r="J1130" s="750"/>
    </row>
    <row r="1131" spans="1:10" x14ac:dyDescent="0.35">
      <c r="A1131" s="92"/>
      <c r="F1131" s="726"/>
      <c r="G1131" s="735"/>
      <c r="H1131" s="93"/>
      <c r="I1131" s="750"/>
      <c r="J1131" s="750"/>
    </row>
    <row r="1132" spans="1:10" x14ac:dyDescent="0.35">
      <c r="A1132" s="92"/>
      <c r="F1132" s="726"/>
      <c r="G1132" s="735"/>
      <c r="H1132" s="93"/>
      <c r="I1132" s="750"/>
      <c r="J1132" s="750"/>
    </row>
    <row r="1133" spans="1:10" x14ac:dyDescent="0.35">
      <c r="A1133" s="92"/>
      <c r="F1133" s="726"/>
      <c r="G1133" s="735"/>
      <c r="H1133" s="93"/>
      <c r="I1133" s="750"/>
      <c r="J1133" s="750"/>
    </row>
    <row r="1134" spans="1:10" x14ac:dyDescent="0.35">
      <c r="A1134" s="92"/>
      <c r="F1134" s="726"/>
      <c r="G1134" s="735"/>
      <c r="H1134" s="93"/>
      <c r="I1134" s="750"/>
      <c r="J1134" s="750"/>
    </row>
    <row r="1135" spans="1:10" x14ac:dyDescent="0.35">
      <c r="A1135" s="92"/>
      <c r="F1135" s="726"/>
      <c r="G1135" s="735"/>
      <c r="H1135" s="93"/>
      <c r="I1135" s="750"/>
      <c r="J1135" s="750"/>
    </row>
    <row r="1136" spans="1:10" x14ac:dyDescent="0.35">
      <c r="A1136" s="92"/>
      <c r="F1136" s="726"/>
      <c r="G1136" s="735"/>
      <c r="H1136" s="93"/>
      <c r="I1136" s="750"/>
      <c r="J1136" s="750"/>
    </row>
    <row r="1137" spans="1:10" x14ac:dyDescent="0.35">
      <c r="A1137" s="92"/>
      <c r="F1137" s="726"/>
      <c r="G1137" s="735"/>
      <c r="H1137" s="93"/>
      <c r="I1137" s="750"/>
      <c r="J1137" s="750"/>
    </row>
    <row r="1138" spans="1:10" x14ac:dyDescent="0.35">
      <c r="A1138" s="92"/>
      <c r="F1138" s="726"/>
      <c r="G1138" s="735"/>
      <c r="H1138" s="93"/>
      <c r="I1138" s="750"/>
      <c r="J1138" s="750"/>
    </row>
    <row r="1139" spans="1:10" x14ac:dyDescent="0.35">
      <c r="A1139" s="92"/>
      <c r="F1139" s="726"/>
      <c r="G1139" s="735"/>
      <c r="H1139" s="93"/>
      <c r="I1139" s="750"/>
      <c r="J1139" s="750"/>
    </row>
    <row r="1140" spans="1:10" x14ac:dyDescent="0.35">
      <c r="A1140" s="92"/>
      <c r="F1140" s="726"/>
      <c r="G1140" s="735"/>
      <c r="H1140" s="93"/>
      <c r="I1140" s="750"/>
      <c r="J1140" s="750"/>
    </row>
    <row r="1141" spans="1:10" x14ac:dyDescent="0.35">
      <c r="A1141" s="92"/>
      <c r="F1141" s="726"/>
      <c r="G1141" s="735"/>
      <c r="H1141" s="93"/>
      <c r="I1141" s="750"/>
      <c r="J1141" s="750"/>
    </row>
    <row r="1142" spans="1:10" x14ac:dyDescent="0.35">
      <c r="A1142" s="92"/>
      <c r="F1142" s="726"/>
      <c r="G1142" s="735"/>
      <c r="H1142" s="93"/>
      <c r="I1142" s="750"/>
      <c r="J1142" s="750"/>
    </row>
    <row r="1143" spans="1:10" x14ac:dyDescent="0.35">
      <c r="A1143" s="92"/>
      <c r="F1143" s="726"/>
      <c r="G1143" s="735"/>
      <c r="H1143" s="93"/>
      <c r="I1143" s="750"/>
      <c r="J1143" s="750"/>
    </row>
    <row r="1144" spans="1:10" x14ac:dyDescent="0.35">
      <c r="A1144" s="92"/>
      <c r="F1144" s="726"/>
      <c r="G1144" s="735"/>
      <c r="H1144" s="93"/>
      <c r="I1144" s="750"/>
      <c r="J1144" s="750"/>
    </row>
    <row r="1145" spans="1:10" x14ac:dyDescent="0.35">
      <c r="A1145" s="92"/>
      <c r="F1145" s="726"/>
      <c r="G1145" s="735"/>
      <c r="H1145" s="93"/>
      <c r="I1145" s="750"/>
      <c r="J1145" s="750"/>
    </row>
    <row r="1146" spans="1:10" x14ac:dyDescent="0.35">
      <c r="A1146" s="92"/>
      <c r="F1146" s="726"/>
      <c r="G1146" s="735"/>
      <c r="H1146" s="93"/>
      <c r="I1146" s="750"/>
      <c r="J1146" s="750"/>
    </row>
    <row r="1147" spans="1:10" x14ac:dyDescent="0.35">
      <c r="A1147" s="92"/>
      <c r="F1147" s="726"/>
      <c r="G1147" s="735"/>
      <c r="H1147" s="93"/>
      <c r="I1147" s="750"/>
      <c r="J1147" s="750"/>
    </row>
    <row r="1148" spans="1:10" x14ac:dyDescent="0.35">
      <c r="A1148" s="92"/>
      <c r="F1148" s="726"/>
      <c r="G1148" s="735"/>
      <c r="H1148" s="93"/>
      <c r="I1148" s="750"/>
      <c r="J1148" s="750"/>
    </row>
    <row r="1149" spans="1:10" x14ac:dyDescent="0.35">
      <c r="A1149" s="92"/>
      <c r="F1149" s="726"/>
      <c r="G1149" s="735"/>
      <c r="H1149" s="93"/>
      <c r="I1149" s="750"/>
      <c r="J1149" s="750"/>
    </row>
    <row r="1150" spans="1:10" x14ac:dyDescent="0.35">
      <c r="A1150" s="92"/>
      <c r="F1150" s="726"/>
      <c r="G1150" s="735"/>
      <c r="H1150" s="93"/>
      <c r="I1150" s="750"/>
      <c r="J1150" s="750"/>
    </row>
    <row r="1151" spans="1:10" x14ac:dyDescent="0.35">
      <c r="A1151" s="92"/>
      <c r="F1151" s="726"/>
      <c r="G1151" s="735"/>
      <c r="H1151" s="93"/>
      <c r="I1151" s="750"/>
      <c r="J1151" s="750"/>
    </row>
    <row r="1152" spans="1:10" x14ac:dyDescent="0.35">
      <c r="A1152" s="92"/>
      <c r="F1152" s="726"/>
      <c r="G1152" s="735"/>
      <c r="H1152" s="93"/>
      <c r="I1152" s="750"/>
      <c r="J1152" s="750"/>
    </row>
    <row r="1153" spans="1:10" x14ac:dyDescent="0.35">
      <c r="A1153" s="92"/>
      <c r="F1153" s="726"/>
      <c r="G1153" s="735"/>
      <c r="H1153" s="93"/>
      <c r="I1153" s="750"/>
      <c r="J1153" s="750"/>
    </row>
    <row r="1154" spans="1:10" x14ac:dyDescent="0.35">
      <c r="A1154" s="92"/>
      <c r="F1154" s="726"/>
      <c r="G1154" s="735"/>
      <c r="H1154" s="93"/>
      <c r="I1154" s="750"/>
      <c r="J1154" s="750"/>
    </row>
    <row r="1155" spans="1:10" x14ac:dyDescent="0.35">
      <c r="A1155" s="92"/>
      <c r="F1155" s="726"/>
      <c r="G1155" s="735"/>
      <c r="H1155" s="93"/>
      <c r="I1155" s="750"/>
      <c r="J1155" s="750"/>
    </row>
    <row r="1156" spans="1:10" x14ac:dyDescent="0.35">
      <c r="A1156" s="92"/>
      <c r="F1156" s="726"/>
      <c r="G1156" s="735"/>
      <c r="H1156" s="93"/>
      <c r="I1156" s="750"/>
      <c r="J1156" s="750"/>
    </row>
    <row r="1157" spans="1:10" x14ac:dyDescent="0.35">
      <c r="A1157" s="92"/>
      <c r="F1157" s="726"/>
      <c r="G1157" s="735"/>
      <c r="H1157" s="93"/>
      <c r="I1157" s="750"/>
      <c r="J1157" s="750"/>
    </row>
    <row r="1158" spans="1:10" x14ac:dyDescent="0.35">
      <c r="A1158" s="92"/>
      <c r="F1158" s="726"/>
      <c r="G1158" s="735"/>
      <c r="H1158" s="93"/>
      <c r="I1158" s="750"/>
      <c r="J1158" s="750"/>
    </row>
    <row r="1159" spans="1:10" x14ac:dyDescent="0.35">
      <c r="A1159" s="92"/>
      <c r="F1159" s="726"/>
      <c r="G1159" s="735"/>
      <c r="H1159" s="93"/>
      <c r="I1159" s="750"/>
      <c r="J1159" s="750"/>
    </row>
    <row r="1160" spans="1:10" x14ac:dyDescent="0.35">
      <c r="A1160" s="92"/>
      <c r="F1160" s="726"/>
      <c r="G1160" s="735"/>
      <c r="H1160" s="93"/>
      <c r="I1160" s="750"/>
      <c r="J1160" s="750"/>
    </row>
    <row r="1161" spans="1:10" x14ac:dyDescent="0.35">
      <c r="A1161" s="92"/>
      <c r="F1161" s="726"/>
      <c r="G1161" s="735"/>
      <c r="H1161" s="93"/>
      <c r="I1161" s="750"/>
      <c r="J1161" s="750"/>
    </row>
    <row r="1162" spans="1:10" x14ac:dyDescent="0.35">
      <c r="A1162" s="92"/>
      <c r="F1162" s="726"/>
      <c r="G1162" s="735"/>
      <c r="H1162" s="93"/>
      <c r="I1162" s="750"/>
      <c r="J1162" s="750"/>
    </row>
    <row r="1163" spans="1:10" x14ac:dyDescent="0.35">
      <c r="A1163" s="92"/>
      <c r="F1163" s="726"/>
      <c r="G1163" s="735"/>
      <c r="H1163" s="93"/>
      <c r="I1163" s="750"/>
      <c r="J1163" s="750"/>
    </row>
    <row r="1164" spans="1:10" x14ac:dyDescent="0.35">
      <c r="A1164" s="92"/>
      <c r="F1164" s="726"/>
      <c r="G1164" s="735"/>
      <c r="H1164" s="93"/>
      <c r="I1164" s="750"/>
      <c r="J1164" s="750"/>
    </row>
    <row r="1165" spans="1:10" x14ac:dyDescent="0.35">
      <c r="A1165" s="92"/>
      <c r="F1165" s="726"/>
      <c r="G1165" s="735"/>
      <c r="H1165" s="93"/>
      <c r="I1165" s="750"/>
      <c r="J1165" s="750"/>
    </row>
    <row r="1166" spans="1:10" x14ac:dyDescent="0.35">
      <c r="A1166" s="92"/>
      <c r="F1166" s="726"/>
      <c r="G1166" s="735"/>
      <c r="H1166" s="93"/>
      <c r="I1166" s="750"/>
      <c r="J1166" s="750"/>
    </row>
    <row r="1167" spans="1:10" x14ac:dyDescent="0.35">
      <c r="A1167" s="92"/>
      <c r="F1167" s="726"/>
      <c r="G1167" s="735"/>
      <c r="H1167" s="93"/>
      <c r="I1167" s="750"/>
      <c r="J1167" s="750"/>
    </row>
    <row r="1168" spans="1:10" x14ac:dyDescent="0.35">
      <c r="A1168" s="92"/>
      <c r="F1168" s="726"/>
      <c r="G1168" s="735"/>
      <c r="H1168" s="93"/>
      <c r="I1168" s="750"/>
      <c r="J1168" s="750"/>
    </row>
    <row r="1169" spans="1:10" x14ac:dyDescent="0.35">
      <c r="A1169" s="92"/>
      <c r="F1169" s="726"/>
      <c r="G1169" s="735"/>
      <c r="H1169" s="93"/>
      <c r="I1169" s="750"/>
      <c r="J1169" s="750"/>
    </row>
    <row r="1170" spans="1:10" x14ac:dyDescent="0.35">
      <c r="A1170" s="92"/>
      <c r="F1170" s="726"/>
      <c r="G1170" s="735"/>
      <c r="H1170" s="93"/>
      <c r="I1170" s="750"/>
      <c r="J1170" s="750"/>
    </row>
    <row r="1171" spans="1:10" x14ac:dyDescent="0.35">
      <c r="A1171" s="92"/>
      <c r="F1171" s="726"/>
      <c r="G1171" s="735"/>
      <c r="H1171" s="93"/>
      <c r="I1171" s="750"/>
      <c r="J1171" s="750"/>
    </row>
    <row r="1172" spans="1:10" x14ac:dyDescent="0.35">
      <c r="A1172" s="92"/>
      <c r="F1172" s="726"/>
      <c r="G1172" s="735"/>
      <c r="H1172" s="93"/>
      <c r="I1172" s="750"/>
      <c r="J1172" s="750"/>
    </row>
    <row r="1173" spans="1:10" x14ac:dyDescent="0.35">
      <c r="A1173" s="92"/>
      <c r="F1173" s="726"/>
      <c r="G1173" s="735"/>
      <c r="H1173" s="93"/>
      <c r="I1173" s="750"/>
      <c r="J1173" s="750"/>
    </row>
    <row r="1174" spans="1:10" x14ac:dyDescent="0.35">
      <c r="A1174" s="92"/>
      <c r="F1174" s="726"/>
      <c r="G1174" s="735"/>
      <c r="H1174" s="93"/>
      <c r="I1174" s="750"/>
      <c r="J1174" s="750"/>
    </row>
    <row r="1175" spans="1:10" x14ac:dyDescent="0.35">
      <c r="A1175" s="92"/>
      <c r="F1175" s="726"/>
      <c r="G1175" s="735"/>
      <c r="H1175" s="93"/>
      <c r="I1175" s="750"/>
      <c r="J1175" s="750"/>
    </row>
    <row r="1176" spans="1:10" x14ac:dyDescent="0.35">
      <c r="A1176" s="92"/>
      <c r="F1176" s="726"/>
      <c r="G1176" s="735"/>
      <c r="H1176" s="93"/>
      <c r="I1176" s="750"/>
      <c r="J1176" s="750"/>
    </row>
    <row r="1177" spans="1:10" x14ac:dyDescent="0.35">
      <c r="A1177" s="92"/>
      <c r="F1177" s="726"/>
      <c r="G1177" s="735"/>
      <c r="H1177" s="93"/>
      <c r="I1177" s="750"/>
      <c r="J1177" s="750"/>
    </row>
    <row r="1178" spans="1:10" x14ac:dyDescent="0.35">
      <c r="A1178" s="92"/>
      <c r="F1178" s="726"/>
      <c r="G1178" s="735"/>
      <c r="H1178" s="93"/>
      <c r="I1178" s="750"/>
      <c r="J1178" s="750"/>
    </row>
    <row r="1179" spans="1:10" x14ac:dyDescent="0.35">
      <c r="A1179" s="92"/>
      <c r="F1179" s="726"/>
      <c r="G1179" s="735"/>
      <c r="H1179" s="93"/>
      <c r="I1179" s="750"/>
      <c r="J1179" s="750"/>
    </row>
    <row r="1180" spans="1:10" x14ac:dyDescent="0.35">
      <c r="A1180" s="92"/>
      <c r="F1180" s="726"/>
      <c r="G1180" s="735"/>
      <c r="H1180" s="93"/>
      <c r="I1180" s="750"/>
      <c r="J1180" s="750"/>
    </row>
    <row r="1181" spans="1:10" x14ac:dyDescent="0.35">
      <c r="A1181" s="92"/>
      <c r="F1181" s="726"/>
      <c r="G1181" s="735"/>
      <c r="H1181" s="93"/>
      <c r="I1181" s="750"/>
      <c r="J1181" s="750"/>
    </row>
    <row r="1182" spans="1:10" x14ac:dyDescent="0.35">
      <c r="A1182" s="92"/>
      <c r="F1182" s="726"/>
      <c r="G1182" s="735"/>
      <c r="H1182" s="93"/>
      <c r="I1182" s="750"/>
      <c r="J1182" s="750"/>
    </row>
    <row r="1183" spans="1:10" x14ac:dyDescent="0.35">
      <c r="A1183" s="92"/>
      <c r="F1183" s="726"/>
      <c r="G1183" s="735"/>
      <c r="H1183" s="93"/>
      <c r="I1183" s="750"/>
      <c r="J1183" s="750"/>
    </row>
    <row r="1184" spans="1:10" x14ac:dyDescent="0.35">
      <c r="A1184" s="92"/>
      <c r="F1184" s="726"/>
      <c r="G1184" s="735"/>
      <c r="H1184" s="93"/>
      <c r="I1184" s="750"/>
      <c r="J1184" s="750"/>
    </row>
    <row r="1185" spans="1:10" x14ac:dyDescent="0.35">
      <c r="A1185" s="92"/>
      <c r="F1185" s="726"/>
      <c r="G1185" s="735"/>
      <c r="H1185" s="93"/>
      <c r="I1185" s="750"/>
      <c r="J1185" s="750"/>
    </row>
    <row r="1186" spans="1:10" x14ac:dyDescent="0.35">
      <c r="A1186" s="92"/>
      <c r="F1186" s="726"/>
      <c r="G1186" s="735"/>
      <c r="H1186" s="93"/>
      <c r="I1186" s="750"/>
      <c r="J1186" s="750"/>
    </row>
    <row r="1187" spans="1:10" x14ac:dyDescent="0.35">
      <c r="A1187" s="92"/>
      <c r="F1187" s="726"/>
      <c r="G1187" s="735"/>
      <c r="H1187" s="93"/>
      <c r="I1187" s="750"/>
      <c r="J1187" s="750"/>
    </row>
    <row r="1188" spans="1:10" x14ac:dyDescent="0.35">
      <c r="A1188" s="92"/>
      <c r="F1188" s="726"/>
      <c r="G1188" s="735"/>
      <c r="H1188" s="93"/>
      <c r="I1188" s="750"/>
      <c r="J1188" s="750"/>
    </row>
    <row r="1189" spans="1:10" x14ac:dyDescent="0.35">
      <c r="A1189" s="92"/>
      <c r="F1189" s="726"/>
      <c r="G1189" s="735"/>
      <c r="H1189" s="93"/>
      <c r="I1189" s="750"/>
      <c r="J1189" s="750"/>
    </row>
    <row r="1190" spans="1:10" x14ac:dyDescent="0.35">
      <c r="A1190" s="92"/>
      <c r="F1190" s="726"/>
      <c r="G1190" s="735"/>
      <c r="H1190" s="93"/>
      <c r="I1190" s="750"/>
      <c r="J1190" s="750"/>
    </row>
    <row r="1191" spans="1:10" x14ac:dyDescent="0.35">
      <c r="A1191" s="92"/>
      <c r="F1191" s="726"/>
      <c r="G1191" s="735"/>
      <c r="H1191" s="93"/>
      <c r="I1191" s="750"/>
      <c r="J1191" s="750"/>
    </row>
    <row r="1192" spans="1:10" x14ac:dyDescent="0.35">
      <c r="A1192" s="92"/>
      <c r="F1192" s="726"/>
      <c r="G1192" s="735"/>
      <c r="H1192" s="93"/>
      <c r="I1192" s="750"/>
      <c r="J1192" s="750"/>
    </row>
    <row r="1193" spans="1:10" x14ac:dyDescent="0.35">
      <c r="A1193" s="92"/>
      <c r="F1193" s="726"/>
      <c r="G1193" s="735"/>
      <c r="H1193" s="93"/>
      <c r="I1193" s="750"/>
      <c r="J1193" s="750"/>
    </row>
    <row r="1194" spans="1:10" x14ac:dyDescent="0.35">
      <c r="A1194" s="92"/>
      <c r="F1194" s="726"/>
      <c r="G1194" s="735"/>
      <c r="H1194" s="93"/>
      <c r="I1194" s="750"/>
      <c r="J1194" s="750"/>
    </row>
    <row r="1195" spans="1:10" x14ac:dyDescent="0.35">
      <c r="A1195" s="92"/>
      <c r="F1195" s="726"/>
      <c r="G1195" s="735"/>
      <c r="H1195" s="93"/>
      <c r="I1195" s="750"/>
      <c r="J1195" s="750"/>
    </row>
    <row r="1196" spans="1:10" x14ac:dyDescent="0.35">
      <c r="A1196" s="92"/>
      <c r="F1196" s="726"/>
      <c r="G1196" s="735"/>
      <c r="H1196" s="93"/>
      <c r="I1196" s="750"/>
      <c r="J1196" s="750"/>
    </row>
    <row r="1197" spans="1:10" x14ac:dyDescent="0.35">
      <c r="A1197" s="92"/>
      <c r="F1197" s="726"/>
      <c r="G1197" s="735"/>
      <c r="H1197" s="93"/>
      <c r="I1197" s="750"/>
      <c r="J1197" s="750"/>
    </row>
    <row r="1198" spans="1:10" x14ac:dyDescent="0.35">
      <c r="A1198" s="92"/>
      <c r="F1198" s="726"/>
      <c r="G1198" s="735"/>
      <c r="H1198" s="93"/>
      <c r="I1198" s="750"/>
      <c r="J1198" s="750"/>
    </row>
    <row r="1199" spans="1:10" x14ac:dyDescent="0.35">
      <c r="A1199" s="92"/>
      <c r="F1199" s="726"/>
      <c r="G1199" s="735"/>
      <c r="H1199" s="93"/>
      <c r="I1199" s="750"/>
      <c r="J1199" s="750"/>
    </row>
    <row r="1200" spans="1:10" x14ac:dyDescent="0.35">
      <c r="A1200" s="92"/>
      <c r="F1200" s="726"/>
      <c r="G1200" s="735"/>
      <c r="H1200" s="93"/>
      <c r="I1200" s="750"/>
      <c r="J1200" s="750"/>
    </row>
    <row r="1201" spans="1:10" x14ac:dyDescent="0.35">
      <c r="A1201" s="92"/>
      <c r="F1201" s="726"/>
      <c r="G1201" s="735"/>
      <c r="H1201" s="93"/>
      <c r="I1201" s="750"/>
      <c r="J1201" s="750"/>
    </row>
    <row r="1202" spans="1:10" x14ac:dyDescent="0.35">
      <c r="A1202" s="92"/>
      <c r="F1202" s="726"/>
      <c r="G1202" s="735"/>
      <c r="H1202" s="93"/>
      <c r="I1202" s="750"/>
      <c r="J1202" s="750"/>
    </row>
    <row r="1203" spans="1:10" x14ac:dyDescent="0.35">
      <c r="A1203" s="92"/>
      <c r="F1203" s="726"/>
      <c r="G1203" s="735"/>
      <c r="H1203" s="93"/>
      <c r="I1203" s="750"/>
      <c r="J1203" s="750"/>
    </row>
    <row r="1204" spans="1:10" x14ac:dyDescent="0.35">
      <c r="A1204" s="92"/>
      <c r="F1204" s="726"/>
      <c r="G1204" s="735"/>
      <c r="H1204" s="93"/>
      <c r="I1204" s="750"/>
      <c r="J1204" s="750"/>
    </row>
    <row r="1205" spans="1:10" x14ac:dyDescent="0.35">
      <c r="A1205" s="92"/>
      <c r="F1205" s="726"/>
      <c r="G1205" s="735"/>
      <c r="H1205" s="93"/>
      <c r="I1205" s="750"/>
      <c r="J1205" s="750"/>
    </row>
    <row r="1206" spans="1:10" x14ac:dyDescent="0.35">
      <c r="A1206" s="92"/>
      <c r="F1206" s="726"/>
      <c r="G1206" s="735"/>
      <c r="H1206" s="93"/>
      <c r="I1206" s="750"/>
      <c r="J1206" s="750"/>
    </row>
    <row r="1207" spans="1:10" x14ac:dyDescent="0.35">
      <c r="A1207" s="92"/>
      <c r="F1207" s="726"/>
      <c r="G1207" s="735"/>
      <c r="H1207" s="93"/>
      <c r="I1207" s="750"/>
      <c r="J1207" s="750"/>
    </row>
    <row r="1208" spans="1:10" x14ac:dyDescent="0.35">
      <c r="A1208" s="92"/>
      <c r="F1208" s="726"/>
      <c r="G1208" s="735"/>
      <c r="H1208" s="93"/>
      <c r="I1208" s="750"/>
      <c r="J1208" s="750"/>
    </row>
    <row r="1209" spans="1:10" x14ac:dyDescent="0.35">
      <c r="A1209" s="92"/>
      <c r="F1209" s="726"/>
      <c r="G1209" s="735"/>
      <c r="H1209" s="93"/>
      <c r="I1209" s="750"/>
      <c r="J1209" s="750"/>
    </row>
    <row r="1210" spans="1:10" x14ac:dyDescent="0.35">
      <c r="A1210" s="92"/>
      <c r="F1210" s="726"/>
      <c r="G1210" s="735"/>
      <c r="H1210" s="93"/>
      <c r="I1210" s="750"/>
      <c r="J1210" s="750"/>
    </row>
    <row r="1211" spans="1:10" x14ac:dyDescent="0.35">
      <c r="A1211" s="92"/>
      <c r="F1211" s="726"/>
      <c r="G1211" s="735"/>
      <c r="H1211" s="93"/>
      <c r="I1211" s="750"/>
      <c r="J1211" s="750"/>
    </row>
    <row r="1212" spans="1:10" x14ac:dyDescent="0.35">
      <c r="A1212" s="92"/>
      <c r="F1212" s="726"/>
      <c r="G1212" s="735"/>
      <c r="H1212" s="93"/>
      <c r="I1212" s="750"/>
      <c r="J1212" s="750"/>
    </row>
    <row r="1213" spans="1:10" x14ac:dyDescent="0.35">
      <c r="A1213" s="92"/>
      <c r="F1213" s="726"/>
      <c r="G1213" s="735"/>
      <c r="H1213" s="93"/>
      <c r="I1213" s="750"/>
      <c r="J1213" s="750"/>
    </row>
    <row r="1214" spans="1:10" x14ac:dyDescent="0.35">
      <c r="A1214" s="92"/>
      <c r="F1214" s="726"/>
      <c r="G1214" s="735"/>
      <c r="H1214" s="93"/>
      <c r="I1214" s="750"/>
      <c r="J1214" s="750"/>
    </row>
    <row r="1215" spans="1:10" x14ac:dyDescent="0.35">
      <c r="A1215" s="92"/>
      <c r="F1215" s="726"/>
      <c r="G1215" s="735"/>
      <c r="H1215" s="93"/>
      <c r="I1215" s="750"/>
      <c r="J1215" s="750"/>
    </row>
    <row r="1216" spans="1:10" x14ac:dyDescent="0.35">
      <c r="A1216" s="92"/>
      <c r="F1216" s="726"/>
      <c r="G1216" s="735"/>
      <c r="H1216" s="93"/>
      <c r="I1216" s="750"/>
      <c r="J1216" s="750"/>
    </row>
    <row r="1217" spans="1:10" x14ac:dyDescent="0.35">
      <c r="A1217" s="92"/>
      <c r="F1217" s="726"/>
      <c r="G1217" s="735"/>
      <c r="H1217" s="93"/>
      <c r="I1217" s="750"/>
      <c r="J1217" s="750"/>
    </row>
    <row r="1218" spans="1:10" x14ac:dyDescent="0.35">
      <c r="A1218" s="92"/>
      <c r="F1218" s="726"/>
      <c r="G1218" s="735"/>
      <c r="H1218" s="93"/>
      <c r="I1218" s="750"/>
      <c r="J1218" s="750"/>
    </row>
    <row r="1219" spans="1:10" x14ac:dyDescent="0.35">
      <c r="A1219" s="92"/>
      <c r="F1219" s="726"/>
      <c r="G1219" s="735"/>
      <c r="H1219" s="93"/>
      <c r="I1219" s="750"/>
      <c r="J1219" s="750"/>
    </row>
    <row r="1220" spans="1:10" x14ac:dyDescent="0.35">
      <c r="A1220" s="92"/>
      <c r="F1220" s="726"/>
      <c r="G1220" s="735"/>
      <c r="H1220" s="93"/>
      <c r="I1220" s="750"/>
      <c r="J1220" s="750"/>
    </row>
    <row r="1221" spans="1:10" x14ac:dyDescent="0.35">
      <c r="A1221" s="92"/>
      <c r="F1221" s="726"/>
      <c r="G1221" s="735"/>
      <c r="H1221" s="93"/>
      <c r="I1221" s="750"/>
      <c r="J1221" s="750"/>
    </row>
    <row r="1222" spans="1:10" x14ac:dyDescent="0.35">
      <c r="A1222" s="92"/>
      <c r="F1222" s="726"/>
      <c r="G1222" s="735"/>
      <c r="H1222" s="93"/>
      <c r="I1222" s="750"/>
      <c r="J1222" s="750"/>
    </row>
    <row r="1223" spans="1:10" x14ac:dyDescent="0.35">
      <c r="A1223" s="92"/>
      <c r="F1223" s="726"/>
      <c r="G1223" s="735"/>
      <c r="H1223" s="93"/>
      <c r="I1223" s="750"/>
      <c r="J1223" s="750"/>
    </row>
    <row r="1224" spans="1:10" x14ac:dyDescent="0.35">
      <c r="A1224" s="92"/>
      <c r="F1224" s="726"/>
      <c r="G1224" s="735"/>
      <c r="H1224" s="93"/>
      <c r="I1224" s="750"/>
      <c r="J1224" s="750"/>
    </row>
    <row r="1225" spans="1:10" x14ac:dyDescent="0.35">
      <c r="A1225" s="92"/>
      <c r="F1225" s="726"/>
      <c r="G1225" s="735"/>
      <c r="H1225" s="93"/>
      <c r="I1225" s="750"/>
      <c r="J1225" s="750"/>
    </row>
    <row r="1226" spans="1:10" x14ac:dyDescent="0.35">
      <c r="A1226" s="92"/>
      <c r="F1226" s="726"/>
      <c r="G1226" s="735"/>
      <c r="H1226" s="93"/>
      <c r="I1226" s="750"/>
      <c r="J1226" s="750"/>
    </row>
    <row r="1227" spans="1:10" x14ac:dyDescent="0.35">
      <c r="A1227" s="92"/>
      <c r="F1227" s="726"/>
      <c r="G1227" s="735"/>
      <c r="H1227" s="93"/>
      <c r="I1227" s="750"/>
      <c r="J1227" s="750"/>
    </row>
    <row r="1228" spans="1:10" x14ac:dyDescent="0.35">
      <c r="A1228" s="92"/>
      <c r="F1228" s="726"/>
      <c r="G1228" s="735"/>
      <c r="H1228" s="93"/>
      <c r="I1228" s="750"/>
      <c r="J1228" s="750"/>
    </row>
    <row r="1229" spans="1:10" x14ac:dyDescent="0.35">
      <c r="A1229" s="92"/>
      <c r="F1229" s="726"/>
      <c r="G1229" s="735"/>
      <c r="H1229" s="93"/>
      <c r="I1229" s="750"/>
      <c r="J1229" s="750"/>
    </row>
    <row r="1230" spans="1:10" x14ac:dyDescent="0.35">
      <c r="A1230" s="92"/>
      <c r="F1230" s="726"/>
      <c r="G1230" s="735"/>
      <c r="H1230" s="93"/>
      <c r="I1230" s="750"/>
      <c r="J1230" s="750"/>
    </row>
    <row r="1231" spans="1:10" x14ac:dyDescent="0.35">
      <c r="A1231" s="92"/>
      <c r="F1231" s="726"/>
      <c r="G1231" s="735"/>
      <c r="H1231" s="93"/>
      <c r="I1231" s="750"/>
      <c r="J1231" s="750"/>
    </row>
    <row r="1232" spans="1:10" x14ac:dyDescent="0.35">
      <c r="A1232" s="92"/>
      <c r="F1232" s="726"/>
      <c r="G1232" s="735"/>
      <c r="H1232" s="93"/>
      <c r="I1232" s="750"/>
      <c r="J1232" s="750"/>
    </row>
    <row r="1233" spans="1:10" x14ac:dyDescent="0.35">
      <c r="A1233" s="92"/>
      <c r="F1233" s="726"/>
      <c r="G1233" s="735"/>
      <c r="H1233" s="93"/>
      <c r="I1233" s="750"/>
      <c r="J1233" s="750"/>
    </row>
    <row r="1234" spans="1:10" x14ac:dyDescent="0.35">
      <c r="A1234" s="92"/>
      <c r="F1234" s="726"/>
      <c r="G1234" s="735"/>
      <c r="H1234" s="93"/>
      <c r="I1234" s="750"/>
      <c r="J1234" s="750"/>
    </row>
    <row r="1235" spans="1:10" x14ac:dyDescent="0.35">
      <c r="A1235" s="92"/>
      <c r="F1235" s="726"/>
      <c r="G1235" s="735"/>
      <c r="H1235" s="93"/>
      <c r="I1235" s="750"/>
      <c r="J1235" s="750"/>
    </row>
    <row r="1236" spans="1:10" x14ac:dyDescent="0.35">
      <c r="A1236" s="92"/>
      <c r="F1236" s="726"/>
      <c r="G1236" s="735"/>
      <c r="H1236" s="93"/>
      <c r="I1236" s="750"/>
      <c r="J1236" s="750"/>
    </row>
    <row r="1237" spans="1:10" x14ac:dyDescent="0.35">
      <c r="A1237" s="92"/>
      <c r="F1237" s="726"/>
      <c r="G1237" s="735"/>
      <c r="H1237" s="93"/>
      <c r="I1237" s="750"/>
      <c r="J1237" s="750"/>
    </row>
    <row r="1238" spans="1:10" x14ac:dyDescent="0.35">
      <c r="A1238" s="92"/>
      <c r="F1238" s="726"/>
      <c r="G1238" s="735"/>
      <c r="H1238" s="93"/>
      <c r="I1238" s="750"/>
      <c r="J1238" s="750"/>
    </row>
    <row r="1239" spans="1:10" x14ac:dyDescent="0.35">
      <c r="A1239" s="92"/>
      <c r="F1239" s="726"/>
      <c r="G1239" s="735"/>
      <c r="H1239" s="93"/>
      <c r="I1239" s="750"/>
      <c r="J1239" s="750"/>
    </row>
    <row r="1240" spans="1:10" x14ac:dyDescent="0.35">
      <c r="A1240" s="92"/>
      <c r="F1240" s="726"/>
      <c r="G1240" s="735"/>
      <c r="H1240" s="93"/>
      <c r="I1240" s="750"/>
      <c r="J1240" s="750"/>
    </row>
    <row r="1241" spans="1:10" x14ac:dyDescent="0.35">
      <c r="A1241" s="92"/>
      <c r="F1241" s="726"/>
      <c r="G1241" s="735"/>
      <c r="H1241" s="93"/>
      <c r="I1241" s="750"/>
      <c r="J1241" s="750"/>
    </row>
    <row r="1242" spans="1:10" x14ac:dyDescent="0.35">
      <c r="A1242" s="92"/>
      <c r="F1242" s="726"/>
      <c r="G1242" s="735"/>
      <c r="H1242" s="93"/>
      <c r="I1242" s="750"/>
      <c r="J1242" s="750"/>
    </row>
    <row r="1243" spans="1:10" x14ac:dyDescent="0.35">
      <c r="A1243" s="92"/>
      <c r="F1243" s="726"/>
      <c r="G1243" s="735"/>
      <c r="H1243" s="93"/>
      <c r="I1243" s="750"/>
      <c r="J1243" s="750"/>
    </row>
    <row r="1244" spans="1:10" x14ac:dyDescent="0.35">
      <c r="A1244" s="92"/>
      <c r="F1244" s="726"/>
      <c r="G1244" s="735"/>
      <c r="H1244" s="93"/>
      <c r="I1244" s="750"/>
      <c r="J1244" s="750"/>
    </row>
    <row r="1245" spans="1:10" x14ac:dyDescent="0.35">
      <c r="A1245" s="92"/>
      <c r="F1245" s="726"/>
      <c r="G1245" s="735"/>
      <c r="H1245" s="93"/>
      <c r="I1245" s="750"/>
      <c r="J1245" s="750"/>
    </row>
    <row r="1246" spans="1:10" x14ac:dyDescent="0.35">
      <c r="A1246" s="92"/>
      <c r="F1246" s="726"/>
      <c r="G1246" s="735"/>
      <c r="H1246" s="93"/>
      <c r="I1246" s="750"/>
      <c r="J1246" s="750"/>
    </row>
    <row r="1247" spans="1:10" x14ac:dyDescent="0.35">
      <c r="A1247" s="92"/>
      <c r="F1247" s="726"/>
      <c r="G1247" s="735"/>
      <c r="H1247" s="93"/>
      <c r="I1247" s="750"/>
      <c r="J1247" s="750"/>
    </row>
    <row r="1248" spans="1:10" x14ac:dyDescent="0.35">
      <c r="A1248" s="92"/>
      <c r="F1248" s="726"/>
      <c r="G1248" s="735"/>
      <c r="H1248" s="93"/>
      <c r="I1248" s="750"/>
      <c r="J1248" s="750"/>
    </row>
    <row r="1249" spans="1:10" x14ac:dyDescent="0.35">
      <c r="A1249" s="92"/>
      <c r="F1249" s="726"/>
      <c r="G1249" s="735"/>
      <c r="H1249" s="93"/>
      <c r="I1249" s="750"/>
      <c r="J1249" s="750"/>
    </row>
    <row r="1250" spans="1:10" x14ac:dyDescent="0.35">
      <c r="A1250" s="92"/>
      <c r="F1250" s="726"/>
      <c r="G1250" s="735"/>
      <c r="H1250" s="93"/>
      <c r="I1250" s="750"/>
      <c r="J1250" s="750"/>
    </row>
    <row r="1251" spans="1:10" x14ac:dyDescent="0.35">
      <c r="A1251" s="92"/>
      <c r="F1251" s="726"/>
      <c r="G1251" s="735"/>
      <c r="H1251" s="93"/>
      <c r="I1251" s="750"/>
      <c r="J1251" s="750"/>
    </row>
    <row r="1252" spans="1:10" x14ac:dyDescent="0.35">
      <c r="A1252" s="92"/>
      <c r="F1252" s="726"/>
      <c r="G1252" s="735"/>
      <c r="H1252" s="93"/>
      <c r="I1252" s="750"/>
      <c r="J1252" s="750"/>
    </row>
    <row r="1253" spans="1:10" x14ac:dyDescent="0.35">
      <c r="A1253" s="92"/>
      <c r="F1253" s="726"/>
      <c r="G1253" s="735"/>
      <c r="H1253" s="93"/>
      <c r="I1253" s="750"/>
      <c r="J1253" s="750"/>
    </row>
    <row r="1254" spans="1:10" x14ac:dyDescent="0.35">
      <c r="A1254" s="92"/>
      <c r="F1254" s="726"/>
      <c r="G1254" s="735"/>
      <c r="H1254" s="93"/>
      <c r="I1254" s="750"/>
      <c r="J1254" s="750"/>
    </row>
    <row r="1255" spans="1:10" x14ac:dyDescent="0.35">
      <c r="A1255" s="92"/>
      <c r="F1255" s="726"/>
      <c r="G1255" s="735"/>
      <c r="H1255" s="93"/>
      <c r="I1255" s="750"/>
      <c r="J1255" s="750"/>
    </row>
    <row r="1256" spans="1:10" x14ac:dyDescent="0.35">
      <c r="A1256" s="92"/>
      <c r="F1256" s="726"/>
      <c r="G1256" s="735"/>
      <c r="H1256" s="93"/>
      <c r="I1256" s="750"/>
      <c r="J1256" s="750"/>
    </row>
    <row r="1257" spans="1:10" x14ac:dyDescent="0.35">
      <c r="A1257" s="92"/>
      <c r="F1257" s="726"/>
      <c r="G1257" s="735"/>
      <c r="H1257" s="93"/>
      <c r="I1257" s="750"/>
      <c r="J1257" s="750"/>
    </row>
    <row r="1258" spans="1:10" x14ac:dyDescent="0.35">
      <c r="A1258" s="92"/>
      <c r="F1258" s="726"/>
      <c r="G1258" s="735"/>
      <c r="H1258" s="93"/>
      <c r="I1258" s="750"/>
      <c r="J1258" s="750"/>
    </row>
    <row r="1259" spans="1:10" x14ac:dyDescent="0.35">
      <c r="A1259" s="92"/>
      <c r="F1259" s="726"/>
      <c r="G1259" s="735"/>
      <c r="H1259" s="93"/>
      <c r="I1259" s="750"/>
      <c r="J1259" s="750"/>
    </row>
    <row r="1260" spans="1:10" x14ac:dyDescent="0.35">
      <c r="A1260" s="92"/>
      <c r="F1260" s="726"/>
      <c r="G1260" s="735"/>
      <c r="H1260" s="93"/>
      <c r="I1260" s="750"/>
      <c r="J1260" s="750"/>
    </row>
    <row r="1261" spans="1:10" x14ac:dyDescent="0.35">
      <c r="A1261" s="92"/>
      <c r="F1261" s="726"/>
      <c r="G1261" s="735"/>
      <c r="H1261" s="93"/>
      <c r="I1261" s="750"/>
      <c r="J1261" s="750"/>
    </row>
    <row r="1262" spans="1:10" x14ac:dyDescent="0.35">
      <c r="A1262" s="92"/>
      <c r="F1262" s="726"/>
      <c r="G1262" s="735"/>
      <c r="H1262" s="93"/>
      <c r="I1262" s="750"/>
      <c r="J1262" s="750"/>
    </row>
    <row r="1263" spans="1:10" x14ac:dyDescent="0.35">
      <c r="A1263" s="92"/>
      <c r="F1263" s="726"/>
      <c r="G1263" s="735"/>
      <c r="H1263" s="93"/>
      <c r="I1263" s="750"/>
      <c r="J1263" s="750"/>
    </row>
    <row r="1264" spans="1:10" x14ac:dyDescent="0.35">
      <c r="A1264" s="92"/>
      <c r="F1264" s="726"/>
      <c r="G1264" s="735"/>
      <c r="H1264" s="93"/>
      <c r="I1264" s="750"/>
      <c r="J1264" s="750"/>
    </row>
    <row r="1265" spans="1:10" x14ac:dyDescent="0.35">
      <c r="A1265" s="92"/>
      <c r="F1265" s="726"/>
      <c r="G1265" s="735"/>
      <c r="H1265" s="93"/>
      <c r="I1265" s="750"/>
      <c r="J1265" s="750"/>
    </row>
    <row r="1266" spans="1:10" x14ac:dyDescent="0.35">
      <c r="A1266" s="92"/>
      <c r="F1266" s="726"/>
      <c r="G1266" s="735"/>
      <c r="H1266" s="93"/>
      <c r="I1266" s="750"/>
      <c r="J1266" s="750"/>
    </row>
    <row r="1267" spans="1:10" x14ac:dyDescent="0.35">
      <c r="A1267" s="92"/>
      <c r="F1267" s="726"/>
      <c r="G1267" s="735"/>
      <c r="H1267" s="93"/>
      <c r="I1267" s="750"/>
      <c r="J1267" s="750"/>
    </row>
    <row r="1268" spans="1:10" x14ac:dyDescent="0.35">
      <c r="A1268" s="92"/>
      <c r="F1268" s="726"/>
      <c r="G1268" s="735"/>
      <c r="H1268" s="93"/>
      <c r="I1268" s="750"/>
      <c r="J1268" s="750"/>
    </row>
    <row r="1269" spans="1:10" x14ac:dyDescent="0.35">
      <c r="A1269" s="92"/>
      <c r="F1269" s="726"/>
      <c r="G1269" s="735"/>
      <c r="H1269" s="93"/>
      <c r="I1269" s="750"/>
      <c r="J1269" s="750"/>
    </row>
    <row r="1270" spans="1:10" x14ac:dyDescent="0.35">
      <c r="A1270" s="92"/>
      <c r="F1270" s="726"/>
      <c r="G1270" s="735"/>
      <c r="H1270" s="93"/>
      <c r="I1270" s="750"/>
      <c r="J1270" s="750"/>
    </row>
    <row r="1271" spans="1:10" x14ac:dyDescent="0.35">
      <c r="A1271" s="92"/>
      <c r="F1271" s="726"/>
      <c r="G1271" s="735"/>
      <c r="H1271" s="93"/>
      <c r="I1271" s="750"/>
      <c r="J1271" s="750"/>
    </row>
    <row r="1272" spans="1:10" x14ac:dyDescent="0.35">
      <c r="A1272" s="92"/>
      <c r="F1272" s="726"/>
      <c r="G1272" s="735"/>
      <c r="H1272" s="93"/>
      <c r="I1272" s="750"/>
      <c r="J1272" s="750"/>
    </row>
    <row r="1273" spans="1:10" x14ac:dyDescent="0.35">
      <c r="A1273" s="92"/>
      <c r="F1273" s="726"/>
      <c r="G1273" s="735"/>
      <c r="H1273" s="93"/>
      <c r="I1273" s="750"/>
      <c r="J1273" s="750"/>
    </row>
    <row r="1274" spans="1:10" x14ac:dyDescent="0.35">
      <c r="A1274" s="92"/>
      <c r="F1274" s="726"/>
      <c r="G1274" s="735"/>
      <c r="H1274" s="93"/>
      <c r="I1274" s="750"/>
      <c r="J1274" s="750"/>
    </row>
    <row r="1275" spans="1:10" x14ac:dyDescent="0.35">
      <c r="A1275" s="92"/>
      <c r="F1275" s="726"/>
      <c r="G1275" s="735"/>
      <c r="H1275" s="93"/>
      <c r="I1275" s="750"/>
      <c r="J1275" s="750"/>
    </row>
    <row r="1276" spans="1:10" x14ac:dyDescent="0.35">
      <c r="A1276" s="92"/>
      <c r="F1276" s="726"/>
      <c r="G1276" s="735"/>
      <c r="H1276" s="93"/>
      <c r="I1276" s="750"/>
      <c r="J1276" s="750"/>
    </row>
    <row r="1277" spans="1:10" x14ac:dyDescent="0.35">
      <c r="A1277" s="92"/>
      <c r="F1277" s="726"/>
      <c r="G1277" s="735"/>
      <c r="H1277" s="93"/>
      <c r="I1277" s="750"/>
      <c r="J1277" s="750"/>
    </row>
    <row r="1278" spans="1:10" x14ac:dyDescent="0.35">
      <c r="A1278" s="92"/>
      <c r="F1278" s="726"/>
      <c r="G1278" s="735"/>
      <c r="H1278" s="93"/>
      <c r="I1278" s="750"/>
      <c r="J1278" s="750"/>
    </row>
    <row r="1279" spans="1:10" x14ac:dyDescent="0.35">
      <c r="A1279" s="92"/>
      <c r="F1279" s="726"/>
      <c r="G1279" s="735"/>
      <c r="H1279" s="93"/>
      <c r="I1279" s="750"/>
      <c r="J1279" s="750"/>
    </row>
    <row r="1280" spans="1:10" x14ac:dyDescent="0.35">
      <c r="A1280" s="92"/>
      <c r="F1280" s="726"/>
      <c r="G1280" s="735"/>
      <c r="H1280" s="93"/>
      <c r="I1280" s="750"/>
      <c r="J1280" s="750"/>
    </row>
    <row r="1281" spans="1:10" x14ac:dyDescent="0.35">
      <c r="A1281" s="92"/>
      <c r="F1281" s="726"/>
      <c r="G1281" s="735"/>
      <c r="H1281" s="93"/>
      <c r="I1281" s="750"/>
      <c r="J1281" s="750"/>
    </row>
    <row r="1282" spans="1:10" x14ac:dyDescent="0.35">
      <c r="A1282" s="92"/>
      <c r="F1282" s="726"/>
      <c r="G1282" s="735"/>
      <c r="H1282" s="93"/>
      <c r="I1282" s="750"/>
      <c r="J1282" s="750"/>
    </row>
    <row r="1283" spans="1:10" x14ac:dyDescent="0.35">
      <c r="A1283" s="92"/>
      <c r="F1283" s="726"/>
      <c r="G1283" s="735"/>
      <c r="H1283" s="93"/>
      <c r="I1283" s="750"/>
      <c r="J1283" s="750"/>
    </row>
    <row r="1284" spans="1:10" x14ac:dyDescent="0.35">
      <c r="A1284" s="92"/>
      <c r="F1284" s="726"/>
      <c r="G1284" s="735"/>
      <c r="H1284" s="93"/>
      <c r="I1284" s="750"/>
      <c r="J1284" s="750"/>
    </row>
    <row r="1285" spans="1:10" x14ac:dyDescent="0.35">
      <c r="A1285" s="92"/>
      <c r="F1285" s="726"/>
      <c r="G1285" s="735"/>
      <c r="H1285" s="93"/>
      <c r="I1285" s="750"/>
      <c r="J1285" s="750"/>
    </row>
    <row r="1286" spans="1:10" x14ac:dyDescent="0.35">
      <c r="A1286" s="92"/>
      <c r="F1286" s="726"/>
      <c r="G1286" s="735"/>
      <c r="H1286" s="93"/>
      <c r="I1286" s="750"/>
      <c r="J1286" s="750"/>
    </row>
    <row r="1287" spans="1:10" x14ac:dyDescent="0.35">
      <c r="A1287" s="92"/>
      <c r="F1287" s="726"/>
      <c r="G1287" s="735"/>
      <c r="H1287" s="93"/>
      <c r="I1287" s="750"/>
      <c r="J1287" s="750"/>
    </row>
    <row r="1288" spans="1:10" x14ac:dyDescent="0.35">
      <c r="A1288" s="92"/>
      <c r="F1288" s="726"/>
      <c r="G1288" s="735"/>
      <c r="H1288" s="93"/>
      <c r="I1288" s="750"/>
      <c r="J1288" s="750"/>
    </row>
    <row r="1289" spans="1:10" x14ac:dyDescent="0.35">
      <c r="A1289" s="92"/>
      <c r="F1289" s="726"/>
      <c r="G1289" s="735"/>
      <c r="H1289" s="93"/>
      <c r="I1289" s="750"/>
      <c r="J1289" s="750"/>
    </row>
    <row r="1290" spans="1:10" x14ac:dyDescent="0.35">
      <c r="A1290" s="92"/>
      <c r="F1290" s="726"/>
      <c r="G1290" s="735"/>
      <c r="H1290" s="93"/>
      <c r="I1290" s="750"/>
      <c r="J1290" s="750"/>
    </row>
    <row r="1291" spans="1:10" x14ac:dyDescent="0.35">
      <c r="A1291" s="92"/>
      <c r="F1291" s="726"/>
      <c r="G1291" s="735"/>
      <c r="H1291" s="93"/>
      <c r="I1291" s="750"/>
      <c r="J1291" s="750"/>
    </row>
    <row r="1292" spans="1:10" x14ac:dyDescent="0.35">
      <c r="A1292" s="92"/>
      <c r="F1292" s="726"/>
      <c r="G1292" s="735"/>
      <c r="H1292" s="93"/>
      <c r="I1292" s="750"/>
      <c r="J1292" s="750"/>
    </row>
    <row r="1293" spans="1:10" x14ac:dyDescent="0.35">
      <c r="A1293" s="92"/>
      <c r="F1293" s="726"/>
      <c r="G1293" s="735"/>
      <c r="H1293" s="93"/>
      <c r="I1293" s="750"/>
      <c r="J1293" s="750"/>
    </row>
    <row r="1294" spans="1:10" x14ac:dyDescent="0.35">
      <c r="A1294" s="92"/>
      <c r="F1294" s="726"/>
      <c r="G1294" s="735"/>
      <c r="H1294" s="93"/>
      <c r="I1294" s="750"/>
      <c r="J1294" s="750"/>
    </row>
    <row r="1295" spans="1:10" x14ac:dyDescent="0.35">
      <c r="A1295" s="92"/>
      <c r="F1295" s="726"/>
      <c r="G1295" s="735"/>
      <c r="H1295" s="93"/>
      <c r="I1295" s="750"/>
      <c r="J1295" s="750"/>
    </row>
    <row r="1296" spans="1:10" x14ac:dyDescent="0.35">
      <c r="A1296" s="92"/>
      <c r="F1296" s="726"/>
      <c r="G1296" s="735"/>
      <c r="H1296" s="93"/>
      <c r="I1296" s="750"/>
      <c r="J1296" s="750"/>
    </row>
    <row r="1297" spans="1:10" x14ac:dyDescent="0.35">
      <c r="A1297" s="92"/>
      <c r="F1297" s="726"/>
      <c r="G1297" s="735"/>
      <c r="H1297" s="93"/>
      <c r="I1297" s="750"/>
      <c r="J1297" s="750"/>
    </row>
    <row r="1298" spans="1:10" x14ac:dyDescent="0.35">
      <c r="A1298" s="92"/>
      <c r="F1298" s="726"/>
      <c r="G1298" s="735"/>
      <c r="H1298" s="93"/>
      <c r="I1298" s="750"/>
      <c r="J1298" s="750"/>
    </row>
    <row r="1299" spans="1:10" x14ac:dyDescent="0.35">
      <c r="A1299" s="92"/>
      <c r="F1299" s="726"/>
      <c r="G1299" s="735"/>
      <c r="H1299" s="93"/>
      <c r="I1299" s="750"/>
      <c r="J1299" s="750"/>
    </row>
    <row r="1300" spans="1:10" x14ac:dyDescent="0.35">
      <c r="A1300" s="92"/>
      <c r="F1300" s="726"/>
      <c r="G1300" s="735"/>
      <c r="H1300" s="93"/>
      <c r="I1300" s="750"/>
      <c r="J1300" s="750"/>
    </row>
    <row r="1301" spans="1:10" x14ac:dyDescent="0.35">
      <c r="A1301" s="92"/>
      <c r="F1301" s="726"/>
      <c r="G1301" s="735"/>
      <c r="H1301" s="93"/>
      <c r="I1301" s="750"/>
      <c r="J1301" s="750"/>
    </row>
    <row r="1302" spans="1:10" x14ac:dyDescent="0.35">
      <c r="A1302" s="92"/>
      <c r="F1302" s="726"/>
      <c r="G1302" s="735"/>
      <c r="H1302" s="93"/>
      <c r="I1302" s="750"/>
      <c r="J1302" s="750"/>
    </row>
    <row r="1303" spans="1:10" x14ac:dyDescent="0.35">
      <c r="A1303" s="92"/>
      <c r="F1303" s="726"/>
      <c r="G1303" s="735"/>
      <c r="H1303" s="93"/>
      <c r="I1303" s="750"/>
      <c r="J1303" s="750"/>
    </row>
    <row r="1304" spans="1:10" x14ac:dyDescent="0.35">
      <c r="A1304" s="92"/>
      <c r="F1304" s="726"/>
      <c r="G1304" s="735"/>
      <c r="H1304" s="93"/>
      <c r="I1304" s="750"/>
      <c r="J1304" s="750"/>
    </row>
    <row r="1305" spans="1:10" x14ac:dyDescent="0.35">
      <c r="A1305" s="92"/>
      <c r="F1305" s="726"/>
      <c r="G1305" s="735"/>
      <c r="H1305" s="93"/>
      <c r="I1305" s="750"/>
      <c r="J1305" s="750"/>
    </row>
    <row r="1306" spans="1:10" x14ac:dyDescent="0.35">
      <c r="A1306" s="92"/>
      <c r="F1306" s="726"/>
      <c r="G1306" s="735"/>
      <c r="H1306" s="93"/>
      <c r="I1306" s="750"/>
      <c r="J1306" s="750"/>
    </row>
    <row r="1307" spans="1:10" x14ac:dyDescent="0.35">
      <c r="A1307" s="92"/>
      <c r="F1307" s="726"/>
      <c r="G1307" s="735"/>
      <c r="H1307" s="93"/>
      <c r="I1307" s="750"/>
      <c r="J1307" s="750"/>
    </row>
    <row r="1308" spans="1:10" x14ac:dyDescent="0.35">
      <c r="A1308" s="92"/>
      <c r="F1308" s="726"/>
      <c r="G1308" s="735"/>
      <c r="H1308" s="93"/>
      <c r="I1308" s="750"/>
      <c r="J1308" s="750"/>
    </row>
    <row r="1309" spans="1:10" x14ac:dyDescent="0.35">
      <c r="A1309" s="92"/>
      <c r="F1309" s="726"/>
      <c r="G1309" s="735"/>
      <c r="H1309" s="93"/>
      <c r="I1309" s="750"/>
      <c r="J1309" s="750"/>
    </row>
    <row r="1310" spans="1:10" x14ac:dyDescent="0.35">
      <c r="A1310" s="92"/>
      <c r="F1310" s="726"/>
      <c r="G1310" s="735"/>
      <c r="H1310" s="93"/>
      <c r="I1310" s="750"/>
      <c r="J1310" s="750"/>
    </row>
    <row r="1311" spans="1:10" x14ac:dyDescent="0.35">
      <c r="A1311" s="92"/>
      <c r="F1311" s="726"/>
      <c r="G1311" s="735"/>
      <c r="H1311" s="93"/>
      <c r="I1311" s="750"/>
      <c r="J1311" s="750"/>
    </row>
    <row r="1312" spans="1:10" x14ac:dyDescent="0.35">
      <c r="A1312" s="92"/>
      <c r="F1312" s="726"/>
      <c r="G1312" s="735"/>
      <c r="H1312" s="93"/>
      <c r="I1312" s="750"/>
      <c r="J1312" s="750"/>
    </row>
    <row r="1313" spans="1:10" x14ac:dyDescent="0.35">
      <c r="A1313" s="92"/>
      <c r="F1313" s="726"/>
      <c r="G1313" s="735"/>
      <c r="H1313" s="93"/>
      <c r="I1313" s="750"/>
      <c r="J1313" s="750"/>
    </row>
    <row r="1314" spans="1:10" x14ac:dyDescent="0.35">
      <c r="A1314" s="92"/>
      <c r="F1314" s="726"/>
      <c r="G1314" s="735"/>
      <c r="H1314" s="93"/>
      <c r="I1314" s="750"/>
      <c r="J1314" s="750"/>
    </row>
    <row r="1315" spans="1:10" x14ac:dyDescent="0.35">
      <c r="A1315" s="92"/>
      <c r="F1315" s="726"/>
      <c r="G1315" s="735"/>
      <c r="H1315" s="93"/>
      <c r="I1315" s="750"/>
      <c r="J1315" s="750"/>
    </row>
    <row r="1316" spans="1:10" x14ac:dyDescent="0.35">
      <c r="A1316" s="92"/>
      <c r="F1316" s="726"/>
      <c r="G1316" s="735"/>
      <c r="H1316" s="93"/>
      <c r="I1316" s="750"/>
      <c r="J1316" s="750"/>
    </row>
    <row r="1317" spans="1:10" x14ac:dyDescent="0.35">
      <c r="A1317" s="92"/>
      <c r="F1317" s="726"/>
      <c r="G1317" s="735"/>
      <c r="H1317" s="93"/>
      <c r="I1317" s="750"/>
      <c r="J1317" s="750"/>
    </row>
    <row r="1318" spans="1:10" x14ac:dyDescent="0.35">
      <c r="A1318" s="92"/>
      <c r="F1318" s="726"/>
      <c r="G1318" s="735"/>
      <c r="H1318" s="93"/>
      <c r="I1318" s="750"/>
      <c r="J1318" s="750"/>
    </row>
    <row r="1319" spans="1:10" x14ac:dyDescent="0.35">
      <c r="A1319" s="92"/>
      <c r="F1319" s="726"/>
      <c r="G1319" s="735"/>
      <c r="H1319" s="93"/>
      <c r="I1319" s="750"/>
      <c r="J1319" s="750"/>
    </row>
    <row r="1320" spans="1:10" x14ac:dyDescent="0.35">
      <c r="A1320" s="92"/>
      <c r="F1320" s="726"/>
      <c r="G1320" s="735"/>
      <c r="H1320" s="93"/>
      <c r="I1320" s="750"/>
      <c r="J1320" s="750"/>
    </row>
    <row r="1321" spans="1:10" x14ac:dyDescent="0.35">
      <c r="A1321" s="92"/>
      <c r="F1321" s="726"/>
      <c r="G1321" s="735"/>
      <c r="H1321" s="93"/>
      <c r="I1321" s="750"/>
      <c r="J1321" s="750"/>
    </row>
    <row r="1322" spans="1:10" x14ac:dyDescent="0.35">
      <c r="A1322" s="92"/>
      <c r="F1322" s="726"/>
      <c r="G1322" s="735"/>
      <c r="H1322" s="93"/>
      <c r="I1322" s="750"/>
      <c r="J1322" s="750"/>
    </row>
    <row r="1323" spans="1:10" x14ac:dyDescent="0.35">
      <c r="A1323" s="92"/>
      <c r="F1323" s="726"/>
      <c r="G1323" s="735"/>
      <c r="H1323" s="93"/>
      <c r="I1323" s="750"/>
      <c r="J1323" s="750"/>
    </row>
    <row r="1324" spans="1:10" x14ac:dyDescent="0.35">
      <c r="A1324" s="92"/>
      <c r="F1324" s="726"/>
      <c r="G1324" s="735"/>
      <c r="H1324" s="93"/>
      <c r="I1324" s="750"/>
      <c r="J1324" s="750"/>
    </row>
    <row r="1325" spans="1:10" x14ac:dyDescent="0.35">
      <c r="A1325" s="92"/>
      <c r="F1325" s="726"/>
      <c r="G1325" s="735"/>
      <c r="H1325" s="93"/>
      <c r="I1325" s="750"/>
      <c r="J1325" s="750"/>
    </row>
    <row r="1326" spans="1:10" x14ac:dyDescent="0.35">
      <c r="A1326" s="92"/>
      <c r="F1326" s="726"/>
      <c r="G1326" s="735"/>
      <c r="H1326" s="93"/>
      <c r="I1326" s="750"/>
      <c r="J1326" s="750"/>
    </row>
    <row r="1327" spans="1:10" x14ac:dyDescent="0.35">
      <c r="A1327" s="92"/>
      <c r="F1327" s="726"/>
      <c r="G1327" s="735"/>
      <c r="H1327" s="93"/>
      <c r="I1327" s="750"/>
      <c r="J1327" s="750"/>
    </row>
    <row r="1328" spans="1:10" x14ac:dyDescent="0.35">
      <c r="A1328" s="92"/>
      <c r="F1328" s="726"/>
      <c r="G1328" s="735"/>
      <c r="H1328" s="93"/>
      <c r="I1328" s="750"/>
      <c r="J1328" s="750"/>
    </row>
    <row r="1329" spans="1:10" x14ac:dyDescent="0.35">
      <c r="A1329" s="92"/>
      <c r="F1329" s="726"/>
      <c r="G1329" s="735"/>
      <c r="H1329" s="93"/>
      <c r="I1329" s="750"/>
      <c r="J1329" s="750"/>
    </row>
    <row r="1330" spans="1:10" x14ac:dyDescent="0.35">
      <c r="A1330" s="92"/>
      <c r="F1330" s="726"/>
      <c r="G1330" s="735"/>
      <c r="H1330" s="93"/>
      <c r="I1330" s="750"/>
      <c r="J1330" s="750"/>
    </row>
    <row r="1331" spans="1:10" x14ac:dyDescent="0.35">
      <c r="A1331" s="92"/>
      <c r="F1331" s="726"/>
      <c r="G1331" s="735"/>
      <c r="H1331" s="93"/>
      <c r="I1331" s="750"/>
      <c r="J1331" s="750"/>
    </row>
    <row r="1332" spans="1:10" x14ac:dyDescent="0.35">
      <c r="A1332" s="92"/>
      <c r="F1332" s="726"/>
      <c r="G1332" s="735"/>
      <c r="H1332" s="93"/>
      <c r="I1332" s="750"/>
      <c r="J1332" s="750"/>
    </row>
    <row r="1333" spans="1:10" x14ac:dyDescent="0.35">
      <c r="A1333" s="92"/>
      <c r="F1333" s="726"/>
      <c r="G1333" s="735"/>
      <c r="H1333" s="93"/>
      <c r="I1333" s="750"/>
      <c r="J1333" s="750"/>
    </row>
    <row r="1334" spans="1:10" x14ac:dyDescent="0.35">
      <c r="A1334" s="92"/>
      <c r="F1334" s="726"/>
      <c r="G1334" s="735"/>
      <c r="H1334" s="93"/>
      <c r="I1334" s="750"/>
      <c r="J1334" s="750"/>
    </row>
    <row r="1335" spans="1:10" x14ac:dyDescent="0.35">
      <c r="A1335" s="92"/>
      <c r="F1335" s="726"/>
      <c r="G1335" s="735"/>
      <c r="H1335" s="93"/>
      <c r="I1335" s="750"/>
      <c r="J1335" s="750"/>
    </row>
    <row r="1336" spans="1:10" x14ac:dyDescent="0.35">
      <c r="A1336" s="92"/>
      <c r="F1336" s="726"/>
      <c r="G1336" s="735"/>
      <c r="H1336" s="93"/>
      <c r="I1336" s="750"/>
      <c r="J1336" s="750"/>
    </row>
    <row r="1337" spans="1:10" x14ac:dyDescent="0.35">
      <c r="A1337" s="92"/>
      <c r="F1337" s="726"/>
      <c r="G1337" s="735"/>
      <c r="H1337" s="93"/>
      <c r="I1337" s="750"/>
      <c r="J1337" s="750"/>
    </row>
    <row r="1338" spans="1:10" x14ac:dyDescent="0.35">
      <c r="A1338" s="92"/>
      <c r="F1338" s="726"/>
      <c r="G1338" s="735"/>
      <c r="H1338" s="93"/>
      <c r="I1338" s="750"/>
      <c r="J1338" s="750"/>
    </row>
    <row r="1339" spans="1:10" x14ac:dyDescent="0.35">
      <c r="A1339" s="92"/>
      <c r="F1339" s="726"/>
      <c r="G1339" s="735"/>
      <c r="H1339" s="93"/>
      <c r="I1339" s="750"/>
      <c r="J1339" s="750"/>
    </row>
    <row r="1340" spans="1:10" x14ac:dyDescent="0.35">
      <c r="A1340" s="92"/>
      <c r="F1340" s="726"/>
      <c r="G1340" s="735"/>
      <c r="H1340" s="93"/>
      <c r="I1340" s="750"/>
      <c r="J1340" s="750"/>
    </row>
    <row r="1341" spans="1:10" x14ac:dyDescent="0.35">
      <c r="A1341" s="92"/>
      <c r="F1341" s="726"/>
      <c r="G1341" s="735"/>
      <c r="H1341" s="93"/>
      <c r="I1341" s="750"/>
      <c r="J1341" s="750"/>
    </row>
    <row r="1342" spans="1:10" x14ac:dyDescent="0.35">
      <c r="A1342" s="92"/>
      <c r="F1342" s="726"/>
      <c r="G1342" s="735"/>
      <c r="H1342" s="93"/>
      <c r="I1342" s="750"/>
      <c r="J1342" s="750"/>
    </row>
    <row r="1343" spans="1:10" x14ac:dyDescent="0.35">
      <c r="A1343" s="92"/>
      <c r="F1343" s="726"/>
      <c r="G1343" s="735"/>
      <c r="H1343" s="93"/>
      <c r="I1343" s="750"/>
      <c r="J1343" s="750"/>
    </row>
    <row r="1344" spans="1:10" x14ac:dyDescent="0.35">
      <c r="A1344" s="92"/>
      <c r="F1344" s="726"/>
      <c r="G1344" s="735"/>
      <c r="H1344" s="93"/>
      <c r="I1344" s="750"/>
      <c r="J1344" s="750"/>
    </row>
    <row r="1345" spans="1:10" x14ac:dyDescent="0.35">
      <c r="A1345" s="92"/>
      <c r="F1345" s="726"/>
      <c r="G1345" s="735"/>
      <c r="H1345" s="93"/>
      <c r="I1345" s="750"/>
      <c r="J1345" s="750"/>
    </row>
    <row r="1346" spans="1:10" x14ac:dyDescent="0.35">
      <c r="A1346" s="92"/>
      <c r="F1346" s="726"/>
      <c r="G1346" s="735"/>
      <c r="H1346" s="93"/>
      <c r="I1346" s="750"/>
      <c r="J1346" s="750"/>
    </row>
    <row r="1347" spans="1:10" x14ac:dyDescent="0.35">
      <c r="A1347" s="92"/>
      <c r="F1347" s="726"/>
      <c r="G1347" s="735"/>
      <c r="H1347" s="93"/>
      <c r="I1347" s="750"/>
      <c r="J1347" s="750"/>
    </row>
    <row r="1348" spans="1:10" x14ac:dyDescent="0.35">
      <c r="A1348" s="92"/>
      <c r="F1348" s="726"/>
      <c r="G1348" s="735"/>
      <c r="H1348" s="93"/>
      <c r="I1348" s="750"/>
      <c r="J1348" s="750"/>
    </row>
    <row r="1349" spans="1:10" x14ac:dyDescent="0.35">
      <c r="A1349" s="92"/>
      <c r="F1349" s="726"/>
      <c r="G1349" s="735"/>
      <c r="H1349" s="93"/>
      <c r="I1349" s="750"/>
      <c r="J1349" s="750"/>
    </row>
    <row r="1350" spans="1:10" x14ac:dyDescent="0.35">
      <c r="A1350" s="92"/>
      <c r="F1350" s="726"/>
      <c r="G1350" s="735"/>
      <c r="H1350" s="93"/>
      <c r="I1350" s="750"/>
      <c r="J1350" s="750"/>
    </row>
    <row r="1351" spans="1:10" x14ac:dyDescent="0.35">
      <c r="A1351" s="92"/>
      <c r="F1351" s="726"/>
      <c r="G1351" s="735"/>
      <c r="H1351" s="93"/>
      <c r="I1351" s="750"/>
      <c r="J1351" s="750"/>
    </row>
    <row r="1352" spans="1:10" x14ac:dyDescent="0.35">
      <c r="A1352" s="92"/>
      <c r="F1352" s="726"/>
      <c r="G1352" s="735"/>
      <c r="H1352" s="93"/>
      <c r="I1352" s="750"/>
      <c r="J1352" s="750"/>
    </row>
    <row r="1353" spans="1:10" x14ac:dyDescent="0.35">
      <c r="A1353" s="92"/>
      <c r="F1353" s="726"/>
      <c r="G1353" s="735"/>
      <c r="H1353" s="93"/>
      <c r="I1353" s="750"/>
      <c r="J1353" s="750"/>
    </row>
    <row r="1354" spans="1:10" x14ac:dyDescent="0.35">
      <c r="A1354" s="92"/>
      <c r="F1354" s="726"/>
      <c r="G1354" s="735"/>
      <c r="H1354" s="93"/>
      <c r="I1354" s="750"/>
      <c r="J1354" s="750"/>
    </row>
    <row r="1355" spans="1:10" x14ac:dyDescent="0.35">
      <c r="A1355" s="92"/>
      <c r="F1355" s="726"/>
      <c r="G1355" s="735"/>
      <c r="H1355" s="93"/>
      <c r="I1355" s="750"/>
      <c r="J1355" s="750"/>
    </row>
    <row r="1356" spans="1:10" x14ac:dyDescent="0.35">
      <c r="A1356" s="92"/>
      <c r="F1356" s="726"/>
      <c r="G1356" s="735"/>
      <c r="H1356" s="93"/>
      <c r="I1356" s="750"/>
      <c r="J1356" s="750"/>
    </row>
    <row r="1357" spans="1:10" x14ac:dyDescent="0.35">
      <c r="A1357" s="92"/>
      <c r="F1357" s="726"/>
      <c r="G1357" s="735"/>
      <c r="H1357" s="93"/>
      <c r="I1357" s="750"/>
      <c r="J1357" s="750"/>
    </row>
    <row r="1358" spans="1:10" x14ac:dyDescent="0.35">
      <c r="A1358" s="92"/>
      <c r="F1358" s="726"/>
      <c r="G1358" s="735"/>
      <c r="H1358" s="93"/>
      <c r="I1358" s="750"/>
      <c r="J1358" s="750"/>
    </row>
    <row r="1359" spans="1:10" x14ac:dyDescent="0.35">
      <c r="A1359" s="92"/>
      <c r="F1359" s="726"/>
      <c r="G1359" s="735"/>
      <c r="H1359" s="93"/>
      <c r="I1359" s="750"/>
      <c r="J1359" s="750"/>
    </row>
    <row r="1360" spans="1:10" x14ac:dyDescent="0.35">
      <c r="A1360" s="92"/>
      <c r="F1360" s="726"/>
      <c r="G1360" s="735"/>
      <c r="H1360" s="93"/>
      <c r="I1360" s="750"/>
      <c r="J1360" s="750"/>
    </row>
    <row r="1361" spans="1:10" x14ac:dyDescent="0.35">
      <c r="A1361" s="92"/>
      <c r="F1361" s="726"/>
      <c r="G1361" s="735"/>
      <c r="H1361" s="93"/>
      <c r="I1361" s="750"/>
      <c r="J1361" s="750"/>
    </row>
    <row r="1362" spans="1:10" x14ac:dyDescent="0.35">
      <c r="A1362" s="92"/>
      <c r="F1362" s="726"/>
      <c r="G1362" s="735"/>
      <c r="H1362" s="93"/>
      <c r="I1362" s="750"/>
      <c r="J1362" s="750"/>
    </row>
    <row r="1363" spans="1:10" x14ac:dyDescent="0.35">
      <c r="A1363" s="92"/>
      <c r="F1363" s="726"/>
      <c r="G1363" s="735"/>
      <c r="H1363" s="93"/>
      <c r="I1363" s="750"/>
      <c r="J1363" s="750"/>
    </row>
    <row r="1364" spans="1:10" x14ac:dyDescent="0.35">
      <c r="A1364" s="92"/>
      <c r="F1364" s="726"/>
      <c r="G1364" s="735"/>
      <c r="H1364" s="93"/>
      <c r="I1364" s="750"/>
      <c r="J1364" s="750"/>
    </row>
    <row r="1365" spans="1:10" x14ac:dyDescent="0.35">
      <c r="A1365" s="92"/>
      <c r="F1365" s="726"/>
      <c r="G1365" s="735"/>
      <c r="H1365" s="93"/>
      <c r="I1365" s="750"/>
      <c r="J1365" s="750"/>
    </row>
    <row r="1366" spans="1:10" x14ac:dyDescent="0.35">
      <c r="A1366" s="92"/>
      <c r="F1366" s="726"/>
      <c r="G1366" s="735"/>
      <c r="H1366" s="93"/>
      <c r="I1366" s="750"/>
      <c r="J1366" s="750"/>
    </row>
    <row r="1367" spans="1:10" x14ac:dyDescent="0.35">
      <c r="A1367" s="92"/>
      <c r="F1367" s="726"/>
      <c r="G1367" s="735"/>
      <c r="H1367" s="93"/>
      <c r="I1367" s="750"/>
      <c r="J1367" s="750"/>
    </row>
    <row r="1368" spans="1:10" x14ac:dyDescent="0.35">
      <c r="A1368" s="92"/>
      <c r="F1368" s="726"/>
      <c r="G1368" s="735"/>
      <c r="H1368" s="93"/>
      <c r="I1368" s="750"/>
      <c r="J1368" s="750"/>
    </row>
    <row r="1369" spans="1:10" x14ac:dyDescent="0.35">
      <c r="A1369" s="92"/>
      <c r="F1369" s="726"/>
      <c r="G1369" s="735"/>
      <c r="H1369" s="93"/>
      <c r="I1369" s="750"/>
      <c r="J1369" s="750"/>
    </row>
    <row r="1370" spans="1:10" x14ac:dyDescent="0.35">
      <c r="A1370" s="92"/>
      <c r="F1370" s="726"/>
      <c r="G1370" s="735"/>
      <c r="H1370" s="93"/>
      <c r="I1370" s="750"/>
      <c r="J1370" s="750"/>
    </row>
    <row r="1371" spans="1:10" x14ac:dyDescent="0.35">
      <c r="A1371" s="92"/>
      <c r="F1371" s="726"/>
      <c r="G1371" s="735"/>
      <c r="H1371" s="93"/>
      <c r="I1371" s="750"/>
      <c r="J1371" s="750"/>
    </row>
    <row r="1372" spans="1:10" x14ac:dyDescent="0.35">
      <c r="A1372" s="92"/>
      <c r="F1372" s="726"/>
      <c r="G1372" s="735"/>
      <c r="H1372" s="93"/>
      <c r="I1372" s="750"/>
      <c r="J1372" s="750"/>
    </row>
    <row r="1373" spans="1:10" x14ac:dyDescent="0.35">
      <c r="A1373" s="92"/>
      <c r="F1373" s="726"/>
      <c r="G1373" s="735"/>
      <c r="H1373" s="93"/>
      <c r="I1373" s="750"/>
      <c r="J1373" s="750"/>
    </row>
    <row r="1374" spans="1:10" x14ac:dyDescent="0.35">
      <c r="A1374" s="92"/>
      <c r="F1374" s="726"/>
      <c r="G1374" s="735"/>
      <c r="H1374" s="93"/>
      <c r="I1374" s="750"/>
      <c r="J1374" s="750"/>
    </row>
    <row r="1375" spans="1:10" x14ac:dyDescent="0.35">
      <c r="A1375" s="92"/>
      <c r="F1375" s="726"/>
      <c r="G1375" s="735"/>
      <c r="H1375" s="93"/>
      <c r="I1375" s="750"/>
      <c r="J1375" s="750"/>
    </row>
    <row r="1376" spans="1:10" x14ac:dyDescent="0.35">
      <c r="A1376" s="92"/>
      <c r="F1376" s="726"/>
      <c r="G1376" s="735"/>
      <c r="H1376" s="93"/>
      <c r="I1376" s="750"/>
      <c r="J1376" s="750"/>
    </row>
    <row r="1377" spans="1:10" x14ac:dyDescent="0.35">
      <c r="A1377" s="92"/>
      <c r="F1377" s="726"/>
      <c r="G1377" s="735"/>
      <c r="H1377" s="93"/>
      <c r="I1377" s="750"/>
      <c r="J1377" s="750"/>
    </row>
    <row r="1378" spans="1:10" x14ac:dyDescent="0.35">
      <c r="A1378" s="92"/>
      <c r="F1378" s="726"/>
      <c r="G1378" s="735"/>
      <c r="H1378" s="93"/>
      <c r="I1378" s="750"/>
      <c r="J1378" s="750"/>
    </row>
    <row r="1379" spans="1:10" x14ac:dyDescent="0.35">
      <c r="A1379" s="92"/>
      <c r="F1379" s="726"/>
      <c r="G1379" s="735"/>
      <c r="H1379" s="93"/>
      <c r="I1379" s="750"/>
      <c r="J1379" s="750"/>
    </row>
    <row r="1380" spans="1:10" x14ac:dyDescent="0.35">
      <c r="A1380" s="92"/>
      <c r="F1380" s="726"/>
      <c r="G1380" s="735"/>
      <c r="H1380" s="93"/>
      <c r="I1380" s="750"/>
      <c r="J1380" s="750"/>
    </row>
    <row r="1381" spans="1:10" x14ac:dyDescent="0.35">
      <c r="A1381" s="92"/>
      <c r="F1381" s="726"/>
      <c r="G1381" s="735"/>
      <c r="H1381" s="93"/>
      <c r="I1381" s="750"/>
      <c r="J1381" s="750"/>
    </row>
    <row r="1382" spans="1:10" x14ac:dyDescent="0.35">
      <c r="A1382" s="92"/>
      <c r="F1382" s="726"/>
      <c r="G1382" s="735"/>
      <c r="H1382" s="93"/>
      <c r="I1382" s="750"/>
      <c r="J1382" s="750"/>
    </row>
    <row r="1383" spans="1:10" x14ac:dyDescent="0.35">
      <c r="A1383" s="92"/>
      <c r="F1383" s="726"/>
      <c r="G1383" s="735"/>
      <c r="H1383" s="93"/>
      <c r="I1383" s="750"/>
      <c r="J1383" s="750"/>
    </row>
    <row r="1384" spans="1:10" x14ac:dyDescent="0.35">
      <c r="A1384" s="92"/>
      <c r="F1384" s="726"/>
      <c r="G1384" s="735"/>
      <c r="H1384" s="93"/>
      <c r="I1384" s="750"/>
      <c r="J1384" s="750"/>
    </row>
    <row r="1385" spans="1:10" x14ac:dyDescent="0.35">
      <c r="A1385" s="92"/>
      <c r="F1385" s="726"/>
      <c r="G1385" s="735"/>
      <c r="H1385" s="93"/>
      <c r="I1385" s="750"/>
      <c r="J1385" s="750"/>
    </row>
    <row r="1386" spans="1:10" x14ac:dyDescent="0.35">
      <c r="A1386" s="92"/>
      <c r="F1386" s="726"/>
      <c r="G1386" s="735"/>
      <c r="H1386" s="93"/>
      <c r="I1386" s="750"/>
      <c r="J1386" s="750"/>
    </row>
    <row r="1387" spans="1:10" x14ac:dyDescent="0.35">
      <c r="A1387" s="92"/>
      <c r="F1387" s="726"/>
      <c r="G1387" s="735"/>
      <c r="H1387" s="93"/>
      <c r="I1387" s="750"/>
      <c r="J1387" s="750"/>
    </row>
    <row r="1388" spans="1:10" x14ac:dyDescent="0.35">
      <c r="A1388" s="92"/>
      <c r="F1388" s="726"/>
      <c r="G1388" s="735"/>
      <c r="H1388" s="93"/>
      <c r="I1388" s="750"/>
      <c r="J1388" s="750"/>
    </row>
    <row r="1389" spans="1:10" x14ac:dyDescent="0.35">
      <c r="A1389" s="92"/>
      <c r="F1389" s="726"/>
      <c r="G1389" s="735"/>
      <c r="H1389" s="93"/>
      <c r="I1389" s="750"/>
      <c r="J1389" s="750"/>
    </row>
    <row r="1390" spans="1:10" x14ac:dyDescent="0.35">
      <c r="A1390" s="92"/>
      <c r="F1390" s="726"/>
      <c r="G1390" s="735"/>
      <c r="H1390" s="93"/>
      <c r="I1390" s="750"/>
      <c r="J1390" s="750"/>
    </row>
    <row r="1391" spans="1:10" x14ac:dyDescent="0.35">
      <c r="A1391" s="92"/>
      <c r="F1391" s="726"/>
      <c r="G1391" s="735"/>
      <c r="H1391" s="93"/>
      <c r="I1391" s="750"/>
      <c r="J1391" s="750"/>
    </row>
    <row r="1392" spans="1:10" x14ac:dyDescent="0.35">
      <c r="A1392" s="92"/>
      <c r="F1392" s="726"/>
      <c r="G1392" s="735"/>
      <c r="H1392" s="93"/>
      <c r="I1392" s="750"/>
      <c r="J1392" s="750"/>
    </row>
    <row r="1393" spans="1:10" x14ac:dyDescent="0.35">
      <c r="A1393" s="92"/>
      <c r="F1393" s="726"/>
      <c r="G1393" s="735"/>
      <c r="H1393" s="93"/>
      <c r="I1393" s="750"/>
      <c r="J1393" s="750"/>
    </row>
    <row r="1394" spans="1:10" x14ac:dyDescent="0.35">
      <c r="A1394" s="92"/>
      <c r="F1394" s="726"/>
      <c r="G1394" s="735"/>
      <c r="H1394" s="93"/>
      <c r="I1394" s="750"/>
      <c r="J1394" s="750"/>
    </row>
    <row r="1395" spans="1:10" x14ac:dyDescent="0.35">
      <c r="A1395" s="92"/>
      <c r="F1395" s="726"/>
      <c r="G1395" s="735"/>
      <c r="H1395" s="93"/>
      <c r="I1395" s="750"/>
      <c r="J1395" s="750"/>
    </row>
    <row r="1396" spans="1:10" x14ac:dyDescent="0.35">
      <c r="A1396" s="92"/>
      <c r="F1396" s="726"/>
      <c r="G1396" s="735"/>
      <c r="H1396" s="93"/>
      <c r="I1396" s="750"/>
      <c r="J1396" s="750"/>
    </row>
    <row r="1397" spans="1:10" x14ac:dyDescent="0.35">
      <c r="A1397" s="92"/>
      <c r="F1397" s="726"/>
      <c r="G1397" s="735"/>
      <c r="H1397" s="93"/>
      <c r="I1397" s="750"/>
      <c r="J1397" s="750"/>
    </row>
    <row r="1398" spans="1:10" x14ac:dyDescent="0.35">
      <c r="A1398" s="92"/>
      <c r="F1398" s="726"/>
      <c r="G1398" s="735"/>
      <c r="H1398" s="93"/>
      <c r="I1398" s="750"/>
      <c r="J1398" s="750"/>
    </row>
    <row r="1399" spans="1:10" x14ac:dyDescent="0.35">
      <c r="A1399" s="92"/>
      <c r="F1399" s="726"/>
      <c r="G1399" s="735"/>
      <c r="H1399" s="93"/>
      <c r="I1399" s="750"/>
      <c r="J1399" s="750"/>
    </row>
    <row r="1400" spans="1:10" x14ac:dyDescent="0.35">
      <c r="A1400" s="92"/>
      <c r="F1400" s="726"/>
      <c r="G1400" s="735"/>
      <c r="H1400" s="93"/>
      <c r="I1400" s="750"/>
      <c r="J1400" s="750"/>
    </row>
    <row r="1401" spans="1:10" x14ac:dyDescent="0.35">
      <c r="A1401" s="92"/>
      <c r="F1401" s="726"/>
      <c r="G1401" s="735"/>
      <c r="H1401" s="93"/>
      <c r="I1401" s="750"/>
      <c r="J1401" s="750"/>
    </row>
    <row r="1402" spans="1:10" x14ac:dyDescent="0.35">
      <c r="A1402" s="92"/>
      <c r="F1402" s="726"/>
      <c r="G1402" s="735"/>
      <c r="H1402" s="93"/>
      <c r="I1402" s="750"/>
      <c r="J1402" s="750"/>
    </row>
    <row r="1403" spans="1:10" x14ac:dyDescent="0.35">
      <c r="A1403" s="92"/>
      <c r="F1403" s="726"/>
      <c r="G1403" s="735"/>
      <c r="H1403" s="93"/>
      <c r="I1403" s="750"/>
      <c r="J1403" s="750"/>
    </row>
    <row r="1404" spans="1:10" x14ac:dyDescent="0.35">
      <c r="A1404" s="92"/>
      <c r="F1404" s="726"/>
      <c r="G1404" s="735"/>
      <c r="H1404" s="93"/>
      <c r="I1404" s="750"/>
      <c r="J1404" s="750"/>
    </row>
    <row r="1405" spans="1:10" x14ac:dyDescent="0.35">
      <c r="A1405" s="92"/>
      <c r="F1405" s="726"/>
      <c r="G1405" s="735"/>
      <c r="H1405" s="93"/>
      <c r="I1405" s="750"/>
      <c r="J1405" s="750"/>
    </row>
    <row r="1406" spans="1:10" x14ac:dyDescent="0.35">
      <c r="A1406" s="92"/>
      <c r="F1406" s="726"/>
      <c r="G1406" s="735"/>
      <c r="H1406" s="93"/>
      <c r="I1406" s="750"/>
      <c r="J1406" s="750"/>
    </row>
    <row r="1407" spans="1:10" x14ac:dyDescent="0.35">
      <c r="A1407" s="92"/>
      <c r="F1407" s="726"/>
      <c r="G1407" s="735"/>
      <c r="H1407" s="93"/>
      <c r="I1407" s="750"/>
      <c r="J1407" s="750"/>
    </row>
    <row r="1408" spans="1:10" x14ac:dyDescent="0.35">
      <c r="A1408" s="92"/>
      <c r="F1408" s="726"/>
      <c r="G1408" s="735"/>
      <c r="H1408" s="93"/>
      <c r="I1408" s="750"/>
      <c r="J1408" s="750"/>
    </row>
    <row r="1409" spans="1:10" x14ac:dyDescent="0.35">
      <c r="A1409" s="92"/>
      <c r="F1409" s="726"/>
      <c r="G1409" s="735"/>
      <c r="H1409" s="93"/>
      <c r="I1409" s="750"/>
      <c r="J1409" s="750"/>
    </row>
    <row r="1410" spans="1:10" x14ac:dyDescent="0.35">
      <c r="A1410" s="92"/>
      <c r="F1410" s="726"/>
      <c r="G1410" s="735"/>
      <c r="H1410" s="93"/>
      <c r="I1410" s="750"/>
      <c r="J1410" s="750"/>
    </row>
    <row r="1411" spans="1:10" x14ac:dyDescent="0.35">
      <c r="A1411" s="92"/>
      <c r="F1411" s="726"/>
      <c r="G1411" s="735"/>
      <c r="H1411" s="93"/>
      <c r="I1411" s="750"/>
      <c r="J1411" s="750"/>
    </row>
    <row r="1412" spans="1:10" x14ac:dyDescent="0.35">
      <c r="A1412" s="92"/>
      <c r="F1412" s="726"/>
      <c r="G1412" s="735"/>
      <c r="H1412" s="93"/>
      <c r="I1412" s="750"/>
      <c r="J1412" s="750"/>
    </row>
    <row r="1413" spans="1:10" x14ac:dyDescent="0.35">
      <c r="A1413" s="92"/>
      <c r="F1413" s="726"/>
      <c r="G1413" s="735"/>
      <c r="H1413" s="93"/>
      <c r="I1413" s="750"/>
      <c r="J1413" s="750"/>
    </row>
    <row r="1414" spans="1:10" x14ac:dyDescent="0.35">
      <c r="A1414" s="92"/>
      <c r="F1414" s="726"/>
      <c r="G1414" s="735"/>
      <c r="H1414" s="93"/>
      <c r="I1414" s="750"/>
      <c r="J1414" s="750"/>
    </row>
    <row r="1415" spans="1:10" x14ac:dyDescent="0.35">
      <c r="A1415" s="92"/>
      <c r="F1415" s="726"/>
      <c r="G1415" s="735"/>
      <c r="H1415" s="93"/>
      <c r="I1415" s="750"/>
      <c r="J1415" s="750"/>
    </row>
    <row r="1416" spans="1:10" x14ac:dyDescent="0.35">
      <c r="A1416" s="92"/>
      <c r="F1416" s="726"/>
      <c r="G1416" s="735"/>
      <c r="H1416" s="93"/>
      <c r="I1416" s="750"/>
      <c r="J1416" s="750"/>
    </row>
    <row r="1417" spans="1:10" x14ac:dyDescent="0.35">
      <c r="A1417" s="92"/>
      <c r="F1417" s="726"/>
      <c r="G1417" s="735"/>
      <c r="H1417" s="93"/>
      <c r="I1417" s="750"/>
      <c r="J1417" s="750"/>
    </row>
    <row r="1418" spans="1:10" x14ac:dyDescent="0.35">
      <c r="A1418" s="92"/>
      <c r="F1418" s="726"/>
      <c r="G1418" s="735"/>
      <c r="H1418" s="93"/>
      <c r="I1418" s="750"/>
      <c r="J1418" s="750"/>
    </row>
    <row r="1419" spans="1:10" x14ac:dyDescent="0.35">
      <c r="A1419" s="92"/>
      <c r="F1419" s="726"/>
      <c r="G1419" s="735"/>
      <c r="H1419" s="93"/>
      <c r="I1419" s="750"/>
      <c r="J1419" s="750"/>
    </row>
    <row r="1420" spans="1:10" x14ac:dyDescent="0.35">
      <c r="A1420" s="92"/>
      <c r="F1420" s="726"/>
      <c r="G1420" s="735"/>
      <c r="H1420" s="93"/>
      <c r="I1420" s="750"/>
      <c r="J1420" s="750"/>
    </row>
    <row r="1421" spans="1:10" x14ac:dyDescent="0.35">
      <c r="A1421" s="92"/>
      <c r="F1421" s="726"/>
      <c r="G1421" s="735"/>
      <c r="H1421" s="93"/>
      <c r="I1421" s="750"/>
      <c r="J1421" s="750"/>
    </row>
    <row r="1422" spans="1:10" x14ac:dyDescent="0.35">
      <c r="A1422" s="92"/>
      <c r="F1422" s="726"/>
      <c r="G1422" s="735"/>
      <c r="H1422" s="93"/>
      <c r="I1422" s="750"/>
      <c r="J1422" s="750"/>
    </row>
    <row r="1423" spans="1:10" x14ac:dyDescent="0.35">
      <c r="A1423" s="92"/>
      <c r="F1423" s="726"/>
      <c r="G1423" s="735"/>
      <c r="H1423" s="93"/>
      <c r="I1423" s="750"/>
      <c r="J1423" s="750"/>
    </row>
    <row r="1424" spans="1:10" x14ac:dyDescent="0.35">
      <c r="A1424" s="92"/>
      <c r="F1424" s="726"/>
      <c r="G1424" s="735"/>
      <c r="H1424" s="93"/>
      <c r="I1424" s="750"/>
      <c r="J1424" s="750"/>
    </row>
    <row r="1425" spans="1:10" x14ac:dyDescent="0.35">
      <c r="A1425" s="92"/>
      <c r="F1425" s="726"/>
      <c r="G1425" s="735"/>
      <c r="H1425" s="93"/>
      <c r="I1425" s="750"/>
      <c r="J1425" s="750"/>
    </row>
    <row r="1426" spans="1:10" x14ac:dyDescent="0.35">
      <c r="A1426" s="92"/>
      <c r="F1426" s="726"/>
      <c r="G1426" s="735"/>
      <c r="H1426" s="93"/>
      <c r="I1426" s="750"/>
      <c r="J1426" s="750"/>
    </row>
    <row r="1427" spans="1:10" x14ac:dyDescent="0.35">
      <c r="A1427" s="92"/>
      <c r="F1427" s="726"/>
      <c r="G1427" s="735"/>
      <c r="H1427" s="93"/>
      <c r="I1427" s="750"/>
      <c r="J1427" s="750"/>
    </row>
    <row r="1428" spans="1:10" x14ac:dyDescent="0.35">
      <c r="A1428" s="92"/>
      <c r="F1428" s="726"/>
      <c r="G1428" s="735"/>
      <c r="H1428" s="93"/>
      <c r="I1428" s="750"/>
      <c r="J1428" s="750"/>
    </row>
    <row r="1429" spans="1:10" x14ac:dyDescent="0.35">
      <c r="A1429" s="92"/>
      <c r="F1429" s="726"/>
      <c r="G1429" s="735"/>
      <c r="H1429" s="93"/>
      <c r="I1429" s="750"/>
      <c r="J1429" s="750"/>
    </row>
    <row r="1430" spans="1:10" x14ac:dyDescent="0.35">
      <c r="A1430" s="92"/>
      <c r="F1430" s="726"/>
      <c r="G1430" s="735"/>
      <c r="H1430" s="93"/>
      <c r="I1430" s="750"/>
      <c r="J1430" s="750"/>
    </row>
    <row r="1431" spans="1:10" x14ac:dyDescent="0.35">
      <c r="A1431" s="92"/>
      <c r="F1431" s="726"/>
      <c r="G1431" s="735"/>
      <c r="H1431" s="93"/>
      <c r="I1431" s="750"/>
      <c r="J1431" s="750"/>
    </row>
    <row r="1432" spans="1:10" x14ac:dyDescent="0.35">
      <c r="A1432" s="92"/>
      <c r="F1432" s="726"/>
      <c r="G1432" s="735"/>
      <c r="H1432" s="93"/>
      <c r="I1432" s="750"/>
      <c r="J1432" s="750"/>
    </row>
    <row r="1433" spans="1:10" x14ac:dyDescent="0.35">
      <c r="A1433" s="92"/>
      <c r="F1433" s="726"/>
      <c r="G1433" s="735"/>
      <c r="H1433" s="93"/>
      <c r="I1433" s="750"/>
      <c r="J1433" s="750"/>
    </row>
    <row r="1434" spans="1:10" x14ac:dyDescent="0.35">
      <c r="A1434" s="92"/>
      <c r="F1434" s="726"/>
      <c r="G1434" s="735"/>
      <c r="H1434" s="93"/>
      <c r="I1434" s="750"/>
      <c r="J1434" s="750"/>
    </row>
    <row r="1435" spans="1:10" x14ac:dyDescent="0.35">
      <c r="A1435" s="92"/>
      <c r="F1435" s="726"/>
      <c r="G1435" s="735"/>
      <c r="H1435" s="93"/>
      <c r="I1435" s="750"/>
      <c r="J1435" s="750"/>
    </row>
    <row r="1436" spans="1:10" x14ac:dyDescent="0.35">
      <c r="A1436" s="92"/>
      <c r="F1436" s="726"/>
      <c r="G1436" s="735"/>
      <c r="H1436" s="93"/>
      <c r="I1436" s="750"/>
      <c r="J1436" s="750"/>
    </row>
    <row r="1437" spans="1:10" x14ac:dyDescent="0.35">
      <c r="A1437" s="92"/>
      <c r="F1437" s="726"/>
      <c r="G1437" s="735"/>
      <c r="H1437" s="93"/>
      <c r="I1437" s="750"/>
      <c r="J1437" s="750"/>
    </row>
    <row r="1438" spans="1:10" x14ac:dyDescent="0.35">
      <c r="A1438" s="92"/>
      <c r="F1438" s="726"/>
      <c r="G1438" s="735"/>
      <c r="H1438" s="93"/>
      <c r="I1438" s="750"/>
      <c r="J1438" s="750"/>
    </row>
    <row r="1439" spans="1:10" x14ac:dyDescent="0.35">
      <c r="A1439" s="92"/>
      <c r="F1439" s="726"/>
      <c r="G1439" s="735"/>
      <c r="H1439" s="93"/>
      <c r="I1439" s="750"/>
      <c r="J1439" s="750"/>
    </row>
    <row r="1440" spans="1:10" x14ac:dyDescent="0.35">
      <c r="A1440" s="92"/>
      <c r="F1440" s="726"/>
      <c r="G1440" s="735"/>
      <c r="H1440" s="93"/>
      <c r="I1440" s="750"/>
      <c r="J1440" s="750"/>
    </row>
    <row r="1441" spans="1:10" x14ac:dyDescent="0.35">
      <c r="A1441" s="92"/>
      <c r="F1441" s="726"/>
      <c r="G1441" s="735"/>
      <c r="H1441" s="93"/>
      <c r="I1441" s="750"/>
      <c r="J1441" s="750"/>
    </row>
    <row r="1442" spans="1:10" x14ac:dyDescent="0.35">
      <c r="A1442" s="92"/>
      <c r="F1442" s="726"/>
      <c r="G1442" s="735"/>
      <c r="H1442" s="93"/>
      <c r="I1442" s="750"/>
      <c r="J1442" s="750"/>
    </row>
    <row r="1443" spans="1:10" x14ac:dyDescent="0.35">
      <c r="A1443" s="92"/>
      <c r="F1443" s="726"/>
      <c r="G1443" s="735"/>
      <c r="H1443" s="93"/>
      <c r="I1443" s="750"/>
      <c r="J1443" s="750"/>
    </row>
    <row r="1444" spans="1:10" x14ac:dyDescent="0.35">
      <c r="A1444" s="92"/>
      <c r="F1444" s="726"/>
      <c r="G1444" s="735"/>
      <c r="H1444" s="93"/>
      <c r="I1444" s="750"/>
      <c r="J1444" s="750"/>
    </row>
    <row r="1445" spans="1:10" x14ac:dyDescent="0.35">
      <c r="A1445" s="92"/>
      <c r="F1445" s="726"/>
      <c r="G1445" s="735"/>
      <c r="H1445" s="93"/>
      <c r="I1445" s="750"/>
      <c r="J1445" s="750"/>
    </row>
    <row r="1446" spans="1:10" x14ac:dyDescent="0.35">
      <c r="A1446" s="92"/>
      <c r="F1446" s="726"/>
      <c r="G1446" s="735"/>
      <c r="H1446" s="93"/>
      <c r="I1446" s="750"/>
      <c r="J1446" s="750"/>
    </row>
    <row r="1447" spans="1:10" x14ac:dyDescent="0.35">
      <c r="A1447" s="92"/>
      <c r="F1447" s="726"/>
      <c r="G1447" s="735"/>
      <c r="H1447" s="93"/>
      <c r="I1447" s="750"/>
      <c r="J1447" s="750"/>
    </row>
    <row r="1448" spans="1:10" x14ac:dyDescent="0.35">
      <c r="A1448" s="92"/>
      <c r="F1448" s="726"/>
      <c r="G1448" s="735"/>
      <c r="H1448" s="93"/>
      <c r="I1448" s="750"/>
      <c r="J1448" s="750"/>
    </row>
    <row r="1449" spans="1:10" x14ac:dyDescent="0.35">
      <c r="A1449" s="92"/>
      <c r="F1449" s="726"/>
      <c r="G1449" s="735"/>
      <c r="H1449" s="93"/>
      <c r="I1449" s="750"/>
      <c r="J1449" s="750"/>
    </row>
    <row r="1450" spans="1:10" x14ac:dyDescent="0.35">
      <c r="A1450" s="92"/>
      <c r="F1450" s="726"/>
      <c r="G1450" s="735"/>
      <c r="H1450" s="93"/>
      <c r="I1450" s="750"/>
      <c r="J1450" s="750"/>
    </row>
    <row r="1451" spans="1:10" x14ac:dyDescent="0.35">
      <c r="A1451" s="92"/>
      <c r="F1451" s="726"/>
      <c r="G1451" s="735"/>
      <c r="H1451" s="93"/>
      <c r="I1451" s="750"/>
      <c r="J1451" s="750"/>
    </row>
    <row r="1452" spans="1:10" x14ac:dyDescent="0.35">
      <c r="A1452" s="92"/>
      <c r="F1452" s="726"/>
      <c r="G1452" s="735"/>
      <c r="H1452" s="93"/>
      <c r="I1452" s="750"/>
      <c r="J1452" s="750"/>
    </row>
    <row r="1453" spans="1:10" x14ac:dyDescent="0.35">
      <c r="A1453" s="92"/>
      <c r="F1453" s="726"/>
      <c r="G1453" s="735"/>
      <c r="H1453" s="93"/>
      <c r="I1453" s="750"/>
      <c r="J1453" s="750"/>
    </row>
    <row r="1454" spans="1:10" x14ac:dyDescent="0.35">
      <c r="A1454" s="92"/>
      <c r="F1454" s="726"/>
      <c r="G1454" s="735"/>
      <c r="H1454" s="93"/>
      <c r="I1454" s="750"/>
      <c r="J1454" s="750"/>
    </row>
    <row r="1455" spans="1:10" x14ac:dyDescent="0.35">
      <c r="A1455" s="92"/>
      <c r="F1455" s="726"/>
      <c r="G1455" s="735"/>
      <c r="H1455" s="93"/>
      <c r="I1455" s="750"/>
      <c r="J1455" s="750"/>
    </row>
    <row r="1456" spans="1:10" x14ac:dyDescent="0.35">
      <c r="A1456" s="92"/>
      <c r="F1456" s="726"/>
      <c r="G1456" s="735"/>
      <c r="H1456" s="93"/>
      <c r="I1456" s="750"/>
      <c r="J1456" s="750"/>
    </row>
    <row r="1457" spans="1:10" x14ac:dyDescent="0.35">
      <c r="A1457" s="92"/>
      <c r="F1457" s="726"/>
      <c r="G1457" s="735"/>
      <c r="H1457" s="93"/>
      <c r="I1457" s="750"/>
      <c r="J1457" s="750"/>
    </row>
    <row r="1458" spans="1:10" x14ac:dyDescent="0.35">
      <c r="A1458" s="92"/>
      <c r="F1458" s="726"/>
      <c r="G1458" s="735"/>
      <c r="H1458" s="93"/>
      <c r="I1458" s="750"/>
      <c r="J1458" s="750"/>
    </row>
    <row r="1459" spans="1:10" x14ac:dyDescent="0.35">
      <c r="A1459" s="92"/>
      <c r="F1459" s="726"/>
      <c r="G1459" s="735"/>
      <c r="H1459" s="93"/>
      <c r="I1459" s="750"/>
      <c r="J1459" s="750"/>
    </row>
    <row r="1460" spans="1:10" x14ac:dyDescent="0.35">
      <c r="A1460" s="92"/>
      <c r="F1460" s="726"/>
      <c r="G1460" s="735"/>
      <c r="H1460" s="93"/>
      <c r="I1460" s="750"/>
      <c r="J1460" s="750"/>
    </row>
    <row r="1461" spans="1:10" x14ac:dyDescent="0.35">
      <c r="A1461" s="92"/>
      <c r="F1461" s="726"/>
      <c r="G1461" s="735"/>
      <c r="H1461" s="93"/>
      <c r="I1461" s="750"/>
      <c r="J1461" s="750"/>
    </row>
    <row r="1462" spans="1:10" x14ac:dyDescent="0.35">
      <c r="A1462" s="92"/>
      <c r="F1462" s="726"/>
      <c r="G1462" s="735"/>
      <c r="H1462" s="93"/>
      <c r="I1462" s="750"/>
      <c r="J1462" s="750"/>
    </row>
    <row r="1463" spans="1:10" x14ac:dyDescent="0.35">
      <c r="A1463" s="92"/>
      <c r="F1463" s="726"/>
      <c r="G1463" s="735"/>
      <c r="H1463" s="93"/>
      <c r="I1463" s="750"/>
      <c r="J1463" s="750"/>
    </row>
    <row r="1464" spans="1:10" x14ac:dyDescent="0.35">
      <c r="A1464" s="92"/>
      <c r="F1464" s="726"/>
      <c r="G1464" s="735"/>
      <c r="H1464" s="93"/>
      <c r="I1464" s="750"/>
      <c r="J1464" s="750"/>
    </row>
    <row r="1465" spans="1:10" x14ac:dyDescent="0.35">
      <c r="A1465" s="92"/>
      <c r="F1465" s="726"/>
      <c r="G1465" s="735"/>
      <c r="H1465" s="93"/>
      <c r="I1465" s="750"/>
      <c r="J1465" s="750"/>
    </row>
    <row r="1466" spans="1:10" x14ac:dyDescent="0.35">
      <c r="A1466" s="92"/>
      <c r="F1466" s="726"/>
      <c r="G1466" s="735"/>
      <c r="H1466" s="93"/>
      <c r="I1466" s="750"/>
      <c r="J1466" s="750"/>
    </row>
    <row r="1467" spans="1:10" x14ac:dyDescent="0.35">
      <c r="A1467" s="92"/>
      <c r="F1467" s="726"/>
      <c r="G1467" s="735"/>
      <c r="H1467" s="93"/>
      <c r="I1467" s="750"/>
      <c r="J1467" s="750"/>
    </row>
    <row r="1468" spans="1:10" x14ac:dyDescent="0.35">
      <c r="A1468" s="92"/>
      <c r="F1468" s="726"/>
      <c r="G1468" s="735"/>
      <c r="H1468" s="93"/>
      <c r="I1468" s="750"/>
      <c r="J1468" s="750"/>
    </row>
    <row r="1469" spans="1:10" x14ac:dyDescent="0.35">
      <c r="A1469" s="92"/>
      <c r="F1469" s="726"/>
      <c r="G1469" s="735"/>
      <c r="H1469" s="93"/>
      <c r="I1469" s="750"/>
      <c r="J1469" s="750"/>
    </row>
    <row r="1470" spans="1:10" x14ac:dyDescent="0.35">
      <c r="A1470" s="92"/>
      <c r="F1470" s="726"/>
      <c r="G1470" s="735"/>
      <c r="H1470" s="93"/>
      <c r="I1470" s="750"/>
      <c r="J1470" s="750"/>
    </row>
    <row r="1471" spans="1:10" x14ac:dyDescent="0.35">
      <c r="A1471" s="92"/>
      <c r="F1471" s="726"/>
      <c r="G1471" s="735"/>
      <c r="H1471" s="93"/>
      <c r="I1471" s="750"/>
      <c r="J1471" s="750"/>
    </row>
    <row r="1472" spans="1:10" x14ac:dyDescent="0.35">
      <c r="A1472" s="92"/>
      <c r="F1472" s="726"/>
      <c r="G1472" s="735"/>
      <c r="H1472" s="93"/>
      <c r="I1472" s="750"/>
      <c r="J1472" s="750"/>
    </row>
    <row r="1473" spans="1:10" x14ac:dyDescent="0.35">
      <c r="A1473" s="92"/>
      <c r="F1473" s="726"/>
      <c r="G1473" s="735"/>
      <c r="H1473" s="93"/>
      <c r="I1473" s="750"/>
      <c r="J1473" s="750"/>
    </row>
    <row r="1474" spans="1:10" x14ac:dyDescent="0.35">
      <c r="A1474" s="92"/>
      <c r="F1474" s="726"/>
      <c r="G1474" s="735"/>
      <c r="H1474" s="93"/>
      <c r="I1474" s="750"/>
      <c r="J1474" s="750"/>
    </row>
    <row r="1475" spans="1:10" x14ac:dyDescent="0.35">
      <c r="A1475" s="92"/>
      <c r="F1475" s="726"/>
      <c r="G1475" s="735"/>
      <c r="H1475" s="93"/>
      <c r="I1475" s="750"/>
      <c r="J1475" s="750"/>
    </row>
    <row r="1476" spans="1:10" x14ac:dyDescent="0.35">
      <c r="A1476" s="92"/>
      <c r="F1476" s="726"/>
      <c r="G1476" s="735"/>
      <c r="H1476" s="93"/>
      <c r="I1476" s="750"/>
      <c r="J1476" s="750"/>
    </row>
    <row r="1477" spans="1:10" x14ac:dyDescent="0.35">
      <c r="A1477" s="92"/>
      <c r="F1477" s="726"/>
      <c r="G1477" s="735"/>
      <c r="H1477" s="93"/>
      <c r="I1477" s="750"/>
      <c r="J1477" s="750"/>
    </row>
    <row r="1478" spans="1:10" x14ac:dyDescent="0.35">
      <c r="A1478" s="92"/>
      <c r="F1478" s="726"/>
      <c r="G1478" s="735"/>
      <c r="H1478" s="93"/>
      <c r="I1478" s="750"/>
      <c r="J1478" s="750"/>
    </row>
    <row r="1479" spans="1:10" x14ac:dyDescent="0.35">
      <c r="A1479" s="92"/>
      <c r="F1479" s="726"/>
      <c r="G1479" s="735"/>
      <c r="H1479" s="93"/>
      <c r="I1479" s="750"/>
      <c r="J1479" s="750"/>
    </row>
    <row r="1480" spans="1:10" x14ac:dyDescent="0.35">
      <c r="A1480" s="92"/>
      <c r="F1480" s="726"/>
      <c r="G1480" s="735"/>
      <c r="H1480" s="93"/>
      <c r="I1480" s="750"/>
      <c r="J1480" s="750"/>
    </row>
    <row r="1481" spans="1:10" x14ac:dyDescent="0.35">
      <c r="A1481" s="92"/>
      <c r="F1481" s="726"/>
      <c r="G1481" s="735"/>
      <c r="H1481" s="93"/>
      <c r="I1481" s="750"/>
      <c r="J1481" s="750"/>
    </row>
    <row r="1482" spans="1:10" x14ac:dyDescent="0.35">
      <c r="A1482" s="92"/>
      <c r="F1482" s="726"/>
      <c r="G1482" s="735"/>
      <c r="H1482" s="93"/>
      <c r="I1482" s="750"/>
      <c r="J1482" s="750"/>
    </row>
    <row r="1483" spans="1:10" x14ac:dyDescent="0.35">
      <c r="A1483" s="92"/>
      <c r="F1483" s="726"/>
      <c r="G1483" s="735"/>
      <c r="H1483" s="93"/>
      <c r="I1483" s="750"/>
      <c r="J1483" s="750"/>
    </row>
    <row r="1484" spans="1:10" x14ac:dyDescent="0.35">
      <c r="A1484" s="92"/>
      <c r="F1484" s="726"/>
      <c r="G1484" s="735"/>
      <c r="H1484" s="93"/>
      <c r="I1484" s="750"/>
      <c r="J1484" s="750"/>
    </row>
    <row r="1485" spans="1:10" x14ac:dyDescent="0.35">
      <c r="A1485" s="92"/>
      <c r="F1485" s="726"/>
      <c r="G1485" s="735"/>
      <c r="H1485" s="93"/>
      <c r="I1485" s="750"/>
      <c r="J1485" s="750"/>
    </row>
    <row r="1486" spans="1:10" x14ac:dyDescent="0.35">
      <c r="A1486" s="92"/>
      <c r="F1486" s="726"/>
      <c r="G1486" s="735"/>
      <c r="H1486" s="93"/>
      <c r="I1486" s="750"/>
      <c r="J1486" s="750"/>
    </row>
    <row r="1487" spans="1:10" x14ac:dyDescent="0.35">
      <c r="A1487" s="92"/>
      <c r="F1487" s="726"/>
      <c r="G1487" s="735"/>
      <c r="H1487" s="93"/>
      <c r="I1487" s="750"/>
      <c r="J1487" s="750"/>
    </row>
    <row r="1488" spans="1:10" x14ac:dyDescent="0.35">
      <c r="A1488" s="92"/>
      <c r="F1488" s="726"/>
      <c r="G1488" s="735"/>
      <c r="H1488" s="93"/>
      <c r="I1488" s="750"/>
      <c r="J1488" s="750"/>
    </row>
    <row r="1489" spans="1:10" x14ac:dyDescent="0.35">
      <c r="A1489" s="92"/>
      <c r="F1489" s="726"/>
      <c r="G1489" s="735"/>
      <c r="H1489" s="93"/>
      <c r="I1489" s="750"/>
      <c r="J1489" s="750"/>
    </row>
    <row r="1490" spans="1:10" x14ac:dyDescent="0.35">
      <c r="A1490" s="92"/>
      <c r="F1490" s="726"/>
      <c r="G1490" s="735"/>
      <c r="H1490" s="93"/>
      <c r="I1490" s="750"/>
      <c r="J1490" s="750"/>
    </row>
    <row r="1491" spans="1:10" x14ac:dyDescent="0.35">
      <c r="A1491" s="92"/>
      <c r="F1491" s="726"/>
      <c r="G1491" s="735"/>
      <c r="H1491" s="93"/>
      <c r="I1491" s="750"/>
      <c r="J1491" s="750"/>
    </row>
    <row r="1492" spans="1:10" x14ac:dyDescent="0.35">
      <c r="A1492" s="92"/>
      <c r="F1492" s="726"/>
      <c r="G1492" s="735"/>
      <c r="H1492" s="93"/>
      <c r="I1492" s="750"/>
      <c r="J1492" s="750"/>
    </row>
    <row r="1493" spans="1:10" x14ac:dyDescent="0.35">
      <c r="A1493" s="92"/>
      <c r="F1493" s="726"/>
      <c r="G1493" s="735"/>
      <c r="H1493" s="93"/>
      <c r="I1493" s="750"/>
      <c r="J1493" s="750"/>
    </row>
    <row r="1494" spans="1:10" x14ac:dyDescent="0.35">
      <c r="A1494" s="92"/>
      <c r="F1494" s="726"/>
      <c r="G1494" s="735"/>
      <c r="H1494" s="93"/>
      <c r="I1494" s="750"/>
      <c r="J1494" s="750"/>
    </row>
    <row r="1495" spans="1:10" x14ac:dyDescent="0.35">
      <c r="A1495" s="92"/>
      <c r="F1495" s="726"/>
      <c r="G1495" s="735"/>
      <c r="H1495" s="93"/>
      <c r="I1495" s="750"/>
      <c r="J1495" s="750"/>
    </row>
    <row r="1496" spans="1:10" x14ac:dyDescent="0.35">
      <c r="A1496" s="92"/>
      <c r="F1496" s="726"/>
      <c r="G1496" s="735"/>
      <c r="H1496" s="93"/>
      <c r="I1496" s="750"/>
      <c r="J1496" s="750"/>
    </row>
    <row r="1497" spans="1:10" x14ac:dyDescent="0.35">
      <c r="A1497" s="92"/>
      <c r="F1497" s="726"/>
      <c r="G1497" s="735"/>
      <c r="H1497" s="93"/>
      <c r="I1497" s="750"/>
      <c r="J1497" s="750"/>
    </row>
    <row r="1498" spans="1:10" x14ac:dyDescent="0.35">
      <c r="A1498" s="92"/>
      <c r="F1498" s="726"/>
      <c r="G1498" s="735"/>
      <c r="H1498" s="93"/>
      <c r="I1498" s="750"/>
      <c r="J1498" s="750"/>
    </row>
    <row r="1499" spans="1:10" x14ac:dyDescent="0.35">
      <c r="A1499" s="92"/>
      <c r="F1499" s="726"/>
      <c r="G1499" s="735"/>
      <c r="H1499" s="93"/>
      <c r="I1499" s="750"/>
      <c r="J1499" s="750"/>
    </row>
    <row r="1500" spans="1:10" x14ac:dyDescent="0.35">
      <c r="A1500" s="92"/>
      <c r="F1500" s="726"/>
      <c r="G1500" s="735"/>
      <c r="H1500" s="93"/>
      <c r="I1500" s="750"/>
      <c r="J1500" s="750"/>
    </row>
    <row r="1501" spans="1:10" x14ac:dyDescent="0.35">
      <c r="A1501" s="92"/>
      <c r="F1501" s="726"/>
      <c r="G1501" s="735"/>
      <c r="H1501" s="93"/>
      <c r="I1501" s="750"/>
      <c r="J1501" s="750"/>
    </row>
    <row r="1502" spans="1:10" x14ac:dyDescent="0.35">
      <c r="A1502" s="92"/>
      <c r="F1502" s="726"/>
      <c r="G1502" s="735"/>
      <c r="H1502" s="93"/>
      <c r="I1502" s="750"/>
      <c r="J1502" s="750"/>
    </row>
    <row r="1503" spans="1:10" x14ac:dyDescent="0.35">
      <c r="A1503" s="92"/>
      <c r="F1503" s="726"/>
      <c r="G1503" s="735"/>
      <c r="H1503" s="93"/>
      <c r="I1503" s="750"/>
      <c r="J1503" s="750"/>
    </row>
    <row r="1504" spans="1:10" x14ac:dyDescent="0.35">
      <c r="A1504" s="92"/>
      <c r="F1504" s="726"/>
      <c r="G1504" s="735"/>
      <c r="H1504" s="93"/>
      <c r="I1504" s="750"/>
      <c r="J1504" s="750"/>
    </row>
    <row r="1505" spans="1:10" x14ac:dyDescent="0.35">
      <c r="A1505" s="92"/>
      <c r="F1505" s="726"/>
      <c r="G1505" s="735"/>
      <c r="H1505" s="93"/>
      <c r="I1505" s="750"/>
      <c r="J1505" s="750"/>
    </row>
    <row r="1506" spans="1:10" x14ac:dyDescent="0.35">
      <c r="A1506" s="92"/>
      <c r="F1506" s="726"/>
      <c r="G1506" s="735"/>
      <c r="H1506" s="93"/>
      <c r="I1506" s="750"/>
      <c r="J1506" s="750"/>
    </row>
    <row r="1507" spans="1:10" x14ac:dyDescent="0.35">
      <c r="A1507" s="92"/>
      <c r="F1507" s="726"/>
      <c r="G1507" s="735"/>
      <c r="H1507" s="93"/>
      <c r="I1507" s="750"/>
      <c r="J1507" s="750"/>
    </row>
    <row r="1508" spans="1:10" x14ac:dyDescent="0.35">
      <c r="A1508" s="92"/>
      <c r="F1508" s="726"/>
      <c r="G1508" s="735"/>
      <c r="H1508" s="93"/>
      <c r="I1508" s="750"/>
      <c r="J1508" s="750"/>
    </row>
    <row r="1509" spans="1:10" x14ac:dyDescent="0.35">
      <c r="A1509" s="92"/>
      <c r="F1509" s="726"/>
      <c r="G1509" s="735"/>
      <c r="H1509" s="93"/>
      <c r="I1509" s="750"/>
      <c r="J1509" s="750"/>
    </row>
    <row r="1510" spans="1:10" x14ac:dyDescent="0.35">
      <c r="A1510" s="92"/>
      <c r="F1510" s="726"/>
      <c r="G1510" s="735"/>
      <c r="H1510" s="93"/>
      <c r="I1510" s="750"/>
      <c r="J1510" s="750"/>
    </row>
    <row r="1511" spans="1:10" x14ac:dyDescent="0.35">
      <c r="A1511" s="92"/>
      <c r="F1511" s="726"/>
      <c r="G1511" s="735"/>
      <c r="H1511" s="93"/>
      <c r="I1511" s="750"/>
      <c r="J1511" s="750"/>
    </row>
    <row r="1512" spans="1:10" x14ac:dyDescent="0.35">
      <c r="A1512" s="92"/>
      <c r="F1512" s="726"/>
      <c r="G1512" s="735"/>
      <c r="H1512" s="93"/>
      <c r="I1512" s="750"/>
      <c r="J1512" s="750"/>
    </row>
    <row r="1513" spans="1:10" x14ac:dyDescent="0.35">
      <c r="A1513" s="92"/>
      <c r="F1513" s="726"/>
      <c r="G1513" s="735"/>
      <c r="H1513" s="93"/>
      <c r="I1513" s="750"/>
      <c r="J1513" s="750"/>
    </row>
    <row r="1514" spans="1:10" x14ac:dyDescent="0.35">
      <c r="A1514" s="92"/>
      <c r="F1514" s="726"/>
      <c r="G1514" s="735"/>
      <c r="H1514" s="93"/>
      <c r="I1514" s="750"/>
      <c r="J1514" s="750"/>
    </row>
    <row r="1515" spans="1:10" x14ac:dyDescent="0.35">
      <c r="A1515" s="92"/>
      <c r="F1515" s="726"/>
      <c r="G1515" s="735"/>
      <c r="H1515" s="93"/>
      <c r="I1515" s="750"/>
      <c r="J1515" s="750"/>
    </row>
    <row r="1516" spans="1:10" x14ac:dyDescent="0.35">
      <c r="A1516" s="92"/>
      <c r="F1516" s="726"/>
      <c r="G1516" s="735"/>
      <c r="H1516" s="93"/>
      <c r="I1516" s="750"/>
      <c r="J1516" s="750"/>
    </row>
    <row r="1517" spans="1:10" x14ac:dyDescent="0.35">
      <c r="A1517" s="92"/>
      <c r="F1517" s="726"/>
      <c r="G1517" s="735"/>
      <c r="H1517" s="93"/>
      <c r="I1517" s="750"/>
      <c r="J1517" s="750"/>
    </row>
    <row r="1518" spans="1:10" x14ac:dyDescent="0.35">
      <c r="A1518" s="92"/>
      <c r="F1518" s="726"/>
      <c r="G1518" s="735"/>
      <c r="H1518" s="93"/>
      <c r="I1518" s="750"/>
      <c r="J1518" s="750"/>
    </row>
    <row r="1519" spans="1:10" x14ac:dyDescent="0.35">
      <c r="A1519" s="92"/>
      <c r="F1519" s="726"/>
      <c r="G1519" s="735"/>
      <c r="H1519" s="93"/>
      <c r="I1519" s="750"/>
      <c r="J1519" s="750"/>
    </row>
    <row r="1520" spans="1:10" x14ac:dyDescent="0.35">
      <c r="A1520" s="92"/>
      <c r="F1520" s="726"/>
      <c r="G1520" s="735"/>
      <c r="H1520" s="93"/>
      <c r="I1520" s="750"/>
      <c r="J1520" s="750"/>
    </row>
    <row r="1521" spans="1:10" x14ac:dyDescent="0.35">
      <c r="A1521" s="92"/>
      <c r="F1521" s="726"/>
      <c r="G1521" s="735"/>
      <c r="H1521" s="93"/>
      <c r="I1521" s="750"/>
      <c r="J1521" s="750"/>
    </row>
    <row r="1522" spans="1:10" x14ac:dyDescent="0.35">
      <c r="A1522" s="92"/>
      <c r="F1522" s="726"/>
      <c r="G1522" s="735"/>
      <c r="H1522" s="93"/>
      <c r="I1522" s="750"/>
      <c r="J1522" s="750"/>
    </row>
    <row r="1523" spans="1:10" x14ac:dyDescent="0.35">
      <c r="A1523" s="92"/>
      <c r="F1523" s="726"/>
      <c r="G1523" s="735"/>
      <c r="H1523" s="93"/>
      <c r="I1523" s="750"/>
      <c r="J1523" s="750"/>
    </row>
    <row r="1524" spans="1:10" x14ac:dyDescent="0.35">
      <c r="A1524" s="92"/>
      <c r="F1524" s="726"/>
      <c r="G1524" s="735"/>
      <c r="H1524" s="93"/>
      <c r="I1524" s="750"/>
      <c r="J1524" s="750"/>
    </row>
    <row r="1525" spans="1:10" x14ac:dyDescent="0.35">
      <c r="A1525" s="92"/>
      <c r="F1525" s="726"/>
      <c r="G1525" s="735"/>
      <c r="H1525" s="93"/>
      <c r="I1525" s="750"/>
      <c r="J1525" s="750"/>
    </row>
    <row r="1526" spans="1:10" x14ac:dyDescent="0.35">
      <c r="A1526" s="92"/>
      <c r="F1526" s="726"/>
      <c r="G1526" s="735"/>
      <c r="H1526" s="93"/>
      <c r="I1526" s="750"/>
      <c r="J1526" s="750"/>
    </row>
    <row r="1527" spans="1:10" x14ac:dyDescent="0.35">
      <c r="A1527" s="92"/>
      <c r="F1527" s="726"/>
      <c r="G1527" s="735"/>
      <c r="H1527" s="93"/>
      <c r="I1527" s="750"/>
      <c r="J1527" s="750"/>
    </row>
    <row r="1528" spans="1:10" x14ac:dyDescent="0.35">
      <c r="A1528" s="92"/>
      <c r="F1528" s="726"/>
      <c r="G1528" s="735"/>
      <c r="H1528" s="93"/>
      <c r="I1528" s="750"/>
      <c r="J1528" s="750"/>
    </row>
    <row r="1529" spans="1:10" x14ac:dyDescent="0.35">
      <c r="A1529" s="92"/>
      <c r="F1529" s="726"/>
      <c r="G1529" s="735"/>
      <c r="H1529" s="93"/>
      <c r="I1529" s="750"/>
      <c r="J1529" s="750"/>
    </row>
    <row r="1530" spans="1:10" x14ac:dyDescent="0.35">
      <c r="A1530" s="92"/>
      <c r="F1530" s="726"/>
      <c r="G1530" s="735"/>
      <c r="H1530" s="93"/>
      <c r="I1530" s="750"/>
      <c r="J1530" s="750"/>
    </row>
    <row r="1531" spans="1:10" x14ac:dyDescent="0.35">
      <c r="A1531" s="92"/>
      <c r="F1531" s="726"/>
      <c r="G1531" s="735"/>
      <c r="H1531" s="93"/>
      <c r="I1531" s="750"/>
      <c r="J1531" s="750"/>
    </row>
    <row r="1532" spans="1:10" x14ac:dyDescent="0.35">
      <c r="A1532" s="92"/>
      <c r="F1532" s="726"/>
      <c r="G1532" s="735"/>
      <c r="H1532" s="93"/>
      <c r="I1532" s="750"/>
      <c r="J1532" s="750"/>
    </row>
    <row r="1533" spans="1:10" x14ac:dyDescent="0.35">
      <c r="A1533" s="92"/>
      <c r="F1533" s="726"/>
      <c r="G1533" s="735"/>
      <c r="H1533" s="93"/>
      <c r="I1533" s="750"/>
      <c r="J1533" s="750"/>
    </row>
    <row r="1534" spans="1:10" x14ac:dyDescent="0.35">
      <c r="A1534" s="92"/>
      <c r="F1534" s="726"/>
      <c r="G1534" s="735"/>
      <c r="H1534" s="93"/>
      <c r="I1534" s="750"/>
      <c r="J1534" s="750"/>
    </row>
    <row r="1535" spans="1:10" x14ac:dyDescent="0.35">
      <c r="A1535" s="92"/>
      <c r="F1535" s="726"/>
      <c r="G1535" s="735"/>
      <c r="H1535" s="93"/>
      <c r="I1535" s="750"/>
      <c r="J1535" s="750"/>
    </row>
    <row r="1536" spans="1:10" x14ac:dyDescent="0.35">
      <c r="A1536" s="92"/>
      <c r="F1536" s="726"/>
      <c r="G1536" s="735"/>
      <c r="H1536" s="93"/>
      <c r="I1536" s="750"/>
      <c r="J1536" s="750"/>
    </row>
    <row r="1537" spans="1:10" x14ac:dyDescent="0.35">
      <c r="A1537" s="92"/>
      <c r="F1537" s="726"/>
      <c r="G1537" s="735"/>
      <c r="H1537" s="93"/>
      <c r="I1537" s="750"/>
      <c r="J1537" s="750"/>
    </row>
    <row r="1538" spans="1:10" x14ac:dyDescent="0.35">
      <c r="A1538" s="92"/>
      <c r="F1538" s="726"/>
      <c r="G1538" s="735"/>
      <c r="H1538" s="93"/>
      <c r="I1538" s="750"/>
      <c r="J1538" s="750"/>
    </row>
    <row r="1539" spans="1:10" x14ac:dyDescent="0.35">
      <c r="A1539" s="92"/>
      <c r="F1539" s="726"/>
      <c r="G1539" s="735"/>
      <c r="H1539" s="93"/>
      <c r="I1539" s="750"/>
      <c r="J1539" s="750"/>
    </row>
    <row r="1540" spans="1:10" x14ac:dyDescent="0.35">
      <c r="A1540" s="92"/>
      <c r="F1540" s="726"/>
      <c r="G1540" s="735"/>
      <c r="H1540" s="93"/>
      <c r="I1540" s="750"/>
      <c r="J1540" s="750"/>
    </row>
    <row r="1541" spans="1:10" x14ac:dyDescent="0.35">
      <c r="A1541" s="92"/>
      <c r="F1541" s="726"/>
      <c r="G1541" s="735"/>
      <c r="H1541" s="93"/>
      <c r="I1541" s="750"/>
      <c r="J1541" s="750"/>
    </row>
    <row r="1542" spans="1:10" x14ac:dyDescent="0.35">
      <c r="A1542" s="92"/>
      <c r="F1542" s="726"/>
      <c r="G1542" s="735"/>
      <c r="H1542" s="93"/>
      <c r="I1542" s="750"/>
      <c r="J1542" s="750"/>
    </row>
    <row r="1543" spans="1:10" x14ac:dyDescent="0.35">
      <c r="A1543" s="92"/>
      <c r="F1543" s="726"/>
      <c r="G1543" s="735"/>
      <c r="H1543" s="93"/>
      <c r="I1543" s="750"/>
      <c r="J1543" s="750"/>
    </row>
    <row r="1544" spans="1:10" x14ac:dyDescent="0.35">
      <c r="A1544" s="92"/>
      <c r="F1544" s="726"/>
      <c r="G1544" s="735"/>
      <c r="H1544" s="93"/>
      <c r="I1544" s="750"/>
      <c r="J1544" s="750"/>
    </row>
    <row r="1545" spans="1:10" x14ac:dyDescent="0.35">
      <c r="A1545" s="92"/>
      <c r="F1545" s="726"/>
      <c r="G1545" s="735"/>
      <c r="H1545" s="93"/>
      <c r="I1545" s="750"/>
      <c r="J1545" s="750"/>
    </row>
    <row r="1546" spans="1:10" x14ac:dyDescent="0.35">
      <c r="A1546" s="92"/>
      <c r="F1546" s="726"/>
      <c r="G1546" s="735"/>
      <c r="H1546" s="93"/>
      <c r="I1546" s="750"/>
      <c r="J1546" s="750"/>
    </row>
    <row r="1547" spans="1:10" x14ac:dyDescent="0.35">
      <c r="A1547" s="92"/>
      <c r="F1547" s="726"/>
      <c r="G1547" s="735"/>
      <c r="H1547" s="93"/>
      <c r="I1547" s="750"/>
      <c r="J1547" s="750"/>
    </row>
    <row r="1548" spans="1:10" x14ac:dyDescent="0.35">
      <c r="A1548" s="92"/>
      <c r="F1548" s="726"/>
      <c r="G1548" s="735"/>
      <c r="H1548" s="93"/>
      <c r="I1548" s="750"/>
      <c r="J1548" s="750"/>
    </row>
    <row r="1549" spans="1:10" x14ac:dyDescent="0.35">
      <c r="A1549" s="92"/>
      <c r="F1549" s="726"/>
      <c r="G1549" s="735"/>
      <c r="H1549" s="93"/>
      <c r="I1549" s="750"/>
      <c r="J1549" s="750"/>
    </row>
    <row r="1550" spans="1:10" x14ac:dyDescent="0.35">
      <c r="A1550" s="92"/>
      <c r="F1550" s="726"/>
      <c r="G1550" s="735"/>
      <c r="H1550" s="93"/>
      <c r="I1550" s="750"/>
      <c r="J1550" s="750"/>
    </row>
    <row r="1551" spans="1:10" x14ac:dyDescent="0.35">
      <c r="A1551" s="92"/>
      <c r="F1551" s="726"/>
      <c r="G1551" s="735"/>
      <c r="H1551" s="93"/>
      <c r="I1551" s="750"/>
      <c r="J1551" s="750"/>
    </row>
    <row r="1552" spans="1:10" x14ac:dyDescent="0.35">
      <c r="A1552" s="92"/>
      <c r="F1552" s="726"/>
      <c r="G1552" s="735"/>
      <c r="H1552" s="93"/>
      <c r="I1552" s="750"/>
      <c r="J1552" s="750"/>
    </row>
    <row r="1553" spans="1:10" x14ac:dyDescent="0.35">
      <c r="A1553" s="92"/>
      <c r="F1553" s="726"/>
      <c r="G1553" s="735"/>
      <c r="H1553" s="93"/>
      <c r="I1553" s="750"/>
      <c r="J1553" s="750"/>
    </row>
    <row r="1554" spans="1:10" x14ac:dyDescent="0.35">
      <c r="A1554" s="92"/>
      <c r="F1554" s="726"/>
      <c r="G1554" s="735"/>
      <c r="H1554" s="93"/>
      <c r="I1554" s="750"/>
      <c r="J1554" s="750"/>
    </row>
    <row r="1555" spans="1:10" x14ac:dyDescent="0.35">
      <c r="A1555" s="92"/>
      <c r="F1555" s="726"/>
      <c r="G1555" s="735"/>
      <c r="H1555" s="93"/>
      <c r="I1555" s="750"/>
      <c r="J1555" s="750"/>
    </row>
    <row r="1556" spans="1:10" x14ac:dyDescent="0.35">
      <c r="A1556" s="92"/>
      <c r="F1556" s="726"/>
      <c r="G1556" s="735"/>
      <c r="H1556" s="93"/>
      <c r="I1556" s="750"/>
      <c r="J1556" s="750"/>
    </row>
    <row r="1557" spans="1:10" x14ac:dyDescent="0.35">
      <c r="A1557" s="92"/>
      <c r="F1557" s="726"/>
      <c r="G1557" s="735"/>
      <c r="H1557" s="93"/>
      <c r="I1557" s="750"/>
      <c r="J1557" s="750"/>
    </row>
    <row r="1558" spans="1:10" x14ac:dyDescent="0.35">
      <c r="A1558" s="92"/>
      <c r="F1558" s="726"/>
      <c r="G1558" s="735"/>
      <c r="H1558" s="93"/>
      <c r="I1558" s="750"/>
      <c r="J1558" s="750"/>
    </row>
    <row r="1559" spans="1:10" x14ac:dyDescent="0.35">
      <c r="A1559" s="92"/>
      <c r="F1559" s="726"/>
      <c r="G1559" s="735"/>
      <c r="H1559" s="93"/>
      <c r="I1559" s="750"/>
      <c r="J1559" s="750"/>
    </row>
    <row r="1560" spans="1:10" x14ac:dyDescent="0.35">
      <c r="A1560" s="92"/>
      <c r="F1560" s="726"/>
      <c r="G1560" s="735"/>
      <c r="H1560" s="93"/>
      <c r="I1560" s="750"/>
      <c r="J1560" s="750"/>
    </row>
    <row r="1561" spans="1:10" x14ac:dyDescent="0.35">
      <c r="A1561" s="92"/>
      <c r="F1561" s="726"/>
      <c r="G1561" s="735"/>
      <c r="H1561" s="93"/>
      <c r="I1561" s="750"/>
      <c r="J1561" s="750"/>
    </row>
    <row r="1562" spans="1:10" x14ac:dyDescent="0.35">
      <c r="A1562" s="92"/>
      <c r="F1562" s="726"/>
      <c r="G1562" s="735"/>
      <c r="H1562" s="93"/>
      <c r="I1562" s="750"/>
      <c r="J1562" s="750"/>
    </row>
    <row r="1563" spans="1:10" x14ac:dyDescent="0.35">
      <c r="A1563" s="92"/>
      <c r="F1563" s="726"/>
      <c r="G1563" s="735"/>
      <c r="H1563" s="93"/>
      <c r="I1563" s="750"/>
      <c r="J1563" s="750"/>
    </row>
    <row r="1564" spans="1:10" x14ac:dyDescent="0.35">
      <c r="A1564" s="92"/>
      <c r="F1564" s="726"/>
      <c r="G1564" s="735"/>
      <c r="H1564" s="93"/>
      <c r="I1564" s="750"/>
      <c r="J1564" s="750"/>
    </row>
    <row r="1565" spans="1:10" x14ac:dyDescent="0.35">
      <c r="A1565" s="92"/>
      <c r="F1565" s="726"/>
      <c r="G1565" s="735"/>
      <c r="H1565" s="93"/>
      <c r="I1565" s="750"/>
      <c r="J1565" s="750"/>
    </row>
    <row r="1566" spans="1:10" x14ac:dyDescent="0.35">
      <c r="A1566" s="92"/>
      <c r="F1566" s="726"/>
      <c r="G1566" s="735"/>
      <c r="H1566" s="93"/>
      <c r="I1566" s="750"/>
      <c r="J1566" s="750"/>
    </row>
    <row r="1567" spans="1:10" x14ac:dyDescent="0.35">
      <c r="A1567" s="92"/>
      <c r="F1567" s="726"/>
      <c r="G1567" s="735"/>
      <c r="H1567" s="93"/>
      <c r="I1567" s="750"/>
      <c r="J1567" s="750"/>
    </row>
    <row r="1568" spans="1:10" x14ac:dyDescent="0.35">
      <c r="A1568" s="92"/>
      <c r="F1568" s="726"/>
      <c r="G1568" s="735"/>
      <c r="H1568" s="93"/>
      <c r="I1568" s="750"/>
      <c r="J1568" s="750"/>
    </row>
    <row r="1569" spans="1:10" x14ac:dyDescent="0.35">
      <c r="A1569" s="92"/>
      <c r="F1569" s="726"/>
      <c r="G1569" s="735"/>
      <c r="H1569" s="93"/>
      <c r="I1569" s="750"/>
      <c r="J1569" s="750"/>
    </row>
    <row r="1570" spans="1:10" x14ac:dyDescent="0.35">
      <c r="A1570" s="92"/>
      <c r="F1570" s="726"/>
      <c r="G1570" s="735"/>
      <c r="H1570" s="93"/>
      <c r="I1570" s="750"/>
      <c r="J1570" s="750"/>
    </row>
    <row r="1571" spans="1:10" x14ac:dyDescent="0.35">
      <c r="A1571" s="92"/>
      <c r="F1571" s="726"/>
      <c r="G1571" s="735"/>
      <c r="H1571" s="93"/>
      <c r="I1571" s="750"/>
      <c r="J1571" s="750"/>
    </row>
    <row r="1572" spans="1:10" x14ac:dyDescent="0.35">
      <c r="A1572" s="92"/>
      <c r="F1572" s="726"/>
      <c r="G1572" s="735"/>
      <c r="H1572" s="93"/>
      <c r="I1572" s="750"/>
      <c r="J1572" s="750"/>
    </row>
    <row r="1573" spans="1:10" x14ac:dyDescent="0.35">
      <c r="A1573" s="92"/>
      <c r="F1573" s="726"/>
      <c r="G1573" s="735"/>
      <c r="H1573" s="93"/>
      <c r="I1573" s="750"/>
      <c r="J1573" s="750"/>
    </row>
    <row r="1574" spans="1:10" x14ac:dyDescent="0.35">
      <c r="A1574" s="92"/>
      <c r="F1574" s="726"/>
      <c r="G1574" s="735"/>
      <c r="H1574" s="93"/>
      <c r="I1574" s="750"/>
      <c r="J1574" s="750"/>
    </row>
    <row r="1575" spans="1:10" x14ac:dyDescent="0.35">
      <c r="A1575" s="92"/>
      <c r="F1575" s="726"/>
      <c r="G1575" s="735"/>
      <c r="H1575" s="93"/>
      <c r="I1575" s="750"/>
      <c r="J1575" s="750"/>
    </row>
    <row r="1576" spans="1:10" x14ac:dyDescent="0.35">
      <c r="A1576" s="92"/>
      <c r="F1576" s="726"/>
      <c r="G1576" s="735"/>
      <c r="H1576" s="93"/>
      <c r="I1576" s="750"/>
      <c r="J1576" s="750"/>
    </row>
    <row r="1577" spans="1:10" x14ac:dyDescent="0.35">
      <c r="A1577" s="92"/>
      <c r="F1577" s="726"/>
      <c r="G1577" s="735"/>
      <c r="H1577" s="93"/>
      <c r="I1577" s="750"/>
      <c r="J1577" s="750"/>
    </row>
    <row r="1578" spans="1:10" x14ac:dyDescent="0.35">
      <c r="A1578" s="92"/>
      <c r="F1578" s="726"/>
      <c r="G1578" s="735"/>
      <c r="H1578" s="93"/>
      <c r="I1578" s="750"/>
      <c r="J1578" s="750"/>
    </row>
    <row r="1579" spans="1:10" x14ac:dyDescent="0.35">
      <c r="A1579" s="92"/>
      <c r="F1579" s="726"/>
      <c r="G1579" s="735"/>
      <c r="H1579" s="93"/>
      <c r="I1579" s="750"/>
      <c r="J1579" s="750"/>
    </row>
    <row r="1580" spans="1:10" x14ac:dyDescent="0.35">
      <c r="A1580" s="92"/>
      <c r="F1580" s="726"/>
      <c r="G1580" s="735"/>
      <c r="H1580" s="93"/>
      <c r="I1580" s="750"/>
      <c r="J1580" s="750"/>
    </row>
    <row r="1581" spans="1:10" x14ac:dyDescent="0.35">
      <c r="A1581" s="92"/>
      <c r="F1581" s="726"/>
      <c r="G1581" s="735"/>
      <c r="H1581" s="93"/>
      <c r="I1581" s="750"/>
      <c r="J1581" s="750"/>
    </row>
    <row r="1582" spans="1:10" x14ac:dyDescent="0.35">
      <c r="A1582" s="92"/>
      <c r="F1582" s="726"/>
      <c r="G1582" s="735"/>
      <c r="H1582" s="93"/>
      <c r="I1582" s="750"/>
      <c r="J1582" s="750"/>
    </row>
    <row r="1583" spans="1:10" x14ac:dyDescent="0.35">
      <c r="A1583" s="92"/>
      <c r="F1583" s="726"/>
      <c r="G1583" s="735"/>
      <c r="H1583" s="93"/>
      <c r="I1583" s="750"/>
      <c r="J1583" s="750"/>
    </row>
    <row r="1584" spans="1:10" x14ac:dyDescent="0.35">
      <c r="A1584" s="92"/>
      <c r="F1584" s="726"/>
      <c r="G1584" s="735"/>
      <c r="H1584" s="93"/>
      <c r="I1584" s="750"/>
      <c r="J1584" s="750"/>
    </row>
    <row r="1585" spans="1:10" x14ac:dyDescent="0.35">
      <c r="A1585" s="92"/>
      <c r="F1585" s="726"/>
      <c r="G1585" s="735"/>
      <c r="H1585" s="93"/>
      <c r="I1585" s="750"/>
      <c r="J1585" s="750"/>
    </row>
    <row r="1586" spans="1:10" x14ac:dyDescent="0.35">
      <c r="A1586" s="92"/>
      <c r="F1586" s="726"/>
      <c r="G1586" s="735"/>
      <c r="H1586" s="93"/>
      <c r="I1586" s="750"/>
      <c r="J1586" s="750"/>
    </row>
    <row r="1587" spans="1:10" x14ac:dyDescent="0.35">
      <c r="A1587" s="92"/>
      <c r="F1587" s="726"/>
      <c r="G1587" s="735"/>
      <c r="H1587" s="93"/>
      <c r="I1587" s="750"/>
      <c r="J1587" s="750"/>
    </row>
    <row r="1588" spans="1:10" x14ac:dyDescent="0.35">
      <c r="A1588" s="92"/>
      <c r="F1588" s="726"/>
      <c r="G1588" s="735"/>
      <c r="H1588" s="93"/>
      <c r="I1588" s="750"/>
      <c r="J1588" s="750"/>
    </row>
    <row r="1589" spans="1:10" x14ac:dyDescent="0.35">
      <c r="A1589" s="92"/>
      <c r="F1589" s="726"/>
      <c r="G1589" s="735"/>
      <c r="H1589" s="93"/>
      <c r="I1589" s="750"/>
      <c r="J1589" s="750"/>
    </row>
    <row r="1590" spans="1:10" x14ac:dyDescent="0.35">
      <c r="A1590" s="92"/>
      <c r="F1590" s="726"/>
      <c r="G1590" s="735"/>
      <c r="H1590" s="93"/>
      <c r="I1590" s="750"/>
      <c r="J1590" s="750"/>
    </row>
    <row r="1591" spans="1:10" x14ac:dyDescent="0.35">
      <c r="A1591" s="92"/>
      <c r="F1591" s="726"/>
      <c r="G1591" s="735"/>
      <c r="H1591" s="93"/>
      <c r="I1591" s="750"/>
      <c r="J1591" s="750"/>
    </row>
    <row r="1592" spans="1:10" x14ac:dyDescent="0.35">
      <c r="A1592" s="92"/>
      <c r="F1592" s="726"/>
      <c r="G1592" s="735"/>
      <c r="H1592" s="93"/>
      <c r="I1592" s="750"/>
      <c r="J1592" s="750"/>
    </row>
    <row r="1593" spans="1:10" x14ac:dyDescent="0.35">
      <c r="A1593" s="92"/>
      <c r="F1593" s="726"/>
      <c r="G1593" s="735"/>
      <c r="H1593" s="93"/>
      <c r="I1593" s="750"/>
      <c r="J1593" s="750"/>
    </row>
    <row r="1594" spans="1:10" x14ac:dyDescent="0.35">
      <c r="A1594" s="92"/>
      <c r="F1594" s="726"/>
      <c r="G1594" s="735"/>
      <c r="H1594" s="93"/>
      <c r="I1594" s="750"/>
      <c r="J1594" s="750"/>
    </row>
    <row r="1595" spans="1:10" x14ac:dyDescent="0.35">
      <c r="A1595" s="92"/>
      <c r="F1595" s="726"/>
      <c r="G1595" s="735"/>
      <c r="H1595" s="93"/>
      <c r="I1595" s="750"/>
      <c r="J1595" s="750"/>
    </row>
    <row r="1596" spans="1:10" x14ac:dyDescent="0.35">
      <c r="A1596" s="92"/>
      <c r="F1596" s="726"/>
      <c r="G1596" s="735"/>
      <c r="H1596" s="93"/>
      <c r="I1596" s="750"/>
      <c r="J1596" s="750"/>
    </row>
    <row r="1597" spans="1:10" x14ac:dyDescent="0.35">
      <c r="A1597" s="92"/>
      <c r="F1597" s="726"/>
      <c r="G1597" s="735"/>
      <c r="H1597" s="93"/>
      <c r="I1597" s="750"/>
      <c r="J1597" s="750"/>
    </row>
    <row r="1598" spans="1:10" x14ac:dyDescent="0.35">
      <c r="A1598" s="92"/>
      <c r="F1598" s="726"/>
      <c r="G1598" s="735"/>
      <c r="H1598" s="93"/>
      <c r="I1598" s="750"/>
      <c r="J1598" s="750"/>
    </row>
    <row r="1599" spans="1:10" x14ac:dyDescent="0.35">
      <c r="A1599" s="92"/>
      <c r="F1599" s="726"/>
      <c r="G1599" s="735"/>
      <c r="H1599" s="93"/>
      <c r="I1599" s="750"/>
      <c r="J1599" s="750"/>
    </row>
    <row r="1600" spans="1:10" x14ac:dyDescent="0.35">
      <c r="A1600" s="92"/>
      <c r="F1600" s="726"/>
      <c r="G1600" s="735"/>
      <c r="H1600" s="93"/>
      <c r="I1600" s="750"/>
      <c r="J1600" s="750"/>
    </row>
    <row r="1601" spans="1:10" x14ac:dyDescent="0.35">
      <c r="A1601" s="92"/>
      <c r="F1601" s="726"/>
      <c r="G1601" s="735"/>
      <c r="H1601" s="93"/>
      <c r="I1601" s="750"/>
      <c r="J1601" s="750"/>
    </row>
    <row r="1602" spans="1:10" x14ac:dyDescent="0.35">
      <c r="A1602" s="92"/>
      <c r="F1602" s="726"/>
      <c r="G1602" s="735"/>
      <c r="H1602" s="93"/>
      <c r="I1602" s="750"/>
      <c r="J1602" s="750"/>
    </row>
    <row r="1603" spans="1:10" x14ac:dyDescent="0.35">
      <c r="A1603" s="92"/>
      <c r="F1603" s="726"/>
      <c r="G1603" s="735"/>
      <c r="H1603" s="93"/>
      <c r="I1603" s="750"/>
      <c r="J1603" s="750"/>
    </row>
    <row r="1604" spans="1:10" x14ac:dyDescent="0.35">
      <c r="A1604" s="92"/>
      <c r="F1604" s="726"/>
      <c r="G1604" s="735"/>
      <c r="H1604" s="93"/>
      <c r="I1604" s="750"/>
      <c r="J1604" s="750"/>
    </row>
    <row r="1605" spans="1:10" x14ac:dyDescent="0.35">
      <c r="A1605" s="92"/>
      <c r="F1605" s="726"/>
      <c r="G1605" s="735"/>
      <c r="H1605" s="93"/>
      <c r="I1605" s="750"/>
      <c r="J1605" s="750"/>
    </row>
    <row r="1606" spans="1:10" x14ac:dyDescent="0.35">
      <c r="A1606" s="92"/>
      <c r="F1606" s="726"/>
      <c r="G1606" s="735"/>
      <c r="H1606" s="93"/>
      <c r="I1606" s="750"/>
      <c r="J1606" s="750"/>
    </row>
    <row r="1607" spans="1:10" x14ac:dyDescent="0.35">
      <c r="A1607" s="92"/>
      <c r="F1607" s="726"/>
      <c r="G1607" s="735"/>
      <c r="H1607" s="93"/>
      <c r="I1607" s="750"/>
      <c r="J1607" s="750"/>
    </row>
    <row r="1608" spans="1:10" x14ac:dyDescent="0.35">
      <c r="A1608" s="92"/>
      <c r="F1608" s="726"/>
      <c r="G1608" s="735"/>
      <c r="H1608" s="93"/>
      <c r="I1608" s="750"/>
      <c r="J1608" s="750"/>
    </row>
    <row r="1609" spans="1:10" x14ac:dyDescent="0.35">
      <c r="A1609" s="92"/>
      <c r="F1609" s="726"/>
      <c r="G1609" s="735"/>
      <c r="H1609" s="93"/>
      <c r="I1609" s="750"/>
      <c r="J1609" s="750"/>
    </row>
    <row r="1610" spans="1:10" x14ac:dyDescent="0.35">
      <c r="A1610" s="92"/>
      <c r="F1610" s="726"/>
      <c r="G1610" s="735"/>
      <c r="H1610" s="93"/>
      <c r="I1610" s="750"/>
      <c r="J1610" s="750"/>
    </row>
    <row r="1611" spans="1:10" x14ac:dyDescent="0.35">
      <c r="A1611" s="92"/>
      <c r="F1611" s="726"/>
      <c r="G1611" s="735"/>
      <c r="H1611" s="93"/>
      <c r="I1611" s="750"/>
      <c r="J1611" s="750"/>
    </row>
    <row r="1612" spans="1:10" x14ac:dyDescent="0.35">
      <c r="A1612" s="92"/>
      <c r="F1612" s="726"/>
      <c r="G1612" s="735"/>
      <c r="H1612" s="93"/>
      <c r="I1612" s="750"/>
      <c r="J1612" s="750"/>
    </row>
    <row r="1613" spans="1:10" x14ac:dyDescent="0.35">
      <c r="A1613" s="92"/>
      <c r="F1613" s="726"/>
      <c r="G1613" s="735"/>
      <c r="H1613" s="93"/>
      <c r="I1613" s="750"/>
      <c r="J1613" s="750"/>
    </row>
    <row r="1614" spans="1:10" x14ac:dyDescent="0.35">
      <c r="A1614" s="92"/>
      <c r="F1614" s="726"/>
      <c r="G1614" s="735"/>
      <c r="H1614" s="93"/>
      <c r="I1614" s="750"/>
      <c r="J1614" s="750"/>
    </row>
    <row r="1615" spans="1:10" x14ac:dyDescent="0.35">
      <c r="A1615" s="92"/>
      <c r="F1615" s="726"/>
      <c r="G1615" s="735"/>
      <c r="H1615" s="93"/>
      <c r="I1615" s="750"/>
      <c r="J1615" s="750"/>
    </row>
    <row r="1616" spans="1:10" x14ac:dyDescent="0.35">
      <c r="A1616" s="92"/>
      <c r="F1616" s="726"/>
      <c r="G1616" s="735"/>
      <c r="H1616" s="93"/>
      <c r="I1616" s="750"/>
      <c r="J1616" s="750"/>
    </row>
    <row r="1617" spans="1:10" x14ac:dyDescent="0.35">
      <c r="A1617" s="92"/>
      <c r="F1617" s="726"/>
      <c r="G1617" s="735"/>
      <c r="H1617" s="93"/>
      <c r="I1617" s="750"/>
      <c r="J1617" s="750"/>
    </row>
    <row r="1618" spans="1:10" x14ac:dyDescent="0.35">
      <c r="A1618" s="92"/>
      <c r="F1618" s="726"/>
      <c r="G1618" s="735"/>
      <c r="H1618" s="93"/>
      <c r="I1618" s="750"/>
      <c r="J1618" s="750"/>
    </row>
    <row r="1619" spans="1:10" x14ac:dyDescent="0.35">
      <c r="A1619" s="92"/>
      <c r="F1619" s="726"/>
      <c r="G1619" s="735"/>
      <c r="H1619" s="93"/>
      <c r="I1619" s="750"/>
      <c r="J1619" s="750"/>
    </row>
    <row r="1620" spans="1:10" x14ac:dyDescent="0.35">
      <c r="A1620" s="92"/>
      <c r="F1620" s="726"/>
      <c r="G1620" s="735"/>
      <c r="H1620" s="93"/>
      <c r="I1620" s="750"/>
      <c r="J1620" s="750"/>
    </row>
    <row r="1621" spans="1:10" x14ac:dyDescent="0.35">
      <c r="A1621" s="92"/>
      <c r="F1621" s="726"/>
      <c r="G1621" s="735"/>
      <c r="H1621" s="93"/>
      <c r="I1621" s="750"/>
      <c r="J1621" s="750"/>
    </row>
    <row r="1622" spans="1:10" x14ac:dyDescent="0.35">
      <c r="A1622" s="92"/>
      <c r="F1622" s="726"/>
      <c r="G1622" s="735"/>
      <c r="H1622" s="93"/>
      <c r="I1622" s="750"/>
      <c r="J1622" s="750"/>
    </row>
    <row r="1623" spans="1:10" x14ac:dyDescent="0.35">
      <c r="A1623" s="92"/>
      <c r="F1623" s="726"/>
      <c r="G1623" s="735"/>
      <c r="H1623" s="93"/>
      <c r="I1623" s="750"/>
      <c r="J1623" s="750"/>
    </row>
    <row r="1624" spans="1:10" x14ac:dyDescent="0.35">
      <c r="A1624" s="92"/>
      <c r="F1624" s="726"/>
      <c r="G1624" s="735"/>
      <c r="H1624" s="93"/>
      <c r="I1624" s="750"/>
      <c r="J1624" s="750"/>
    </row>
    <row r="1625" spans="1:10" x14ac:dyDescent="0.35">
      <c r="A1625" s="92"/>
      <c r="F1625" s="726"/>
      <c r="G1625" s="735"/>
      <c r="H1625" s="93"/>
      <c r="I1625" s="750"/>
      <c r="J1625" s="750"/>
    </row>
    <row r="1626" spans="1:10" x14ac:dyDescent="0.35">
      <c r="A1626" s="92"/>
      <c r="F1626" s="726"/>
      <c r="G1626" s="735"/>
      <c r="H1626" s="93"/>
      <c r="I1626" s="750"/>
      <c r="J1626" s="750"/>
    </row>
    <row r="1627" spans="1:10" x14ac:dyDescent="0.35">
      <c r="A1627" s="92"/>
      <c r="F1627" s="726"/>
      <c r="G1627" s="735"/>
      <c r="H1627" s="93"/>
      <c r="I1627" s="750"/>
      <c r="J1627" s="750"/>
    </row>
    <row r="1628" spans="1:10" x14ac:dyDescent="0.35">
      <c r="A1628" s="92"/>
      <c r="F1628" s="726"/>
      <c r="G1628" s="735"/>
      <c r="H1628" s="93"/>
      <c r="I1628" s="750"/>
      <c r="J1628" s="750"/>
    </row>
    <row r="1629" spans="1:10" x14ac:dyDescent="0.35">
      <c r="A1629" s="92"/>
      <c r="F1629" s="726"/>
      <c r="G1629" s="735"/>
      <c r="H1629" s="93"/>
      <c r="I1629" s="750"/>
      <c r="J1629" s="750"/>
    </row>
    <row r="1630" spans="1:10" x14ac:dyDescent="0.35">
      <c r="A1630" s="92"/>
      <c r="F1630" s="726"/>
      <c r="G1630" s="735"/>
      <c r="H1630" s="93"/>
      <c r="I1630" s="750"/>
      <c r="J1630" s="750"/>
    </row>
    <row r="1631" spans="1:10" x14ac:dyDescent="0.35">
      <c r="A1631" s="92"/>
      <c r="F1631" s="726"/>
      <c r="G1631" s="735"/>
      <c r="H1631" s="93"/>
      <c r="I1631" s="750"/>
      <c r="J1631" s="750"/>
    </row>
    <row r="1632" spans="1:10" x14ac:dyDescent="0.35">
      <c r="A1632" s="92"/>
      <c r="F1632" s="726"/>
      <c r="G1632" s="735"/>
      <c r="H1632" s="93"/>
      <c r="I1632" s="750"/>
      <c r="J1632" s="750"/>
    </row>
    <row r="1633" spans="1:10" x14ac:dyDescent="0.35">
      <c r="A1633" s="92"/>
      <c r="F1633" s="726"/>
      <c r="G1633" s="735"/>
      <c r="H1633" s="93"/>
      <c r="I1633" s="750"/>
      <c r="J1633" s="750"/>
    </row>
    <row r="1634" spans="1:10" x14ac:dyDescent="0.35">
      <c r="A1634" s="92"/>
      <c r="F1634" s="726"/>
      <c r="G1634" s="735"/>
      <c r="H1634" s="93"/>
      <c r="I1634" s="750"/>
      <c r="J1634" s="750"/>
    </row>
    <row r="1635" spans="1:10" x14ac:dyDescent="0.35">
      <c r="A1635" s="92"/>
      <c r="F1635" s="726"/>
      <c r="G1635" s="735"/>
      <c r="H1635" s="93"/>
      <c r="I1635" s="750"/>
      <c r="J1635" s="750"/>
    </row>
    <row r="1636" spans="1:10" x14ac:dyDescent="0.35">
      <c r="A1636" s="92"/>
      <c r="F1636" s="726"/>
      <c r="G1636" s="735"/>
      <c r="H1636" s="93"/>
      <c r="I1636" s="750"/>
      <c r="J1636" s="750"/>
    </row>
    <row r="1637" spans="1:10" x14ac:dyDescent="0.35">
      <c r="A1637" s="92"/>
      <c r="F1637" s="726"/>
      <c r="G1637" s="735"/>
      <c r="H1637" s="93"/>
      <c r="I1637" s="750"/>
      <c r="J1637" s="750"/>
    </row>
    <row r="1638" spans="1:10" x14ac:dyDescent="0.35">
      <c r="A1638" s="92"/>
      <c r="F1638" s="726"/>
      <c r="G1638" s="735"/>
      <c r="H1638" s="93"/>
      <c r="I1638" s="750"/>
      <c r="J1638" s="750"/>
    </row>
    <row r="1639" spans="1:10" x14ac:dyDescent="0.35">
      <c r="A1639" s="92"/>
      <c r="F1639" s="726"/>
      <c r="G1639" s="735"/>
      <c r="H1639" s="93"/>
      <c r="I1639" s="750"/>
      <c r="J1639" s="750"/>
    </row>
    <row r="1640" spans="1:10" x14ac:dyDescent="0.35">
      <c r="A1640" s="92"/>
      <c r="F1640" s="726"/>
      <c r="G1640" s="735"/>
      <c r="H1640" s="93"/>
      <c r="I1640" s="750"/>
      <c r="J1640" s="750"/>
    </row>
    <row r="1641" spans="1:10" x14ac:dyDescent="0.35">
      <c r="A1641" s="92"/>
      <c r="F1641" s="726"/>
      <c r="G1641" s="735"/>
      <c r="H1641" s="93"/>
      <c r="I1641" s="750"/>
      <c r="J1641" s="750"/>
    </row>
    <row r="1642" spans="1:10" x14ac:dyDescent="0.35">
      <c r="A1642" s="92"/>
      <c r="F1642" s="726"/>
      <c r="G1642" s="735"/>
      <c r="H1642" s="93"/>
      <c r="I1642" s="750"/>
      <c r="J1642" s="750"/>
    </row>
    <row r="1643" spans="1:10" x14ac:dyDescent="0.35">
      <c r="A1643" s="92"/>
      <c r="F1643" s="726"/>
      <c r="G1643" s="735"/>
      <c r="H1643" s="93"/>
      <c r="I1643" s="750"/>
      <c r="J1643" s="750"/>
    </row>
    <row r="1644" spans="1:10" x14ac:dyDescent="0.35">
      <c r="A1644" s="92"/>
      <c r="F1644" s="726"/>
      <c r="G1644" s="735"/>
      <c r="H1644" s="93"/>
      <c r="I1644" s="750"/>
      <c r="J1644" s="750"/>
    </row>
    <row r="1645" spans="1:10" x14ac:dyDescent="0.35">
      <c r="A1645" s="92"/>
      <c r="F1645" s="726"/>
      <c r="G1645" s="735"/>
      <c r="H1645" s="93"/>
      <c r="I1645" s="750"/>
      <c r="J1645" s="750"/>
    </row>
    <row r="1646" spans="1:10" x14ac:dyDescent="0.35">
      <c r="A1646" s="92"/>
      <c r="F1646" s="726"/>
      <c r="G1646" s="735"/>
      <c r="H1646" s="93"/>
      <c r="I1646" s="750"/>
      <c r="J1646" s="750"/>
    </row>
    <row r="1647" spans="1:10" x14ac:dyDescent="0.35">
      <c r="A1647" s="92"/>
      <c r="F1647" s="726"/>
      <c r="G1647" s="735"/>
      <c r="H1647" s="93"/>
      <c r="I1647" s="750"/>
      <c r="J1647" s="750"/>
    </row>
    <row r="1648" spans="1:10" x14ac:dyDescent="0.35">
      <c r="A1648" s="92"/>
      <c r="F1648" s="726"/>
      <c r="G1648" s="735"/>
      <c r="H1648" s="93"/>
      <c r="I1648" s="750"/>
      <c r="J1648" s="750"/>
    </row>
    <row r="1649" spans="1:10" x14ac:dyDescent="0.35">
      <c r="A1649" s="92"/>
      <c r="F1649" s="726"/>
      <c r="G1649" s="735"/>
      <c r="H1649" s="93"/>
      <c r="I1649" s="750"/>
      <c r="J1649" s="750"/>
    </row>
    <row r="1650" spans="1:10" x14ac:dyDescent="0.35">
      <c r="A1650" s="92"/>
      <c r="F1650" s="726"/>
      <c r="G1650" s="735"/>
      <c r="H1650" s="93"/>
      <c r="I1650" s="750"/>
      <c r="J1650" s="750"/>
    </row>
    <row r="1651" spans="1:10" x14ac:dyDescent="0.35">
      <c r="A1651" s="92"/>
      <c r="F1651" s="726"/>
      <c r="G1651" s="735"/>
      <c r="H1651" s="93"/>
      <c r="I1651" s="750"/>
      <c r="J1651" s="750"/>
    </row>
    <row r="1652" spans="1:10" x14ac:dyDescent="0.35">
      <c r="A1652" s="92"/>
      <c r="F1652" s="726"/>
      <c r="G1652" s="735"/>
      <c r="H1652" s="93"/>
      <c r="I1652" s="750"/>
      <c r="J1652" s="750"/>
    </row>
    <row r="1653" spans="1:10" x14ac:dyDescent="0.35">
      <c r="A1653" s="92"/>
      <c r="F1653" s="726"/>
      <c r="G1653" s="735"/>
      <c r="H1653" s="93"/>
      <c r="I1653" s="750"/>
      <c r="J1653" s="750"/>
    </row>
    <row r="1654" spans="1:10" x14ac:dyDescent="0.35">
      <c r="A1654" s="92"/>
      <c r="F1654" s="726"/>
      <c r="G1654" s="735"/>
      <c r="H1654" s="93"/>
      <c r="I1654" s="750"/>
      <c r="J1654" s="750"/>
    </row>
    <row r="1655" spans="1:10" x14ac:dyDescent="0.35">
      <c r="A1655" s="92"/>
      <c r="F1655" s="726"/>
      <c r="G1655" s="735"/>
      <c r="H1655" s="93"/>
      <c r="I1655" s="750"/>
      <c r="J1655" s="750"/>
    </row>
    <row r="1656" spans="1:10" x14ac:dyDescent="0.35">
      <c r="A1656" s="92"/>
      <c r="F1656" s="726"/>
      <c r="G1656" s="735"/>
      <c r="H1656" s="93"/>
      <c r="I1656" s="750"/>
      <c r="J1656" s="750"/>
    </row>
    <row r="1657" spans="1:10" x14ac:dyDescent="0.35">
      <c r="A1657" s="92"/>
      <c r="F1657" s="726"/>
      <c r="G1657" s="735"/>
      <c r="H1657" s="93"/>
      <c r="I1657" s="750"/>
      <c r="J1657" s="750"/>
    </row>
    <row r="1658" spans="1:10" x14ac:dyDescent="0.35">
      <c r="A1658" s="92"/>
      <c r="F1658" s="726"/>
      <c r="G1658" s="735"/>
      <c r="H1658" s="93"/>
      <c r="I1658" s="750"/>
      <c r="J1658" s="750"/>
    </row>
    <row r="1659" spans="1:10" x14ac:dyDescent="0.35">
      <c r="A1659" s="92"/>
      <c r="F1659" s="726"/>
      <c r="G1659" s="735"/>
      <c r="H1659" s="93"/>
      <c r="I1659" s="750"/>
      <c r="J1659" s="750"/>
    </row>
    <row r="1660" spans="1:10" x14ac:dyDescent="0.35">
      <c r="A1660" s="92"/>
      <c r="F1660" s="726"/>
      <c r="G1660" s="735"/>
      <c r="H1660" s="93"/>
      <c r="I1660" s="750"/>
      <c r="J1660" s="750"/>
    </row>
    <row r="1661" spans="1:10" x14ac:dyDescent="0.35">
      <c r="A1661" s="92"/>
      <c r="F1661" s="726"/>
      <c r="G1661" s="735"/>
      <c r="H1661" s="93"/>
      <c r="I1661" s="750"/>
      <c r="J1661" s="750"/>
    </row>
    <row r="1662" spans="1:10" x14ac:dyDescent="0.35">
      <c r="A1662" s="92"/>
      <c r="F1662" s="726"/>
      <c r="G1662" s="735"/>
      <c r="H1662" s="93"/>
      <c r="I1662" s="750"/>
      <c r="J1662" s="750"/>
    </row>
    <row r="1663" spans="1:10" x14ac:dyDescent="0.35">
      <c r="A1663" s="92"/>
      <c r="F1663" s="726"/>
      <c r="G1663" s="735"/>
      <c r="H1663" s="93"/>
      <c r="I1663" s="750"/>
      <c r="J1663" s="750"/>
    </row>
    <row r="1664" spans="1:10" x14ac:dyDescent="0.35">
      <c r="A1664" s="92"/>
      <c r="F1664" s="726"/>
      <c r="G1664" s="735"/>
      <c r="H1664" s="93"/>
      <c r="I1664" s="750"/>
      <c r="J1664" s="750"/>
    </row>
    <row r="1665" spans="1:10" x14ac:dyDescent="0.35">
      <c r="A1665" s="92"/>
      <c r="F1665" s="726"/>
      <c r="G1665" s="735"/>
      <c r="H1665" s="93"/>
      <c r="I1665" s="750"/>
      <c r="J1665" s="750"/>
    </row>
    <row r="1666" spans="1:10" x14ac:dyDescent="0.35">
      <c r="A1666" s="92"/>
      <c r="F1666" s="726"/>
      <c r="G1666" s="735"/>
      <c r="H1666" s="93"/>
      <c r="I1666" s="750"/>
      <c r="J1666" s="750"/>
    </row>
    <row r="1667" spans="1:10" x14ac:dyDescent="0.35">
      <c r="A1667" s="92"/>
      <c r="F1667" s="726"/>
      <c r="G1667" s="735"/>
      <c r="H1667" s="93"/>
      <c r="I1667" s="750"/>
      <c r="J1667" s="750"/>
    </row>
    <row r="1668" spans="1:10" x14ac:dyDescent="0.35">
      <c r="A1668" s="92"/>
      <c r="F1668" s="726"/>
      <c r="G1668" s="735"/>
      <c r="H1668" s="93"/>
      <c r="I1668" s="750"/>
      <c r="J1668" s="750"/>
    </row>
    <row r="1669" spans="1:10" x14ac:dyDescent="0.35">
      <c r="A1669" s="92"/>
      <c r="F1669" s="726"/>
      <c r="G1669" s="735"/>
      <c r="H1669" s="93"/>
      <c r="I1669" s="750"/>
      <c r="J1669" s="750"/>
    </row>
    <row r="1670" spans="1:10" x14ac:dyDescent="0.35">
      <c r="A1670" s="92"/>
      <c r="F1670" s="726"/>
      <c r="G1670" s="735"/>
      <c r="H1670" s="93"/>
      <c r="I1670" s="750"/>
      <c r="J1670" s="750"/>
    </row>
    <row r="1671" spans="1:10" x14ac:dyDescent="0.35">
      <c r="A1671" s="92"/>
      <c r="F1671" s="726"/>
      <c r="G1671" s="735"/>
      <c r="H1671" s="93"/>
      <c r="I1671" s="750"/>
      <c r="J1671" s="750"/>
    </row>
    <row r="1672" spans="1:10" x14ac:dyDescent="0.35">
      <c r="A1672" s="92"/>
      <c r="F1672" s="726"/>
      <c r="G1672" s="735"/>
      <c r="H1672" s="93"/>
      <c r="I1672" s="750"/>
      <c r="J1672" s="750"/>
    </row>
    <row r="1673" spans="1:10" x14ac:dyDescent="0.35">
      <c r="A1673" s="92"/>
      <c r="F1673" s="726"/>
      <c r="G1673" s="735"/>
      <c r="H1673" s="93"/>
      <c r="I1673" s="750"/>
      <c r="J1673" s="750"/>
    </row>
    <row r="1674" spans="1:10" x14ac:dyDescent="0.35">
      <c r="A1674" s="92"/>
      <c r="F1674" s="726"/>
      <c r="G1674" s="735"/>
      <c r="H1674" s="93"/>
      <c r="I1674" s="750"/>
      <c r="J1674" s="750"/>
    </row>
    <row r="1675" spans="1:10" x14ac:dyDescent="0.35">
      <c r="A1675" s="92"/>
      <c r="F1675" s="726"/>
      <c r="G1675" s="735"/>
      <c r="H1675" s="93"/>
      <c r="I1675" s="750"/>
      <c r="J1675" s="750"/>
    </row>
    <row r="1676" spans="1:10" x14ac:dyDescent="0.35">
      <c r="A1676" s="92"/>
      <c r="F1676" s="726"/>
      <c r="G1676" s="735"/>
      <c r="H1676" s="93"/>
      <c r="I1676" s="750"/>
      <c r="J1676" s="750"/>
    </row>
    <row r="1677" spans="1:10" x14ac:dyDescent="0.35">
      <c r="A1677" s="92"/>
      <c r="F1677" s="726"/>
      <c r="G1677" s="735"/>
      <c r="H1677" s="93"/>
      <c r="I1677" s="750"/>
      <c r="J1677" s="750"/>
    </row>
    <row r="1678" spans="1:10" x14ac:dyDescent="0.35">
      <c r="A1678" s="92"/>
      <c r="F1678" s="726"/>
      <c r="G1678" s="735"/>
      <c r="H1678" s="93"/>
      <c r="I1678" s="750"/>
      <c r="J1678" s="750"/>
    </row>
    <row r="1679" spans="1:10" x14ac:dyDescent="0.35">
      <c r="A1679" s="92"/>
      <c r="F1679" s="726"/>
      <c r="G1679" s="735"/>
      <c r="H1679" s="93"/>
      <c r="I1679" s="750"/>
      <c r="J1679" s="750"/>
    </row>
    <row r="1680" spans="1:10" x14ac:dyDescent="0.35">
      <c r="A1680" s="92"/>
      <c r="F1680" s="726"/>
      <c r="G1680" s="735"/>
      <c r="H1680" s="93"/>
      <c r="I1680" s="750"/>
      <c r="J1680" s="750"/>
    </row>
    <row r="1681" spans="1:10" x14ac:dyDescent="0.35">
      <c r="A1681" s="92"/>
      <c r="F1681" s="726"/>
      <c r="G1681" s="735"/>
      <c r="H1681" s="93"/>
      <c r="I1681" s="750"/>
      <c r="J1681" s="750"/>
    </row>
    <row r="1682" spans="1:10" x14ac:dyDescent="0.35">
      <c r="A1682" s="92"/>
      <c r="F1682" s="726"/>
      <c r="G1682" s="735"/>
      <c r="H1682" s="93"/>
      <c r="I1682" s="750"/>
      <c r="J1682" s="750"/>
    </row>
    <row r="1683" spans="1:10" x14ac:dyDescent="0.35">
      <c r="A1683" s="92"/>
      <c r="F1683" s="726"/>
      <c r="G1683" s="735"/>
      <c r="H1683" s="93"/>
      <c r="I1683" s="750"/>
      <c r="J1683" s="750"/>
    </row>
    <row r="1684" spans="1:10" x14ac:dyDescent="0.35">
      <c r="A1684" s="92"/>
      <c r="F1684" s="726"/>
      <c r="G1684" s="735"/>
      <c r="H1684" s="93"/>
      <c r="I1684" s="750"/>
      <c r="J1684" s="750"/>
    </row>
    <row r="1685" spans="1:10" x14ac:dyDescent="0.35">
      <c r="A1685" s="92"/>
      <c r="F1685" s="726"/>
      <c r="G1685" s="735"/>
      <c r="H1685" s="93"/>
      <c r="I1685" s="750"/>
      <c r="J1685" s="750"/>
    </row>
    <row r="1686" spans="1:10" x14ac:dyDescent="0.35">
      <c r="A1686" s="92"/>
      <c r="F1686" s="726"/>
      <c r="G1686" s="735"/>
      <c r="H1686" s="93"/>
      <c r="I1686" s="750"/>
      <c r="J1686" s="750"/>
    </row>
    <row r="1687" spans="1:10" x14ac:dyDescent="0.35">
      <c r="A1687" s="92"/>
      <c r="F1687" s="726"/>
      <c r="G1687" s="735"/>
      <c r="H1687" s="93"/>
      <c r="I1687" s="750"/>
      <c r="J1687" s="750"/>
    </row>
    <row r="1688" spans="1:10" x14ac:dyDescent="0.35">
      <c r="A1688" s="92"/>
      <c r="F1688" s="726"/>
      <c r="G1688" s="735"/>
      <c r="H1688" s="93"/>
      <c r="I1688" s="750"/>
      <c r="J1688" s="750"/>
    </row>
    <row r="1689" spans="1:10" x14ac:dyDescent="0.35">
      <c r="A1689" s="92"/>
      <c r="F1689" s="726"/>
      <c r="G1689" s="735"/>
      <c r="H1689" s="93"/>
      <c r="I1689" s="750"/>
      <c r="J1689" s="750"/>
    </row>
    <row r="1690" spans="1:10" x14ac:dyDescent="0.35">
      <c r="A1690" s="92"/>
      <c r="F1690" s="726"/>
      <c r="G1690" s="735"/>
      <c r="H1690" s="93"/>
      <c r="I1690" s="750"/>
      <c r="J1690" s="750"/>
    </row>
    <row r="1691" spans="1:10" x14ac:dyDescent="0.35">
      <c r="A1691" s="92"/>
      <c r="F1691" s="726"/>
      <c r="G1691" s="735"/>
      <c r="H1691" s="93"/>
      <c r="I1691" s="750"/>
      <c r="J1691" s="750"/>
    </row>
    <row r="1692" spans="1:10" x14ac:dyDescent="0.35">
      <c r="A1692" s="92"/>
      <c r="F1692" s="726"/>
      <c r="G1692" s="735"/>
      <c r="H1692" s="93"/>
      <c r="I1692" s="750"/>
      <c r="J1692" s="750"/>
    </row>
    <row r="1693" spans="1:10" x14ac:dyDescent="0.35">
      <c r="A1693" s="92"/>
      <c r="F1693" s="726"/>
      <c r="G1693" s="735"/>
      <c r="H1693" s="93"/>
      <c r="I1693" s="750"/>
      <c r="J1693" s="750"/>
    </row>
    <row r="1694" spans="1:10" x14ac:dyDescent="0.35">
      <c r="A1694" s="92"/>
      <c r="F1694" s="726"/>
      <c r="G1694" s="735"/>
      <c r="H1694" s="93"/>
      <c r="I1694" s="750"/>
      <c r="J1694" s="750"/>
    </row>
    <row r="1695" spans="1:10" x14ac:dyDescent="0.35">
      <c r="A1695" s="92"/>
      <c r="F1695" s="726"/>
      <c r="G1695" s="735"/>
      <c r="H1695" s="93"/>
      <c r="I1695" s="750"/>
      <c r="J1695" s="750"/>
    </row>
    <row r="1696" spans="1:10" x14ac:dyDescent="0.35">
      <c r="A1696" s="92"/>
      <c r="F1696" s="726"/>
      <c r="G1696" s="735"/>
      <c r="H1696" s="93"/>
      <c r="I1696" s="750"/>
      <c r="J1696" s="750"/>
    </row>
    <row r="1697" spans="1:10" x14ac:dyDescent="0.35">
      <c r="A1697" s="92"/>
      <c r="F1697" s="726"/>
      <c r="G1697" s="735"/>
      <c r="H1697" s="93"/>
      <c r="I1697" s="750"/>
      <c r="J1697" s="750"/>
    </row>
    <row r="1698" spans="1:10" x14ac:dyDescent="0.35">
      <c r="A1698" s="92"/>
      <c r="F1698" s="726"/>
      <c r="G1698" s="735"/>
      <c r="H1698" s="93"/>
      <c r="I1698" s="750"/>
      <c r="J1698" s="750"/>
    </row>
    <row r="1699" spans="1:10" x14ac:dyDescent="0.35">
      <c r="A1699" s="92"/>
      <c r="F1699" s="726"/>
      <c r="G1699" s="735"/>
      <c r="H1699" s="93"/>
      <c r="I1699" s="750"/>
      <c r="J1699" s="750"/>
    </row>
    <row r="1700" spans="1:10" x14ac:dyDescent="0.35">
      <c r="A1700" s="92"/>
      <c r="F1700" s="726"/>
      <c r="G1700" s="735"/>
      <c r="H1700" s="93"/>
      <c r="I1700" s="750"/>
      <c r="J1700" s="750"/>
    </row>
    <row r="1701" spans="1:10" x14ac:dyDescent="0.35">
      <c r="A1701" s="92"/>
      <c r="F1701" s="726"/>
      <c r="G1701" s="735"/>
      <c r="H1701" s="93"/>
      <c r="I1701" s="750"/>
      <c r="J1701" s="750"/>
    </row>
    <row r="1702" spans="1:10" x14ac:dyDescent="0.35">
      <c r="A1702" s="92"/>
      <c r="F1702" s="726"/>
      <c r="G1702" s="735"/>
      <c r="H1702" s="93"/>
      <c r="I1702" s="750"/>
      <c r="J1702" s="750"/>
    </row>
    <row r="1703" spans="1:10" x14ac:dyDescent="0.35">
      <c r="A1703" s="92"/>
      <c r="F1703" s="726"/>
      <c r="G1703" s="735"/>
      <c r="H1703" s="93"/>
      <c r="I1703" s="750"/>
      <c r="J1703" s="750"/>
    </row>
    <row r="1704" spans="1:10" x14ac:dyDescent="0.35">
      <c r="A1704" s="92"/>
      <c r="F1704" s="726"/>
      <c r="G1704" s="735"/>
      <c r="H1704" s="93"/>
      <c r="I1704" s="750"/>
      <c r="J1704" s="750"/>
    </row>
    <row r="1705" spans="1:10" x14ac:dyDescent="0.35">
      <c r="A1705" s="92"/>
      <c r="F1705" s="726"/>
      <c r="G1705" s="735"/>
      <c r="H1705" s="93"/>
      <c r="I1705" s="750"/>
      <c r="J1705" s="750"/>
    </row>
    <row r="1706" spans="1:10" x14ac:dyDescent="0.35">
      <c r="A1706" s="92"/>
      <c r="F1706" s="726"/>
      <c r="G1706" s="735"/>
      <c r="H1706" s="93"/>
      <c r="I1706" s="750"/>
      <c r="J1706" s="750"/>
    </row>
    <row r="1707" spans="1:10" x14ac:dyDescent="0.35">
      <c r="A1707" s="92"/>
      <c r="F1707" s="726"/>
      <c r="G1707" s="735"/>
      <c r="H1707" s="93"/>
      <c r="I1707" s="750"/>
      <c r="J1707" s="750"/>
    </row>
    <row r="1708" spans="1:10" x14ac:dyDescent="0.35">
      <c r="A1708" s="92"/>
      <c r="F1708" s="726"/>
      <c r="G1708" s="735"/>
      <c r="H1708" s="93"/>
      <c r="I1708" s="750"/>
      <c r="J1708" s="750"/>
    </row>
    <row r="1709" spans="1:10" x14ac:dyDescent="0.35">
      <c r="A1709" s="92"/>
      <c r="F1709" s="726"/>
      <c r="G1709" s="735"/>
      <c r="H1709" s="93"/>
      <c r="I1709" s="750"/>
      <c r="J1709" s="750"/>
    </row>
    <row r="1710" spans="1:10" x14ac:dyDescent="0.35">
      <c r="A1710" s="92"/>
      <c r="F1710" s="726"/>
      <c r="G1710" s="735"/>
      <c r="H1710" s="93"/>
      <c r="I1710" s="750"/>
      <c r="J1710" s="750"/>
    </row>
    <row r="1711" spans="1:10" x14ac:dyDescent="0.35">
      <c r="A1711" s="92"/>
      <c r="F1711" s="726"/>
      <c r="G1711" s="735"/>
      <c r="H1711" s="93"/>
      <c r="I1711" s="750"/>
      <c r="J1711" s="750"/>
    </row>
    <row r="1712" spans="1:10" x14ac:dyDescent="0.35">
      <c r="A1712" s="92"/>
      <c r="F1712" s="726"/>
      <c r="G1712" s="735"/>
      <c r="H1712" s="93"/>
      <c r="I1712" s="750"/>
      <c r="J1712" s="750"/>
    </row>
    <row r="1713" spans="1:10" x14ac:dyDescent="0.35">
      <c r="A1713" s="92"/>
      <c r="F1713" s="726"/>
      <c r="G1713" s="735"/>
      <c r="H1713" s="93"/>
      <c r="I1713" s="750"/>
      <c r="J1713" s="750"/>
    </row>
    <row r="1714" spans="1:10" x14ac:dyDescent="0.35">
      <c r="A1714" s="92"/>
      <c r="F1714" s="726"/>
      <c r="G1714" s="735"/>
      <c r="H1714" s="93"/>
      <c r="I1714" s="750"/>
      <c r="J1714" s="750"/>
    </row>
    <row r="1715" spans="1:10" x14ac:dyDescent="0.35">
      <c r="A1715" s="92"/>
      <c r="F1715" s="726"/>
      <c r="G1715" s="735"/>
      <c r="H1715" s="93"/>
      <c r="I1715" s="750"/>
      <c r="J1715" s="750"/>
    </row>
    <row r="1716" spans="1:10" x14ac:dyDescent="0.35">
      <c r="A1716" s="92"/>
      <c r="F1716" s="726"/>
      <c r="G1716" s="735"/>
      <c r="H1716" s="93"/>
      <c r="I1716" s="750"/>
      <c r="J1716" s="750"/>
    </row>
    <row r="1717" spans="1:10" x14ac:dyDescent="0.35">
      <c r="A1717" s="92"/>
      <c r="F1717" s="726"/>
      <c r="G1717" s="735"/>
      <c r="H1717" s="93"/>
      <c r="I1717" s="750"/>
      <c r="J1717" s="750"/>
    </row>
    <row r="1718" spans="1:10" x14ac:dyDescent="0.35">
      <c r="A1718" s="92"/>
      <c r="F1718" s="726"/>
      <c r="G1718" s="735"/>
      <c r="H1718" s="93"/>
      <c r="I1718" s="750"/>
      <c r="J1718" s="750"/>
    </row>
    <row r="1719" spans="1:10" x14ac:dyDescent="0.35">
      <c r="A1719" s="92"/>
      <c r="F1719" s="726"/>
      <c r="G1719" s="735"/>
      <c r="H1719" s="93"/>
      <c r="I1719" s="750"/>
      <c r="J1719" s="750"/>
    </row>
    <row r="1720" spans="1:10" x14ac:dyDescent="0.35">
      <c r="A1720" s="92"/>
      <c r="F1720" s="726"/>
      <c r="G1720" s="735"/>
      <c r="H1720" s="93"/>
      <c r="I1720" s="750"/>
      <c r="J1720" s="750"/>
    </row>
    <row r="1721" spans="1:10" x14ac:dyDescent="0.35">
      <c r="A1721" s="92"/>
      <c r="F1721" s="726"/>
      <c r="G1721" s="735"/>
      <c r="H1721" s="93"/>
      <c r="I1721" s="750"/>
      <c r="J1721" s="750"/>
    </row>
    <row r="1722" spans="1:10" x14ac:dyDescent="0.35">
      <c r="A1722" s="92"/>
      <c r="F1722" s="726"/>
      <c r="G1722" s="735"/>
      <c r="H1722" s="93"/>
      <c r="I1722" s="750"/>
      <c r="J1722" s="750"/>
    </row>
    <row r="1723" spans="1:10" x14ac:dyDescent="0.35">
      <c r="A1723" s="92"/>
      <c r="F1723" s="726"/>
      <c r="G1723" s="735"/>
      <c r="H1723" s="93"/>
      <c r="I1723" s="750"/>
      <c r="J1723" s="750"/>
    </row>
    <row r="1724" spans="1:10" x14ac:dyDescent="0.35">
      <c r="A1724" s="92"/>
      <c r="F1724" s="726"/>
      <c r="G1724" s="735"/>
      <c r="H1724" s="93"/>
      <c r="I1724" s="750"/>
      <c r="J1724" s="750"/>
    </row>
    <row r="1725" spans="1:10" x14ac:dyDescent="0.35">
      <c r="A1725" s="92"/>
      <c r="F1725" s="726"/>
      <c r="G1725" s="735"/>
      <c r="H1725" s="93"/>
      <c r="I1725" s="750"/>
      <c r="J1725" s="750"/>
    </row>
    <row r="1726" spans="1:10" x14ac:dyDescent="0.35">
      <c r="A1726" s="92"/>
      <c r="F1726" s="726"/>
      <c r="G1726" s="735"/>
      <c r="H1726" s="93"/>
      <c r="I1726" s="750"/>
      <c r="J1726" s="750"/>
    </row>
    <row r="1727" spans="1:10" x14ac:dyDescent="0.35">
      <c r="A1727" s="92"/>
      <c r="F1727" s="726"/>
      <c r="G1727" s="735"/>
      <c r="H1727" s="93"/>
      <c r="I1727" s="750"/>
      <c r="J1727" s="750"/>
    </row>
    <row r="1728" spans="1:10" x14ac:dyDescent="0.35">
      <c r="A1728" s="92"/>
      <c r="F1728" s="726"/>
      <c r="G1728" s="735"/>
      <c r="H1728" s="93"/>
      <c r="I1728" s="750"/>
      <c r="J1728" s="750"/>
    </row>
    <row r="1729" spans="1:10" x14ac:dyDescent="0.35">
      <c r="A1729" s="92"/>
      <c r="F1729" s="726"/>
      <c r="G1729" s="735"/>
      <c r="H1729" s="93"/>
      <c r="I1729" s="750"/>
      <c r="J1729" s="750"/>
    </row>
    <row r="1730" spans="1:10" x14ac:dyDescent="0.35">
      <c r="A1730" s="92"/>
      <c r="F1730" s="726"/>
      <c r="G1730" s="735"/>
      <c r="H1730" s="93"/>
      <c r="I1730" s="750"/>
      <c r="J1730" s="750"/>
    </row>
    <row r="1731" spans="1:10" x14ac:dyDescent="0.35">
      <c r="A1731" s="92"/>
      <c r="F1731" s="726"/>
      <c r="G1731" s="735"/>
      <c r="H1731" s="93"/>
      <c r="I1731" s="750"/>
      <c r="J1731" s="750"/>
    </row>
    <row r="1732" spans="1:10" x14ac:dyDescent="0.35">
      <c r="A1732" s="92"/>
      <c r="F1732" s="726"/>
      <c r="G1732" s="735"/>
      <c r="H1732" s="93"/>
      <c r="I1732" s="750"/>
      <c r="J1732" s="750"/>
    </row>
    <row r="1733" spans="1:10" x14ac:dyDescent="0.35">
      <c r="A1733" s="92"/>
      <c r="F1733" s="726"/>
      <c r="G1733" s="735"/>
      <c r="H1733" s="93"/>
      <c r="I1733" s="750"/>
      <c r="J1733" s="750"/>
    </row>
    <row r="1734" spans="1:10" x14ac:dyDescent="0.35">
      <c r="A1734" s="92"/>
      <c r="F1734" s="726"/>
      <c r="G1734" s="735"/>
      <c r="H1734" s="93"/>
      <c r="I1734" s="750"/>
      <c r="J1734" s="750"/>
    </row>
    <row r="1735" spans="1:10" x14ac:dyDescent="0.35">
      <c r="A1735" s="92"/>
      <c r="F1735" s="726"/>
      <c r="G1735" s="735"/>
      <c r="H1735" s="93"/>
      <c r="I1735" s="750"/>
      <c r="J1735" s="750"/>
    </row>
    <row r="1736" spans="1:10" x14ac:dyDescent="0.35">
      <c r="A1736" s="92"/>
      <c r="F1736" s="726"/>
      <c r="G1736" s="735"/>
      <c r="H1736" s="93"/>
      <c r="I1736" s="750"/>
      <c r="J1736" s="750"/>
    </row>
    <row r="1737" spans="1:10" x14ac:dyDescent="0.35">
      <c r="A1737" s="92"/>
      <c r="F1737" s="726"/>
      <c r="G1737" s="735"/>
      <c r="H1737" s="93"/>
      <c r="I1737" s="750"/>
      <c r="J1737" s="750"/>
    </row>
    <row r="1738" spans="1:10" x14ac:dyDescent="0.35">
      <c r="A1738" s="92"/>
      <c r="F1738" s="726"/>
      <c r="G1738" s="735"/>
      <c r="H1738" s="93"/>
      <c r="I1738" s="750"/>
      <c r="J1738" s="750"/>
    </row>
    <row r="1739" spans="1:10" x14ac:dyDescent="0.35">
      <c r="A1739" s="92"/>
      <c r="F1739" s="726"/>
      <c r="G1739" s="735"/>
      <c r="H1739" s="93"/>
      <c r="I1739" s="750"/>
      <c r="J1739" s="750"/>
    </row>
    <row r="1740" spans="1:10" x14ac:dyDescent="0.35">
      <c r="A1740" s="92"/>
      <c r="F1740" s="726"/>
      <c r="G1740" s="735"/>
      <c r="H1740" s="93"/>
      <c r="I1740" s="750"/>
      <c r="J1740" s="750"/>
    </row>
    <row r="1741" spans="1:10" x14ac:dyDescent="0.35">
      <c r="A1741" s="92"/>
      <c r="F1741" s="726"/>
      <c r="G1741" s="735"/>
      <c r="H1741" s="93"/>
      <c r="I1741" s="750"/>
      <c r="J1741" s="750"/>
    </row>
    <row r="1742" spans="1:10" x14ac:dyDescent="0.35">
      <c r="A1742" s="92"/>
      <c r="F1742" s="726"/>
      <c r="G1742" s="735"/>
      <c r="H1742" s="93"/>
      <c r="I1742" s="750"/>
      <c r="J1742" s="750"/>
    </row>
    <row r="1743" spans="1:10" x14ac:dyDescent="0.35">
      <c r="A1743" s="92"/>
      <c r="F1743" s="726"/>
      <c r="G1743" s="735"/>
      <c r="H1743" s="93"/>
      <c r="I1743" s="750"/>
      <c r="J1743" s="750"/>
    </row>
    <row r="1744" spans="1:10" x14ac:dyDescent="0.35">
      <c r="A1744" s="92"/>
      <c r="F1744" s="726"/>
      <c r="G1744" s="735"/>
      <c r="H1744" s="93"/>
      <c r="I1744" s="750"/>
      <c r="J1744" s="750"/>
    </row>
    <row r="1745" spans="1:10" x14ac:dyDescent="0.35">
      <c r="A1745" s="92"/>
      <c r="F1745" s="726"/>
      <c r="G1745" s="735"/>
      <c r="H1745" s="93"/>
      <c r="I1745" s="750"/>
      <c r="J1745" s="750"/>
    </row>
    <row r="1746" spans="1:10" x14ac:dyDescent="0.35">
      <c r="A1746" s="92"/>
      <c r="F1746" s="726"/>
      <c r="G1746" s="735"/>
      <c r="H1746" s="93"/>
      <c r="I1746" s="750"/>
      <c r="J1746" s="750"/>
    </row>
    <row r="1747" spans="1:10" x14ac:dyDescent="0.35">
      <c r="A1747" s="92"/>
      <c r="F1747" s="726"/>
      <c r="G1747" s="735"/>
      <c r="H1747" s="93"/>
      <c r="I1747" s="750"/>
      <c r="J1747" s="750"/>
    </row>
    <row r="1748" spans="1:10" x14ac:dyDescent="0.35">
      <c r="A1748" s="92"/>
      <c r="F1748" s="726"/>
      <c r="G1748" s="735"/>
      <c r="H1748" s="93"/>
      <c r="I1748" s="750"/>
      <c r="J1748" s="750"/>
    </row>
    <row r="1749" spans="1:10" x14ac:dyDescent="0.35">
      <c r="A1749" s="92"/>
      <c r="F1749" s="726"/>
      <c r="G1749" s="735"/>
      <c r="H1749" s="93"/>
      <c r="I1749" s="750"/>
      <c r="J1749" s="750"/>
    </row>
    <row r="1750" spans="1:10" x14ac:dyDescent="0.35">
      <c r="A1750" s="92"/>
      <c r="F1750" s="726"/>
      <c r="G1750" s="735"/>
      <c r="H1750" s="93"/>
      <c r="I1750" s="750"/>
      <c r="J1750" s="750"/>
    </row>
    <row r="1751" spans="1:10" x14ac:dyDescent="0.35">
      <c r="A1751" s="92"/>
      <c r="F1751" s="726"/>
      <c r="G1751" s="735"/>
      <c r="H1751" s="93"/>
      <c r="I1751" s="750"/>
      <c r="J1751" s="750"/>
    </row>
    <row r="1752" spans="1:10" x14ac:dyDescent="0.35">
      <c r="A1752" s="92"/>
      <c r="F1752" s="726"/>
      <c r="G1752" s="735"/>
      <c r="H1752" s="93"/>
      <c r="I1752" s="750"/>
      <c r="J1752" s="750"/>
    </row>
    <row r="1753" spans="1:10" x14ac:dyDescent="0.35">
      <c r="A1753" s="92"/>
      <c r="F1753" s="726"/>
      <c r="G1753" s="735"/>
      <c r="H1753" s="93"/>
      <c r="I1753" s="750"/>
      <c r="J1753" s="750"/>
    </row>
    <row r="1754" spans="1:10" x14ac:dyDescent="0.35">
      <c r="A1754" s="92"/>
      <c r="F1754" s="726"/>
      <c r="G1754" s="735"/>
      <c r="H1754" s="93"/>
      <c r="I1754" s="750"/>
      <c r="J1754" s="750"/>
    </row>
    <row r="1755" spans="1:10" x14ac:dyDescent="0.35">
      <c r="A1755" s="92"/>
      <c r="F1755" s="726"/>
      <c r="G1755" s="735"/>
      <c r="H1755" s="93"/>
      <c r="I1755" s="750"/>
      <c r="J1755" s="750"/>
    </row>
    <row r="1756" spans="1:10" x14ac:dyDescent="0.35">
      <c r="A1756" s="92"/>
      <c r="F1756" s="726"/>
      <c r="G1756" s="735"/>
      <c r="H1756" s="93"/>
      <c r="I1756" s="750"/>
      <c r="J1756" s="750"/>
    </row>
    <row r="1757" spans="1:10" x14ac:dyDescent="0.35">
      <c r="A1757" s="92"/>
      <c r="F1757" s="726"/>
      <c r="G1757" s="735"/>
      <c r="H1757" s="93"/>
      <c r="I1757" s="750"/>
      <c r="J1757" s="750"/>
    </row>
    <row r="1758" spans="1:10" x14ac:dyDescent="0.35">
      <c r="A1758" s="92"/>
      <c r="F1758" s="726"/>
      <c r="G1758" s="735"/>
      <c r="H1758" s="93"/>
      <c r="I1758" s="750"/>
      <c r="J1758" s="750"/>
    </row>
    <row r="1759" spans="1:10" x14ac:dyDescent="0.35">
      <c r="A1759" s="92"/>
      <c r="F1759" s="726"/>
      <c r="G1759" s="735"/>
      <c r="H1759" s="93"/>
      <c r="I1759" s="750"/>
      <c r="J1759" s="750"/>
    </row>
    <row r="1760" spans="1:10" x14ac:dyDescent="0.35">
      <c r="A1760" s="92"/>
      <c r="F1760" s="726"/>
      <c r="G1760" s="735"/>
      <c r="H1760" s="93"/>
      <c r="I1760" s="750"/>
      <c r="J1760" s="750"/>
    </row>
    <row r="1761" spans="1:10" x14ac:dyDescent="0.35">
      <c r="A1761" s="92"/>
      <c r="F1761" s="726"/>
      <c r="G1761" s="735"/>
      <c r="H1761" s="93"/>
      <c r="I1761" s="750"/>
      <c r="J1761" s="750"/>
    </row>
    <row r="1762" spans="1:10" x14ac:dyDescent="0.35">
      <c r="A1762" s="92"/>
      <c r="F1762" s="726"/>
      <c r="G1762" s="735"/>
      <c r="H1762" s="93"/>
      <c r="I1762" s="750"/>
      <c r="J1762" s="750"/>
    </row>
    <row r="1763" spans="1:10" x14ac:dyDescent="0.35">
      <c r="A1763" s="92"/>
      <c r="F1763" s="726"/>
      <c r="G1763" s="735"/>
      <c r="H1763" s="93"/>
      <c r="I1763" s="750"/>
      <c r="J1763" s="750"/>
    </row>
    <row r="1764" spans="1:10" x14ac:dyDescent="0.35">
      <c r="A1764" s="92"/>
      <c r="F1764" s="726"/>
      <c r="G1764" s="735"/>
      <c r="H1764" s="93"/>
      <c r="I1764" s="750"/>
      <c r="J1764" s="750"/>
    </row>
    <row r="1765" spans="1:10" x14ac:dyDescent="0.35">
      <c r="A1765" s="92"/>
      <c r="F1765" s="726"/>
      <c r="G1765" s="735"/>
      <c r="H1765" s="93"/>
      <c r="I1765" s="750"/>
      <c r="J1765" s="750"/>
    </row>
    <row r="1766" spans="1:10" x14ac:dyDescent="0.35">
      <c r="A1766" s="92"/>
      <c r="F1766" s="726"/>
      <c r="G1766" s="735"/>
      <c r="H1766" s="93"/>
      <c r="I1766" s="750"/>
      <c r="J1766" s="750"/>
    </row>
    <row r="1767" spans="1:10" x14ac:dyDescent="0.35">
      <c r="A1767" s="92"/>
      <c r="F1767" s="726"/>
      <c r="G1767" s="735"/>
      <c r="H1767" s="93"/>
      <c r="I1767" s="750"/>
      <c r="J1767" s="750"/>
    </row>
    <row r="1768" spans="1:10" x14ac:dyDescent="0.35">
      <c r="A1768" s="92"/>
      <c r="F1768" s="726"/>
      <c r="G1768" s="735"/>
      <c r="H1768" s="93"/>
      <c r="I1768" s="750"/>
      <c r="J1768" s="750"/>
    </row>
    <row r="1769" spans="1:10" x14ac:dyDescent="0.35">
      <c r="A1769" s="92"/>
      <c r="F1769" s="726"/>
      <c r="G1769" s="735"/>
      <c r="H1769" s="93"/>
      <c r="I1769" s="750"/>
      <c r="J1769" s="750"/>
    </row>
    <row r="1770" spans="1:10" x14ac:dyDescent="0.35">
      <c r="A1770" s="92"/>
      <c r="F1770" s="726"/>
      <c r="G1770" s="735"/>
      <c r="H1770" s="93"/>
      <c r="I1770" s="750"/>
      <c r="J1770" s="750"/>
    </row>
    <row r="1771" spans="1:10" x14ac:dyDescent="0.35">
      <c r="A1771" s="92"/>
      <c r="F1771" s="726"/>
      <c r="G1771" s="735"/>
      <c r="H1771" s="93"/>
      <c r="I1771" s="750"/>
      <c r="J1771" s="750"/>
    </row>
    <row r="1772" spans="1:10" x14ac:dyDescent="0.35">
      <c r="A1772" s="92"/>
      <c r="F1772" s="726"/>
      <c r="G1772" s="735"/>
      <c r="H1772" s="93"/>
      <c r="I1772" s="750"/>
      <c r="J1772" s="750"/>
    </row>
    <row r="1773" spans="1:10" x14ac:dyDescent="0.35">
      <c r="A1773" s="92"/>
      <c r="F1773" s="726"/>
      <c r="G1773" s="735"/>
      <c r="H1773" s="93"/>
      <c r="I1773" s="750"/>
      <c r="J1773" s="750"/>
    </row>
    <row r="1774" spans="1:10" x14ac:dyDescent="0.35">
      <c r="H1774" s="93"/>
      <c r="I1774" s="750"/>
      <c r="J1774" s="750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76"/>
      <c r="C1" s="1177"/>
      <c r="D1" s="709" t="s">
        <v>0</v>
      </c>
      <c r="E1" s="717">
        <f>COUNTA(B5:B54)</f>
        <v>27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35">
      <c r="A2" s="183"/>
      <c r="B2" s="198"/>
      <c r="C2" s="232"/>
      <c r="D2" s="712"/>
      <c r="E2" s="718"/>
      <c r="F2" s="722" t="s">
        <v>732</v>
      </c>
      <c r="G2" s="729">
        <f>+resume!C17</f>
        <v>1542144.38</v>
      </c>
      <c r="H2" s="200"/>
      <c r="I2" s="736"/>
      <c r="J2" s="753"/>
      <c r="K2" s="669"/>
      <c r="L2" s="42"/>
    </row>
    <row r="3" spans="1:12" s="3" customFormat="1" x14ac:dyDescent="0.3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35">
      <c r="A4" s="937" t="s">
        <v>11</v>
      </c>
      <c r="B4" s="938"/>
      <c r="C4" s="937" t="s">
        <v>12</v>
      </c>
      <c r="D4" s="939">
        <v>0</v>
      </c>
      <c r="E4" s="939"/>
      <c r="F4" s="940"/>
      <c r="G4" s="730"/>
    </row>
    <row r="5" spans="1:12" x14ac:dyDescent="0.35">
      <c r="A5" s="937"/>
      <c r="B5" s="938">
        <v>44928</v>
      </c>
      <c r="C5" s="937" t="s">
        <v>884</v>
      </c>
      <c r="D5" s="939">
        <v>89640</v>
      </c>
      <c r="E5" s="939"/>
      <c r="F5" s="940"/>
      <c r="G5" s="731"/>
      <c r="H5" s="11"/>
      <c r="I5" s="740"/>
    </row>
    <row r="6" spans="1:12" x14ac:dyDescent="0.35">
      <c r="A6" s="937"/>
      <c r="B6" s="938"/>
      <c r="C6" s="937" t="s">
        <v>867</v>
      </c>
      <c r="D6" s="939"/>
      <c r="E6" s="939">
        <f>+D5-E7</f>
        <v>54640</v>
      </c>
      <c r="F6" s="940"/>
      <c r="G6" s="731"/>
      <c r="H6" s="11"/>
      <c r="I6" s="740"/>
    </row>
    <row r="7" spans="1:12" x14ac:dyDescent="0.35">
      <c r="A7" s="937"/>
      <c r="B7" s="938">
        <v>44928</v>
      </c>
      <c r="C7" s="937" t="s">
        <v>923</v>
      </c>
      <c r="D7" s="939"/>
      <c r="E7" s="939">
        <v>35000</v>
      </c>
      <c r="F7" s="940"/>
      <c r="G7" s="731"/>
      <c r="H7" s="11"/>
      <c r="I7" s="740"/>
      <c r="K7" s="252"/>
    </row>
    <row r="8" spans="1:12" x14ac:dyDescent="0.35">
      <c r="A8" s="937"/>
      <c r="B8" s="938"/>
      <c r="C8" s="937"/>
      <c r="D8" s="939"/>
      <c r="E8" s="939"/>
      <c r="F8" s="940">
        <f>SUM(D4:D8)-SUM(E4:E8)</f>
        <v>0</v>
      </c>
      <c r="G8" s="732">
        <f>+G2</f>
        <v>1542144.38</v>
      </c>
      <c r="H8" s="473"/>
      <c r="I8" s="740"/>
      <c r="K8" s="252"/>
    </row>
    <row r="9" spans="1:12" x14ac:dyDescent="0.35">
      <c r="A9" s="937" t="s">
        <v>16</v>
      </c>
      <c r="B9" s="938">
        <v>44958</v>
      </c>
      <c r="C9" s="937" t="s">
        <v>884</v>
      </c>
      <c r="D9" s="939">
        <f>+D5</f>
        <v>89640</v>
      </c>
      <c r="E9" s="939"/>
      <c r="F9" s="940"/>
      <c r="G9" s="732"/>
      <c r="H9" s="11"/>
      <c r="I9" s="740"/>
      <c r="K9" s="252"/>
    </row>
    <row r="10" spans="1:12" x14ac:dyDescent="0.35">
      <c r="A10" s="937"/>
      <c r="B10" s="938"/>
      <c r="C10" s="937" t="s">
        <v>867</v>
      </c>
      <c r="D10" s="939"/>
      <c r="E10" s="939">
        <f>+D9-E11</f>
        <v>54640</v>
      </c>
      <c r="F10" s="940"/>
      <c r="G10" s="731"/>
      <c r="H10" s="11"/>
      <c r="I10" s="740"/>
    </row>
    <row r="11" spans="1:12" x14ac:dyDescent="0.35">
      <c r="A11" s="937"/>
      <c r="B11" s="938">
        <v>44958</v>
      </c>
      <c r="C11" s="937" t="s">
        <v>923</v>
      </c>
      <c r="D11" s="939"/>
      <c r="E11" s="939">
        <v>35000</v>
      </c>
      <c r="F11" s="940"/>
      <c r="G11" s="732"/>
      <c r="H11" s="11"/>
      <c r="I11" s="740"/>
      <c r="K11" s="252"/>
    </row>
    <row r="12" spans="1:12" x14ac:dyDescent="0.35">
      <c r="A12" s="937"/>
      <c r="B12" s="938"/>
      <c r="C12" s="937"/>
      <c r="D12" s="939"/>
      <c r="E12" s="939"/>
      <c r="F12" s="940">
        <f>SUM(D9:D12)-SUM(E9:E12)</f>
        <v>0</v>
      </c>
      <c r="G12" s="732">
        <f>+G2</f>
        <v>1542144.38</v>
      </c>
      <c r="H12" s="473"/>
      <c r="I12" s="740"/>
      <c r="K12" s="670"/>
    </row>
    <row r="13" spans="1:12" x14ac:dyDescent="0.35">
      <c r="A13" s="937" t="s">
        <v>17</v>
      </c>
      <c r="B13" s="938">
        <v>44986</v>
      </c>
      <c r="C13" s="937" t="s">
        <v>884</v>
      </c>
      <c r="D13" s="939">
        <f>+D9</f>
        <v>89640</v>
      </c>
      <c r="E13" s="939"/>
      <c r="F13" s="940"/>
      <c r="G13" s="732"/>
      <c r="H13" s="613"/>
      <c r="I13" s="740"/>
    </row>
    <row r="14" spans="1:12" x14ac:dyDescent="0.35">
      <c r="A14" s="937"/>
      <c r="B14" s="938"/>
      <c r="C14" s="937" t="s">
        <v>867</v>
      </c>
      <c r="D14" s="939"/>
      <c r="E14" s="939">
        <f>+D13-E15</f>
        <v>54640</v>
      </c>
      <c r="F14" s="940"/>
      <c r="G14" s="731"/>
      <c r="H14" s="11"/>
      <c r="I14" s="740"/>
    </row>
    <row r="15" spans="1:12" x14ac:dyDescent="0.35">
      <c r="A15" s="937"/>
      <c r="B15" s="938">
        <v>44986</v>
      </c>
      <c r="C15" s="937" t="s">
        <v>923</v>
      </c>
      <c r="D15" s="939"/>
      <c r="E15" s="939">
        <v>35000</v>
      </c>
      <c r="F15" s="940"/>
      <c r="G15" s="732"/>
      <c r="H15" s="613"/>
      <c r="I15" s="740"/>
    </row>
    <row r="16" spans="1:12" x14ac:dyDescent="0.35">
      <c r="A16" s="937"/>
      <c r="B16" s="938"/>
      <c r="C16" s="937"/>
      <c r="D16" s="939"/>
      <c r="E16" s="939"/>
      <c r="F16" s="940">
        <f>SUM(D13:D16)-SUM(E13:E16)</f>
        <v>0</v>
      </c>
      <c r="G16" s="732">
        <f>+G2</f>
        <v>1542144.38</v>
      </c>
      <c r="H16" s="473"/>
      <c r="I16" s="740"/>
    </row>
    <row r="17" spans="1:16" x14ac:dyDescent="0.35">
      <c r="A17" s="937" t="s">
        <v>18</v>
      </c>
      <c r="B17" s="938">
        <v>45019</v>
      </c>
      <c r="C17" s="937" t="s">
        <v>884</v>
      </c>
      <c r="D17" s="939">
        <f>+D13</f>
        <v>89640</v>
      </c>
      <c r="E17" s="939"/>
      <c r="F17" s="940"/>
      <c r="G17" s="732"/>
      <c r="H17" s="473"/>
      <c r="I17" s="740"/>
    </row>
    <row r="18" spans="1:16" x14ac:dyDescent="0.35">
      <c r="A18" s="937"/>
      <c r="B18" s="938"/>
      <c r="C18" s="937" t="s">
        <v>867</v>
      </c>
      <c r="D18" s="939"/>
      <c r="E18" s="939">
        <f>+D17-E19</f>
        <v>54640</v>
      </c>
      <c r="F18" s="940"/>
      <c r="G18" s="731"/>
      <c r="H18" s="11"/>
      <c r="I18" s="740"/>
    </row>
    <row r="19" spans="1:16" x14ac:dyDescent="0.35">
      <c r="A19" s="937"/>
      <c r="B19" s="938">
        <v>45019</v>
      </c>
      <c r="C19" s="937" t="s">
        <v>923</v>
      </c>
      <c r="D19" s="939"/>
      <c r="E19" s="939">
        <v>35000</v>
      </c>
      <c r="F19" s="940"/>
      <c r="G19" s="732"/>
      <c r="H19" s="473"/>
      <c r="I19" s="903"/>
    </row>
    <row r="20" spans="1:16" x14ac:dyDescent="0.35">
      <c r="A20" s="937"/>
      <c r="B20" s="938"/>
      <c r="C20" s="937"/>
      <c r="D20" s="939"/>
      <c r="E20" s="939"/>
      <c r="F20" s="940">
        <f>SUM(D17:D20)-SUM(E17:E20)</f>
        <v>0</v>
      </c>
      <c r="G20" s="732">
        <f>+G2</f>
        <v>1542144.38</v>
      </c>
      <c r="H20" s="11"/>
      <c r="I20" s="903"/>
      <c r="N20" s="77"/>
      <c r="O20" s="77"/>
      <c r="P20" s="77"/>
    </row>
    <row r="21" spans="1:16" x14ac:dyDescent="0.35">
      <c r="A21" s="937" t="s">
        <v>20</v>
      </c>
      <c r="B21" s="938">
        <v>45047</v>
      </c>
      <c r="C21" s="937" t="s">
        <v>884</v>
      </c>
      <c r="D21" s="939">
        <f>+D17</f>
        <v>89640</v>
      </c>
      <c r="E21" s="939"/>
      <c r="F21" s="940"/>
      <c r="G21" s="732"/>
      <c r="H21" s="473"/>
      <c r="I21" s="903"/>
      <c r="N21" s="77"/>
      <c r="O21" s="77"/>
      <c r="P21" s="77"/>
    </row>
    <row r="22" spans="1:16" x14ac:dyDescent="0.35">
      <c r="A22" s="937"/>
      <c r="B22" s="938"/>
      <c r="C22" s="937" t="s">
        <v>867</v>
      </c>
      <c r="D22" s="939"/>
      <c r="E22" s="939">
        <f>+D21-E23</f>
        <v>54640</v>
      </c>
      <c r="F22" s="940"/>
      <c r="G22" s="732"/>
      <c r="H22" s="473"/>
      <c r="I22" s="740"/>
      <c r="N22" s="77"/>
      <c r="O22" s="77"/>
      <c r="P22" s="77"/>
    </row>
    <row r="23" spans="1:16" x14ac:dyDescent="0.35">
      <c r="A23" s="937"/>
      <c r="B23" s="938">
        <v>45047</v>
      </c>
      <c r="C23" s="937" t="s">
        <v>923</v>
      </c>
      <c r="D23" s="939"/>
      <c r="E23" s="939">
        <v>35000</v>
      </c>
      <c r="F23" s="940"/>
      <c r="G23" s="732"/>
      <c r="H23" s="76"/>
      <c r="I23" s="740"/>
      <c r="N23" s="77"/>
      <c r="O23" s="77"/>
      <c r="P23" s="77"/>
    </row>
    <row r="24" spans="1:16" x14ac:dyDescent="0.35">
      <c r="A24" s="937"/>
      <c r="B24" s="938"/>
      <c r="C24" s="937"/>
      <c r="D24" s="939"/>
      <c r="E24" s="939"/>
      <c r="F24" s="940">
        <f>SUM(D21:D24)-SUM(E21:E24)</f>
        <v>0</v>
      </c>
      <c r="G24" s="732">
        <f>+G2</f>
        <v>1542144.38</v>
      </c>
      <c r="H24" s="76"/>
      <c r="I24" s="740"/>
    </row>
    <row r="25" spans="1:16" x14ac:dyDescent="0.35">
      <c r="A25" s="937" t="s">
        <v>21</v>
      </c>
      <c r="B25" s="938">
        <v>45078</v>
      </c>
      <c r="C25" s="937" t="s">
        <v>884</v>
      </c>
      <c r="D25" s="939">
        <f>+D21</f>
        <v>89640</v>
      </c>
      <c r="E25" s="939"/>
      <c r="F25" s="940"/>
      <c r="G25" s="732"/>
      <c r="H25" s="473"/>
      <c r="I25" s="740"/>
    </row>
    <row r="26" spans="1:16" x14ac:dyDescent="0.35">
      <c r="A26" s="937"/>
      <c r="B26" s="938">
        <v>45092</v>
      </c>
      <c r="C26" s="937" t="s">
        <v>962</v>
      </c>
      <c r="D26" s="939">
        <f>+D25/2</f>
        <v>44820</v>
      </c>
      <c r="E26" s="939"/>
      <c r="F26" s="940"/>
      <c r="G26" s="732"/>
      <c r="H26" s="473"/>
      <c r="I26" s="740"/>
    </row>
    <row r="27" spans="1:16" x14ac:dyDescent="0.35">
      <c r="A27" s="937"/>
      <c r="B27" s="938"/>
      <c r="C27" s="937" t="s">
        <v>867</v>
      </c>
      <c r="D27" s="939"/>
      <c r="E27" s="939">
        <f>+D26+D25-E28</f>
        <v>99460</v>
      </c>
      <c r="F27" s="940"/>
      <c r="G27" s="732"/>
      <c r="H27" s="473"/>
      <c r="I27" s="740"/>
    </row>
    <row r="28" spans="1:16" x14ac:dyDescent="0.35">
      <c r="A28" s="937"/>
      <c r="B28" s="938">
        <v>45078</v>
      </c>
      <c r="C28" s="937" t="s">
        <v>923</v>
      </c>
      <c r="D28" s="939"/>
      <c r="E28" s="939">
        <v>35000</v>
      </c>
      <c r="F28" s="940"/>
      <c r="G28" s="732"/>
      <c r="H28" s="473"/>
      <c r="I28" s="740"/>
      <c r="J28" s="740"/>
      <c r="L28" s="700"/>
    </row>
    <row r="29" spans="1:16" x14ac:dyDescent="0.35">
      <c r="A29" s="937"/>
      <c r="B29" s="938"/>
      <c r="C29" s="937"/>
      <c r="D29" s="939"/>
      <c r="E29" s="939"/>
      <c r="F29" s="940">
        <f>SUM(D25:D29)-SUM(E25:E29)</f>
        <v>0</v>
      </c>
      <c r="G29" s="732">
        <f>+G2</f>
        <v>1542144.38</v>
      </c>
      <c r="H29" s="11"/>
      <c r="I29" s="741"/>
      <c r="J29" s="741"/>
      <c r="K29" s="671"/>
      <c r="L29" s="632"/>
      <c r="M29" s="632"/>
    </row>
    <row r="30" spans="1:16" x14ac:dyDescent="0.35">
      <c r="A30" s="937" t="s">
        <v>22</v>
      </c>
      <c r="B30" s="938">
        <v>45110</v>
      </c>
      <c r="C30" s="937" t="s">
        <v>884</v>
      </c>
      <c r="D30" s="939">
        <f>+D25</f>
        <v>89640</v>
      </c>
      <c r="E30" s="939"/>
      <c r="F30" s="940"/>
      <c r="G30" s="732"/>
      <c r="H30" s="473"/>
      <c r="I30" s="741"/>
      <c r="J30" s="741"/>
      <c r="K30" s="671"/>
      <c r="L30" s="632"/>
      <c r="M30" s="632"/>
    </row>
    <row r="31" spans="1:16" x14ac:dyDescent="0.35">
      <c r="A31" s="937"/>
      <c r="B31" s="938"/>
      <c r="C31" s="937" t="s">
        <v>867</v>
      </c>
      <c r="D31" s="939"/>
      <c r="E31" s="939">
        <f>+D30-E32</f>
        <v>54640</v>
      </c>
      <c r="F31" s="940"/>
      <c r="G31" s="732"/>
      <c r="H31" s="473"/>
      <c r="I31" s="741"/>
      <c r="J31" s="741"/>
      <c r="K31" s="671"/>
      <c r="L31" s="632"/>
      <c r="M31" s="632"/>
    </row>
    <row r="32" spans="1:16" x14ac:dyDescent="0.35">
      <c r="A32" s="937"/>
      <c r="B32" s="938">
        <v>45110</v>
      </c>
      <c r="C32" s="937" t="s">
        <v>923</v>
      </c>
      <c r="D32" s="939"/>
      <c r="E32" s="939">
        <v>35000</v>
      </c>
      <c r="F32" s="940"/>
      <c r="G32" s="732"/>
      <c r="H32" s="473"/>
      <c r="I32" s="743"/>
      <c r="J32" s="743"/>
      <c r="K32" s="671"/>
      <c r="L32" s="632"/>
      <c r="M32" s="632"/>
    </row>
    <row r="33" spans="1:14" x14ac:dyDescent="0.35">
      <c r="A33" s="937"/>
      <c r="B33" s="938"/>
      <c r="C33" s="937"/>
      <c r="D33" s="939"/>
      <c r="E33" s="939"/>
      <c r="F33" s="940">
        <f>SUM(D30:D33)-SUM(E30:E33)</f>
        <v>0</v>
      </c>
      <c r="G33" s="732">
        <f>+G2</f>
        <v>1542144.38</v>
      </c>
      <c r="H33" s="11"/>
      <c r="I33" s="741"/>
      <c r="J33" s="754"/>
      <c r="K33" s="672"/>
      <c r="L33" s="632"/>
      <c r="M33" s="632"/>
    </row>
    <row r="34" spans="1:14" x14ac:dyDescent="0.35">
      <c r="A34" s="937" t="s">
        <v>23</v>
      </c>
      <c r="B34" s="938">
        <v>45139</v>
      </c>
      <c r="C34" s="937" t="s">
        <v>884</v>
      </c>
      <c r="D34" s="939">
        <f>+D30</f>
        <v>89640</v>
      </c>
      <c r="E34" s="939"/>
      <c r="F34" s="940"/>
      <c r="G34" s="732"/>
      <c r="J34" s="725"/>
      <c r="K34" s="673"/>
      <c r="L34" s="630"/>
      <c r="M34" s="630"/>
    </row>
    <row r="35" spans="1:14" x14ac:dyDescent="0.35">
      <c r="A35" s="937"/>
      <c r="B35" s="938"/>
      <c r="C35" s="937" t="s">
        <v>867</v>
      </c>
      <c r="D35" s="939"/>
      <c r="E35" s="939">
        <f>+D34-E36</f>
        <v>54640</v>
      </c>
      <c r="F35" s="940"/>
      <c r="G35" s="732"/>
      <c r="H35" s="11"/>
      <c r="I35" s="740"/>
      <c r="J35" s="746"/>
      <c r="K35" s="674"/>
      <c r="N35" s="910"/>
    </row>
    <row r="36" spans="1:14" x14ac:dyDescent="0.35">
      <c r="A36" s="937"/>
      <c r="B36" s="938">
        <v>45139</v>
      </c>
      <c r="C36" s="937" t="s">
        <v>923</v>
      </c>
      <c r="D36" s="939"/>
      <c r="E36" s="939">
        <v>35000</v>
      </c>
      <c r="F36" s="940"/>
      <c r="G36" s="732"/>
      <c r="H36" s="11"/>
      <c r="I36" s="740"/>
      <c r="J36" s="746"/>
      <c r="K36" s="674"/>
      <c r="M36" s="740"/>
      <c r="N36" s="746"/>
    </row>
    <row r="37" spans="1:14" x14ac:dyDescent="0.35">
      <c r="A37" s="937"/>
      <c r="B37" s="938"/>
      <c r="C37" s="937"/>
      <c r="D37" s="939"/>
      <c r="E37" s="939"/>
      <c r="F37" s="940">
        <f>SUM(D34:D37)-SUM(E34:E37)</f>
        <v>0</v>
      </c>
      <c r="G37" s="732">
        <f>+G2</f>
        <v>1542144.38</v>
      </c>
      <c r="H37" s="11"/>
      <c r="I37" s="740"/>
      <c r="J37" s="746"/>
      <c r="K37" s="674"/>
      <c r="M37" s="740"/>
      <c r="N37" s="746"/>
    </row>
    <row r="38" spans="1:14" x14ac:dyDescent="0.35">
      <c r="A38" s="937" t="s">
        <v>24</v>
      </c>
      <c r="B38" s="938">
        <v>45170</v>
      </c>
      <c r="C38" s="937" t="s">
        <v>884</v>
      </c>
      <c r="D38" s="939">
        <f>+D34</f>
        <v>89640</v>
      </c>
      <c r="E38" s="939"/>
      <c r="F38" s="940"/>
      <c r="G38" s="732"/>
      <c r="H38" s="11"/>
      <c r="I38" s="740"/>
      <c r="J38" s="746"/>
      <c r="K38" s="674"/>
      <c r="M38" s="740"/>
      <c r="N38" s="746"/>
    </row>
    <row r="39" spans="1:14" x14ac:dyDescent="0.35">
      <c r="A39" s="937"/>
      <c r="B39" s="938"/>
      <c r="C39" s="937" t="s">
        <v>867</v>
      </c>
      <c r="D39" s="939"/>
      <c r="E39" s="939">
        <f>+D38-E40</f>
        <v>54640</v>
      </c>
      <c r="F39" s="940"/>
      <c r="G39" s="732"/>
      <c r="H39" s="473"/>
      <c r="I39" s="740"/>
      <c r="J39" s="746"/>
      <c r="K39" s="674"/>
    </row>
    <row r="40" spans="1:14" x14ac:dyDescent="0.35">
      <c r="A40" s="937"/>
      <c r="B40" s="938">
        <v>45170</v>
      </c>
      <c r="C40" s="937" t="s">
        <v>923</v>
      </c>
      <c r="D40" s="939"/>
      <c r="E40" s="939">
        <v>35000</v>
      </c>
      <c r="F40" s="940"/>
      <c r="G40" s="732"/>
      <c r="H40" s="473"/>
      <c r="I40" s="740"/>
      <c r="J40" s="746"/>
      <c r="K40" s="674"/>
    </row>
    <row r="41" spans="1:14" x14ac:dyDescent="0.35">
      <c r="A41" s="937"/>
      <c r="B41" s="938"/>
      <c r="C41" s="937"/>
      <c r="D41" s="939"/>
      <c r="E41" s="939"/>
      <c r="F41" s="940">
        <f>SUM(D38:D41)-SUM(E38:E41)</f>
        <v>0</v>
      </c>
      <c r="G41" s="732">
        <f>+G2</f>
        <v>1542144.38</v>
      </c>
      <c r="H41" s="11"/>
      <c r="I41" s="740"/>
      <c r="J41" s="746"/>
      <c r="K41" s="674"/>
    </row>
    <row r="42" spans="1:14" x14ac:dyDescent="0.35">
      <c r="A42" s="937" t="s">
        <v>25</v>
      </c>
      <c r="B42" s="938">
        <v>45201</v>
      </c>
      <c r="C42" s="937" t="s">
        <v>884</v>
      </c>
      <c r="D42" s="939">
        <f>+D38</f>
        <v>89640</v>
      </c>
      <c r="E42" s="939"/>
      <c r="F42" s="940"/>
      <c r="G42" s="732"/>
      <c r="K42" s="674"/>
      <c r="L42" s="700"/>
      <c r="N42" s="910"/>
    </row>
    <row r="43" spans="1:14" x14ac:dyDescent="0.35">
      <c r="A43" s="937"/>
      <c r="B43" s="938"/>
      <c r="C43" s="937" t="s">
        <v>867</v>
      </c>
      <c r="D43" s="939"/>
      <c r="E43" s="939">
        <f>+D42-E44</f>
        <v>54640</v>
      </c>
      <c r="F43" s="940"/>
      <c r="G43" s="732"/>
      <c r="K43" s="674"/>
      <c r="L43" s="700"/>
      <c r="N43" s="910"/>
    </row>
    <row r="44" spans="1:14" x14ac:dyDescent="0.35">
      <c r="A44" s="937"/>
      <c r="B44" s="938">
        <v>45201</v>
      </c>
      <c r="C44" s="937" t="s">
        <v>923</v>
      </c>
      <c r="D44" s="939"/>
      <c r="E44" s="939">
        <v>35000</v>
      </c>
      <c r="F44" s="940"/>
      <c r="G44" s="732"/>
      <c r="H44" s="11"/>
      <c r="I44" s="740"/>
      <c r="J44" s="746"/>
      <c r="K44" s="674"/>
      <c r="L44" s="700"/>
      <c r="M44" s="700"/>
    </row>
    <row r="45" spans="1:14" x14ac:dyDescent="0.35">
      <c r="A45" s="937"/>
      <c r="B45" s="938"/>
      <c r="C45" s="937"/>
      <c r="D45" s="939"/>
      <c r="E45" s="939"/>
      <c r="F45" s="940">
        <f>SUM(D42:D45)-SUM(E42:E45)</f>
        <v>0</v>
      </c>
      <c r="G45" s="732">
        <f>+G2</f>
        <v>1542144.38</v>
      </c>
      <c r="H45" s="473"/>
      <c r="I45" s="740"/>
      <c r="J45" s="746"/>
      <c r="K45" s="674"/>
      <c r="M45" s="700"/>
    </row>
    <row r="46" spans="1:14" x14ac:dyDescent="0.35">
      <c r="A46" s="937" t="s">
        <v>26</v>
      </c>
      <c r="B46" s="938">
        <v>45231</v>
      </c>
      <c r="C46" s="937" t="s">
        <v>884</v>
      </c>
      <c r="D46" s="939">
        <f>+D42</f>
        <v>89640</v>
      </c>
      <c r="E46" s="939"/>
      <c r="F46" s="940"/>
      <c r="G46" s="732"/>
      <c r="H46" s="11"/>
      <c r="I46" s="740"/>
      <c r="J46" s="746"/>
      <c r="K46" s="674"/>
      <c r="L46" s="88"/>
      <c r="M46" s="700"/>
    </row>
    <row r="47" spans="1:14" x14ac:dyDescent="0.35">
      <c r="A47" s="937"/>
      <c r="B47" s="938"/>
      <c r="C47" s="937" t="s">
        <v>867</v>
      </c>
      <c r="D47" s="939"/>
      <c r="E47" s="939">
        <f>+D46-E48</f>
        <v>54640</v>
      </c>
      <c r="F47" s="940"/>
      <c r="G47" s="732"/>
      <c r="H47" s="11"/>
      <c r="I47" s="740"/>
      <c r="J47" s="746"/>
      <c r="K47" s="674"/>
      <c r="L47" s="88"/>
      <c r="M47" s="700"/>
    </row>
    <row r="48" spans="1:14" x14ac:dyDescent="0.35">
      <c r="A48" s="937"/>
      <c r="B48" s="938">
        <v>45231</v>
      </c>
      <c r="C48" s="937" t="s">
        <v>923</v>
      </c>
      <c r="D48" s="939"/>
      <c r="E48" s="939">
        <v>35000</v>
      </c>
      <c r="F48" s="940"/>
      <c r="G48" s="732"/>
      <c r="H48" s="11"/>
      <c r="I48" s="740"/>
      <c r="M48" s="700"/>
    </row>
    <row r="49" spans="1:13" x14ac:dyDescent="0.35">
      <c r="A49" s="937"/>
      <c r="B49" s="938"/>
      <c r="C49" s="937"/>
      <c r="D49" s="939"/>
      <c r="E49" s="939"/>
      <c r="F49" s="940">
        <f>SUM(D46:D49)-SUM(E46:E49)</f>
        <v>0</v>
      </c>
      <c r="G49" s="732">
        <f>+G2</f>
        <v>1542144.38</v>
      </c>
      <c r="H49" s="473"/>
      <c r="I49" s="740"/>
      <c r="J49" s="746"/>
      <c r="K49" s="674"/>
    </row>
    <row r="50" spans="1:13" x14ac:dyDescent="0.35">
      <c r="A50" s="937" t="s">
        <v>27</v>
      </c>
      <c r="B50" s="938">
        <v>45261</v>
      </c>
      <c r="C50" s="937" t="s">
        <v>884</v>
      </c>
      <c r="D50" s="939">
        <f>+D46</f>
        <v>89640</v>
      </c>
      <c r="E50" s="939"/>
      <c r="F50" s="940"/>
      <c r="G50" s="732"/>
      <c r="H50" s="11"/>
      <c r="I50" s="740"/>
      <c r="J50" s="746"/>
      <c r="K50" s="674"/>
    </row>
    <row r="51" spans="1:13" x14ac:dyDescent="0.35">
      <c r="A51" s="937"/>
      <c r="B51" s="938">
        <v>45275</v>
      </c>
      <c r="C51" s="937" t="s">
        <v>956</v>
      </c>
      <c r="D51" s="939">
        <f>+D50/2</f>
        <v>44820</v>
      </c>
      <c r="E51" s="939"/>
      <c r="F51" s="940"/>
      <c r="G51" s="732"/>
      <c r="H51" s="11"/>
      <c r="I51" s="740"/>
    </row>
    <row r="52" spans="1:13" x14ac:dyDescent="0.35">
      <c r="A52" s="937"/>
      <c r="B52" s="938">
        <v>45261</v>
      </c>
      <c r="C52" s="937" t="s">
        <v>867</v>
      </c>
      <c r="D52" s="939"/>
      <c r="E52" s="939">
        <f>+D50+D51-E53</f>
        <v>99460</v>
      </c>
      <c r="F52" s="940"/>
      <c r="G52" s="732"/>
      <c r="H52" s="11"/>
      <c r="I52" s="740"/>
      <c r="M52" s="700"/>
    </row>
    <row r="53" spans="1:13" x14ac:dyDescent="0.35">
      <c r="A53" s="937"/>
      <c r="B53" s="938">
        <v>45261</v>
      </c>
      <c r="C53" s="937" t="s">
        <v>937</v>
      </c>
      <c r="D53" s="939"/>
      <c r="E53" s="939">
        <v>35000</v>
      </c>
      <c r="F53" s="940"/>
      <c r="G53" s="732"/>
      <c r="H53" s="11"/>
      <c r="I53" s="740"/>
      <c r="M53" s="700"/>
    </row>
    <row r="54" spans="1:13" x14ac:dyDescent="0.35">
      <c r="A54" s="937"/>
      <c r="B54" s="938"/>
      <c r="C54" s="937"/>
      <c r="D54" s="939"/>
      <c r="E54" s="939"/>
      <c r="F54" s="940">
        <f>SUM(D50:D54)-SUM(E50:E54)</f>
        <v>0</v>
      </c>
      <c r="G54" s="732">
        <f>+G2</f>
        <v>1542144.38</v>
      </c>
      <c r="H54" s="473"/>
      <c r="I54" s="707"/>
      <c r="J54" s="707"/>
      <c r="K54" s="702"/>
      <c r="L54" s="699"/>
    </row>
    <row r="55" spans="1:13" x14ac:dyDescent="0.35">
      <c r="A55" s="19"/>
      <c r="D55" s="715"/>
      <c r="E55" s="715"/>
      <c r="H55" s="473"/>
      <c r="I55" s="740"/>
    </row>
    <row r="56" spans="1:13" x14ac:dyDescent="0.35">
      <c r="A56" s="19"/>
      <c r="D56" s="715"/>
      <c r="E56" s="715"/>
    </row>
    <row r="57" spans="1:13" x14ac:dyDescent="0.35">
      <c r="A57" s="19"/>
      <c r="D57" s="715"/>
      <c r="E57" s="715"/>
    </row>
    <row r="58" spans="1:13" x14ac:dyDescent="0.35">
      <c r="A58" s="19"/>
      <c r="D58" s="715"/>
      <c r="E58" s="715"/>
    </row>
    <row r="59" spans="1:13" x14ac:dyDescent="0.35">
      <c r="A59" s="19"/>
      <c r="D59" s="715"/>
      <c r="E59" s="715"/>
      <c r="I59" s="745"/>
      <c r="J59" s="745"/>
      <c r="K59" s="675"/>
    </row>
    <row r="60" spans="1:13" x14ac:dyDescent="0.35">
      <c r="A60" s="19"/>
      <c r="D60" s="715"/>
      <c r="E60" s="715"/>
      <c r="I60" s="745"/>
      <c r="J60" s="745">
        <f>+G2</f>
        <v>1542144.38</v>
      </c>
      <c r="K60" s="675"/>
    </row>
    <row r="61" spans="1:13" x14ac:dyDescent="0.35">
      <c r="A61" s="19"/>
      <c r="D61" s="715"/>
      <c r="E61" s="715"/>
      <c r="I61" s="745" t="s">
        <v>137</v>
      </c>
      <c r="J61" s="745" t="s">
        <v>138</v>
      </c>
      <c r="K61" s="675" t="s">
        <v>139</v>
      </c>
    </row>
    <row r="62" spans="1:13" x14ac:dyDescent="0.35">
      <c r="A62" s="19"/>
      <c r="D62" s="715"/>
      <c r="E62" s="715"/>
      <c r="I62" s="745">
        <f>_ENE23v</f>
        <v>1542144.38</v>
      </c>
      <c r="J62" s="745">
        <f>+I62-J60</f>
        <v>0</v>
      </c>
      <c r="K62" s="686">
        <f>(+J62*100/J60)/100</f>
        <v>0</v>
      </c>
      <c r="L62" s="686">
        <f>(+J62*100/$J$60)/100</f>
        <v>0</v>
      </c>
    </row>
    <row r="63" spans="1:13" x14ac:dyDescent="0.35">
      <c r="A63" s="19"/>
      <c r="D63" s="715"/>
      <c r="E63" s="715"/>
      <c r="I63" s="745">
        <f>_FEB23v</f>
        <v>1542144.38</v>
      </c>
      <c r="J63" s="745">
        <f t="shared" ref="J63:J71" si="0">+I63-I62</f>
        <v>0</v>
      </c>
      <c r="K63" s="686">
        <f t="shared" ref="K63:K71" si="1">(+J63*100/I62)/100</f>
        <v>0</v>
      </c>
      <c r="L63" s="686">
        <f t="shared" ref="L63:L74" si="2">(+J63*100/$J$60)/100</f>
        <v>0</v>
      </c>
    </row>
    <row r="64" spans="1:13" x14ac:dyDescent="0.35">
      <c r="A64" s="19"/>
      <c r="D64" s="715"/>
      <c r="E64" s="715"/>
      <c r="I64" s="745">
        <f>_MAR23v</f>
        <v>1542144.38</v>
      </c>
      <c r="J64" s="745">
        <f t="shared" si="0"/>
        <v>0</v>
      </c>
      <c r="K64" s="686">
        <f t="shared" si="1"/>
        <v>0</v>
      </c>
      <c r="L64" s="686">
        <f t="shared" si="2"/>
        <v>0</v>
      </c>
    </row>
    <row r="65" spans="1:15" x14ac:dyDescent="0.35">
      <c r="A65" s="19"/>
      <c r="D65" s="715"/>
      <c r="E65" s="715"/>
      <c r="I65" s="745">
        <f>_ABR23v</f>
        <v>1542144.38</v>
      </c>
      <c r="J65" s="745">
        <f t="shared" si="0"/>
        <v>0</v>
      </c>
      <c r="K65" s="686">
        <f t="shared" si="1"/>
        <v>0</v>
      </c>
      <c r="L65" s="686">
        <f t="shared" si="2"/>
        <v>0</v>
      </c>
    </row>
    <row r="66" spans="1:15" x14ac:dyDescent="0.35">
      <c r="A66" s="19"/>
      <c r="D66" s="715"/>
      <c r="E66" s="715"/>
      <c r="I66" s="745">
        <f>_MAY23v</f>
        <v>1542144.38</v>
      </c>
      <c r="J66" s="745">
        <f t="shared" si="0"/>
        <v>0</v>
      </c>
      <c r="K66" s="686">
        <f t="shared" si="1"/>
        <v>0</v>
      </c>
      <c r="L66" s="686">
        <f t="shared" si="2"/>
        <v>0</v>
      </c>
    </row>
    <row r="67" spans="1:15" x14ac:dyDescent="0.35">
      <c r="A67" s="19"/>
      <c r="D67" s="715"/>
      <c r="E67" s="715"/>
      <c r="I67" s="745">
        <f>_JUN23v</f>
        <v>1542144.38</v>
      </c>
      <c r="J67" s="745">
        <f t="shared" si="0"/>
        <v>0</v>
      </c>
      <c r="K67" s="686">
        <f t="shared" si="1"/>
        <v>0</v>
      </c>
      <c r="L67" s="686">
        <f t="shared" si="2"/>
        <v>0</v>
      </c>
    </row>
    <row r="68" spans="1:15" x14ac:dyDescent="0.35">
      <c r="A68" s="19"/>
      <c r="D68" s="715"/>
      <c r="E68" s="715"/>
      <c r="I68" s="745">
        <f>_JUL23v</f>
        <v>1542144.38</v>
      </c>
      <c r="J68" s="745">
        <f t="shared" si="0"/>
        <v>0</v>
      </c>
      <c r="K68" s="686">
        <f t="shared" si="1"/>
        <v>0</v>
      </c>
      <c r="L68" s="686">
        <f t="shared" si="2"/>
        <v>0</v>
      </c>
    </row>
    <row r="69" spans="1:15" x14ac:dyDescent="0.35">
      <c r="A69" s="19"/>
      <c r="D69" s="715"/>
      <c r="E69" s="715"/>
      <c r="I69" s="745">
        <f>_AGO23v</f>
        <v>1542144.38</v>
      </c>
      <c r="J69" s="745">
        <f t="shared" si="0"/>
        <v>0</v>
      </c>
      <c r="K69" s="686">
        <f t="shared" si="1"/>
        <v>0</v>
      </c>
      <c r="L69" s="686">
        <f t="shared" si="2"/>
        <v>0</v>
      </c>
    </row>
    <row r="70" spans="1:15" x14ac:dyDescent="0.35">
      <c r="A70" s="19"/>
      <c r="D70" s="715"/>
      <c r="E70" s="715"/>
      <c r="I70" s="745">
        <f>_SEP23v</f>
        <v>1542144.38</v>
      </c>
      <c r="J70" s="745">
        <f t="shared" si="0"/>
        <v>0</v>
      </c>
      <c r="K70" s="686">
        <f t="shared" si="1"/>
        <v>0</v>
      </c>
      <c r="L70" s="686">
        <f t="shared" si="2"/>
        <v>0</v>
      </c>
    </row>
    <row r="71" spans="1:15" x14ac:dyDescent="0.35">
      <c r="A71" s="19"/>
      <c r="D71" s="715"/>
      <c r="E71" s="715"/>
      <c r="I71" s="745">
        <f>_OCT23v</f>
        <v>1542144.38</v>
      </c>
      <c r="J71" s="745">
        <f t="shared" si="0"/>
        <v>0</v>
      </c>
      <c r="K71" s="686">
        <f t="shared" si="1"/>
        <v>0</v>
      </c>
      <c r="L71" s="686">
        <f t="shared" si="2"/>
        <v>0</v>
      </c>
    </row>
    <row r="72" spans="1:15" x14ac:dyDescent="0.35">
      <c r="A72" s="19"/>
      <c r="D72" s="715"/>
      <c r="E72" s="715"/>
      <c r="I72" s="745">
        <f>_NOV23v</f>
        <v>1542144.38</v>
      </c>
      <c r="J72" s="745">
        <f>+I72-I71</f>
        <v>0</v>
      </c>
      <c r="K72" s="686">
        <f>(+J72*100/I71)/100</f>
        <v>0</v>
      </c>
      <c r="L72" s="686">
        <f t="shared" si="2"/>
        <v>0</v>
      </c>
    </row>
    <row r="73" spans="1:15" x14ac:dyDescent="0.35">
      <c r="A73" s="19"/>
      <c r="D73" s="715"/>
      <c r="E73" s="715"/>
      <c r="I73" s="745">
        <f>_DIC23v</f>
        <v>1542144.38</v>
      </c>
      <c r="J73" s="745">
        <f>+I73-I72</f>
        <v>0</v>
      </c>
      <c r="K73" s="686">
        <f>(+J73*100/I72)/100</f>
        <v>0</v>
      </c>
      <c r="L73" s="686">
        <f t="shared" si="2"/>
        <v>0</v>
      </c>
    </row>
    <row r="74" spans="1:15" x14ac:dyDescent="0.35">
      <c r="A74" s="19"/>
      <c r="D74" s="715"/>
      <c r="E74" s="715"/>
      <c r="I74" s="745"/>
      <c r="J74" s="745">
        <f>SUM(J62:J73)</f>
        <v>0</v>
      </c>
      <c r="K74" s="686">
        <f>SUM(K62:K73)</f>
        <v>0</v>
      </c>
      <c r="L74" s="686">
        <f t="shared" si="2"/>
        <v>0</v>
      </c>
    </row>
    <row r="75" spans="1:15" x14ac:dyDescent="0.35">
      <c r="A75" s="19"/>
      <c r="D75" s="715"/>
      <c r="E75" s="715"/>
      <c r="G75" s="734"/>
      <c r="I75" s="745" t="s">
        <v>871</v>
      </c>
      <c r="J75" s="745">
        <f>SUM(D4:D55)-SUM(E4:E55)</f>
        <v>0</v>
      </c>
      <c r="K75" s="926">
        <f>(J75*100/$J$60)/100</f>
        <v>0</v>
      </c>
      <c r="M75" s="700"/>
    </row>
    <row r="76" spans="1:15" x14ac:dyDescent="0.35">
      <c r="A76" s="92"/>
      <c r="F76" s="726"/>
      <c r="G76" s="734"/>
      <c r="I76" s="745" t="s">
        <v>872</v>
      </c>
      <c r="J76" s="745">
        <f>+J74-J75</f>
        <v>0</v>
      </c>
      <c r="K76" s="926">
        <f>(J76*100/$J$60)/100</f>
        <v>0</v>
      </c>
      <c r="L76" s="32"/>
      <c r="M76" s="33"/>
      <c r="N76" s="33"/>
    </row>
    <row r="77" spans="1:15" x14ac:dyDescent="0.35">
      <c r="A77" s="92"/>
      <c r="F77" s="726"/>
      <c r="G77" s="734"/>
      <c r="H77" s="30"/>
      <c r="I77" s="748"/>
      <c r="J77" s="755"/>
      <c r="K77" s="676"/>
      <c r="L77" s="33"/>
      <c r="M77" s="33"/>
      <c r="N77" s="33"/>
    </row>
    <row r="78" spans="1:15" x14ac:dyDescent="0.35">
      <c r="A78" s="92"/>
      <c r="D78" s="715"/>
      <c r="E78" s="715"/>
      <c r="F78" s="726"/>
      <c r="G78" s="735"/>
      <c r="H78" s="34"/>
      <c r="I78" s="748"/>
      <c r="J78" s="740"/>
      <c r="K78" s="676"/>
      <c r="L78" s="33"/>
      <c r="M78" s="33"/>
      <c r="N78" s="33"/>
    </row>
    <row r="79" spans="1:15" x14ac:dyDescent="0.35">
      <c r="A79" s="92"/>
      <c r="F79" s="726"/>
      <c r="G79" s="735"/>
      <c r="H79" s="34"/>
      <c r="I79" s="740"/>
      <c r="J79" s="740"/>
    </row>
    <row r="80" spans="1:15" x14ac:dyDescent="0.35">
      <c r="A80" s="92"/>
      <c r="F80" s="726"/>
      <c r="G80" s="735"/>
      <c r="H80" s="93"/>
      <c r="I80" s="749"/>
      <c r="J80" s="749"/>
      <c r="L80" s="700"/>
      <c r="M80" s="700"/>
      <c r="O80" s="700"/>
    </row>
    <row r="81" spans="1:15" x14ac:dyDescent="0.35">
      <c r="A81" s="92"/>
      <c r="F81" s="726"/>
      <c r="G81" s="735"/>
      <c r="H81" s="93"/>
      <c r="I81" s="749"/>
      <c r="J81" s="749"/>
      <c r="L81" s="700"/>
      <c r="M81" s="700"/>
      <c r="O81" s="700"/>
    </row>
    <row r="82" spans="1:15" x14ac:dyDescent="0.35">
      <c r="A82" s="92"/>
      <c r="F82" s="726"/>
      <c r="G82" s="735"/>
      <c r="H82" s="93"/>
      <c r="I82" s="749"/>
      <c r="J82" s="749"/>
      <c r="L82" s="700"/>
      <c r="M82" s="700"/>
      <c r="O82" s="700"/>
    </row>
    <row r="83" spans="1:15" x14ac:dyDescent="0.35">
      <c r="A83" s="92"/>
      <c r="F83" s="726"/>
      <c r="G83" s="735"/>
      <c r="H83" s="93"/>
      <c r="I83" s="749"/>
      <c r="J83" s="749"/>
      <c r="L83" s="700"/>
      <c r="M83" s="700"/>
      <c r="O83" s="700"/>
    </row>
    <row r="84" spans="1:15" x14ac:dyDescent="0.35">
      <c r="A84" s="92"/>
      <c r="F84" s="726"/>
      <c r="G84" s="735"/>
      <c r="H84" s="93"/>
      <c r="I84" s="749"/>
      <c r="J84" s="749"/>
    </row>
    <row r="85" spans="1:15" x14ac:dyDescent="0.35">
      <c r="A85" s="92"/>
      <c r="F85" s="726"/>
      <c r="G85" s="735"/>
      <c r="H85" s="93"/>
      <c r="I85" s="750"/>
      <c r="J85" s="750"/>
    </row>
    <row r="86" spans="1:15" x14ac:dyDescent="0.35">
      <c r="A86" s="92"/>
      <c r="F86" s="726"/>
      <c r="G86" s="735"/>
      <c r="H86" s="93"/>
      <c r="I86" s="750"/>
      <c r="J86" s="750"/>
    </row>
    <row r="87" spans="1:15" x14ac:dyDescent="0.35">
      <c r="A87" s="92"/>
      <c r="F87" s="726"/>
      <c r="G87" s="735"/>
      <c r="H87" s="93"/>
      <c r="I87" s="750"/>
      <c r="J87" s="750"/>
    </row>
    <row r="88" spans="1:15" x14ac:dyDescent="0.35">
      <c r="A88" s="92"/>
      <c r="F88" s="726"/>
      <c r="G88" s="735"/>
      <c r="H88" s="93"/>
      <c r="I88" s="750"/>
      <c r="J88" s="750"/>
    </row>
    <row r="89" spans="1:15" x14ac:dyDescent="0.35">
      <c r="A89" s="92"/>
      <c r="F89" s="726"/>
      <c r="G89" s="735"/>
      <c r="H89" s="93"/>
      <c r="I89" s="750"/>
      <c r="J89" s="750"/>
    </row>
    <row r="90" spans="1:15" x14ac:dyDescent="0.35">
      <c r="A90" s="92"/>
      <c r="F90" s="726"/>
      <c r="G90" s="735"/>
      <c r="H90" s="93"/>
      <c r="I90" s="750"/>
      <c r="J90" s="750"/>
    </row>
    <row r="91" spans="1:15" x14ac:dyDescent="0.35">
      <c r="A91" s="92"/>
      <c r="F91" s="726"/>
      <c r="G91" s="735"/>
      <c r="H91" s="93"/>
      <c r="I91" s="750"/>
      <c r="J91" s="750"/>
    </row>
    <row r="92" spans="1:15" x14ac:dyDescent="0.35">
      <c r="A92" s="92"/>
      <c r="F92" s="726"/>
      <c r="G92" s="735"/>
      <c r="H92" s="93"/>
      <c r="I92" s="750"/>
      <c r="J92" s="750"/>
    </row>
    <row r="93" spans="1:15" x14ac:dyDescent="0.35">
      <c r="A93" s="92"/>
      <c r="F93" s="726"/>
      <c r="G93" s="735"/>
      <c r="H93" s="93"/>
      <c r="I93" s="750"/>
      <c r="J93" s="750"/>
    </row>
    <row r="94" spans="1:15" x14ac:dyDescent="0.35">
      <c r="A94" s="92"/>
      <c r="F94" s="726"/>
      <c r="G94" s="735"/>
      <c r="H94" s="93"/>
      <c r="I94" s="750"/>
      <c r="J94" s="750"/>
    </row>
    <row r="95" spans="1:15" x14ac:dyDescent="0.35">
      <c r="A95" s="92"/>
      <c r="F95" s="726"/>
      <c r="G95" s="735"/>
      <c r="H95" s="93"/>
      <c r="I95" s="750"/>
      <c r="J95" s="750"/>
    </row>
    <row r="96" spans="1:15" x14ac:dyDescent="0.35">
      <c r="A96" s="92"/>
      <c r="F96" s="726"/>
      <c r="G96" s="735"/>
      <c r="H96" s="93"/>
      <c r="I96" s="750"/>
      <c r="J96" s="750"/>
    </row>
    <row r="97" spans="1:10" x14ac:dyDescent="0.35">
      <c r="A97" s="92"/>
      <c r="F97" s="726"/>
      <c r="G97" s="735"/>
      <c r="H97" s="93"/>
      <c r="I97" s="750"/>
      <c r="J97" s="750"/>
    </row>
    <row r="98" spans="1:10" x14ac:dyDescent="0.35">
      <c r="A98" s="92"/>
      <c r="B98" s="380" t="s">
        <v>32</v>
      </c>
      <c r="C98" s="380" t="s">
        <v>33</v>
      </c>
      <c r="F98" s="726"/>
      <c r="G98" s="735"/>
      <c r="H98" s="93"/>
      <c r="I98" s="750"/>
      <c r="J98" s="750"/>
    </row>
    <row r="99" spans="1:10" x14ac:dyDescent="0.35">
      <c r="A99" s="92"/>
      <c r="B99" s="380">
        <f>SUM(D4:D76)</f>
        <v>1165320</v>
      </c>
      <c r="C99" s="380">
        <f>SUM(E4:E76)</f>
        <v>1165320</v>
      </c>
      <c r="F99" s="726"/>
      <c r="G99" s="735"/>
      <c r="H99" s="93"/>
      <c r="I99" s="750"/>
      <c r="J99" s="750"/>
    </row>
    <row r="100" spans="1:10" x14ac:dyDescent="0.35">
      <c r="A100" s="92"/>
      <c r="B100" s="518">
        <f>+B99-C99</f>
        <v>0</v>
      </c>
      <c r="F100" s="726"/>
      <c r="G100" s="735"/>
      <c r="H100" s="93"/>
      <c r="I100" s="750"/>
      <c r="J100" s="750"/>
    </row>
    <row r="101" spans="1:10" x14ac:dyDescent="0.35">
      <c r="A101" s="92"/>
      <c r="F101" s="726"/>
      <c r="G101" s="735"/>
      <c r="H101" s="93"/>
      <c r="I101" s="750"/>
      <c r="J101" s="750"/>
    </row>
    <row r="102" spans="1:10" x14ac:dyDescent="0.35">
      <c r="A102" s="92"/>
      <c r="F102" s="726"/>
      <c r="G102" s="735"/>
      <c r="H102" s="93"/>
      <c r="I102" s="750"/>
      <c r="J102" s="750"/>
    </row>
    <row r="103" spans="1:10" x14ac:dyDescent="0.35">
      <c r="A103" s="92"/>
      <c r="F103" s="726"/>
      <c r="G103" s="735"/>
      <c r="H103" s="93"/>
      <c r="I103" s="750"/>
      <c r="J103" s="750"/>
    </row>
    <row r="104" spans="1:10" x14ac:dyDescent="0.35">
      <c r="A104" s="92"/>
      <c r="F104" s="726"/>
      <c r="G104" s="735"/>
      <c r="H104" s="93"/>
      <c r="I104" s="750"/>
      <c r="J104" s="750"/>
    </row>
    <row r="105" spans="1:10" x14ac:dyDescent="0.35">
      <c r="A105" s="92"/>
      <c r="F105" s="726"/>
      <c r="G105" s="735"/>
      <c r="H105" s="93"/>
      <c r="I105" s="750"/>
      <c r="J105" s="750"/>
    </row>
    <row r="106" spans="1:10" x14ac:dyDescent="0.35">
      <c r="A106" s="92"/>
      <c r="F106" s="726"/>
      <c r="G106" s="735"/>
      <c r="H106" s="93"/>
      <c r="I106" s="750"/>
      <c r="J106" s="750"/>
    </row>
    <row r="107" spans="1:10" x14ac:dyDescent="0.35">
      <c r="A107" s="92"/>
      <c r="F107" s="726"/>
      <c r="G107" s="735"/>
      <c r="H107" s="93"/>
      <c r="I107" s="750"/>
      <c r="J107" s="750"/>
    </row>
    <row r="108" spans="1:10" x14ac:dyDescent="0.35">
      <c r="A108" s="92"/>
      <c r="F108" s="726"/>
      <c r="G108" s="735"/>
      <c r="H108" s="93"/>
      <c r="I108" s="750"/>
      <c r="J108" s="750"/>
    </row>
    <row r="109" spans="1:10" x14ac:dyDescent="0.35">
      <c r="A109" s="92"/>
      <c r="F109" s="726"/>
      <c r="G109" s="735"/>
      <c r="H109" s="93"/>
      <c r="I109" s="750"/>
      <c r="J109" s="750"/>
    </row>
    <row r="110" spans="1:10" x14ac:dyDescent="0.35">
      <c r="A110" s="92"/>
      <c r="F110" s="726"/>
      <c r="G110" s="735"/>
      <c r="H110" s="93"/>
      <c r="I110" s="750"/>
      <c r="J110" s="750"/>
    </row>
    <row r="111" spans="1:10" x14ac:dyDescent="0.35">
      <c r="A111" s="92"/>
      <c r="F111" s="726"/>
      <c r="G111" s="735"/>
      <c r="H111" s="93"/>
      <c r="I111" s="750"/>
      <c r="J111" s="750"/>
    </row>
    <row r="112" spans="1:10" x14ac:dyDescent="0.35">
      <c r="A112" s="92"/>
      <c r="F112" s="726"/>
      <c r="G112" s="735"/>
      <c r="H112" s="93"/>
      <c r="I112" s="750"/>
      <c r="J112" s="750"/>
    </row>
    <row r="113" spans="1:10" x14ac:dyDescent="0.35">
      <c r="A113" s="92"/>
      <c r="F113" s="726"/>
      <c r="G113" s="735"/>
      <c r="H113" s="93"/>
      <c r="I113" s="750"/>
      <c r="J113" s="750"/>
    </row>
    <row r="114" spans="1:10" x14ac:dyDescent="0.35">
      <c r="A114" s="92"/>
      <c r="F114" s="726"/>
      <c r="G114" s="735"/>
      <c r="H114" s="93"/>
      <c r="I114" s="750"/>
      <c r="J114" s="750"/>
    </row>
    <row r="115" spans="1:10" x14ac:dyDescent="0.35">
      <c r="A115" s="92"/>
      <c r="F115" s="726"/>
      <c r="G115" s="735"/>
      <c r="H115" s="93"/>
      <c r="I115" s="750"/>
      <c r="J115" s="750"/>
    </row>
    <row r="116" spans="1:10" x14ac:dyDescent="0.35">
      <c r="A116" s="92"/>
      <c r="F116" s="726"/>
      <c r="G116" s="735"/>
      <c r="H116" s="93"/>
      <c r="I116" s="750"/>
      <c r="J116" s="750"/>
    </row>
    <row r="117" spans="1:10" x14ac:dyDescent="0.35">
      <c r="A117" s="92"/>
      <c r="F117" s="726"/>
      <c r="G117" s="735"/>
      <c r="H117" s="93"/>
      <c r="I117" s="750"/>
      <c r="J117" s="750"/>
    </row>
    <row r="118" spans="1:10" x14ac:dyDescent="0.35">
      <c r="A118" s="92"/>
      <c r="F118" s="726"/>
      <c r="G118" s="735"/>
      <c r="H118" s="93"/>
      <c r="I118" s="750"/>
      <c r="J118" s="750"/>
    </row>
    <row r="119" spans="1:10" x14ac:dyDescent="0.35">
      <c r="A119" s="92"/>
      <c r="F119" s="726"/>
      <c r="G119" s="735"/>
      <c r="H119" s="93"/>
      <c r="I119" s="750"/>
      <c r="J119" s="750"/>
    </row>
    <row r="120" spans="1:10" x14ac:dyDescent="0.35">
      <c r="A120" s="92"/>
      <c r="F120" s="726"/>
      <c r="G120" s="735"/>
      <c r="H120" s="93"/>
      <c r="I120" s="750"/>
      <c r="J120" s="750"/>
    </row>
    <row r="121" spans="1:10" x14ac:dyDescent="0.35">
      <c r="A121" s="92"/>
      <c r="F121" s="726"/>
      <c r="G121" s="735"/>
      <c r="H121" s="93"/>
      <c r="I121" s="750"/>
      <c r="J121" s="750"/>
    </row>
    <row r="122" spans="1:10" x14ac:dyDescent="0.35">
      <c r="A122" s="92"/>
      <c r="F122" s="726"/>
      <c r="G122" s="735"/>
      <c r="H122" s="93"/>
      <c r="I122" s="750"/>
      <c r="J122" s="750"/>
    </row>
    <row r="123" spans="1:10" x14ac:dyDescent="0.35">
      <c r="A123" s="92"/>
      <c r="F123" s="726"/>
      <c r="G123" s="735"/>
      <c r="H123" s="93"/>
      <c r="I123" s="750"/>
      <c r="J123" s="750"/>
    </row>
    <row r="124" spans="1:10" x14ac:dyDescent="0.35">
      <c r="A124" s="92"/>
      <c r="F124" s="726"/>
      <c r="G124" s="735"/>
      <c r="H124" s="93"/>
      <c r="I124" s="750"/>
      <c r="J124" s="750"/>
    </row>
    <row r="125" spans="1:10" x14ac:dyDescent="0.35">
      <c r="A125" s="92"/>
      <c r="F125" s="726"/>
      <c r="G125" s="735"/>
      <c r="H125" s="93"/>
      <c r="I125" s="750"/>
      <c r="J125" s="750"/>
    </row>
    <row r="126" spans="1:10" x14ac:dyDescent="0.35">
      <c r="A126" s="92"/>
      <c r="F126" s="726"/>
      <c r="G126" s="735"/>
      <c r="H126" s="93"/>
      <c r="I126" s="750"/>
      <c r="J126" s="750"/>
    </row>
    <row r="127" spans="1:10" x14ac:dyDescent="0.35">
      <c r="A127" s="92"/>
      <c r="F127" s="726"/>
      <c r="G127" s="735"/>
      <c r="H127" s="93"/>
      <c r="I127" s="750"/>
      <c r="J127" s="750"/>
    </row>
    <row r="128" spans="1:10" x14ac:dyDescent="0.35">
      <c r="A128" s="92"/>
      <c r="F128" s="726"/>
      <c r="G128" s="735"/>
      <c r="H128" s="93"/>
      <c r="I128" s="750"/>
      <c r="J128" s="750"/>
    </row>
    <row r="129" spans="1:10" x14ac:dyDescent="0.35">
      <c r="A129" s="92"/>
      <c r="F129" s="726"/>
      <c r="G129" s="735"/>
      <c r="H129" s="93"/>
      <c r="I129" s="750"/>
      <c r="J129" s="750"/>
    </row>
    <row r="130" spans="1:10" x14ac:dyDescent="0.35">
      <c r="A130" s="92"/>
      <c r="F130" s="726"/>
      <c r="G130" s="735"/>
      <c r="H130" s="93"/>
      <c r="I130" s="750"/>
      <c r="J130" s="750"/>
    </row>
    <row r="131" spans="1:10" x14ac:dyDescent="0.35">
      <c r="A131" s="92"/>
      <c r="F131" s="726"/>
      <c r="G131" s="735"/>
      <c r="H131" s="93"/>
      <c r="I131" s="750"/>
      <c r="J131" s="750"/>
    </row>
    <row r="132" spans="1:10" x14ac:dyDescent="0.35">
      <c r="A132" s="92"/>
      <c r="F132" s="726"/>
      <c r="G132" s="735"/>
      <c r="H132" s="93"/>
      <c r="I132" s="750"/>
      <c r="J132" s="750"/>
    </row>
    <row r="133" spans="1:10" x14ac:dyDescent="0.35">
      <c r="A133" s="92"/>
      <c r="F133" s="726"/>
      <c r="G133" s="735"/>
      <c r="H133" s="93"/>
      <c r="I133" s="750"/>
      <c r="J133" s="750"/>
    </row>
    <row r="134" spans="1:10" x14ac:dyDescent="0.35">
      <c r="A134" s="92"/>
      <c r="F134" s="726"/>
      <c r="G134" s="735"/>
      <c r="H134" s="93"/>
      <c r="I134" s="750"/>
      <c r="J134" s="750"/>
    </row>
    <row r="135" spans="1:10" x14ac:dyDescent="0.35">
      <c r="A135" s="92"/>
      <c r="F135" s="726"/>
      <c r="G135" s="735"/>
      <c r="H135" s="93"/>
      <c r="I135" s="750"/>
      <c r="J135" s="750"/>
    </row>
    <row r="136" spans="1:10" x14ac:dyDescent="0.35">
      <c r="A136" s="92"/>
      <c r="F136" s="726"/>
      <c r="G136" s="735"/>
      <c r="H136" s="93"/>
      <c r="I136" s="750"/>
      <c r="J136" s="750"/>
    </row>
    <row r="137" spans="1:10" x14ac:dyDescent="0.35">
      <c r="A137" s="92"/>
      <c r="F137" s="726"/>
      <c r="G137" s="735"/>
      <c r="H137" s="93"/>
      <c r="I137" s="750"/>
      <c r="J137" s="750"/>
    </row>
    <row r="138" spans="1:10" x14ac:dyDescent="0.35">
      <c r="A138" s="92"/>
      <c r="F138" s="726"/>
      <c r="G138" s="735"/>
      <c r="H138" s="93"/>
      <c r="I138" s="750"/>
      <c r="J138" s="750"/>
    </row>
    <row r="139" spans="1:10" x14ac:dyDescent="0.35">
      <c r="A139" s="92"/>
      <c r="F139" s="726"/>
      <c r="G139" s="735"/>
      <c r="H139" s="93"/>
      <c r="I139" s="750"/>
      <c r="J139" s="750"/>
    </row>
    <row r="140" spans="1:10" x14ac:dyDescent="0.35">
      <c r="A140" s="92"/>
      <c r="F140" s="726"/>
      <c r="G140" s="735"/>
      <c r="H140" s="93"/>
      <c r="I140" s="750"/>
      <c r="J140" s="750"/>
    </row>
    <row r="141" spans="1:10" x14ac:dyDescent="0.35">
      <c r="A141" s="92"/>
      <c r="F141" s="726"/>
      <c r="G141" s="735"/>
      <c r="H141" s="93"/>
      <c r="I141" s="750"/>
      <c r="J141" s="750"/>
    </row>
    <row r="142" spans="1:10" x14ac:dyDescent="0.35">
      <c r="A142" s="92"/>
      <c r="F142" s="726"/>
      <c r="G142" s="735"/>
      <c r="H142" s="93"/>
      <c r="I142" s="750"/>
      <c r="J142" s="750"/>
    </row>
    <row r="143" spans="1:10" x14ac:dyDescent="0.35">
      <c r="A143" s="92"/>
      <c r="F143" s="726"/>
      <c r="G143" s="735"/>
      <c r="H143" s="93"/>
      <c r="I143" s="750"/>
      <c r="J143" s="750"/>
    </row>
    <row r="144" spans="1:10" x14ac:dyDescent="0.35">
      <c r="A144" s="92"/>
      <c r="F144" s="726"/>
      <c r="G144" s="735"/>
      <c r="H144" s="93"/>
      <c r="I144" s="750"/>
      <c r="J144" s="750"/>
    </row>
    <row r="145" spans="1:10" x14ac:dyDescent="0.35">
      <c r="A145" s="92"/>
      <c r="F145" s="726"/>
      <c r="G145" s="735"/>
      <c r="H145" s="93"/>
      <c r="I145" s="750"/>
      <c r="J145" s="750"/>
    </row>
    <row r="146" spans="1:10" x14ac:dyDescent="0.35">
      <c r="A146" s="92"/>
      <c r="F146" s="726"/>
      <c r="G146" s="735"/>
      <c r="H146" s="93"/>
      <c r="I146" s="750"/>
      <c r="J146" s="750"/>
    </row>
    <row r="147" spans="1:10" x14ac:dyDescent="0.35">
      <c r="A147" s="92"/>
      <c r="F147" s="726"/>
      <c r="G147" s="735"/>
      <c r="H147" s="93"/>
      <c r="I147" s="750"/>
      <c r="J147" s="750"/>
    </row>
    <row r="148" spans="1:10" x14ac:dyDescent="0.35">
      <c r="A148" s="92"/>
      <c r="F148" s="726"/>
      <c r="G148" s="735"/>
      <c r="H148" s="93"/>
      <c r="I148" s="750"/>
      <c r="J148" s="750"/>
    </row>
    <row r="149" spans="1:10" x14ac:dyDescent="0.35">
      <c r="A149" s="92"/>
      <c r="F149" s="726"/>
      <c r="G149" s="735"/>
      <c r="H149" s="93"/>
      <c r="I149" s="750"/>
      <c r="J149" s="750"/>
    </row>
    <row r="150" spans="1:10" x14ac:dyDescent="0.35">
      <c r="A150" s="92"/>
      <c r="F150" s="726"/>
      <c r="G150" s="735"/>
      <c r="H150" s="93"/>
      <c r="I150" s="750"/>
      <c r="J150" s="750"/>
    </row>
    <row r="151" spans="1:10" x14ac:dyDescent="0.35">
      <c r="A151" s="92"/>
      <c r="F151" s="726"/>
      <c r="G151" s="735"/>
      <c r="H151" s="93"/>
      <c r="I151" s="750"/>
      <c r="J151" s="750"/>
    </row>
    <row r="152" spans="1:10" x14ac:dyDescent="0.35">
      <c r="A152" s="92"/>
      <c r="F152" s="726"/>
      <c r="G152" s="735"/>
      <c r="H152" s="93"/>
      <c r="I152" s="750"/>
      <c r="J152" s="750"/>
    </row>
    <row r="153" spans="1:10" x14ac:dyDescent="0.35">
      <c r="A153" s="92"/>
      <c r="F153" s="726"/>
      <c r="G153" s="735"/>
      <c r="H153" s="93"/>
      <c r="I153" s="750"/>
      <c r="J153" s="750"/>
    </row>
    <row r="154" spans="1:10" x14ac:dyDescent="0.35">
      <c r="A154" s="92"/>
      <c r="F154" s="726"/>
      <c r="G154" s="735"/>
      <c r="H154" s="93"/>
      <c r="I154" s="750"/>
      <c r="J154" s="750"/>
    </row>
    <row r="155" spans="1:10" x14ac:dyDescent="0.35">
      <c r="A155" s="92"/>
      <c r="F155" s="726"/>
      <c r="G155" s="735"/>
      <c r="H155" s="93"/>
      <c r="I155" s="750"/>
      <c r="J155" s="750"/>
    </row>
    <row r="156" spans="1:10" x14ac:dyDescent="0.35">
      <c r="A156" s="92"/>
      <c r="F156" s="726"/>
      <c r="G156" s="735"/>
      <c r="H156" s="93"/>
      <c r="I156" s="750"/>
      <c r="J156" s="750"/>
    </row>
    <row r="157" spans="1:10" x14ac:dyDescent="0.35">
      <c r="A157" s="92"/>
      <c r="F157" s="726"/>
      <c r="G157" s="735"/>
      <c r="H157" s="93"/>
      <c r="I157" s="750"/>
      <c r="J157" s="750"/>
    </row>
    <row r="158" spans="1:10" x14ac:dyDescent="0.35">
      <c r="A158" s="92"/>
      <c r="F158" s="726"/>
      <c r="G158" s="735"/>
      <c r="H158" s="93"/>
      <c r="I158" s="750"/>
      <c r="J158" s="750"/>
    </row>
    <row r="159" spans="1:10" x14ac:dyDescent="0.35">
      <c r="A159" s="92"/>
      <c r="F159" s="726"/>
      <c r="G159" s="735"/>
      <c r="H159" s="93"/>
      <c r="I159" s="750"/>
      <c r="J159" s="750"/>
    </row>
    <row r="160" spans="1:10" x14ac:dyDescent="0.35">
      <c r="A160" s="92"/>
      <c r="F160" s="726"/>
      <c r="G160" s="735"/>
      <c r="H160" s="93"/>
      <c r="I160" s="750"/>
      <c r="J160" s="750"/>
    </row>
    <row r="161" spans="1:10" x14ac:dyDescent="0.35">
      <c r="A161" s="92"/>
      <c r="F161" s="726"/>
      <c r="G161" s="735"/>
      <c r="H161" s="93"/>
      <c r="I161" s="750"/>
      <c r="J161" s="750"/>
    </row>
    <row r="162" spans="1:10" x14ac:dyDescent="0.35">
      <c r="A162" s="92"/>
      <c r="F162" s="726"/>
      <c r="G162" s="735"/>
      <c r="H162" s="93"/>
      <c r="I162" s="750"/>
      <c r="J162" s="750"/>
    </row>
    <row r="163" spans="1:10" x14ac:dyDescent="0.35">
      <c r="A163" s="92"/>
      <c r="F163" s="726"/>
      <c r="G163" s="735"/>
      <c r="H163" s="93"/>
      <c r="I163" s="750"/>
      <c r="J163" s="750"/>
    </row>
    <row r="164" spans="1:10" x14ac:dyDescent="0.35">
      <c r="A164" s="92"/>
      <c r="F164" s="726"/>
      <c r="G164" s="735"/>
      <c r="H164" s="93"/>
      <c r="I164" s="750"/>
      <c r="J164" s="750"/>
    </row>
    <row r="165" spans="1:10" x14ac:dyDescent="0.35">
      <c r="A165" s="92"/>
      <c r="F165" s="726"/>
      <c r="G165" s="735"/>
      <c r="H165" s="93"/>
      <c r="I165" s="750"/>
      <c r="J165" s="750"/>
    </row>
    <row r="166" spans="1:10" x14ac:dyDescent="0.35">
      <c r="A166" s="92"/>
      <c r="F166" s="726"/>
      <c r="G166" s="735"/>
      <c r="H166" s="93"/>
      <c r="I166" s="750"/>
      <c r="J166" s="750"/>
    </row>
    <row r="167" spans="1:10" x14ac:dyDescent="0.35">
      <c r="A167" s="92"/>
      <c r="F167" s="726"/>
      <c r="G167" s="735"/>
      <c r="H167" s="93"/>
      <c r="I167" s="750"/>
      <c r="J167" s="750"/>
    </row>
    <row r="168" spans="1:10" x14ac:dyDescent="0.35">
      <c r="A168" s="92"/>
      <c r="F168" s="726"/>
      <c r="G168" s="735"/>
      <c r="H168" s="93"/>
      <c r="I168" s="750"/>
      <c r="J168" s="750"/>
    </row>
    <row r="169" spans="1:10" x14ac:dyDescent="0.35">
      <c r="A169" s="92"/>
      <c r="F169" s="726"/>
      <c r="G169" s="735"/>
      <c r="H169" s="93"/>
      <c r="I169" s="750"/>
      <c r="J169" s="750"/>
    </row>
    <row r="170" spans="1:10" x14ac:dyDescent="0.35">
      <c r="A170" s="92"/>
      <c r="F170" s="726"/>
      <c r="G170" s="735"/>
      <c r="H170" s="93"/>
      <c r="I170" s="750"/>
      <c r="J170" s="750"/>
    </row>
    <row r="171" spans="1:10" x14ac:dyDescent="0.35">
      <c r="A171" s="92"/>
      <c r="F171" s="726"/>
      <c r="G171" s="735"/>
      <c r="H171" s="93"/>
      <c r="I171" s="750"/>
      <c r="J171" s="750"/>
    </row>
    <row r="172" spans="1:10" x14ac:dyDescent="0.35">
      <c r="A172" s="92"/>
      <c r="F172" s="726"/>
      <c r="G172" s="735"/>
      <c r="H172" s="93"/>
      <c r="I172" s="750"/>
      <c r="J172" s="750"/>
    </row>
    <row r="173" spans="1:10" x14ac:dyDescent="0.35">
      <c r="A173" s="92"/>
      <c r="F173" s="726"/>
      <c r="G173" s="735"/>
      <c r="H173" s="93"/>
      <c r="I173" s="750"/>
      <c r="J173" s="750"/>
    </row>
    <row r="174" spans="1:10" x14ac:dyDescent="0.35">
      <c r="A174" s="92"/>
      <c r="F174" s="726"/>
      <c r="G174" s="735"/>
      <c r="H174" s="93"/>
      <c r="I174" s="750"/>
      <c r="J174" s="750"/>
    </row>
    <row r="175" spans="1:10" x14ac:dyDescent="0.35">
      <c r="A175" s="92"/>
      <c r="F175" s="726"/>
      <c r="G175" s="735"/>
      <c r="H175" s="93"/>
      <c r="I175" s="750"/>
      <c r="J175" s="750"/>
    </row>
    <row r="176" spans="1:10" x14ac:dyDescent="0.35">
      <c r="A176" s="92"/>
      <c r="F176" s="726"/>
      <c r="G176" s="735"/>
      <c r="H176" s="93"/>
      <c r="I176" s="750"/>
      <c r="J176" s="750"/>
    </row>
    <row r="177" spans="1:10" x14ac:dyDescent="0.35">
      <c r="A177" s="92"/>
      <c r="F177" s="726"/>
      <c r="G177" s="735"/>
      <c r="H177" s="93"/>
      <c r="I177" s="750"/>
      <c r="J177" s="750"/>
    </row>
    <row r="178" spans="1:10" x14ac:dyDescent="0.35">
      <c r="A178" s="92"/>
      <c r="F178" s="726"/>
      <c r="G178" s="735"/>
      <c r="H178" s="93"/>
      <c r="I178" s="750"/>
      <c r="J178" s="750"/>
    </row>
    <row r="179" spans="1:10" x14ac:dyDescent="0.35">
      <c r="A179" s="92"/>
      <c r="F179" s="726"/>
      <c r="G179" s="735"/>
      <c r="H179" s="93"/>
      <c r="I179" s="750"/>
      <c r="J179" s="750"/>
    </row>
    <row r="180" spans="1:10" x14ac:dyDescent="0.35">
      <c r="A180" s="92"/>
      <c r="F180" s="726"/>
      <c r="G180" s="735"/>
      <c r="H180" s="93"/>
      <c r="I180" s="750"/>
      <c r="J180" s="750"/>
    </row>
    <row r="181" spans="1:10" x14ac:dyDescent="0.35">
      <c r="A181" s="92"/>
      <c r="F181" s="726"/>
      <c r="G181" s="735"/>
      <c r="H181" s="93"/>
      <c r="I181" s="750"/>
      <c r="J181" s="750"/>
    </row>
    <row r="182" spans="1:10" x14ac:dyDescent="0.35">
      <c r="A182" s="92"/>
      <c r="F182" s="726"/>
      <c r="G182" s="735"/>
      <c r="H182" s="93"/>
      <c r="I182" s="750"/>
      <c r="J182" s="750"/>
    </row>
    <row r="183" spans="1:10" x14ac:dyDescent="0.35">
      <c r="A183" s="92"/>
      <c r="F183" s="726"/>
      <c r="G183" s="735"/>
      <c r="H183" s="93"/>
      <c r="I183" s="750"/>
      <c r="J183" s="750"/>
    </row>
    <row r="184" spans="1:10" x14ac:dyDescent="0.35">
      <c r="A184" s="92"/>
      <c r="F184" s="726"/>
      <c r="G184" s="735"/>
      <c r="H184" s="93"/>
      <c r="I184" s="750"/>
      <c r="J184" s="750"/>
    </row>
    <row r="185" spans="1:10" x14ac:dyDescent="0.35">
      <c r="A185" s="92"/>
      <c r="F185" s="726"/>
      <c r="G185" s="735"/>
      <c r="H185" s="93"/>
      <c r="I185" s="750"/>
      <c r="J185" s="750"/>
    </row>
    <row r="186" spans="1:10" x14ac:dyDescent="0.35">
      <c r="A186" s="92"/>
      <c r="F186" s="726"/>
      <c r="G186" s="735"/>
      <c r="H186" s="93"/>
      <c r="I186" s="750"/>
      <c r="J186" s="750"/>
    </row>
    <row r="187" spans="1:10" x14ac:dyDescent="0.35">
      <c r="A187" s="92"/>
      <c r="F187" s="726"/>
      <c r="G187" s="735"/>
      <c r="H187" s="93"/>
      <c r="I187" s="750"/>
      <c r="J187" s="750"/>
    </row>
    <row r="188" spans="1:10" x14ac:dyDescent="0.35">
      <c r="A188" s="92"/>
      <c r="F188" s="726"/>
      <c r="G188" s="735"/>
      <c r="H188" s="93"/>
      <c r="I188" s="750"/>
      <c r="J188" s="750"/>
    </row>
    <row r="189" spans="1:10" x14ac:dyDescent="0.35">
      <c r="A189" s="92"/>
      <c r="F189" s="726"/>
      <c r="G189" s="735"/>
      <c r="H189" s="93"/>
      <c r="I189" s="750"/>
      <c r="J189" s="750"/>
    </row>
    <row r="190" spans="1:10" x14ac:dyDescent="0.35">
      <c r="A190" s="92"/>
      <c r="F190" s="726"/>
      <c r="G190" s="735"/>
      <c r="H190" s="93"/>
      <c r="I190" s="750"/>
      <c r="J190" s="750"/>
    </row>
    <row r="191" spans="1:10" x14ac:dyDescent="0.35">
      <c r="A191" s="92"/>
      <c r="F191" s="726"/>
      <c r="G191" s="735"/>
      <c r="H191" s="93"/>
      <c r="I191" s="750"/>
      <c r="J191" s="750"/>
    </row>
    <row r="192" spans="1:10" x14ac:dyDescent="0.35">
      <c r="A192" s="92"/>
      <c r="F192" s="726"/>
      <c r="G192" s="735"/>
      <c r="H192" s="93"/>
      <c r="I192" s="750"/>
      <c r="J192" s="750"/>
    </row>
    <row r="193" spans="1:10" x14ac:dyDescent="0.35">
      <c r="A193" s="92"/>
      <c r="F193" s="726"/>
      <c r="G193" s="735"/>
      <c r="H193" s="93"/>
      <c r="I193" s="750"/>
      <c r="J193" s="750"/>
    </row>
    <row r="194" spans="1:10" x14ac:dyDescent="0.35">
      <c r="A194" s="92"/>
      <c r="F194" s="726"/>
      <c r="G194" s="735"/>
      <c r="H194" s="93"/>
      <c r="I194" s="750"/>
      <c r="J194" s="750"/>
    </row>
    <row r="195" spans="1:10" x14ac:dyDescent="0.35">
      <c r="A195" s="92"/>
      <c r="F195" s="726"/>
      <c r="G195" s="735"/>
      <c r="H195" s="93"/>
      <c r="I195" s="750"/>
      <c r="J195" s="750"/>
    </row>
    <row r="196" spans="1:10" x14ac:dyDescent="0.35">
      <c r="A196" s="92"/>
      <c r="F196" s="726"/>
      <c r="G196" s="735"/>
      <c r="H196" s="93"/>
      <c r="I196" s="750"/>
      <c r="J196" s="750"/>
    </row>
    <row r="197" spans="1:10" x14ac:dyDescent="0.35">
      <c r="A197" s="92"/>
      <c r="F197" s="726"/>
      <c r="G197" s="735"/>
      <c r="H197" s="93"/>
      <c r="I197" s="750"/>
      <c r="J197" s="750"/>
    </row>
    <row r="198" spans="1:10" x14ac:dyDescent="0.35">
      <c r="A198" s="92"/>
      <c r="F198" s="726"/>
      <c r="G198" s="735"/>
      <c r="H198" s="93"/>
      <c r="I198" s="750"/>
      <c r="J198" s="750"/>
    </row>
    <row r="199" spans="1:10" x14ac:dyDescent="0.35">
      <c r="A199" s="92"/>
      <c r="F199" s="726"/>
      <c r="G199" s="735"/>
      <c r="H199" s="93"/>
      <c r="I199" s="750"/>
      <c r="J199" s="750"/>
    </row>
    <row r="200" spans="1:10" x14ac:dyDescent="0.35">
      <c r="A200" s="92"/>
      <c r="F200" s="726"/>
      <c r="G200" s="735"/>
      <c r="H200" s="93"/>
      <c r="I200" s="750"/>
      <c r="J200" s="750"/>
    </row>
    <row r="201" spans="1:10" x14ac:dyDescent="0.35">
      <c r="A201" s="92"/>
      <c r="F201" s="726"/>
      <c r="G201" s="735"/>
      <c r="H201" s="93"/>
      <c r="I201" s="750"/>
      <c r="J201" s="750"/>
    </row>
    <row r="202" spans="1:10" x14ac:dyDescent="0.35">
      <c r="A202" s="92"/>
      <c r="F202" s="726"/>
      <c r="G202" s="735"/>
      <c r="H202" s="93"/>
      <c r="I202" s="750"/>
      <c r="J202" s="750"/>
    </row>
    <row r="203" spans="1:10" x14ac:dyDescent="0.35">
      <c r="A203" s="92"/>
      <c r="F203" s="726"/>
      <c r="G203" s="735"/>
      <c r="H203" s="93"/>
      <c r="I203" s="750"/>
      <c r="J203" s="750"/>
    </row>
    <row r="204" spans="1:10" x14ac:dyDescent="0.35">
      <c r="A204" s="92"/>
      <c r="F204" s="726"/>
      <c r="G204" s="735"/>
      <c r="H204" s="93"/>
      <c r="I204" s="750"/>
      <c r="J204" s="750"/>
    </row>
    <row r="205" spans="1:10" x14ac:dyDescent="0.35">
      <c r="A205" s="92"/>
      <c r="F205" s="726"/>
      <c r="G205" s="735"/>
      <c r="H205" s="93"/>
      <c r="I205" s="750"/>
      <c r="J205" s="750"/>
    </row>
    <row r="206" spans="1:10" x14ac:dyDescent="0.35">
      <c r="A206" s="92"/>
      <c r="F206" s="726"/>
      <c r="G206" s="735"/>
      <c r="H206" s="93"/>
      <c r="I206" s="750"/>
      <c r="J206" s="750"/>
    </row>
    <row r="207" spans="1:10" x14ac:dyDescent="0.35">
      <c r="A207" s="92"/>
      <c r="F207" s="726"/>
      <c r="G207" s="735"/>
      <c r="H207" s="93"/>
      <c r="I207" s="750"/>
      <c r="J207" s="750"/>
    </row>
    <row r="208" spans="1:10" x14ac:dyDescent="0.35">
      <c r="A208" s="92"/>
      <c r="F208" s="726"/>
      <c r="G208" s="735"/>
      <c r="H208" s="93"/>
      <c r="I208" s="750"/>
      <c r="J208" s="750"/>
    </row>
    <row r="209" spans="1:10" x14ac:dyDescent="0.35">
      <c r="A209" s="92"/>
      <c r="F209" s="726"/>
      <c r="G209" s="735"/>
      <c r="H209" s="93"/>
      <c r="I209" s="750"/>
      <c r="J209" s="750"/>
    </row>
    <row r="210" spans="1:10" x14ac:dyDescent="0.35">
      <c r="A210" s="92"/>
      <c r="F210" s="726"/>
      <c r="G210" s="735"/>
      <c r="H210" s="93"/>
      <c r="I210" s="750"/>
      <c r="J210" s="750"/>
    </row>
    <row r="211" spans="1:10" x14ac:dyDescent="0.35">
      <c r="A211" s="92"/>
      <c r="F211" s="726"/>
      <c r="G211" s="735"/>
      <c r="H211" s="93"/>
      <c r="I211" s="750"/>
      <c r="J211" s="750"/>
    </row>
    <row r="212" spans="1:10" x14ac:dyDescent="0.35">
      <c r="A212" s="92"/>
      <c r="F212" s="726"/>
      <c r="G212" s="735"/>
      <c r="H212" s="93"/>
      <c r="I212" s="750"/>
      <c r="J212" s="750"/>
    </row>
    <row r="213" spans="1:10" x14ac:dyDescent="0.35">
      <c r="A213" s="92"/>
      <c r="F213" s="726"/>
      <c r="G213" s="735"/>
      <c r="H213" s="93"/>
      <c r="I213" s="750"/>
      <c r="J213" s="750"/>
    </row>
    <row r="214" spans="1:10" x14ac:dyDescent="0.35">
      <c r="A214" s="92"/>
      <c r="F214" s="726"/>
      <c r="G214" s="735"/>
      <c r="H214" s="93"/>
      <c r="I214" s="750"/>
      <c r="J214" s="750"/>
    </row>
    <row r="215" spans="1:10" x14ac:dyDescent="0.35">
      <c r="A215" s="92"/>
      <c r="F215" s="726"/>
      <c r="G215" s="735"/>
      <c r="H215" s="93"/>
      <c r="I215" s="750"/>
      <c r="J215" s="750"/>
    </row>
    <row r="216" spans="1:10" x14ac:dyDescent="0.35">
      <c r="A216" s="92"/>
      <c r="F216" s="726"/>
      <c r="G216" s="735"/>
      <c r="H216" s="93"/>
      <c r="I216" s="750"/>
      <c r="J216" s="750"/>
    </row>
    <row r="217" spans="1:10" x14ac:dyDescent="0.35">
      <c r="A217" s="92"/>
      <c r="F217" s="726"/>
      <c r="G217" s="735"/>
      <c r="H217" s="93"/>
      <c r="I217" s="750"/>
      <c r="J217" s="750"/>
    </row>
    <row r="218" spans="1:10" x14ac:dyDescent="0.35">
      <c r="A218" s="92"/>
      <c r="F218" s="726"/>
      <c r="G218" s="735"/>
      <c r="H218" s="93"/>
      <c r="I218" s="750"/>
      <c r="J218" s="750"/>
    </row>
    <row r="219" spans="1:10" x14ac:dyDescent="0.35">
      <c r="A219" s="92"/>
      <c r="F219" s="726"/>
      <c r="G219" s="735"/>
      <c r="H219" s="93"/>
      <c r="I219" s="750"/>
      <c r="J219" s="750"/>
    </row>
    <row r="220" spans="1:10" x14ac:dyDescent="0.35">
      <c r="A220" s="92"/>
      <c r="F220" s="726"/>
      <c r="G220" s="735"/>
      <c r="H220" s="93"/>
      <c r="I220" s="750"/>
      <c r="J220" s="750"/>
    </row>
    <row r="221" spans="1:10" x14ac:dyDescent="0.35">
      <c r="A221" s="92"/>
      <c r="F221" s="726"/>
      <c r="G221" s="735"/>
      <c r="H221" s="93"/>
      <c r="I221" s="750"/>
      <c r="J221" s="750"/>
    </row>
    <row r="222" spans="1:10" x14ac:dyDescent="0.35">
      <c r="A222" s="92"/>
      <c r="F222" s="726"/>
      <c r="G222" s="735"/>
      <c r="H222" s="93"/>
      <c r="I222" s="750"/>
      <c r="J222" s="750"/>
    </row>
    <row r="223" spans="1:10" x14ac:dyDescent="0.35">
      <c r="A223" s="92"/>
      <c r="F223" s="726"/>
      <c r="G223" s="735"/>
      <c r="H223" s="93"/>
      <c r="I223" s="750"/>
      <c r="J223" s="750"/>
    </row>
    <row r="224" spans="1:10" x14ac:dyDescent="0.35">
      <c r="A224" s="92"/>
      <c r="F224" s="726"/>
      <c r="G224" s="735"/>
      <c r="H224" s="93"/>
      <c r="I224" s="750"/>
      <c r="J224" s="750"/>
    </row>
    <row r="225" spans="1:10" x14ac:dyDescent="0.35">
      <c r="A225" s="92"/>
      <c r="F225" s="726"/>
      <c r="G225" s="735"/>
      <c r="H225" s="93"/>
      <c r="I225" s="750"/>
      <c r="J225" s="750"/>
    </row>
    <row r="226" spans="1:10" x14ac:dyDescent="0.35">
      <c r="A226" s="92"/>
      <c r="F226" s="726"/>
      <c r="G226" s="735"/>
      <c r="H226" s="93"/>
      <c r="I226" s="750"/>
      <c r="J226" s="750"/>
    </row>
    <row r="227" spans="1:10" x14ac:dyDescent="0.35">
      <c r="A227" s="92"/>
      <c r="F227" s="726"/>
      <c r="G227" s="735"/>
      <c r="H227" s="93"/>
      <c r="I227" s="750"/>
      <c r="J227" s="750"/>
    </row>
    <row r="228" spans="1:10" x14ac:dyDescent="0.35">
      <c r="A228" s="92"/>
      <c r="F228" s="726"/>
      <c r="G228" s="735"/>
      <c r="H228" s="93"/>
      <c r="I228" s="750"/>
      <c r="J228" s="750"/>
    </row>
    <row r="229" spans="1:10" x14ac:dyDescent="0.35">
      <c r="A229" s="92"/>
      <c r="F229" s="726"/>
      <c r="G229" s="735"/>
      <c r="H229" s="93"/>
      <c r="I229" s="750"/>
      <c r="J229" s="750"/>
    </row>
    <row r="230" spans="1:10" x14ac:dyDescent="0.35">
      <c r="A230" s="92"/>
      <c r="F230" s="726"/>
      <c r="G230" s="735"/>
      <c r="H230" s="93"/>
      <c r="I230" s="750"/>
      <c r="J230" s="750"/>
    </row>
    <row r="231" spans="1:10" x14ac:dyDescent="0.35">
      <c r="A231" s="92"/>
      <c r="F231" s="726"/>
      <c r="G231" s="735"/>
      <c r="H231" s="93"/>
      <c r="I231" s="750"/>
      <c r="J231" s="750"/>
    </row>
    <row r="232" spans="1:10" x14ac:dyDescent="0.35">
      <c r="A232" s="92"/>
      <c r="F232" s="726"/>
      <c r="G232" s="735"/>
      <c r="H232" s="93"/>
      <c r="I232" s="750"/>
      <c r="J232" s="750"/>
    </row>
    <row r="233" spans="1:10" x14ac:dyDescent="0.35">
      <c r="A233" s="92"/>
      <c r="F233" s="726"/>
      <c r="G233" s="735"/>
      <c r="H233" s="93"/>
      <c r="I233" s="750"/>
      <c r="J233" s="750"/>
    </row>
    <row r="234" spans="1:10" x14ac:dyDescent="0.35">
      <c r="A234" s="92"/>
      <c r="F234" s="726"/>
      <c r="G234" s="735"/>
      <c r="H234" s="93"/>
      <c r="I234" s="750"/>
      <c r="J234" s="750"/>
    </row>
    <row r="235" spans="1:10" x14ac:dyDescent="0.35">
      <c r="A235" s="92"/>
      <c r="F235" s="726"/>
      <c r="G235" s="735"/>
      <c r="H235" s="93"/>
      <c r="I235" s="750"/>
      <c r="J235" s="750"/>
    </row>
    <row r="236" spans="1:10" x14ac:dyDescent="0.35">
      <c r="A236" s="92"/>
      <c r="F236" s="726"/>
      <c r="G236" s="735"/>
      <c r="H236" s="93"/>
      <c r="I236" s="750"/>
      <c r="J236" s="750"/>
    </row>
    <row r="237" spans="1:10" x14ac:dyDescent="0.35">
      <c r="A237" s="92"/>
      <c r="F237" s="726"/>
      <c r="G237" s="735"/>
      <c r="H237" s="93"/>
      <c r="I237" s="750"/>
      <c r="J237" s="750"/>
    </row>
    <row r="238" spans="1:10" x14ac:dyDescent="0.35">
      <c r="A238" s="92"/>
      <c r="F238" s="726"/>
      <c r="G238" s="735"/>
      <c r="H238" s="93"/>
      <c r="I238" s="750"/>
      <c r="J238" s="750"/>
    </row>
    <row r="239" spans="1:10" x14ac:dyDescent="0.35">
      <c r="A239" s="92"/>
      <c r="F239" s="726"/>
      <c r="G239" s="735"/>
      <c r="H239" s="93"/>
      <c r="I239" s="750"/>
      <c r="J239" s="750"/>
    </row>
    <row r="240" spans="1:10" x14ac:dyDescent="0.35">
      <c r="A240" s="92"/>
      <c r="F240" s="726"/>
      <c r="G240" s="735"/>
      <c r="H240" s="93"/>
      <c r="I240" s="750"/>
      <c r="J240" s="750"/>
    </row>
    <row r="241" spans="1:10" x14ac:dyDescent="0.35">
      <c r="A241" s="92"/>
      <c r="F241" s="726"/>
      <c r="G241" s="735"/>
      <c r="H241" s="93"/>
      <c r="I241" s="750"/>
      <c r="J241" s="750"/>
    </row>
    <row r="242" spans="1:10" x14ac:dyDescent="0.35">
      <c r="A242" s="92"/>
      <c r="F242" s="726"/>
      <c r="G242" s="735"/>
      <c r="H242" s="93"/>
      <c r="I242" s="750"/>
      <c r="J242" s="750"/>
    </row>
    <row r="243" spans="1:10" x14ac:dyDescent="0.35">
      <c r="A243" s="92"/>
      <c r="F243" s="726"/>
      <c r="G243" s="735"/>
      <c r="H243" s="93"/>
      <c r="I243" s="750"/>
      <c r="J243" s="750"/>
    </row>
    <row r="244" spans="1:10" x14ac:dyDescent="0.35">
      <c r="A244" s="92"/>
      <c r="F244" s="726"/>
      <c r="G244" s="735"/>
      <c r="H244" s="93"/>
      <c r="I244" s="750"/>
      <c r="J244" s="750"/>
    </row>
    <row r="245" spans="1:10" x14ac:dyDescent="0.35">
      <c r="A245" s="92"/>
      <c r="F245" s="726"/>
      <c r="G245" s="735"/>
      <c r="H245" s="93"/>
      <c r="I245" s="750"/>
      <c r="J245" s="750"/>
    </row>
    <row r="246" spans="1:10" x14ac:dyDescent="0.35">
      <c r="A246" s="92"/>
      <c r="F246" s="726"/>
      <c r="G246" s="735"/>
      <c r="H246" s="93"/>
      <c r="I246" s="750"/>
      <c r="J246" s="750"/>
    </row>
    <row r="247" spans="1:10" x14ac:dyDescent="0.35">
      <c r="A247" s="92"/>
      <c r="F247" s="726"/>
      <c r="G247" s="735"/>
      <c r="H247" s="93"/>
      <c r="I247" s="750"/>
      <c r="J247" s="750"/>
    </row>
    <row r="248" spans="1:10" x14ac:dyDescent="0.35">
      <c r="A248" s="92"/>
      <c r="F248" s="726"/>
      <c r="G248" s="735"/>
      <c r="H248" s="93"/>
      <c r="I248" s="750"/>
      <c r="J248" s="750"/>
    </row>
    <row r="249" spans="1:10" x14ac:dyDescent="0.35">
      <c r="A249" s="92"/>
      <c r="F249" s="726"/>
      <c r="G249" s="735"/>
      <c r="H249" s="93"/>
      <c r="I249" s="750"/>
      <c r="J249" s="750"/>
    </row>
    <row r="250" spans="1:10" x14ac:dyDescent="0.35">
      <c r="A250" s="92"/>
      <c r="F250" s="726"/>
      <c r="G250" s="735"/>
      <c r="H250" s="93"/>
      <c r="I250" s="750"/>
      <c r="J250" s="750"/>
    </row>
    <row r="251" spans="1:10" x14ac:dyDescent="0.35">
      <c r="A251" s="92"/>
      <c r="F251" s="726"/>
      <c r="G251" s="735"/>
      <c r="H251" s="93"/>
      <c r="I251" s="750"/>
      <c r="J251" s="750"/>
    </row>
    <row r="252" spans="1:10" x14ac:dyDescent="0.35">
      <c r="A252" s="92"/>
      <c r="F252" s="726"/>
      <c r="G252" s="735"/>
      <c r="H252" s="93"/>
      <c r="I252" s="750"/>
      <c r="J252" s="750"/>
    </row>
    <row r="253" spans="1:10" x14ac:dyDescent="0.35">
      <c r="A253" s="92"/>
      <c r="F253" s="726"/>
      <c r="G253" s="735"/>
      <c r="H253" s="93"/>
      <c r="I253" s="750"/>
      <c r="J253" s="750"/>
    </row>
    <row r="254" spans="1:10" x14ac:dyDescent="0.35">
      <c r="A254" s="92"/>
      <c r="F254" s="726"/>
      <c r="G254" s="735"/>
      <c r="H254" s="93"/>
      <c r="I254" s="750"/>
      <c r="J254" s="750"/>
    </row>
    <row r="255" spans="1:10" x14ac:dyDescent="0.35">
      <c r="A255" s="92"/>
      <c r="F255" s="726"/>
      <c r="G255" s="735"/>
      <c r="H255" s="93"/>
      <c r="I255" s="750"/>
      <c r="J255" s="750"/>
    </row>
    <row r="256" spans="1:10" x14ac:dyDescent="0.35">
      <c r="A256" s="92"/>
      <c r="F256" s="726"/>
      <c r="G256" s="735"/>
      <c r="H256" s="93"/>
      <c r="I256" s="750"/>
      <c r="J256" s="750"/>
    </row>
    <row r="257" spans="1:10" x14ac:dyDescent="0.35">
      <c r="A257" s="92"/>
      <c r="F257" s="726"/>
      <c r="G257" s="735"/>
      <c r="H257" s="93"/>
      <c r="I257" s="750"/>
      <c r="J257" s="750"/>
    </row>
    <row r="258" spans="1:10" x14ac:dyDescent="0.35">
      <c r="A258" s="92"/>
      <c r="F258" s="726"/>
      <c r="G258" s="735"/>
      <c r="H258" s="93"/>
      <c r="I258" s="750"/>
      <c r="J258" s="750"/>
    </row>
    <row r="259" spans="1:10" x14ac:dyDescent="0.35">
      <c r="A259" s="92"/>
      <c r="F259" s="726"/>
      <c r="G259" s="735"/>
      <c r="H259" s="93"/>
      <c r="I259" s="750"/>
      <c r="J259" s="750"/>
    </row>
    <row r="260" spans="1:10" x14ac:dyDescent="0.35">
      <c r="A260" s="92"/>
      <c r="F260" s="726"/>
      <c r="G260" s="735"/>
      <c r="H260" s="93"/>
      <c r="I260" s="750"/>
      <c r="J260" s="750"/>
    </row>
    <row r="261" spans="1:10" x14ac:dyDescent="0.35">
      <c r="A261" s="92"/>
      <c r="F261" s="726"/>
      <c r="G261" s="735"/>
      <c r="H261" s="93"/>
      <c r="I261" s="750"/>
      <c r="J261" s="750"/>
    </row>
    <row r="262" spans="1:10" x14ac:dyDescent="0.35">
      <c r="A262" s="92"/>
      <c r="F262" s="726"/>
      <c r="G262" s="735"/>
      <c r="H262" s="93"/>
      <c r="I262" s="750"/>
      <c r="J262" s="750"/>
    </row>
    <row r="263" spans="1:10" x14ac:dyDescent="0.35">
      <c r="A263" s="92"/>
      <c r="F263" s="726"/>
      <c r="G263" s="735"/>
      <c r="H263" s="93"/>
      <c r="I263" s="750"/>
      <c r="J263" s="750"/>
    </row>
    <row r="264" spans="1:10" x14ac:dyDescent="0.35">
      <c r="A264" s="92"/>
      <c r="F264" s="726"/>
      <c r="G264" s="735"/>
      <c r="H264" s="93"/>
      <c r="I264" s="750"/>
      <c r="J264" s="750"/>
    </row>
    <row r="265" spans="1:10" x14ac:dyDescent="0.35">
      <c r="A265" s="92"/>
      <c r="F265" s="726"/>
      <c r="G265" s="735"/>
      <c r="H265" s="93"/>
      <c r="I265" s="750"/>
      <c r="J265" s="750"/>
    </row>
    <row r="266" spans="1:10" x14ac:dyDescent="0.35">
      <c r="A266" s="92"/>
      <c r="F266" s="726"/>
      <c r="G266" s="735"/>
      <c r="H266" s="93"/>
      <c r="I266" s="750"/>
      <c r="J266" s="750"/>
    </row>
    <row r="267" spans="1:10" x14ac:dyDescent="0.35">
      <c r="A267" s="92"/>
      <c r="F267" s="726"/>
      <c r="G267" s="735"/>
      <c r="H267" s="93"/>
      <c r="I267" s="750"/>
      <c r="J267" s="750"/>
    </row>
    <row r="268" spans="1:10" x14ac:dyDescent="0.35">
      <c r="A268" s="92"/>
      <c r="F268" s="726"/>
      <c r="G268" s="735"/>
      <c r="H268" s="93"/>
      <c r="I268" s="750"/>
      <c r="J268" s="750"/>
    </row>
    <row r="269" spans="1:10" x14ac:dyDescent="0.35">
      <c r="A269" s="92"/>
      <c r="F269" s="726"/>
      <c r="G269" s="735"/>
      <c r="H269" s="93"/>
      <c r="I269" s="750"/>
      <c r="J269" s="750"/>
    </row>
    <row r="270" spans="1:10" x14ac:dyDescent="0.35">
      <c r="A270" s="92"/>
      <c r="F270" s="726"/>
      <c r="G270" s="735"/>
      <c r="H270" s="93"/>
      <c r="I270" s="750"/>
      <c r="J270" s="750"/>
    </row>
    <row r="271" spans="1:10" x14ac:dyDescent="0.35">
      <c r="A271" s="92"/>
      <c r="F271" s="726"/>
      <c r="G271" s="735"/>
      <c r="H271" s="93"/>
      <c r="I271" s="750"/>
      <c r="J271" s="750"/>
    </row>
    <row r="272" spans="1:10" x14ac:dyDescent="0.35">
      <c r="A272" s="92"/>
      <c r="F272" s="726"/>
      <c r="G272" s="735"/>
      <c r="H272" s="93"/>
      <c r="I272" s="750"/>
      <c r="J272" s="750"/>
    </row>
    <row r="273" spans="1:10" x14ac:dyDescent="0.35">
      <c r="A273" s="92"/>
      <c r="F273" s="726"/>
      <c r="G273" s="735"/>
      <c r="H273" s="93"/>
      <c r="I273" s="750"/>
      <c r="J273" s="750"/>
    </row>
    <row r="274" spans="1:10" x14ac:dyDescent="0.35">
      <c r="A274" s="92"/>
      <c r="F274" s="726"/>
      <c r="G274" s="735"/>
      <c r="H274" s="93"/>
      <c r="I274" s="750"/>
      <c r="J274" s="750"/>
    </row>
    <row r="275" spans="1:10" x14ac:dyDescent="0.35">
      <c r="A275" s="92"/>
      <c r="F275" s="726"/>
      <c r="G275" s="735"/>
      <c r="H275" s="93"/>
      <c r="I275" s="750"/>
      <c r="J275" s="750"/>
    </row>
    <row r="276" spans="1:10" x14ac:dyDescent="0.35">
      <c r="A276" s="92"/>
      <c r="F276" s="726"/>
      <c r="G276" s="735"/>
      <c r="H276" s="93"/>
      <c r="I276" s="750"/>
      <c r="J276" s="750"/>
    </row>
    <row r="277" spans="1:10" x14ac:dyDescent="0.35">
      <c r="A277" s="92"/>
      <c r="F277" s="726"/>
      <c r="G277" s="735"/>
      <c r="H277" s="93"/>
      <c r="I277" s="750"/>
      <c r="J277" s="750"/>
    </row>
    <row r="278" spans="1:10" x14ac:dyDescent="0.35">
      <c r="A278" s="92"/>
      <c r="F278" s="726"/>
      <c r="G278" s="735"/>
      <c r="H278" s="93"/>
      <c r="I278" s="750"/>
      <c r="J278" s="750"/>
    </row>
    <row r="279" spans="1:10" x14ac:dyDescent="0.35">
      <c r="A279" s="92"/>
      <c r="F279" s="726"/>
      <c r="G279" s="735"/>
      <c r="H279" s="93"/>
      <c r="I279" s="750"/>
      <c r="J279" s="750"/>
    </row>
    <row r="280" spans="1:10" x14ac:dyDescent="0.35">
      <c r="A280" s="92"/>
      <c r="F280" s="726"/>
      <c r="G280" s="735"/>
      <c r="H280" s="93"/>
      <c r="I280" s="750"/>
      <c r="J280" s="750"/>
    </row>
    <row r="281" spans="1:10" x14ac:dyDescent="0.35">
      <c r="A281" s="92"/>
      <c r="F281" s="726"/>
      <c r="G281" s="735"/>
      <c r="H281" s="93"/>
      <c r="I281" s="750"/>
      <c r="J281" s="750"/>
    </row>
    <row r="282" spans="1:10" x14ac:dyDescent="0.35">
      <c r="A282" s="92"/>
      <c r="F282" s="726"/>
      <c r="G282" s="735"/>
      <c r="H282" s="93"/>
      <c r="I282" s="750"/>
      <c r="J282" s="750"/>
    </row>
    <row r="283" spans="1:10" x14ac:dyDescent="0.35">
      <c r="A283" s="92"/>
      <c r="F283" s="726"/>
      <c r="G283" s="735"/>
      <c r="H283" s="93"/>
      <c r="I283" s="750"/>
      <c r="J283" s="750"/>
    </row>
    <row r="284" spans="1:10" x14ac:dyDescent="0.35">
      <c r="A284" s="92"/>
      <c r="F284" s="726"/>
      <c r="G284" s="735"/>
      <c r="H284" s="93"/>
      <c r="I284" s="750"/>
      <c r="J284" s="750"/>
    </row>
    <row r="285" spans="1:10" x14ac:dyDescent="0.35">
      <c r="A285" s="92"/>
      <c r="F285" s="726"/>
      <c r="G285" s="735"/>
      <c r="H285" s="93"/>
      <c r="I285" s="750"/>
      <c r="J285" s="750"/>
    </row>
    <row r="286" spans="1:10" x14ac:dyDescent="0.35">
      <c r="A286" s="92"/>
      <c r="F286" s="726"/>
      <c r="G286" s="735"/>
      <c r="H286" s="93"/>
      <c r="I286" s="750"/>
      <c r="J286" s="750"/>
    </row>
    <row r="287" spans="1:10" x14ac:dyDescent="0.35">
      <c r="A287" s="92"/>
      <c r="F287" s="726"/>
      <c r="G287" s="735"/>
      <c r="H287" s="93"/>
      <c r="I287" s="750"/>
      <c r="J287" s="750"/>
    </row>
    <row r="288" spans="1:10" x14ac:dyDescent="0.35">
      <c r="A288" s="92"/>
      <c r="F288" s="726"/>
      <c r="G288" s="735"/>
      <c r="H288" s="93"/>
      <c r="I288" s="750"/>
      <c r="J288" s="750"/>
    </row>
    <row r="289" spans="1:10" x14ac:dyDescent="0.35">
      <c r="A289" s="92"/>
      <c r="F289" s="726"/>
      <c r="G289" s="735"/>
      <c r="H289" s="93"/>
      <c r="I289" s="750"/>
      <c r="J289" s="750"/>
    </row>
    <row r="290" spans="1:10" x14ac:dyDescent="0.35">
      <c r="A290" s="92"/>
      <c r="F290" s="726"/>
      <c r="G290" s="735"/>
      <c r="H290" s="93"/>
      <c r="I290" s="750"/>
      <c r="J290" s="750"/>
    </row>
    <row r="291" spans="1:10" x14ac:dyDescent="0.35">
      <c r="A291" s="92"/>
      <c r="F291" s="726"/>
      <c r="G291" s="735"/>
      <c r="H291" s="93"/>
      <c r="I291" s="750"/>
      <c r="J291" s="750"/>
    </row>
    <row r="292" spans="1:10" x14ac:dyDescent="0.35">
      <c r="A292" s="92"/>
      <c r="F292" s="726"/>
      <c r="G292" s="735"/>
      <c r="H292" s="93"/>
      <c r="I292" s="750"/>
      <c r="J292" s="750"/>
    </row>
    <row r="293" spans="1:10" x14ac:dyDescent="0.35">
      <c r="A293" s="92"/>
      <c r="F293" s="726"/>
      <c r="G293" s="735"/>
      <c r="H293" s="93"/>
      <c r="I293" s="750"/>
      <c r="J293" s="750"/>
    </row>
    <row r="294" spans="1:10" x14ac:dyDescent="0.35">
      <c r="A294" s="92"/>
      <c r="F294" s="726"/>
      <c r="G294" s="735"/>
      <c r="H294" s="93"/>
      <c r="I294" s="750"/>
      <c r="J294" s="750"/>
    </row>
    <row r="295" spans="1:10" x14ac:dyDescent="0.35">
      <c r="A295" s="92"/>
      <c r="F295" s="726"/>
      <c r="G295" s="735"/>
      <c r="H295" s="93"/>
      <c r="I295" s="750"/>
      <c r="J295" s="750"/>
    </row>
    <row r="296" spans="1:10" x14ac:dyDescent="0.35">
      <c r="A296" s="92"/>
      <c r="F296" s="726"/>
      <c r="G296" s="735"/>
      <c r="H296" s="93"/>
      <c r="I296" s="750"/>
      <c r="J296" s="750"/>
    </row>
    <row r="297" spans="1:10" x14ac:dyDescent="0.35">
      <c r="A297" s="92"/>
      <c r="F297" s="726"/>
      <c r="G297" s="735"/>
      <c r="H297" s="93"/>
      <c r="I297" s="750"/>
      <c r="J297" s="750"/>
    </row>
    <row r="298" spans="1:10" x14ac:dyDescent="0.35">
      <c r="A298" s="92"/>
      <c r="F298" s="726"/>
      <c r="G298" s="735"/>
      <c r="H298" s="93"/>
      <c r="I298" s="750"/>
      <c r="J298" s="750"/>
    </row>
    <row r="299" spans="1:10" x14ac:dyDescent="0.35">
      <c r="A299" s="92"/>
      <c r="F299" s="726"/>
      <c r="G299" s="735"/>
      <c r="H299" s="93"/>
      <c r="I299" s="750"/>
      <c r="J299" s="750"/>
    </row>
    <row r="300" spans="1:10" x14ac:dyDescent="0.35">
      <c r="A300" s="92"/>
      <c r="F300" s="726"/>
      <c r="G300" s="735"/>
      <c r="H300" s="93"/>
      <c r="I300" s="750"/>
      <c r="J300" s="750"/>
    </row>
    <row r="301" spans="1:10" x14ac:dyDescent="0.35">
      <c r="A301" s="92"/>
      <c r="F301" s="726"/>
      <c r="G301" s="735"/>
      <c r="H301" s="93"/>
      <c r="I301" s="750"/>
      <c r="J301" s="750"/>
    </row>
    <row r="302" spans="1:10" x14ac:dyDescent="0.35">
      <c r="A302" s="92"/>
      <c r="F302" s="726"/>
      <c r="G302" s="735"/>
      <c r="H302" s="93"/>
      <c r="I302" s="750"/>
      <c r="J302" s="750"/>
    </row>
    <row r="303" spans="1:10" x14ac:dyDescent="0.35">
      <c r="A303" s="92"/>
      <c r="F303" s="726"/>
      <c r="G303" s="735"/>
      <c r="H303" s="93"/>
      <c r="I303" s="750"/>
      <c r="J303" s="750"/>
    </row>
    <row r="304" spans="1:10" x14ac:dyDescent="0.35">
      <c r="A304" s="92"/>
      <c r="F304" s="726"/>
      <c r="G304" s="735"/>
      <c r="H304" s="93"/>
      <c r="I304" s="750"/>
      <c r="J304" s="750"/>
    </row>
    <row r="305" spans="1:10" x14ac:dyDescent="0.35">
      <c r="A305" s="92"/>
      <c r="F305" s="726"/>
      <c r="G305" s="735"/>
      <c r="H305" s="93"/>
      <c r="I305" s="750"/>
      <c r="J305" s="750"/>
    </row>
    <row r="306" spans="1:10" x14ac:dyDescent="0.35">
      <c r="A306" s="92"/>
      <c r="F306" s="726"/>
      <c r="G306" s="735"/>
      <c r="H306" s="93"/>
      <c r="I306" s="750"/>
      <c r="J306" s="750"/>
    </row>
    <row r="307" spans="1:10" x14ac:dyDescent="0.35">
      <c r="A307" s="92"/>
      <c r="F307" s="726"/>
      <c r="G307" s="735"/>
      <c r="H307" s="93"/>
      <c r="I307" s="750"/>
      <c r="J307" s="750"/>
    </row>
    <row r="308" spans="1:10" x14ac:dyDescent="0.35">
      <c r="A308" s="92"/>
      <c r="F308" s="726"/>
      <c r="G308" s="735"/>
      <c r="H308" s="93"/>
      <c r="I308" s="750"/>
      <c r="J308" s="750"/>
    </row>
    <row r="309" spans="1:10" x14ac:dyDescent="0.35">
      <c r="A309" s="92"/>
      <c r="F309" s="726"/>
      <c r="G309" s="735"/>
      <c r="H309" s="93"/>
      <c r="I309" s="750"/>
      <c r="J309" s="750"/>
    </row>
    <row r="310" spans="1:10" x14ac:dyDescent="0.35">
      <c r="A310" s="92"/>
      <c r="F310" s="726"/>
      <c r="G310" s="735"/>
      <c r="H310" s="93"/>
      <c r="I310" s="750"/>
      <c r="J310" s="750"/>
    </row>
    <row r="311" spans="1:10" x14ac:dyDescent="0.35">
      <c r="A311" s="92"/>
      <c r="F311" s="726"/>
      <c r="G311" s="735"/>
      <c r="H311" s="93"/>
      <c r="I311" s="750"/>
      <c r="J311" s="750"/>
    </row>
    <row r="312" spans="1:10" x14ac:dyDescent="0.35">
      <c r="A312" s="92"/>
      <c r="F312" s="726"/>
      <c r="G312" s="735"/>
      <c r="H312" s="93"/>
      <c r="I312" s="750"/>
      <c r="J312" s="750"/>
    </row>
    <row r="313" spans="1:10" x14ac:dyDescent="0.35">
      <c r="A313" s="92"/>
      <c r="F313" s="726"/>
      <c r="G313" s="735"/>
      <c r="H313" s="93"/>
      <c r="I313" s="750"/>
      <c r="J313" s="750"/>
    </row>
    <row r="314" spans="1:10" x14ac:dyDescent="0.35">
      <c r="A314" s="92"/>
      <c r="F314" s="726"/>
      <c r="G314" s="735"/>
      <c r="H314" s="93"/>
      <c r="I314" s="750"/>
      <c r="J314" s="750"/>
    </row>
    <row r="315" spans="1:10" x14ac:dyDescent="0.35">
      <c r="A315" s="92"/>
      <c r="F315" s="726"/>
      <c r="G315" s="735"/>
      <c r="H315" s="93"/>
      <c r="I315" s="750"/>
      <c r="J315" s="750"/>
    </row>
    <row r="316" spans="1:10" x14ac:dyDescent="0.35">
      <c r="A316" s="92"/>
      <c r="F316" s="726"/>
      <c r="G316" s="735"/>
      <c r="H316" s="93"/>
      <c r="I316" s="750"/>
      <c r="J316" s="750"/>
    </row>
    <row r="317" spans="1:10" x14ac:dyDescent="0.35">
      <c r="A317" s="92"/>
      <c r="F317" s="726"/>
      <c r="G317" s="735"/>
      <c r="H317" s="93"/>
      <c r="I317" s="750"/>
      <c r="J317" s="750"/>
    </row>
    <row r="318" spans="1:10" x14ac:dyDescent="0.35">
      <c r="A318" s="92"/>
      <c r="F318" s="726"/>
      <c r="G318" s="735"/>
      <c r="H318" s="93"/>
      <c r="I318" s="750"/>
      <c r="J318" s="750"/>
    </row>
    <row r="319" spans="1:10" x14ac:dyDescent="0.35">
      <c r="A319" s="92"/>
      <c r="F319" s="726"/>
      <c r="G319" s="735"/>
      <c r="H319" s="93"/>
      <c r="I319" s="750"/>
      <c r="J319" s="750"/>
    </row>
    <row r="320" spans="1:10" x14ac:dyDescent="0.35">
      <c r="A320" s="92"/>
      <c r="F320" s="726"/>
      <c r="G320" s="735"/>
      <c r="H320" s="93"/>
      <c r="I320" s="750"/>
      <c r="J320" s="750"/>
    </row>
    <row r="321" spans="1:10" x14ac:dyDescent="0.35">
      <c r="A321" s="92"/>
      <c r="F321" s="726"/>
      <c r="G321" s="735"/>
      <c r="H321" s="93"/>
      <c r="I321" s="750"/>
      <c r="J321" s="750"/>
    </row>
    <row r="322" spans="1:10" x14ac:dyDescent="0.35">
      <c r="A322" s="92"/>
      <c r="F322" s="726"/>
      <c r="G322" s="735"/>
      <c r="H322" s="93"/>
      <c r="I322" s="750"/>
      <c r="J322" s="750"/>
    </row>
    <row r="323" spans="1:10" x14ac:dyDescent="0.35">
      <c r="A323" s="92"/>
      <c r="F323" s="726"/>
      <c r="G323" s="735"/>
      <c r="H323" s="93"/>
      <c r="I323" s="750"/>
      <c r="J323" s="750"/>
    </row>
    <row r="324" spans="1:10" x14ac:dyDescent="0.35">
      <c r="A324" s="92"/>
      <c r="F324" s="726"/>
      <c r="G324" s="735"/>
      <c r="H324" s="93"/>
      <c r="I324" s="750"/>
      <c r="J324" s="750"/>
    </row>
    <row r="325" spans="1:10" x14ac:dyDescent="0.35">
      <c r="A325" s="92"/>
      <c r="F325" s="726"/>
      <c r="G325" s="735"/>
      <c r="H325" s="93"/>
      <c r="I325" s="750"/>
      <c r="J325" s="750"/>
    </row>
    <row r="326" spans="1:10" x14ac:dyDescent="0.35">
      <c r="A326" s="92"/>
      <c r="F326" s="726"/>
      <c r="G326" s="735"/>
      <c r="H326" s="93"/>
      <c r="I326" s="750"/>
      <c r="J326" s="750"/>
    </row>
    <row r="327" spans="1:10" x14ac:dyDescent="0.35">
      <c r="A327" s="92"/>
      <c r="F327" s="726"/>
      <c r="G327" s="735"/>
      <c r="H327" s="93"/>
      <c r="I327" s="750"/>
      <c r="J327" s="750"/>
    </row>
    <row r="328" spans="1:10" x14ac:dyDescent="0.35">
      <c r="A328" s="92"/>
      <c r="F328" s="726"/>
      <c r="G328" s="735"/>
      <c r="H328" s="93"/>
      <c r="I328" s="750"/>
      <c r="J328" s="750"/>
    </row>
    <row r="329" spans="1:10" x14ac:dyDescent="0.35">
      <c r="A329" s="92"/>
      <c r="F329" s="726"/>
      <c r="G329" s="735"/>
      <c r="H329" s="93"/>
      <c r="I329" s="750"/>
      <c r="J329" s="750"/>
    </row>
    <row r="330" spans="1:10" x14ac:dyDescent="0.35">
      <c r="A330" s="92"/>
      <c r="F330" s="726"/>
      <c r="G330" s="735"/>
      <c r="H330" s="93"/>
      <c r="I330" s="750"/>
      <c r="J330" s="750"/>
    </row>
    <row r="331" spans="1:10" x14ac:dyDescent="0.35">
      <c r="A331" s="92"/>
      <c r="F331" s="726"/>
      <c r="G331" s="735"/>
      <c r="H331" s="93"/>
      <c r="I331" s="750"/>
      <c r="J331" s="750"/>
    </row>
    <row r="332" spans="1:10" x14ac:dyDescent="0.35">
      <c r="A332" s="92"/>
      <c r="F332" s="726"/>
      <c r="G332" s="735"/>
      <c r="H332" s="93"/>
      <c r="I332" s="750"/>
      <c r="J332" s="750"/>
    </row>
    <row r="333" spans="1:10" x14ac:dyDescent="0.35">
      <c r="A333" s="92"/>
      <c r="F333" s="726"/>
      <c r="G333" s="735"/>
      <c r="H333" s="93"/>
      <c r="I333" s="750"/>
      <c r="J333" s="750"/>
    </row>
    <row r="334" spans="1:10" x14ac:dyDescent="0.35">
      <c r="A334" s="92"/>
      <c r="F334" s="726"/>
      <c r="G334" s="735"/>
      <c r="H334" s="93"/>
      <c r="I334" s="750"/>
      <c r="J334" s="750"/>
    </row>
    <row r="335" spans="1:10" x14ac:dyDescent="0.35">
      <c r="A335" s="92"/>
      <c r="F335" s="726"/>
      <c r="G335" s="735"/>
      <c r="H335" s="93"/>
      <c r="I335" s="750"/>
      <c r="J335" s="750"/>
    </row>
    <row r="336" spans="1:10" x14ac:dyDescent="0.35">
      <c r="A336" s="92"/>
      <c r="F336" s="726"/>
      <c r="G336" s="735"/>
      <c r="H336" s="93"/>
      <c r="I336" s="750"/>
      <c r="J336" s="750"/>
    </row>
    <row r="337" spans="1:10" x14ac:dyDescent="0.35">
      <c r="A337" s="92"/>
      <c r="F337" s="726"/>
      <c r="G337" s="735"/>
      <c r="H337" s="93"/>
      <c r="I337" s="750"/>
      <c r="J337" s="750"/>
    </row>
    <row r="338" spans="1:10" x14ac:dyDescent="0.35">
      <c r="A338" s="92"/>
      <c r="F338" s="726"/>
      <c r="G338" s="735"/>
      <c r="H338" s="93"/>
      <c r="I338" s="750"/>
      <c r="J338" s="750"/>
    </row>
    <row r="339" spans="1:10" x14ac:dyDescent="0.35">
      <c r="A339" s="92"/>
      <c r="F339" s="726"/>
      <c r="G339" s="735"/>
      <c r="H339" s="93"/>
      <c r="I339" s="750"/>
      <c r="J339" s="750"/>
    </row>
    <row r="340" spans="1:10" x14ac:dyDescent="0.35">
      <c r="A340" s="92"/>
      <c r="F340" s="726"/>
      <c r="G340" s="735"/>
      <c r="H340" s="93"/>
      <c r="I340" s="750"/>
      <c r="J340" s="750"/>
    </row>
    <row r="341" spans="1:10" x14ac:dyDescent="0.35">
      <c r="A341" s="92"/>
      <c r="F341" s="726"/>
      <c r="G341" s="735"/>
      <c r="H341" s="93"/>
      <c r="I341" s="750"/>
      <c r="J341" s="750"/>
    </row>
    <row r="342" spans="1:10" x14ac:dyDescent="0.35">
      <c r="A342" s="92"/>
      <c r="F342" s="726"/>
      <c r="G342" s="735"/>
      <c r="H342" s="93"/>
      <c r="I342" s="750"/>
      <c r="J342" s="750"/>
    </row>
    <row r="343" spans="1:10" x14ac:dyDescent="0.35">
      <c r="A343" s="92"/>
      <c r="F343" s="726"/>
      <c r="G343" s="735"/>
      <c r="H343" s="93"/>
      <c r="I343" s="750"/>
      <c r="J343" s="750"/>
    </row>
    <row r="344" spans="1:10" x14ac:dyDescent="0.35">
      <c r="A344" s="92"/>
      <c r="F344" s="726"/>
      <c r="G344" s="735"/>
      <c r="H344" s="93"/>
      <c r="I344" s="750"/>
      <c r="J344" s="750"/>
    </row>
    <row r="345" spans="1:10" x14ac:dyDescent="0.35">
      <c r="A345" s="92"/>
      <c r="F345" s="726"/>
      <c r="G345" s="735"/>
      <c r="H345" s="93"/>
      <c r="I345" s="750"/>
      <c r="J345" s="750"/>
    </row>
    <row r="346" spans="1:10" x14ac:dyDescent="0.35">
      <c r="A346" s="92"/>
      <c r="F346" s="726"/>
      <c r="G346" s="735"/>
      <c r="H346" s="93"/>
      <c r="I346" s="750"/>
      <c r="J346" s="750"/>
    </row>
    <row r="347" spans="1:10" x14ac:dyDescent="0.35">
      <c r="A347" s="92"/>
      <c r="F347" s="726"/>
      <c r="G347" s="735"/>
      <c r="H347" s="93"/>
      <c r="I347" s="750"/>
      <c r="J347" s="750"/>
    </row>
    <row r="348" spans="1:10" x14ac:dyDescent="0.35">
      <c r="A348" s="92"/>
      <c r="F348" s="726"/>
      <c r="G348" s="735"/>
      <c r="H348" s="93"/>
      <c r="I348" s="750"/>
      <c r="J348" s="750"/>
    </row>
    <row r="349" spans="1:10" x14ac:dyDescent="0.35">
      <c r="A349" s="92"/>
      <c r="F349" s="726"/>
      <c r="G349" s="735"/>
      <c r="H349" s="93"/>
      <c r="I349" s="750"/>
      <c r="J349" s="750"/>
    </row>
    <row r="350" spans="1:10" x14ac:dyDescent="0.35">
      <c r="A350" s="92"/>
      <c r="F350" s="726"/>
      <c r="G350" s="735"/>
      <c r="H350" s="93"/>
      <c r="I350" s="750"/>
      <c r="J350" s="750"/>
    </row>
    <row r="351" spans="1:10" x14ac:dyDescent="0.35">
      <c r="A351" s="92"/>
      <c r="F351" s="726"/>
      <c r="G351" s="735"/>
      <c r="H351" s="93"/>
      <c r="I351" s="750"/>
      <c r="J351" s="750"/>
    </row>
    <row r="352" spans="1:10" x14ac:dyDescent="0.35">
      <c r="A352" s="92"/>
      <c r="F352" s="726"/>
      <c r="G352" s="735"/>
      <c r="H352" s="93"/>
      <c r="I352" s="750"/>
      <c r="J352" s="750"/>
    </row>
    <row r="353" spans="1:10" x14ac:dyDescent="0.35">
      <c r="A353" s="92"/>
      <c r="F353" s="726"/>
      <c r="G353" s="735"/>
      <c r="H353" s="93"/>
      <c r="I353" s="750"/>
      <c r="J353" s="750"/>
    </row>
    <row r="354" spans="1:10" x14ac:dyDescent="0.35">
      <c r="A354" s="92"/>
      <c r="F354" s="726"/>
      <c r="G354" s="735"/>
      <c r="H354" s="93"/>
      <c r="I354" s="750"/>
      <c r="J354" s="750"/>
    </row>
    <row r="355" spans="1:10" x14ac:dyDescent="0.35">
      <c r="A355" s="92"/>
      <c r="F355" s="726"/>
      <c r="G355" s="735"/>
      <c r="H355" s="93"/>
      <c r="I355" s="750"/>
      <c r="J355" s="750"/>
    </row>
    <row r="356" spans="1:10" x14ac:dyDescent="0.35">
      <c r="A356" s="92"/>
      <c r="F356" s="726"/>
      <c r="G356" s="735"/>
      <c r="H356" s="93"/>
      <c r="I356" s="750"/>
      <c r="J356" s="750"/>
    </row>
    <row r="357" spans="1:10" x14ac:dyDescent="0.35">
      <c r="A357" s="92"/>
      <c r="F357" s="726"/>
      <c r="G357" s="735"/>
      <c r="H357" s="93"/>
      <c r="I357" s="750"/>
      <c r="J357" s="750"/>
    </row>
    <row r="358" spans="1:10" x14ac:dyDescent="0.35">
      <c r="A358" s="92"/>
      <c r="F358" s="726"/>
      <c r="G358" s="735"/>
      <c r="H358" s="93"/>
      <c r="I358" s="750"/>
      <c r="J358" s="750"/>
    </row>
    <row r="359" spans="1:10" x14ac:dyDescent="0.35">
      <c r="A359" s="92"/>
      <c r="F359" s="726"/>
      <c r="G359" s="735"/>
      <c r="H359" s="93"/>
      <c r="I359" s="750"/>
      <c r="J359" s="750"/>
    </row>
    <row r="360" spans="1:10" x14ac:dyDescent="0.35">
      <c r="A360" s="92"/>
      <c r="F360" s="726"/>
      <c r="G360" s="735"/>
      <c r="H360" s="93"/>
      <c r="I360" s="750"/>
      <c r="J360" s="750"/>
    </row>
    <row r="361" spans="1:10" x14ac:dyDescent="0.35">
      <c r="A361" s="92"/>
      <c r="F361" s="726"/>
      <c r="G361" s="735"/>
      <c r="H361" s="93"/>
      <c r="I361" s="750"/>
      <c r="J361" s="750"/>
    </row>
    <row r="362" spans="1:10" x14ac:dyDescent="0.35">
      <c r="A362" s="92"/>
      <c r="F362" s="726"/>
      <c r="G362" s="735"/>
      <c r="H362" s="93"/>
      <c r="I362" s="750"/>
      <c r="J362" s="750"/>
    </row>
    <row r="363" spans="1:10" x14ac:dyDescent="0.35">
      <c r="A363" s="92"/>
      <c r="F363" s="726"/>
      <c r="G363" s="735"/>
      <c r="H363" s="93"/>
      <c r="I363" s="750"/>
      <c r="J363" s="750"/>
    </row>
    <row r="364" spans="1:10" x14ac:dyDescent="0.35">
      <c r="A364" s="92"/>
      <c r="F364" s="726"/>
      <c r="G364" s="735"/>
      <c r="H364" s="93"/>
      <c r="I364" s="750"/>
      <c r="J364" s="750"/>
    </row>
    <row r="365" spans="1:10" x14ac:dyDescent="0.35">
      <c r="A365" s="92"/>
      <c r="F365" s="726"/>
      <c r="G365" s="735"/>
      <c r="H365" s="93"/>
      <c r="I365" s="750"/>
      <c r="J365" s="750"/>
    </row>
    <row r="366" spans="1:10" x14ac:dyDescent="0.35">
      <c r="A366" s="92"/>
      <c r="F366" s="726"/>
      <c r="G366" s="735"/>
      <c r="H366" s="93"/>
      <c r="I366" s="750"/>
      <c r="J366" s="750"/>
    </row>
    <row r="367" spans="1:10" x14ac:dyDescent="0.35">
      <c r="A367" s="92"/>
      <c r="F367" s="726"/>
      <c r="G367" s="735"/>
      <c r="H367" s="93"/>
      <c r="I367" s="750"/>
      <c r="J367" s="750"/>
    </row>
    <row r="368" spans="1:10" x14ac:dyDescent="0.35">
      <c r="A368" s="92"/>
      <c r="F368" s="726"/>
      <c r="G368" s="735"/>
      <c r="H368" s="93"/>
      <c r="I368" s="750"/>
      <c r="J368" s="750"/>
    </row>
    <row r="369" spans="1:10" x14ac:dyDescent="0.35">
      <c r="A369" s="92"/>
      <c r="F369" s="726"/>
      <c r="G369" s="735"/>
      <c r="H369" s="93"/>
      <c r="I369" s="750"/>
      <c r="J369" s="750"/>
    </row>
    <row r="370" spans="1:10" x14ac:dyDescent="0.35">
      <c r="A370" s="92"/>
      <c r="F370" s="726"/>
      <c r="G370" s="735"/>
      <c r="H370" s="93"/>
      <c r="I370" s="750"/>
      <c r="J370" s="750"/>
    </row>
    <row r="371" spans="1:10" x14ac:dyDescent="0.35">
      <c r="A371" s="92"/>
      <c r="F371" s="726"/>
      <c r="G371" s="735"/>
      <c r="H371" s="93"/>
      <c r="I371" s="750"/>
      <c r="J371" s="750"/>
    </row>
    <row r="372" spans="1:10" x14ac:dyDescent="0.35">
      <c r="A372" s="92"/>
      <c r="F372" s="726"/>
      <c r="G372" s="735"/>
      <c r="H372" s="93"/>
      <c r="I372" s="750"/>
      <c r="J372" s="750"/>
    </row>
    <row r="373" spans="1:10" x14ac:dyDescent="0.35">
      <c r="A373" s="92"/>
      <c r="F373" s="726"/>
      <c r="G373" s="735"/>
      <c r="H373" s="93"/>
      <c r="I373" s="750"/>
      <c r="J373" s="750"/>
    </row>
    <row r="374" spans="1:10" x14ac:dyDescent="0.35">
      <c r="A374" s="92"/>
      <c r="F374" s="726"/>
      <c r="G374" s="735"/>
      <c r="H374" s="93"/>
      <c r="I374" s="750"/>
      <c r="J374" s="750"/>
    </row>
    <row r="375" spans="1:10" x14ac:dyDescent="0.35">
      <c r="A375" s="92"/>
      <c r="F375" s="726"/>
      <c r="G375" s="735"/>
      <c r="H375" s="93"/>
      <c r="I375" s="750"/>
      <c r="J375" s="750"/>
    </row>
    <row r="376" spans="1:10" x14ac:dyDescent="0.35">
      <c r="A376" s="92"/>
      <c r="F376" s="726"/>
      <c r="G376" s="735"/>
      <c r="H376" s="93"/>
      <c r="I376" s="750"/>
      <c r="J376" s="750"/>
    </row>
    <row r="377" spans="1:10" x14ac:dyDescent="0.35">
      <c r="A377" s="92"/>
      <c r="F377" s="726"/>
      <c r="G377" s="735"/>
      <c r="H377" s="93"/>
      <c r="I377" s="750"/>
      <c r="J377" s="750"/>
    </row>
    <row r="378" spans="1:10" x14ac:dyDescent="0.35">
      <c r="A378" s="92"/>
      <c r="F378" s="726"/>
      <c r="G378" s="735"/>
      <c r="H378" s="93"/>
      <c r="I378" s="750"/>
      <c r="J378" s="750"/>
    </row>
    <row r="379" spans="1:10" x14ac:dyDescent="0.35">
      <c r="A379" s="92"/>
      <c r="F379" s="726"/>
      <c r="G379" s="735"/>
      <c r="H379" s="93"/>
      <c r="I379" s="750"/>
      <c r="J379" s="750"/>
    </row>
    <row r="380" spans="1:10" x14ac:dyDescent="0.35">
      <c r="A380" s="92"/>
      <c r="F380" s="726"/>
      <c r="G380" s="735"/>
      <c r="H380" s="93"/>
      <c r="I380" s="750"/>
      <c r="J380" s="750"/>
    </row>
    <row r="381" spans="1:10" x14ac:dyDescent="0.35">
      <c r="A381" s="92"/>
      <c r="F381" s="726"/>
      <c r="G381" s="735"/>
      <c r="H381" s="93"/>
      <c r="I381" s="750"/>
      <c r="J381" s="750"/>
    </row>
    <row r="382" spans="1:10" x14ac:dyDescent="0.35">
      <c r="A382" s="92"/>
      <c r="F382" s="726"/>
      <c r="G382" s="735"/>
      <c r="H382" s="93"/>
      <c r="I382" s="750"/>
      <c r="J382" s="750"/>
    </row>
    <row r="383" spans="1:10" x14ac:dyDescent="0.35">
      <c r="A383" s="92"/>
      <c r="F383" s="726"/>
      <c r="G383" s="735"/>
      <c r="H383" s="93"/>
      <c r="I383" s="750"/>
      <c r="J383" s="750"/>
    </row>
    <row r="384" spans="1:10" x14ac:dyDescent="0.35">
      <c r="A384" s="92"/>
      <c r="F384" s="726"/>
      <c r="G384" s="735"/>
      <c r="H384" s="93"/>
      <c r="I384" s="750"/>
      <c r="J384" s="750"/>
    </row>
    <row r="385" spans="1:10" x14ac:dyDescent="0.35">
      <c r="A385" s="92"/>
      <c r="F385" s="726"/>
      <c r="G385" s="735"/>
      <c r="H385" s="93"/>
      <c r="I385" s="750"/>
      <c r="J385" s="750"/>
    </row>
    <row r="386" spans="1:10" x14ac:dyDescent="0.35">
      <c r="A386" s="92"/>
      <c r="F386" s="726"/>
      <c r="G386" s="735"/>
      <c r="H386" s="93"/>
      <c r="I386" s="750"/>
      <c r="J386" s="750"/>
    </row>
    <row r="387" spans="1:10" x14ac:dyDescent="0.35">
      <c r="A387" s="92"/>
      <c r="F387" s="726"/>
      <c r="G387" s="735"/>
      <c r="H387" s="93"/>
      <c r="I387" s="750"/>
      <c r="J387" s="750"/>
    </row>
    <row r="388" spans="1:10" x14ac:dyDescent="0.35">
      <c r="A388" s="92"/>
      <c r="F388" s="726"/>
      <c r="G388" s="735"/>
      <c r="H388" s="93"/>
      <c r="I388" s="750"/>
      <c r="J388" s="750"/>
    </row>
    <row r="389" spans="1:10" x14ac:dyDescent="0.35">
      <c r="A389" s="92"/>
      <c r="F389" s="726"/>
      <c r="G389" s="735"/>
      <c r="H389" s="93"/>
      <c r="I389" s="750"/>
      <c r="J389" s="750"/>
    </row>
    <row r="390" spans="1:10" x14ac:dyDescent="0.35">
      <c r="A390" s="92"/>
      <c r="F390" s="726"/>
      <c r="G390" s="735"/>
      <c r="H390" s="93"/>
      <c r="I390" s="750"/>
      <c r="J390" s="750"/>
    </row>
    <row r="391" spans="1:10" x14ac:dyDescent="0.35">
      <c r="A391" s="92"/>
      <c r="F391" s="726"/>
      <c r="G391" s="735"/>
      <c r="H391" s="93"/>
      <c r="I391" s="750"/>
      <c r="J391" s="750"/>
    </row>
    <row r="392" spans="1:10" x14ac:dyDescent="0.35">
      <c r="A392" s="92"/>
      <c r="F392" s="726"/>
      <c r="G392" s="735"/>
      <c r="H392" s="93"/>
      <c r="I392" s="750"/>
      <c r="J392" s="750"/>
    </row>
    <row r="393" spans="1:10" x14ac:dyDescent="0.35">
      <c r="A393" s="92"/>
      <c r="F393" s="726"/>
      <c r="G393" s="735"/>
      <c r="H393" s="93"/>
      <c r="I393" s="750"/>
      <c r="J393" s="750"/>
    </row>
    <row r="394" spans="1:10" x14ac:dyDescent="0.35">
      <c r="A394" s="92"/>
      <c r="F394" s="726"/>
      <c r="G394" s="735"/>
      <c r="H394" s="93"/>
      <c r="I394" s="750"/>
      <c r="J394" s="750"/>
    </row>
    <row r="395" spans="1:10" x14ac:dyDescent="0.35">
      <c r="A395" s="92"/>
      <c r="F395" s="726"/>
      <c r="G395" s="735"/>
      <c r="H395" s="93"/>
      <c r="I395" s="750"/>
      <c r="J395" s="750"/>
    </row>
    <row r="396" spans="1:10" x14ac:dyDescent="0.35">
      <c r="A396" s="92"/>
      <c r="F396" s="726"/>
      <c r="G396" s="735"/>
      <c r="H396" s="93"/>
      <c r="I396" s="750"/>
      <c r="J396" s="750"/>
    </row>
    <row r="397" spans="1:10" x14ac:dyDescent="0.35">
      <c r="A397" s="92"/>
      <c r="F397" s="726"/>
      <c r="G397" s="735"/>
      <c r="H397" s="93"/>
      <c r="I397" s="750"/>
      <c r="J397" s="750"/>
    </row>
    <row r="398" spans="1:10" x14ac:dyDescent="0.35">
      <c r="A398" s="92"/>
      <c r="F398" s="726"/>
      <c r="G398" s="735"/>
      <c r="H398" s="93"/>
      <c r="I398" s="750"/>
      <c r="J398" s="750"/>
    </row>
    <row r="399" spans="1:10" x14ac:dyDescent="0.35">
      <c r="A399" s="92"/>
      <c r="F399" s="726"/>
      <c r="G399" s="735"/>
      <c r="H399" s="93"/>
      <c r="I399" s="750"/>
      <c r="J399" s="750"/>
    </row>
    <row r="400" spans="1:10" x14ac:dyDescent="0.35">
      <c r="A400" s="92"/>
      <c r="F400" s="726"/>
      <c r="G400" s="735"/>
      <c r="H400" s="93"/>
      <c r="I400" s="750"/>
      <c r="J400" s="750"/>
    </row>
    <row r="401" spans="1:10" x14ac:dyDescent="0.35">
      <c r="A401" s="92"/>
      <c r="F401" s="726"/>
      <c r="G401" s="735"/>
      <c r="H401" s="93"/>
      <c r="I401" s="750"/>
      <c r="J401" s="750"/>
    </row>
    <row r="402" spans="1:10" x14ac:dyDescent="0.35">
      <c r="A402" s="92"/>
      <c r="F402" s="726"/>
      <c r="G402" s="735"/>
      <c r="H402" s="93"/>
      <c r="I402" s="750"/>
      <c r="J402" s="750"/>
    </row>
    <row r="403" spans="1:10" x14ac:dyDescent="0.35">
      <c r="A403" s="92"/>
      <c r="F403" s="726"/>
      <c r="G403" s="735"/>
      <c r="H403" s="93"/>
      <c r="I403" s="750"/>
      <c r="J403" s="750"/>
    </row>
    <row r="404" spans="1:10" x14ac:dyDescent="0.35">
      <c r="A404" s="92"/>
      <c r="F404" s="726"/>
      <c r="G404" s="735"/>
      <c r="H404" s="93"/>
      <c r="I404" s="750"/>
      <c r="J404" s="750"/>
    </row>
    <row r="405" spans="1:10" x14ac:dyDescent="0.35">
      <c r="A405" s="92"/>
      <c r="F405" s="726"/>
      <c r="G405" s="735"/>
      <c r="H405" s="93"/>
      <c r="I405" s="750"/>
      <c r="J405" s="750"/>
    </row>
    <row r="406" spans="1:10" x14ac:dyDescent="0.35">
      <c r="A406" s="92"/>
      <c r="F406" s="726"/>
      <c r="G406" s="735"/>
      <c r="H406" s="93"/>
      <c r="I406" s="750"/>
      <c r="J406" s="750"/>
    </row>
    <row r="407" spans="1:10" x14ac:dyDescent="0.35">
      <c r="A407" s="92"/>
      <c r="F407" s="726"/>
      <c r="G407" s="735"/>
      <c r="H407" s="93"/>
      <c r="I407" s="750"/>
      <c r="J407" s="750"/>
    </row>
    <row r="408" spans="1:10" x14ac:dyDescent="0.35">
      <c r="A408" s="92"/>
      <c r="F408" s="726"/>
      <c r="G408" s="735"/>
      <c r="H408" s="93"/>
      <c r="I408" s="750"/>
      <c r="J408" s="750"/>
    </row>
    <row r="409" spans="1:10" x14ac:dyDescent="0.35">
      <c r="A409" s="92"/>
      <c r="F409" s="726"/>
      <c r="G409" s="735"/>
      <c r="H409" s="93"/>
      <c r="I409" s="750"/>
      <c r="J409" s="750"/>
    </row>
    <row r="410" spans="1:10" x14ac:dyDescent="0.35">
      <c r="A410" s="92"/>
      <c r="F410" s="726"/>
      <c r="G410" s="735"/>
      <c r="H410" s="93"/>
      <c r="I410" s="750"/>
      <c r="J410" s="750"/>
    </row>
    <row r="411" spans="1:10" x14ac:dyDescent="0.35">
      <c r="A411" s="92"/>
      <c r="F411" s="726"/>
      <c r="G411" s="735"/>
      <c r="H411" s="93"/>
      <c r="I411" s="750"/>
      <c r="J411" s="750"/>
    </row>
    <row r="412" spans="1:10" x14ac:dyDescent="0.35">
      <c r="A412" s="92"/>
      <c r="F412" s="726"/>
      <c r="G412" s="735"/>
      <c r="H412" s="93"/>
      <c r="I412" s="750"/>
      <c r="J412" s="750"/>
    </row>
    <row r="413" spans="1:10" x14ac:dyDescent="0.35">
      <c r="A413" s="92"/>
      <c r="F413" s="726"/>
      <c r="G413" s="735"/>
      <c r="H413" s="93"/>
      <c r="I413" s="750"/>
      <c r="J413" s="750"/>
    </row>
    <row r="414" spans="1:10" x14ac:dyDescent="0.35">
      <c r="A414" s="92"/>
      <c r="F414" s="726"/>
      <c r="G414" s="735"/>
      <c r="H414" s="93"/>
      <c r="I414" s="750"/>
      <c r="J414" s="750"/>
    </row>
    <row r="415" spans="1:10" x14ac:dyDescent="0.35">
      <c r="A415" s="92"/>
      <c r="F415" s="726"/>
      <c r="G415" s="735"/>
      <c r="H415" s="93"/>
      <c r="I415" s="750"/>
      <c r="J415" s="750"/>
    </row>
    <row r="416" spans="1:10" x14ac:dyDescent="0.35">
      <c r="A416" s="92"/>
      <c r="F416" s="726"/>
      <c r="G416" s="735"/>
      <c r="H416" s="93"/>
      <c r="I416" s="750"/>
      <c r="J416" s="750"/>
    </row>
    <row r="417" spans="1:10" x14ac:dyDescent="0.35">
      <c r="A417" s="92"/>
      <c r="F417" s="726"/>
      <c r="G417" s="735"/>
      <c r="H417" s="93"/>
      <c r="I417" s="750"/>
      <c r="J417" s="750"/>
    </row>
    <row r="418" spans="1:10" x14ac:dyDescent="0.35">
      <c r="A418" s="92"/>
      <c r="F418" s="726"/>
      <c r="G418" s="735"/>
      <c r="H418" s="93"/>
      <c r="I418" s="750"/>
      <c r="J418" s="750"/>
    </row>
    <row r="419" spans="1:10" x14ac:dyDescent="0.35">
      <c r="A419" s="92"/>
      <c r="F419" s="726"/>
      <c r="G419" s="735"/>
      <c r="H419" s="93"/>
      <c r="I419" s="750"/>
      <c r="J419" s="750"/>
    </row>
    <row r="420" spans="1:10" x14ac:dyDescent="0.35">
      <c r="A420" s="92"/>
      <c r="F420" s="726"/>
      <c r="G420" s="735"/>
      <c r="H420" s="93"/>
      <c r="I420" s="750"/>
      <c r="J420" s="750"/>
    </row>
    <row r="421" spans="1:10" x14ac:dyDescent="0.35">
      <c r="A421" s="92"/>
      <c r="F421" s="726"/>
      <c r="G421" s="735"/>
      <c r="H421" s="93"/>
      <c r="I421" s="750"/>
      <c r="J421" s="750"/>
    </row>
    <row r="422" spans="1:10" x14ac:dyDescent="0.35">
      <c r="A422" s="92"/>
      <c r="F422" s="726"/>
      <c r="G422" s="735"/>
      <c r="H422" s="93"/>
      <c r="I422" s="750"/>
      <c r="J422" s="750"/>
    </row>
    <row r="423" spans="1:10" x14ac:dyDescent="0.35">
      <c r="A423" s="92"/>
      <c r="F423" s="726"/>
      <c r="G423" s="735"/>
      <c r="H423" s="93"/>
      <c r="I423" s="750"/>
      <c r="J423" s="750"/>
    </row>
    <row r="424" spans="1:10" x14ac:dyDescent="0.35">
      <c r="A424" s="92"/>
      <c r="F424" s="726"/>
      <c r="G424" s="735"/>
      <c r="H424" s="93"/>
      <c r="I424" s="750"/>
      <c r="J424" s="750"/>
    </row>
    <row r="425" spans="1:10" x14ac:dyDescent="0.35">
      <c r="A425" s="92"/>
      <c r="F425" s="726"/>
      <c r="G425" s="735"/>
      <c r="H425" s="93"/>
      <c r="I425" s="750"/>
      <c r="J425" s="750"/>
    </row>
    <row r="426" spans="1:10" x14ac:dyDescent="0.35">
      <c r="A426" s="92"/>
      <c r="F426" s="726"/>
      <c r="G426" s="735"/>
      <c r="H426" s="93"/>
      <c r="I426" s="750"/>
      <c r="J426" s="750"/>
    </row>
    <row r="427" spans="1:10" x14ac:dyDescent="0.35">
      <c r="A427" s="92"/>
      <c r="F427" s="726"/>
      <c r="G427" s="735"/>
      <c r="H427" s="93"/>
      <c r="I427" s="750"/>
      <c r="J427" s="750"/>
    </row>
    <row r="428" spans="1:10" x14ac:dyDescent="0.35">
      <c r="A428" s="92"/>
      <c r="F428" s="726"/>
      <c r="G428" s="735"/>
      <c r="H428" s="93"/>
      <c r="I428" s="750"/>
      <c r="J428" s="750"/>
    </row>
    <row r="429" spans="1:10" x14ac:dyDescent="0.35">
      <c r="A429" s="92"/>
      <c r="F429" s="726"/>
      <c r="G429" s="735"/>
      <c r="H429" s="93"/>
      <c r="I429" s="750"/>
      <c r="J429" s="750"/>
    </row>
    <row r="430" spans="1:10" x14ac:dyDescent="0.35">
      <c r="A430" s="92"/>
      <c r="F430" s="726"/>
      <c r="G430" s="735"/>
      <c r="H430" s="93"/>
      <c r="I430" s="750"/>
      <c r="J430" s="750"/>
    </row>
    <row r="431" spans="1:10" x14ac:dyDescent="0.35">
      <c r="A431" s="92"/>
      <c r="F431" s="726"/>
      <c r="G431" s="735"/>
      <c r="H431" s="93"/>
      <c r="I431" s="750"/>
      <c r="J431" s="750"/>
    </row>
    <row r="432" spans="1:10" x14ac:dyDescent="0.35">
      <c r="A432" s="92"/>
      <c r="F432" s="726"/>
      <c r="G432" s="735"/>
      <c r="H432" s="93"/>
      <c r="I432" s="750"/>
      <c r="J432" s="750"/>
    </row>
    <row r="433" spans="1:10" x14ac:dyDescent="0.35">
      <c r="A433" s="92"/>
      <c r="F433" s="726"/>
      <c r="G433" s="735"/>
      <c r="H433" s="93"/>
      <c r="I433" s="750"/>
      <c r="J433" s="750"/>
    </row>
    <row r="434" spans="1:10" x14ac:dyDescent="0.35">
      <c r="A434" s="92"/>
      <c r="F434" s="726"/>
      <c r="G434" s="735"/>
      <c r="H434" s="93"/>
      <c r="I434" s="750"/>
      <c r="J434" s="750"/>
    </row>
    <row r="435" spans="1:10" x14ac:dyDescent="0.35">
      <c r="A435" s="92"/>
      <c r="F435" s="726"/>
      <c r="G435" s="735"/>
      <c r="H435" s="93"/>
      <c r="I435" s="750"/>
      <c r="J435" s="750"/>
    </row>
    <row r="436" spans="1:10" x14ac:dyDescent="0.35">
      <c r="A436" s="92"/>
      <c r="F436" s="726"/>
      <c r="G436" s="735"/>
      <c r="H436" s="93"/>
      <c r="I436" s="750"/>
      <c r="J436" s="750"/>
    </row>
    <row r="437" spans="1:10" x14ac:dyDescent="0.35">
      <c r="A437" s="92"/>
      <c r="F437" s="726"/>
      <c r="G437" s="735"/>
      <c r="H437" s="93"/>
      <c r="I437" s="750"/>
      <c r="J437" s="750"/>
    </row>
    <row r="438" spans="1:10" x14ac:dyDescent="0.35">
      <c r="A438" s="92"/>
      <c r="F438" s="726"/>
      <c r="G438" s="735"/>
      <c r="H438" s="93"/>
      <c r="I438" s="750"/>
      <c r="J438" s="750"/>
    </row>
    <row r="439" spans="1:10" x14ac:dyDescent="0.35">
      <c r="A439" s="92"/>
      <c r="F439" s="726"/>
      <c r="G439" s="735"/>
      <c r="H439" s="93"/>
      <c r="I439" s="750"/>
      <c r="J439" s="750"/>
    </row>
    <row r="440" spans="1:10" x14ac:dyDescent="0.35">
      <c r="A440" s="92"/>
      <c r="F440" s="726"/>
      <c r="G440" s="735"/>
      <c r="H440" s="93"/>
      <c r="I440" s="750"/>
      <c r="J440" s="750"/>
    </row>
    <row r="441" spans="1:10" x14ac:dyDescent="0.35">
      <c r="A441" s="92"/>
      <c r="F441" s="726"/>
      <c r="G441" s="735"/>
      <c r="H441" s="93"/>
      <c r="I441" s="750"/>
      <c r="J441" s="750"/>
    </row>
    <row r="442" spans="1:10" x14ac:dyDescent="0.35">
      <c r="A442" s="92"/>
      <c r="F442" s="726"/>
      <c r="G442" s="735"/>
      <c r="H442" s="93"/>
      <c r="I442" s="750"/>
      <c r="J442" s="750"/>
    </row>
    <row r="443" spans="1:10" x14ac:dyDescent="0.35">
      <c r="A443" s="92"/>
      <c r="F443" s="726"/>
      <c r="G443" s="735"/>
      <c r="H443" s="93"/>
      <c r="I443" s="750"/>
      <c r="J443" s="750"/>
    </row>
    <row r="444" spans="1:10" x14ac:dyDescent="0.35">
      <c r="A444" s="92"/>
      <c r="F444" s="726"/>
      <c r="G444" s="735"/>
      <c r="H444" s="93"/>
      <c r="I444" s="750"/>
      <c r="J444" s="750"/>
    </row>
    <row r="445" spans="1:10" x14ac:dyDescent="0.35">
      <c r="A445" s="92"/>
      <c r="F445" s="726"/>
      <c r="G445" s="735"/>
      <c r="H445" s="93"/>
      <c r="I445" s="750"/>
      <c r="J445" s="750"/>
    </row>
    <row r="446" spans="1:10" x14ac:dyDescent="0.35">
      <c r="A446" s="92"/>
      <c r="F446" s="726"/>
      <c r="G446" s="735"/>
      <c r="H446" s="93"/>
      <c r="I446" s="750"/>
      <c r="J446" s="750"/>
    </row>
    <row r="447" spans="1:10" x14ac:dyDescent="0.35">
      <c r="A447" s="92"/>
      <c r="F447" s="726"/>
      <c r="G447" s="735"/>
      <c r="H447" s="93"/>
      <c r="I447" s="750"/>
      <c r="J447" s="750"/>
    </row>
    <row r="448" spans="1:10" x14ac:dyDescent="0.35">
      <c r="A448" s="92"/>
      <c r="F448" s="726"/>
      <c r="G448" s="735"/>
      <c r="H448" s="93"/>
      <c r="I448" s="750"/>
      <c r="J448" s="750"/>
    </row>
    <row r="449" spans="1:10" x14ac:dyDescent="0.35">
      <c r="A449" s="92"/>
      <c r="F449" s="726"/>
      <c r="G449" s="735"/>
      <c r="H449" s="93"/>
      <c r="I449" s="750"/>
      <c r="J449" s="750"/>
    </row>
    <row r="450" spans="1:10" x14ac:dyDescent="0.35">
      <c r="A450" s="92"/>
      <c r="F450" s="726"/>
      <c r="G450" s="735"/>
      <c r="H450" s="93"/>
      <c r="I450" s="750"/>
      <c r="J450" s="750"/>
    </row>
    <row r="451" spans="1:10" x14ac:dyDescent="0.35">
      <c r="A451" s="92"/>
      <c r="F451" s="726"/>
      <c r="G451" s="735"/>
      <c r="H451" s="93"/>
      <c r="I451" s="750"/>
      <c r="J451" s="750"/>
    </row>
    <row r="452" spans="1:10" x14ac:dyDescent="0.35">
      <c r="A452" s="92"/>
      <c r="F452" s="726"/>
      <c r="G452" s="735"/>
      <c r="H452" s="93"/>
      <c r="I452" s="750"/>
      <c r="J452" s="750"/>
    </row>
    <row r="453" spans="1:10" x14ac:dyDescent="0.35">
      <c r="A453" s="92"/>
      <c r="F453" s="726"/>
      <c r="G453" s="735"/>
      <c r="H453" s="93"/>
      <c r="I453" s="750"/>
      <c r="J453" s="750"/>
    </row>
    <row r="454" spans="1:10" x14ac:dyDescent="0.35">
      <c r="A454" s="92"/>
      <c r="F454" s="726"/>
      <c r="G454" s="735"/>
      <c r="H454" s="93"/>
      <c r="I454" s="750"/>
      <c r="J454" s="750"/>
    </row>
    <row r="455" spans="1:10" x14ac:dyDescent="0.35">
      <c r="A455" s="92"/>
      <c r="F455" s="726"/>
      <c r="G455" s="735"/>
      <c r="H455" s="93"/>
      <c r="I455" s="750"/>
      <c r="J455" s="750"/>
    </row>
    <row r="456" spans="1:10" x14ac:dyDescent="0.35">
      <c r="A456" s="92"/>
      <c r="F456" s="726"/>
      <c r="G456" s="735"/>
      <c r="H456" s="93"/>
      <c r="I456" s="750"/>
      <c r="J456" s="750"/>
    </row>
    <row r="457" spans="1:10" x14ac:dyDescent="0.35">
      <c r="A457" s="92"/>
      <c r="F457" s="726"/>
      <c r="G457" s="735"/>
      <c r="H457" s="93"/>
      <c r="I457" s="750"/>
      <c r="J457" s="750"/>
    </row>
    <row r="458" spans="1:10" x14ac:dyDescent="0.35">
      <c r="A458" s="92"/>
      <c r="F458" s="726"/>
      <c r="G458" s="735"/>
      <c r="H458" s="93"/>
      <c r="I458" s="750"/>
      <c r="J458" s="750"/>
    </row>
    <row r="459" spans="1:10" x14ac:dyDescent="0.35">
      <c r="A459" s="92"/>
      <c r="F459" s="726"/>
      <c r="G459" s="735"/>
      <c r="H459" s="93"/>
      <c r="I459" s="750"/>
      <c r="J459" s="750"/>
    </row>
    <row r="460" spans="1:10" x14ac:dyDescent="0.35">
      <c r="A460" s="92"/>
      <c r="F460" s="726"/>
      <c r="G460" s="735"/>
      <c r="H460" s="93"/>
      <c r="I460" s="750"/>
      <c r="J460" s="750"/>
    </row>
    <row r="461" spans="1:10" x14ac:dyDescent="0.35">
      <c r="A461" s="92"/>
      <c r="F461" s="726"/>
      <c r="G461" s="735"/>
      <c r="H461" s="93"/>
      <c r="I461" s="750"/>
      <c r="J461" s="750"/>
    </row>
    <row r="462" spans="1:10" x14ac:dyDescent="0.35">
      <c r="A462" s="92"/>
      <c r="F462" s="726"/>
      <c r="G462" s="735"/>
      <c r="H462" s="93"/>
      <c r="I462" s="750"/>
      <c r="J462" s="750"/>
    </row>
    <row r="463" spans="1:10" x14ac:dyDescent="0.35">
      <c r="A463" s="92"/>
      <c r="F463" s="726"/>
      <c r="G463" s="735"/>
      <c r="H463" s="93"/>
      <c r="I463" s="750"/>
      <c r="J463" s="750"/>
    </row>
    <row r="464" spans="1:10" x14ac:dyDescent="0.35">
      <c r="A464" s="92"/>
      <c r="F464" s="726"/>
      <c r="G464" s="735"/>
      <c r="H464" s="93"/>
      <c r="I464" s="750"/>
      <c r="J464" s="750"/>
    </row>
    <row r="465" spans="1:10" x14ac:dyDescent="0.35">
      <c r="A465" s="92"/>
      <c r="F465" s="726"/>
      <c r="G465" s="735"/>
      <c r="H465" s="93"/>
      <c r="I465" s="750"/>
      <c r="J465" s="750"/>
    </row>
    <row r="466" spans="1:10" x14ac:dyDescent="0.35">
      <c r="A466" s="92"/>
      <c r="F466" s="726"/>
      <c r="G466" s="735"/>
      <c r="H466" s="93"/>
      <c r="I466" s="750"/>
      <c r="J466" s="750"/>
    </row>
    <row r="467" spans="1:10" x14ac:dyDescent="0.35">
      <c r="A467" s="92"/>
      <c r="F467" s="726"/>
      <c r="G467" s="735"/>
      <c r="H467" s="93"/>
      <c r="I467" s="750"/>
      <c r="J467" s="750"/>
    </row>
    <row r="468" spans="1:10" x14ac:dyDescent="0.35">
      <c r="A468" s="92"/>
      <c r="F468" s="726"/>
      <c r="G468" s="735"/>
      <c r="H468" s="93"/>
      <c r="I468" s="750"/>
      <c r="J468" s="750"/>
    </row>
    <row r="469" spans="1:10" x14ac:dyDescent="0.35">
      <c r="A469" s="92"/>
      <c r="F469" s="726"/>
      <c r="G469" s="735"/>
      <c r="H469" s="93"/>
      <c r="I469" s="750"/>
      <c r="J469" s="750"/>
    </row>
    <row r="470" spans="1:10" x14ac:dyDescent="0.35">
      <c r="A470" s="92"/>
      <c r="F470" s="726"/>
      <c r="G470" s="735"/>
      <c r="H470" s="93"/>
      <c r="I470" s="750"/>
      <c r="J470" s="750"/>
    </row>
    <row r="471" spans="1:10" x14ac:dyDescent="0.35">
      <c r="A471" s="92"/>
      <c r="F471" s="726"/>
      <c r="G471" s="735"/>
      <c r="H471" s="93"/>
      <c r="I471" s="750"/>
      <c r="J471" s="750"/>
    </row>
    <row r="472" spans="1:10" x14ac:dyDescent="0.35">
      <c r="A472" s="92"/>
      <c r="F472" s="726"/>
      <c r="G472" s="735"/>
      <c r="H472" s="93"/>
      <c r="I472" s="750"/>
      <c r="J472" s="750"/>
    </row>
    <row r="473" spans="1:10" x14ac:dyDescent="0.35">
      <c r="A473" s="92"/>
      <c r="F473" s="726"/>
      <c r="G473" s="735"/>
      <c r="H473" s="93"/>
      <c r="I473" s="750"/>
      <c r="J473" s="750"/>
    </row>
    <row r="474" spans="1:10" x14ac:dyDescent="0.35">
      <c r="A474" s="92"/>
      <c r="F474" s="726"/>
      <c r="G474" s="735"/>
      <c r="H474" s="93"/>
      <c r="I474" s="750"/>
      <c r="J474" s="750"/>
    </row>
    <row r="475" spans="1:10" x14ac:dyDescent="0.35">
      <c r="A475" s="92"/>
      <c r="F475" s="726"/>
      <c r="G475" s="735"/>
      <c r="H475" s="93"/>
      <c r="I475" s="750"/>
      <c r="J475" s="750"/>
    </row>
    <row r="476" spans="1:10" x14ac:dyDescent="0.35">
      <c r="A476" s="92"/>
      <c r="F476" s="726"/>
      <c r="G476" s="735"/>
      <c r="H476" s="93"/>
      <c r="I476" s="750"/>
      <c r="J476" s="750"/>
    </row>
    <row r="477" spans="1:10" x14ac:dyDescent="0.35">
      <c r="A477" s="92"/>
      <c r="F477" s="726"/>
      <c r="G477" s="735"/>
      <c r="H477" s="93"/>
      <c r="I477" s="750"/>
      <c r="J477" s="750"/>
    </row>
    <row r="478" spans="1:10" x14ac:dyDescent="0.35">
      <c r="A478" s="92"/>
      <c r="F478" s="726"/>
      <c r="G478" s="735"/>
      <c r="H478" s="93"/>
      <c r="I478" s="750"/>
      <c r="J478" s="750"/>
    </row>
    <row r="479" spans="1:10" x14ac:dyDescent="0.35">
      <c r="A479" s="92"/>
      <c r="F479" s="726"/>
      <c r="G479" s="735"/>
      <c r="H479" s="93"/>
      <c r="I479" s="750"/>
      <c r="J479" s="750"/>
    </row>
    <row r="480" spans="1:10" x14ac:dyDescent="0.35">
      <c r="A480" s="92"/>
      <c r="F480" s="726"/>
      <c r="G480" s="735"/>
      <c r="H480" s="93"/>
      <c r="I480" s="750"/>
      <c r="J480" s="750"/>
    </row>
    <row r="481" spans="1:10" x14ac:dyDescent="0.35">
      <c r="A481" s="92"/>
      <c r="F481" s="726"/>
      <c r="G481" s="735"/>
      <c r="H481" s="93"/>
      <c r="I481" s="750"/>
      <c r="J481" s="750"/>
    </row>
    <row r="482" spans="1:10" x14ac:dyDescent="0.35">
      <c r="A482" s="92"/>
      <c r="F482" s="726"/>
      <c r="G482" s="735"/>
      <c r="H482" s="93"/>
      <c r="I482" s="750"/>
      <c r="J482" s="750"/>
    </row>
    <row r="483" spans="1:10" x14ac:dyDescent="0.35">
      <c r="A483" s="92"/>
      <c r="F483" s="726"/>
      <c r="G483" s="735"/>
      <c r="H483" s="93"/>
      <c r="I483" s="750"/>
      <c r="J483" s="750"/>
    </row>
    <row r="484" spans="1:10" x14ac:dyDescent="0.35">
      <c r="A484" s="92"/>
      <c r="F484" s="726"/>
      <c r="G484" s="735"/>
      <c r="H484" s="93"/>
      <c r="I484" s="750"/>
      <c r="J484" s="750"/>
    </row>
    <row r="485" spans="1:10" x14ac:dyDescent="0.35">
      <c r="A485" s="92"/>
      <c r="F485" s="726"/>
      <c r="G485" s="735"/>
      <c r="H485" s="93"/>
      <c r="I485" s="750"/>
      <c r="J485" s="750"/>
    </row>
    <row r="486" spans="1:10" x14ac:dyDescent="0.35">
      <c r="A486" s="92"/>
      <c r="F486" s="726"/>
      <c r="G486" s="735"/>
      <c r="H486" s="93"/>
      <c r="I486" s="750"/>
      <c r="J486" s="750"/>
    </row>
    <row r="487" spans="1:10" x14ac:dyDescent="0.35">
      <c r="A487" s="92"/>
      <c r="F487" s="726"/>
      <c r="G487" s="735"/>
      <c r="H487" s="93"/>
      <c r="I487" s="750"/>
      <c r="J487" s="750"/>
    </row>
    <row r="488" spans="1:10" x14ac:dyDescent="0.35">
      <c r="A488" s="92"/>
      <c r="F488" s="726"/>
      <c r="G488" s="735"/>
      <c r="H488" s="93"/>
      <c r="I488" s="750"/>
      <c r="J488" s="750"/>
    </row>
    <row r="489" spans="1:10" x14ac:dyDescent="0.35">
      <c r="A489" s="92"/>
      <c r="F489" s="726"/>
      <c r="G489" s="735"/>
      <c r="H489" s="93"/>
      <c r="I489" s="750"/>
      <c r="J489" s="750"/>
    </row>
    <row r="490" spans="1:10" x14ac:dyDescent="0.35">
      <c r="A490" s="92"/>
      <c r="F490" s="726"/>
      <c r="G490" s="735"/>
      <c r="H490" s="93"/>
      <c r="I490" s="750"/>
      <c r="J490" s="750"/>
    </row>
    <row r="491" spans="1:10" x14ac:dyDescent="0.35">
      <c r="A491" s="92"/>
      <c r="F491" s="726"/>
      <c r="G491" s="735"/>
      <c r="H491" s="93"/>
      <c r="I491" s="750"/>
      <c r="J491" s="750"/>
    </row>
    <row r="492" spans="1:10" x14ac:dyDescent="0.35">
      <c r="A492" s="92"/>
      <c r="F492" s="726"/>
      <c r="G492" s="735"/>
      <c r="H492" s="93"/>
      <c r="I492" s="750"/>
      <c r="J492" s="750"/>
    </row>
    <row r="493" spans="1:10" x14ac:dyDescent="0.35">
      <c r="A493" s="92"/>
      <c r="F493" s="726"/>
      <c r="G493" s="735"/>
      <c r="H493" s="93"/>
      <c r="I493" s="750"/>
      <c r="J493" s="750"/>
    </row>
    <row r="494" spans="1:10" x14ac:dyDescent="0.35">
      <c r="A494" s="92"/>
      <c r="F494" s="726"/>
      <c r="G494" s="735"/>
      <c r="H494" s="93"/>
      <c r="I494" s="750"/>
      <c r="J494" s="750"/>
    </row>
    <row r="495" spans="1:10" x14ac:dyDescent="0.35">
      <c r="A495" s="92"/>
      <c r="F495" s="726"/>
      <c r="G495" s="735"/>
      <c r="H495" s="93"/>
      <c r="I495" s="750"/>
      <c r="J495" s="750"/>
    </row>
    <row r="496" spans="1:10" x14ac:dyDescent="0.35">
      <c r="A496" s="92"/>
      <c r="F496" s="726"/>
      <c r="G496" s="735"/>
      <c r="H496" s="93"/>
      <c r="I496" s="750"/>
      <c r="J496" s="750"/>
    </row>
    <row r="497" spans="1:10" x14ac:dyDescent="0.35">
      <c r="A497" s="92"/>
      <c r="F497" s="726"/>
      <c r="G497" s="735"/>
      <c r="H497" s="93"/>
      <c r="I497" s="750"/>
      <c r="J497" s="750"/>
    </row>
    <row r="498" spans="1:10" x14ac:dyDescent="0.35">
      <c r="A498" s="92"/>
      <c r="F498" s="726"/>
      <c r="G498" s="735"/>
      <c r="H498" s="93"/>
      <c r="I498" s="750"/>
      <c r="J498" s="750"/>
    </row>
    <row r="499" spans="1:10" x14ac:dyDescent="0.35">
      <c r="A499" s="92"/>
      <c r="F499" s="726"/>
      <c r="G499" s="735"/>
      <c r="H499" s="93"/>
      <c r="I499" s="750"/>
      <c r="J499" s="750"/>
    </row>
    <row r="500" spans="1:10" x14ac:dyDescent="0.35">
      <c r="A500" s="92"/>
      <c r="F500" s="726"/>
      <c r="G500" s="735"/>
      <c r="H500" s="93"/>
      <c r="I500" s="750"/>
      <c r="J500" s="750"/>
    </row>
    <row r="501" spans="1:10" x14ac:dyDescent="0.35">
      <c r="A501" s="92"/>
      <c r="F501" s="726"/>
      <c r="G501" s="735"/>
      <c r="H501" s="93"/>
      <c r="I501" s="750"/>
      <c r="J501" s="750"/>
    </row>
    <row r="502" spans="1:10" x14ac:dyDescent="0.35">
      <c r="A502" s="92"/>
      <c r="F502" s="726"/>
      <c r="G502" s="735"/>
      <c r="H502" s="93"/>
      <c r="I502" s="750"/>
      <c r="J502" s="750"/>
    </row>
    <row r="503" spans="1:10" x14ac:dyDescent="0.35">
      <c r="A503" s="92"/>
      <c r="F503" s="726"/>
      <c r="G503" s="735"/>
      <c r="H503" s="93"/>
      <c r="I503" s="750"/>
      <c r="J503" s="750"/>
    </row>
    <row r="504" spans="1:10" x14ac:dyDescent="0.35">
      <c r="A504" s="92"/>
      <c r="F504" s="726"/>
      <c r="G504" s="735"/>
      <c r="H504" s="93"/>
      <c r="I504" s="750"/>
      <c r="J504" s="750"/>
    </row>
    <row r="505" spans="1:10" x14ac:dyDescent="0.35">
      <c r="A505" s="92"/>
      <c r="F505" s="726"/>
      <c r="G505" s="735"/>
      <c r="H505" s="93"/>
      <c r="I505" s="750"/>
      <c r="J505" s="750"/>
    </row>
    <row r="506" spans="1:10" x14ac:dyDescent="0.35">
      <c r="A506" s="92"/>
      <c r="F506" s="726"/>
      <c r="G506" s="735"/>
      <c r="H506" s="93"/>
      <c r="I506" s="750"/>
      <c r="J506" s="750"/>
    </row>
    <row r="507" spans="1:10" x14ac:dyDescent="0.35">
      <c r="A507" s="92"/>
      <c r="F507" s="726"/>
      <c r="G507" s="735"/>
      <c r="H507" s="93"/>
      <c r="I507" s="750"/>
      <c r="J507" s="750"/>
    </row>
    <row r="508" spans="1:10" x14ac:dyDescent="0.35">
      <c r="A508" s="92"/>
      <c r="F508" s="726"/>
      <c r="G508" s="735"/>
      <c r="H508" s="93"/>
      <c r="I508" s="750"/>
      <c r="J508" s="750"/>
    </row>
    <row r="509" spans="1:10" x14ac:dyDescent="0.35">
      <c r="A509" s="92"/>
      <c r="F509" s="726"/>
      <c r="G509" s="735"/>
      <c r="H509" s="93"/>
      <c r="I509" s="750"/>
      <c r="J509" s="750"/>
    </row>
    <row r="510" spans="1:10" x14ac:dyDescent="0.35">
      <c r="A510" s="92"/>
      <c r="F510" s="726"/>
      <c r="G510" s="735"/>
      <c r="H510" s="93"/>
      <c r="I510" s="750"/>
      <c r="J510" s="750"/>
    </row>
    <row r="511" spans="1:10" x14ac:dyDescent="0.35">
      <c r="A511" s="92"/>
      <c r="F511" s="726"/>
      <c r="G511" s="735"/>
      <c r="H511" s="93"/>
      <c r="I511" s="750"/>
      <c r="J511" s="750"/>
    </row>
    <row r="512" spans="1:10" x14ac:dyDescent="0.35">
      <c r="A512" s="92"/>
      <c r="F512" s="726"/>
      <c r="G512" s="735"/>
      <c r="H512" s="93"/>
      <c r="I512" s="750"/>
      <c r="J512" s="750"/>
    </row>
    <row r="513" spans="1:10" x14ac:dyDescent="0.35">
      <c r="A513" s="92"/>
      <c r="F513" s="726"/>
      <c r="G513" s="735"/>
      <c r="H513" s="93"/>
      <c r="I513" s="750"/>
      <c r="J513" s="750"/>
    </row>
    <row r="514" spans="1:10" x14ac:dyDescent="0.35">
      <c r="A514" s="92"/>
      <c r="F514" s="726"/>
      <c r="G514" s="735"/>
      <c r="H514" s="93"/>
      <c r="I514" s="750"/>
      <c r="J514" s="750"/>
    </row>
    <row r="515" spans="1:10" x14ac:dyDescent="0.35">
      <c r="A515" s="92"/>
      <c r="F515" s="726"/>
      <c r="G515" s="735"/>
      <c r="H515" s="93"/>
      <c r="I515" s="750"/>
      <c r="J515" s="750"/>
    </row>
    <row r="516" spans="1:10" x14ac:dyDescent="0.35">
      <c r="A516" s="92"/>
      <c r="F516" s="726"/>
      <c r="G516" s="735"/>
      <c r="H516" s="93"/>
      <c r="I516" s="750"/>
      <c r="J516" s="750"/>
    </row>
    <row r="517" spans="1:10" x14ac:dyDescent="0.35">
      <c r="A517" s="92"/>
      <c r="F517" s="726"/>
      <c r="G517" s="735"/>
      <c r="H517" s="93"/>
      <c r="I517" s="750"/>
      <c r="J517" s="750"/>
    </row>
    <row r="518" spans="1:10" x14ac:dyDescent="0.35">
      <c r="A518" s="92"/>
      <c r="F518" s="726"/>
      <c r="G518" s="735"/>
      <c r="H518" s="93"/>
      <c r="I518" s="750"/>
      <c r="J518" s="750"/>
    </row>
    <row r="519" spans="1:10" x14ac:dyDescent="0.35">
      <c r="A519" s="92"/>
      <c r="F519" s="726"/>
      <c r="G519" s="735"/>
      <c r="H519" s="93"/>
      <c r="I519" s="750"/>
      <c r="J519" s="750"/>
    </row>
    <row r="520" spans="1:10" x14ac:dyDescent="0.35">
      <c r="A520" s="92"/>
      <c r="F520" s="726"/>
      <c r="G520" s="735"/>
      <c r="H520" s="93"/>
      <c r="I520" s="750"/>
      <c r="J520" s="750"/>
    </row>
    <row r="521" spans="1:10" x14ac:dyDescent="0.35">
      <c r="A521" s="92"/>
      <c r="F521" s="726"/>
      <c r="G521" s="735"/>
      <c r="H521" s="93"/>
      <c r="I521" s="750"/>
      <c r="J521" s="750"/>
    </row>
    <row r="522" spans="1:10" x14ac:dyDescent="0.35">
      <c r="A522" s="92"/>
      <c r="F522" s="726"/>
      <c r="G522" s="735"/>
      <c r="H522" s="93"/>
      <c r="I522" s="750"/>
      <c r="J522" s="750"/>
    </row>
    <row r="523" spans="1:10" x14ac:dyDescent="0.35">
      <c r="A523" s="92"/>
      <c r="F523" s="726"/>
      <c r="G523" s="735"/>
      <c r="H523" s="93"/>
      <c r="I523" s="750"/>
      <c r="J523" s="750"/>
    </row>
    <row r="524" spans="1:10" x14ac:dyDescent="0.35">
      <c r="A524" s="92"/>
      <c r="F524" s="726"/>
      <c r="G524" s="735"/>
      <c r="H524" s="93"/>
      <c r="I524" s="750"/>
      <c r="J524" s="750"/>
    </row>
    <row r="525" spans="1:10" x14ac:dyDescent="0.35">
      <c r="A525" s="92"/>
      <c r="F525" s="726"/>
      <c r="G525" s="735"/>
      <c r="H525" s="93"/>
      <c r="I525" s="750"/>
      <c r="J525" s="750"/>
    </row>
    <row r="526" spans="1:10" x14ac:dyDescent="0.35">
      <c r="A526" s="92"/>
      <c r="F526" s="726"/>
      <c r="G526" s="735"/>
      <c r="H526" s="93"/>
      <c r="I526" s="750"/>
      <c r="J526" s="750"/>
    </row>
    <row r="527" spans="1:10" x14ac:dyDescent="0.35">
      <c r="A527" s="92"/>
      <c r="F527" s="726"/>
      <c r="G527" s="735"/>
      <c r="H527" s="93"/>
      <c r="I527" s="750"/>
      <c r="J527" s="750"/>
    </row>
    <row r="528" spans="1:10" x14ac:dyDescent="0.35">
      <c r="A528" s="92"/>
      <c r="F528" s="726"/>
      <c r="G528" s="735"/>
      <c r="H528" s="93"/>
      <c r="I528" s="750"/>
      <c r="J528" s="750"/>
    </row>
    <row r="529" spans="1:10" x14ac:dyDescent="0.35">
      <c r="A529" s="92"/>
      <c r="F529" s="726"/>
      <c r="G529" s="735"/>
      <c r="H529" s="93"/>
      <c r="I529" s="750"/>
      <c r="J529" s="750"/>
    </row>
    <row r="530" spans="1:10" x14ac:dyDescent="0.35">
      <c r="A530" s="92"/>
      <c r="F530" s="726"/>
      <c r="G530" s="735"/>
      <c r="H530" s="93"/>
      <c r="I530" s="750"/>
      <c r="J530" s="750"/>
    </row>
    <row r="531" spans="1:10" x14ac:dyDescent="0.35">
      <c r="A531" s="92"/>
      <c r="F531" s="726"/>
      <c r="G531" s="735"/>
      <c r="H531" s="93"/>
      <c r="I531" s="750"/>
      <c r="J531" s="750"/>
    </row>
    <row r="532" spans="1:10" x14ac:dyDescent="0.35">
      <c r="A532" s="92"/>
      <c r="F532" s="726"/>
      <c r="G532" s="735"/>
      <c r="H532" s="93"/>
      <c r="I532" s="750"/>
      <c r="J532" s="750"/>
    </row>
    <row r="533" spans="1:10" x14ac:dyDescent="0.35">
      <c r="A533" s="92"/>
      <c r="F533" s="726"/>
      <c r="G533" s="735"/>
      <c r="H533" s="93"/>
      <c r="I533" s="750"/>
      <c r="J533" s="750"/>
    </row>
    <row r="534" spans="1:10" x14ac:dyDescent="0.35">
      <c r="A534" s="92"/>
      <c r="F534" s="726"/>
      <c r="G534" s="735"/>
      <c r="H534" s="93"/>
      <c r="I534" s="750"/>
      <c r="J534" s="750"/>
    </row>
    <row r="535" spans="1:10" x14ac:dyDescent="0.35">
      <c r="A535" s="92"/>
      <c r="F535" s="726"/>
      <c r="G535" s="735"/>
      <c r="H535" s="93"/>
      <c r="I535" s="750"/>
      <c r="J535" s="750"/>
    </row>
    <row r="536" spans="1:10" x14ac:dyDescent="0.35">
      <c r="A536" s="92"/>
      <c r="F536" s="726"/>
      <c r="G536" s="735"/>
      <c r="H536" s="93"/>
      <c r="I536" s="750"/>
      <c r="J536" s="750"/>
    </row>
    <row r="537" spans="1:10" x14ac:dyDescent="0.35">
      <c r="A537" s="92"/>
      <c r="F537" s="726"/>
      <c r="G537" s="735"/>
      <c r="H537" s="93"/>
      <c r="I537" s="750"/>
      <c r="J537" s="750"/>
    </row>
    <row r="538" spans="1:10" x14ac:dyDescent="0.35">
      <c r="A538" s="92"/>
      <c r="F538" s="726"/>
      <c r="G538" s="735"/>
      <c r="H538" s="93"/>
      <c r="I538" s="750"/>
      <c r="J538" s="750"/>
    </row>
    <row r="539" spans="1:10" x14ac:dyDescent="0.35">
      <c r="A539" s="92"/>
      <c r="F539" s="726"/>
      <c r="G539" s="735"/>
      <c r="H539" s="93"/>
      <c r="I539" s="750"/>
      <c r="J539" s="750"/>
    </row>
    <row r="540" spans="1:10" x14ac:dyDescent="0.35">
      <c r="A540" s="92"/>
      <c r="F540" s="726"/>
      <c r="G540" s="735"/>
      <c r="H540" s="93"/>
      <c r="I540" s="750"/>
      <c r="J540" s="750"/>
    </row>
    <row r="541" spans="1:10" x14ac:dyDescent="0.35">
      <c r="A541" s="92"/>
      <c r="F541" s="726"/>
      <c r="G541" s="735"/>
      <c r="H541" s="93"/>
      <c r="I541" s="750"/>
      <c r="J541" s="750"/>
    </row>
    <row r="542" spans="1:10" x14ac:dyDescent="0.35">
      <c r="A542" s="92"/>
      <c r="F542" s="726"/>
      <c r="G542" s="735"/>
      <c r="H542" s="93"/>
      <c r="I542" s="750"/>
      <c r="J542" s="750"/>
    </row>
    <row r="543" spans="1:10" x14ac:dyDescent="0.35">
      <c r="A543" s="92"/>
      <c r="F543" s="726"/>
      <c r="G543" s="735"/>
      <c r="H543" s="93"/>
      <c r="I543" s="750"/>
      <c r="J543" s="750"/>
    </row>
    <row r="544" spans="1:10" x14ac:dyDescent="0.35">
      <c r="A544" s="92"/>
      <c r="F544" s="726"/>
      <c r="G544" s="735"/>
      <c r="H544" s="93"/>
      <c r="I544" s="750"/>
      <c r="J544" s="750"/>
    </row>
    <row r="545" spans="1:10" x14ac:dyDescent="0.35">
      <c r="A545" s="92"/>
      <c r="F545" s="726"/>
      <c r="G545" s="735"/>
      <c r="H545" s="93"/>
      <c r="I545" s="750"/>
      <c r="J545" s="750"/>
    </row>
    <row r="546" spans="1:10" x14ac:dyDescent="0.35">
      <c r="A546" s="92"/>
      <c r="F546" s="726"/>
      <c r="G546" s="735"/>
      <c r="H546" s="93"/>
      <c r="I546" s="750"/>
      <c r="J546" s="750"/>
    </row>
    <row r="547" spans="1:10" x14ac:dyDescent="0.35">
      <c r="A547" s="92"/>
      <c r="F547" s="726"/>
      <c r="G547" s="735"/>
      <c r="H547" s="93"/>
      <c r="I547" s="750"/>
      <c r="J547" s="750"/>
    </row>
    <row r="548" spans="1:10" x14ac:dyDescent="0.35">
      <c r="A548" s="92"/>
      <c r="F548" s="726"/>
      <c r="G548" s="735"/>
      <c r="H548" s="93"/>
      <c r="I548" s="750"/>
      <c r="J548" s="750"/>
    </row>
    <row r="549" spans="1:10" x14ac:dyDescent="0.35">
      <c r="A549" s="92"/>
      <c r="F549" s="726"/>
      <c r="G549" s="735"/>
      <c r="H549" s="93"/>
      <c r="I549" s="750"/>
      <c r="J549" s="750"/>
    </row>
    <row r="550" spans="1:10" x14ac:dyDescent="0.35">
      <c r="A550" s="92"/>
      <c r="F550" s="726"/>
      <c r="G550" s="735"/>
      <c r="H550" s="93"/>
      <c r="I550" s="750"/>
      <c r="J550" s="750"/>
    </row>
    <row r="551" spans="1:10" x14ac:dyDescent="0.35">
      <c r="A551" s="92"/>
      <c r="F551" s="726"/>
      <c r="G551" s="735"/>
      <c r="H551" s="93"/>
      <c r="I551" s="750"/>
      <c r="J551" s="750"/>
    </row>
    <row r="552" spans="1:10" x14ac:dyDescent="0.35">
      <c r="A552" s="92"/>
      <c r="F552" s="726"/>
      <c r="G552" s="735"/>
      <c r="H552" s="93"/>
      <c r="I552" s="750"/>
      <c r="J552" s="750"/>
    </row>
    <row r="553" spans="1:10" x14ac:dyDescent="0.35">
      <c r="A553" s="92"/>
      <c r="F553" s="726"/>
      <c r="G553" s="735"/>
      <c r="H553" s="93"/>
      <c r="I553" s="750"/>
      <c r="J553" s="750"/>
    </row>
    <row r="554" spans="1:10" x14ac:dyDescent="0.35">
      <c r="A554" s="92"/>
      <c r="F554" s="726"/>
      <c r="G554" s="735"/>
      <c r="H554" s="93"/>
      <c r="I554" s="750"/>
      <c r="J554" s="750"/>
    </row>
    <row r="555" spans="1:10" x14ac:dyDescent="0.35">
      <c r="A555" s="92"/>
      <c r="F555" s="726"/>
      <c r="G555" s="735"/>
      <c r="H555" s="93"/>
      <c r="I555" s="750"/>
      <c r="J555" s="750"/>
    </row>
    <row r="556" spans="1:10" x14ac:dyDescent="0.35">
      <c r="A556" s="92"/>
      <c r="F556" s="726"/>
      <c r="G556" s="735"/>
      <c r="H556" s="93"/>
      <c r="I556" s="750"/>
      <c r="J556" s="750"/>
    </row>
    <row r="557" spans="1:10" x14ac:dyDescent="0.35">
      <c r="A557" s="92"/>
      <c r="F557" s="726"/>
      <c r="G557" s="735"/>
      <c r="H557" s="93"/>
      <c r="I557" s="750"/>
      <c r="J557" s="750"/>
    </row>
    <row r="558" spans="1:10" x14ac:dyDescent="0.35">
      <c r="A558" s="92"/>
      <c r="F558" s="726"/>
      <c r="G558" s="735"/>
      <c r="H558" s="93"/>
      <c r="I558" s="750"/>
      <c r="J558" s="750"/>
    </row>
    <row r="559" spans="1:10" x14ac:dyDescent="0.35">
      <c r="A559" s="92"/>
      <c r="F559" s="726"/>
      <c r="G559" s="735"/>
      <c r="H559" s="93"/>
      <c r="I559" s="750"/>
      <c r="J559" s="750"/>
    </row>
    <row r="560" spans="1:10" x14ac:dyDescent="0.35">
      <c r="A560" s="92"/>
      <c r="F560" s="726"/>
      <c r="G560" s="735"/>
      <c r="H560" s="93"/>
      <c r="I560" s="750"/>
      <c r="J560" s="750"/>
    </row>
    <row r="561" spans="1:10" x14ac:dyDescent="0.35">
      <c r="A561" s="92"/>
      <c r="F561" s="726"/>
      <c r="G561" s="735"/>
      <c r="H561" s="93"/>
      <c r="I561" s="750"/>
      <c r="J561" s="750"/>
    </row>
    <row r="562" spans="1:10" x14ac:dyDescent="0.35">
      <c r="A562" s="92"/>
      <c r="F562" s="726"/>
      <c r="G562" s="735"/>
      <c r="H562" s="93"/>
      <c r="I562" s="750"/>
      <c r="J562" s="750"/>
    </row>
    <row r="563" spans="1:10" x14ac:dyDescent="0.35">
      <c r="A563" s="92"/>
      <c r="F563" s="726"/>
      <c r="G563" s="735"/>
      <c r="H563" s="93"/>
      <c r="I563" s="750"/>
      <c r="J563" s="750"/>
    </row>
    <row r="564" spans="1:10" x14ac:dyDescent="0.35">
      <c r="A564" s="92"/>
      <c r="F564" s="726"/>
      <c r="G564" s="735"/>
      <c r="H564" s="93"/>
      <c r="I564" s="750"/>
      <c r="J564" s="750"/>
    </row>
    <row r="565" spans="1:10" x14ac:dyDescent="0.35">
      <c r="A565" s="92"/>
      <c r="F565" s="726"/>
      <c r="G565" s="735"/>
      <c r="H565" s="93"/>
      <c r="I565" s="750"/>
      <c r="J565" s="750"/>
    </row>
    <row r="566" spans="1:10" x14ac:dyDescent="0.35">
      <c r="A566" s="92"/>
      <c r="F566" s="726"/>
      <c r="G566" s="735"/>
      <c r="H566" s="93"/>
      <c r="I566" s="750"/>
      <c r="J566" s="750"/>
    </row>
    <row r="567" spans="1:10" x14ac:dyDescent="0.35">
      <c r="A567" s="92"/>
      <c r="F567" s="726"/>
      <c r="G567" s="735"/>
      <c r="H567" s="93"/>
      <c r="I567" s="750"/>
      <c r="J567" s="750"/>
    </row>
    <row r="568" spans="1:10" x14ac:dyDescent="0.35">
      <c r="A568" s="92"/>
      <c r="F568" s="726"/>
      <c r="G568" s="735"/>
      <c r="H568" s="93"/>
      <c r="I568" s="750"/>
      <c r="J568" s="750"/>
    </row>
    <row r="569" spans="1:10" x14ac:dyDescent="0.35">
      <c r="A569" s="92"/>
      <c r="F569" s="726"/>
      <c r="G569" s="735"/>
      <c r="H569" s="93"/>
      <c r="I569" s="750"/>
      <c r="J569" s="750"/>
    </row>
    <row r="570" spans="1:10" x14ac:dyDescent="0.35">
      <c r="A570" s="92"/>
      <c r="F570" s="726"/>
      <c r="G570" s="735"/>
      <c r="H570" s="93"/>
      <c r="I570" s="750"/>
      <c r="J570" s="750"/>
    </row>
    <row r="571" spans="1:10" x14ac:dyDescent="0.35">
      <c r="A571" s="92"/>
      <c r="F571" s="726"/>
      <c r="G571" s="735"/>
      <c r="H571" s="93"/>
      <c r="I571" s="750"/>
      <c r="J571" s="750"/>
    </row>
    <row r="572" spans="1:10" x14ac:dyDescent="0.35">
      <c r="A572" s="92"/>
      <c r="F572" s="726"/>
      <c r="G572" s="735"/>
      <c r="H572" s="93"/>
      <c r="I572" s="750"/>
      <c r="J572" s="750"/>
    </row>
    <row r="573" spans="1:10" x14ac:dyDescent="0.35">
      <c r="A573" s="92"/>
      <c r="F573" s="726"/>
      <c r="G573" s="735"/>
      <c r="H573" s="93"/>
      <c r="I573" s="750"/>
      <c r="J573" s="750"/>
    </row>
    <row r="574" spans="1:10" x14ac:dyDescent="0.35">
      <c r="A574" s="92"/>
      <c r="F574" s="726"/>
      <c r="G574" s="735"/>
      <c r="H574" s="93"/>
      <c r="I574" s="750"/>
      <c r="J574" s="750"/>
    </row>
    <row r="575" spans="1:10" x14ac:dyDescent="0.35">
      <c r="A575" s="92"/>
      <c r="F575" s="726"/>
      <c r="G575" s="735"/>
      <c r="H575" s="93"/>
      <c r="I575" s="750"/>
      <c r="J575" s="750"/>
    </row>
    <row r="576" spans="1:10" x14ac:dyDescent="0.35">
      <c r="A576" s="92"/>
      <c r="F576" s="726"/>
      <c r="G576" s="735"/>
      <c r="H576" s="93"/>
      <c r="I576" s="750"/>
      <c r="J576" s="750"/>
    </row>
    <row r="577" spans="1:10" x14ac:dyDescent="0.35">
      <c r="A577" s="92"/>
      <c r="F577" s="726"/>
      <c r="G577" s="735"/>
      <c r="H577" s="93"/>
      <c r="I577" s="750"/>
      <c r="J577" s="750"/>
    </row>
    <row r="578" spans="1:10" x14ac:dyDescent="0.35">
      <c r="A578" s="92"/>
      <c r="F578" s="726"/>
      <c r="G578" s="735"/>
      <c r="H578" s="93"/>
      <c r="I578" s="750"/>
      <c r="J578" s="750"/>
    </row>
    <row r="579" spans="1:10" x14ac:dyDescent="0.35">
      <c r="A579" s="92"/>
      <c r="F579" s="726"/>
      <c r="G579" s="735"/>
      <c r="H579" s="93"/>
      <c r="I579" s="750"/>
      <c r="J579" s="750"/>
    </row>
    <row r="580" spans="1:10" x14ac:dyDescent="0.35">
      <c r="A580" s="92"/>
      <c r="F580" s="726"/>
      <c r="G580" s="735"/>
      <c r="H580" s="93"/>
      <c r="I580" s="750"/>
      <c r="J580" s="750"/>
    </row>
    <row r="581" spans="1:10" x14ac:dyDescent="0.35">
      <c r="A581" s="92"/>
      <c r="F581" s="726"/>
      <c r="G581" s="735"/>
      <c r="H581" s="93"/>
      <c r="I581" s="750"/>
      <c r="J581" s="750"/>
    </row>
    <row r="582" spans="1:10" x14ac:dyDescent="0.35">
      <c r="A582" s="92"/>
      <c r="F582" s="726"/>
      <c r="G582" s="735"/>
      <c r="H582" s="93"/>
      <c r="I582" s="750"/>
      <c r="J582" s="750"/>
    </row>
    <row r="583" spans="1:10" x14ac:dyDescent="0.35">
      <c r="A583" s="92"/>
      <c r="F583" s="726"/>
      <c r="G583" s="735"/>
      <c r="H583" s="93"/>
      <c r="I583" s="750"/>
      <c r="J583" s="750"/>
    </row>
    <row r="584" spans="1:10" x14ac:dyDescent="0.35">
      <c r="A584" s="92"/>
      <c r="F584" s="726"/>
      <c r="G584" s="735"/>
      <c r="H584" s="93"/>
      <c r="I584" s="750"/>
      <c r="J584" s="750"/>
    </row>
    <row r="585" spans="1:10" x14ac:dyDescent="0.35">
      <c r="A585" s="92"/>
      <c r="F585" s="726"/>
      <c r="G585" s="735"/>
      <c r="H585" s="93"/>
      <c r="I585" s="750"/>
      <c r="J585" s="750"/>
    </row>
    <row r="586" spans="1:10" x14ac:dyDescent="0.35">
      <c r="A586" s="92"/>
      <c r="F586" s="726"/>
      <c r="G586" s="735"/>
      <c r="H586" s="93"/>
      <c r="I586" s="750"/>
      <c r="J586" s="750"/>
    </row>
    <row r="587" spans="1:10" x14ac:dyDescent="0.35">
      <c r="A587" s="92"/>
      <c r="F587" s="726"/>
      <c r="G587" s="735"/>
      <c r="H587" s="93"/>
      <c r="I587" s="750"/>
      <c r="J587" s="750"/>
    </row>
    <row r="588" spans="1:10" x14ac:dyDescent="0.35">
      <c r="A588" s="92"/>
      <c r="F588" s="726"/>
      <c r="G588" s="735"/>
      <c r="H588" s="93"/>
      <c r="I588" s="750"/>
      <c r="J588" s="750"/>
    </row>
    <row r="589" spans="1:10" x14ac:dyDescent="0.35">
      <c r="A589" s="92"/>
      <c r="F589" s="726"/>
      <c r="G589" s="735"/>
      <c r="H589" s="93"/>
      <c r="I589" s="750"/>
      <c r="J589" s="750"/>
    </row>
    <row r="590" spans="1:10" x14ac:dyDescent="0.35">
      <c r="A590" s="92"/>
      <c r="F590" s="726"/>
      <c r="G590" s="735"/>
      <c r="H590" s="93"/>
      <c r="I590" s="750"/>
      <c r="J590" s="750"/>
    </row>
    <row r="591" spans="1:10" x14ac:dyDescent="0.35">
      <c r="A591" s="92"/>
      <c r="F591" s="726"/>
      <c r="G591" s="735"/>
      <c r="H591" s="93"/>
      <c r="I591" s="750"/>
      <c r="J591" s="750"/>
    </row>
    <row r="592" spans="1:10" x14ac:dyDescent="0.35">
      <c r="A592" s="92"/>
      <c r="F592" s="726"/>
      <c r="G592" s="735"/>
      <c r="H592" s="93"/>
      <c r="I592" s="750"/>
      <c r="J592" s="750"/>
    </row>
    <row r="593" spans="1:10" x14ac:dyDescent="0.35">
      <c r="A593" s="92"/>
      <c r="F593" s="726"/>
      <c r="G593" s="735"/>
      <c r="H593" s="93"/>
      <c r="I593" s="750"/>
      <c r="J593" s="750"/>
    </row>
    <row r="594" spans="1:10" x14ac:dyDescent="0.35">
      <c r="A594" s="92"/>
      <c r="F594" s="726"/>
      <c r="G594" s="735"/>
      <c r="H594" s="93"/>
      <c r="I594" s="750"/>
      <c r="J594" s="750"/>
    </row>
    <row r="595" spans="1:10" x14ac:dyDescent="0.35">
      <c r="A595" s="92"/>
      <c r="F595" s="726"/>
      <c r="G595" s="735"/>
      <c r="H595" s="93"/>
      <c r="I595" s="750"/>
      <c r="J595" s="750"/>
    </row>
    <row r="596" spans="1:10" x14ac:dyDescent="0.35">
      <c r="A596" s="92"/>
      <c r="F596" s="726"/>
      <c r="G596" s="735"/>
      <c r="H596" s="93"/>
      <c r="I596" s="750"/>
      <c r="J596" s="750"/>
    </row>
    <row r="597" spans="1:10" x14ac:dyDescent="0.35">
      <c r="A597" s="92"/>
      <c r="F597" s="726"/>
      <c r="G597" s="735"/>
      <c r="H597" s="93"/>
      <c r="I597" s="750"/>
      <c r="J597" s="750"/>
    </row>
    <row r="598" spans="1:10" x14ac:dyDescent="0.35">
      <c r="A598" s="92"/>
      <c r="F598" s="726"/>
      <c r="G598" s="735"/>
      <c r="H598" s="93"/>
      <c r="I598" s="750"/>
      <c r="J598" s="750"/>
    </row>
    <row r="599" spans="1:10" x14ac:dyDescent="0.35">
      <c r="A599" s="92"/>
      <c r="F599" s="726"/>
      <c r="G599" s="735"/>
      <c r="H599" s="93"/>
      <c r="I599" s="750"/>
      <c r="J599" s="750"/>
    </row>
    <row r="600" spans="1:10" x14ac:dyDescent="0.35">
      <c r="A600" s="92"/>
      <c r="F600" s="726"/>
      <c r="G600" s="735"/>
      <c r="H600" s="93"/>
      <c r="I600" s="750"/>
      <c r="J600" s="750"/>
    </row>
    <row r="601" spans="1:10" x14ac:dyDescent="0.35">
      <c r="A601" s="92"/>
      <c r="F601" s="726"/>
      <c r="G601" s="735"/>
      <c r="H601" s="93"/>
      <c r="I601" s="750"/>
      <c r="J601" s="750"/>
    </row>
    <row r="602" spans="1:10" x14ac:dyDescent="0.35">
      <c r="A602" s="92"/>
      <c r="F602" s="726"/>
      <c r="G602" s="735"/>
      <c r="H602" s="93"/>
      <c r="I602" s="750"/>
      <c r="J602" s="750"/>
    </row>
    <row r="603" spans="1:10" x14ac:dyDescent="0.35">
      <c r="A603" s="92"/>
      <c r="F603" s="726"/>
      <c r="G603" s="735"/>
      <c r="H603" s="93"/>
      <c r="I603" s="750"/>
      <c r="J603" s="750"/>
    </row>
    <row r="604" spans="1:10" x14ac:dyDescent="0.35">
      <c r="A604" s="92"/>
      <c r="F604" s="726"/>
      <c r="G604" s="735"/>
      <c r="H604" s="93"/>
      <c r="I604" s="750"/>
      <c r="J604" s="750"/>
    </row>
    <row r="605" spans="1:10" x14ac:dyDescent="0.35">
      <c r="A605" s="92"/>
      <c r="F605" s="726"/>
      <c r="G605" s="735"/>
      <c r="H605" s="93"/>
      <c r="I605" s="750"/>
      <c r="J605" s="750"/>
    </row>
    <row r="606" spans="1:10" x14ac:dyDescent="0.35">
      <c r="A606" s="92"/>
      <c r="F606" s="726"/>
      <c r="G606" s="735"/>
      <c r="H606" s="93"/>
      <c r="I606" s="750"/>
      <c r="J606" s="750"/>
    </row>
    <row r="607" spans="1:10" x14ac:dyDescent="0.35">
      <c r="A607" s="92"/>
      <c r="F607" s="726"/>
      <c r="G607" s="735"/>
      <c r="H607" s="93"/>
      <c r="I607" s="750"/>
      <c r="J607" s="750"/>
    </row>
    <row r="608" spans="1:10" x14ac:dyDescent="0.35">
      <c r="A608" s="92"/>
      <c r="F608" s="726"/>
      <c r="G608" s="735"/>
      <c r="H608" s="93"/>
      <c r="I608" s="750"/>
      <c r="J608" s="750"/>
    </row>
    <row r="609" spans="1:10" x14ac:dyDescent="0.35">
      <c r="A609" s="92"/>
      <c r="F609" s="726"/>
      <c r="G609" s="735"/>
      <c r="H609" s="93"/>
      <c r="I609" s="750"/>
      <c r="J609" s="750"/>
    </row>
    <row r="610" spans="1:10" x14ac:dyDescent="0.35">
      <c r="A610" s="92"/>
      <c r="F610" s="726"/>
      <c r="G610" s="735"/>
      <c r="H610" s="93"/>
      <c r="I610" s="750"/>
      <c r="J610" s="750"/>
    </row>
    <row r="611" spans="1:10" x14ac:dyDescent="0.35">
      <c r="A611" s="92"/>
      <c r="F611" s="726"/>
      <c r="G611" s="735"/>
      <c r="H611" s="93"/>
      <c r="I611" s="750"/>
      <c r="J611" s="750"/>
    </row>
    <row r="612" spans="1:10" x14ac:dyDescent="0.35">
      <c r="A612" s="92"/>
      <c r="F612" s="726"/>
      <c r="G612" s="735"/>
      <c r="H612" s="93"/>
      <c r="I612" s="750"/>
      <c r="J612" s="750"/>
    </row>
    <row r="613" spans="1:10" x14ac:dyDescent="0.35">
      <c r="A613" s="92"/>
      <c r="F613" s="726"/>
      <c r="G613" s="735"/>
      <c r="H613" s="93"/>
      <c r="I613" s="750"/>
      <c r="J613" s="750"/>
    </row>
    <row r="614" spans="1:10" x14ac:dyDescent="0.35">
      <c r="A614" s="92"/>
      <c r="F614" s="726"/>
      <c r="G614" s="735"/>
      <c r="H614" s="93"/>
      <c r="I614" s="750"/>
      <c r="J614" s="750"/>
    </row>
    <row r="615" spans="1:10" x14ac:dyDescent="0.35">
      <c r="A615" s="92"/>
      <c r="F615" s="726"/>
      <c r="G615" s="735"/>
      <c r="H615" s="93"/>
      <c r="I615" s="750"/>
      <c r="J615" s="750"/>
    </row>
    <row r="616" spans="1:10" x14ac:dyDescent="0.35">
      <c r="A616" s="92"/>
      <c r="F616" s="726"/>
      <c r="G616" s="735"/>
      <c r="H616" s="93"/>
      <c r="I616" s="750"/>
      <c r="J616" s="750"/>
    </row>
    <row r="617" spans="1:10" x14ac:dyDescent="0.35">
      <c r="A617" s="92"/>
      <c r="F617" s="726"/>
      <c r="G617" s="735"/>
      <c r="H617" s="93"/>
      <c r="I617" s="750"/>
      <c r="J617" s="750"/>
    </row>
    <row r="618" spans="1:10" x14ac:dyDescent="0.35">
      <c r="A618" s="92"/>
      <c r="F618" s="726"/>
      <c r="G618" s="735"/>
      <c r="H618" s="93"/>
      <c r="I618" s="750"/>
      <c r="J618" s="750"/>
    </row>
    <row r="619" spans="1:10" x14ac:dyDescent="0.35">
      <c r="A619" s="92"/>
      <c r="F619" s="726"/>
      <c r="G619" s="735"/>
      <c r="H619" s="93"/>
      <c r="I619" s="750"/>
      <c r="J619" s="750"/>
    </row>
    <row r="620" spans="1:10" x14ac:dyDescent="0.35">
      <c r="A620" s="92"/>
      <c r="F620" s="726"/>
      <c r="G620" s="735"/>
      <c r="H620" s="93"/>
      <c r="I620" s="750"/>
      <c r="J620" s="750"/>
    </row>
    <row r="621" spans="1:10" x14ac:dyDescent="0.35">
      <c r="A621" s="92"/>
      <c r="F621" s="726"/>
      <c r="G621" s="735"/>
      <c r="H621" s="93"/>
      <c r="I621" s="750"/>
      <c r="J621" s="750"/>
    </row>
    <row r="622" spans="1:10" x14ac:dyDescent="0.35">
      <c r="A622" s="92"/>
      <c r="F622" s="726"/>
      <c r="G622" s="735"/>
      <c r="H622" s="93"/>
      <c r="I622" s="750"/>
      <c r="J622" s="750"/>
    </row>
    <row r="623" spans="1:10" x14ac:dyDescent="0.35">
      <c r="A623" s="92"/>
      <c r="F623" s="726"/>
      <c r="G623" s="735"/>
      <c r="H623" s="93"/>
      <c r="I623" s="750"/>
      <c r="J623" s="750"/>
    </row>
    <row r="624" spans="1:10" x14ac:dyDescent="0.35">
      <c r="A624" s="92"/>
      <c r="F624" s="726"/>
      <c r="G624" s="735"/>
      <c r="H624" s="93"/>
      <c r="I624" s="750"/>
      <c r="J624" s="750"/>
    </row>
    <row r="625" spans="1:10" x14ac:dyDescent="0.35">
      <c r="A625" s="92"/>
      <c r="F625" s="726"/>
      <c r="G625" s="735"/>
      <c r="H625" s="93"/>
      <c r="I625" s="750"/>
      <c r="J625" s="750"/>
    </row>
    <row r="626" spans="1:10" x14ac:dyDescent="0.35">
      <c r="A626" s="92"/>
      <c r="F626" s="726"/>
      <c r="G626" s="735"/>
      <c r="H626" s="93"/>
      <c r="I626" s="750"/>
      <c r="J626" s="750"/>
    </row>
    <row r="627" spans="1:10" x14ac:dyDescent="0.35">
      <c r="A627" s="92"/>
      <c r="F627" s="726"/>
      <c r="G627" s="735"/>
      <c r="H627" s="93"/>
      <c r="I627" s="750"/>
      <c r="J627" s="750"/>
    </row>
    <row r="628" spans="1:10" x14ac:dyDescent="0.35">
      <c r="A628" s="92"/>
      <c r="F628" s="726"/>
      <c r="G628" s="735"/>
      <c r="H628" s="93"/>
      <c r="I628" s="750"/>
      <c r="J628" s="750"/>
    </row>
    <row r="629" spans="1:10" x14ac:dyDescent="0.35">
      <c r="A629" s="92"/>
      <c r="F629" s="726"/>
      <c r="G629" s="735"/>
      <c r="H629" s="93"/>
      <c r="I629" s="750"/>
      <c r="J629" s="750"/>
    </row>
    <row r="630" spans="1:10" x14ac:dyDescent="0.35">
      <c r="A630" s="92"/>
      <c r="F630" s="726"/>
      <c r="G630" s="735"/>
      <c r="H630" s="93"/>
      <c r="I630" s="750"/>
      <c r="J630" s="750"/>
    </row>
    <row r="631" spans="1:10" x14ac:dyDescent="0.35">
      <c r="A631" s="92"/>
      <c r="F631" s="726"/>
      <c r="G631" s="735"/>
      <c r="H631" s="93"/>
      <c r="I631" s="750"/>
      <c r="J631" s="750"/>
    </row>
    <row r="632" spans="1:10" x14ac:dyDescent="0.35">
      <c r="A632" s="92"/>
      <c r="F632" s="726"/>
      <c r="G632" s="735"/>
      <c r="H632" s="93"/>
      <c r="I632" s="750"/>
      <c r="J632" s="750"/>
    </row>
    <row r="633" spans="1:10" x14ac:dyDescent="0.35">
      <c r="A633" s="92"/>
      <c r="F633" s="726"/>
      <c r="G633" s="735"/>
      <c r="H633" s="93"/>
      <c r="I633" s="750"/>
      <c r="J633" s="750"/>
    </row>
    <row r="634" spans="1:10" x14ac:dyDescent="0.35">
      <c r="A634" s="92"/>
      <c r="F634" s="726"/>
      <c r="G634" s="735"/>
      <c r="H634" s="93"/>
      <c r="I634" s="750"/>
      <c r="J634" s="750"/>
    </row>
    <row r="635" spans="1:10" x14ac:dyDescent="0.35">
      <c r="A635" s="92"/>
      <c r="F635" s="726"/>
      <c r="G635" s="735"/>
      <c r="H635" s="93"/>
      <c r="I635" s="750"/>
      <c r="J635" s="750"/>
    </row>
    <row r="636" spans="1:10" x14ac:dyDescent="0.35">
      <c r="A636" s="92"/>
      <c r="F636" s="726"/>
      <c r="G636" s="735"/>
      <c r="H636" s="93"/>
      <c r="I636" s="750"/>
      <c r="J636" s="750"/>
    </row>
    <row r="637" spans="1:10" x14ac:dyDescent="0.35">
      <c r="A637" s="92"/>
      <c r="F637" s="726"/>
      <c r="G637" s="735"/>
      <c r="H637" s="93"/>
      <c r="I637" s="750"/>
      <c r="J637" s="750"/>
    </row>
    <row r="638" spans="1:10" x14ac:dyDescent="0.35">
      <c r="A638" s="92"/>
      <c r="F638" s="726"/>
      <c r="G638" s="735"/>
      <c r="H638" s="93"/>
      <c r="I638" s="750"/>
      <c r="J638" s="750"/>
    </row>
    <row r="639" spans="1:10" x14ac:dyDescent="0.35">
      <c r="A639" s="92"/>
      <c r="F639" s="726"/>
      <c r="G639" s="735"/>
      <c r="H639" s="93"/>
      <c r="I639" s="750"/>
      <c r="J639" s="750"/>
    </row>
    <row r="640" spans="1:10" x14ac:dyDescent="0.35">
      <c r="A640" s="92"/>
      <c r="F640" s="726"/>
      <c r="G640" s="735"/>
      <c r="H640" s="93"/>
      <c r="I640" s="750"/>
      <c r="J640" s="750"/>
    </row>
    <row r="641" spans="1:10" x14ac:dyDescent="0.35">
      <c r="A641" s="92"/>
      <c r="F641" s="726"/>
      <c r="G641" s="735"/>
      <c r="H641" s="93"/>
      <c r="I641" s="750"/>
      <c r="J641" s="750"/>
    </row>
    <row r="642" spans="1:10" x14ac:dyDescent="0.35">
      <c r="A642" s="92"/>
      <c r="F642" s="726"/>
      <c r="G642" s="735"/>
      <c r="H642" s="93"/>
      <c r="I642" s="750"/>
      <c r="J642" s="750"/>
    </row>
    <row r="643" spans="1:10" x14ac:dyDescent="0.35">
      <c r="A643" s="92"/>
      <c r="F643" s="726"/>
      <c r="G643" s="735"/>
      <c r="H643" s="93"/>
      <c r="I643" s="750"/>
      <c r="J643" s="750"/>
    </row>
    <row r="644" spans="1:10" x14ac:dyDescent="0.35">
      <c r="A644" s="92"/>
      <c r="F644" s="726"/>
      <c r="G644" s="735"/>
      <c r="H644" s="93"/>
      <c r="I644" s="750"/>
      <c r="J644" s="750"/>
    </row>
    <row r="645" spans="1:10" x14ac:dyDescent="0.35">
      <c r="A645" s="92"/>
      <c r="F645" s="726"/>
      <c r="G645" s="735"/>
      <c r="H645" s="93"/>
      <c r="I645" s="750"/>
      <c r="J645" s="750"/>
    </row>
    <row r="646" spans="1:10" x14ac:dyDescent="0.35">
      <c r="A646" s="92"/>
      <c r="F646" s="726"/>
      <c r="G646" s="735"/>
      <c r="H646" s="93"/>
      <c r="I646" s="750"/>
      <c r="J646" s="750"/>
    </row>
    <row r="647" spans="1:10" x14ac:dyDescent="0.35">
      <c r="A647" s="92"/>
      <c r="F647" s="726"/>
      <c r="G647" s="735"/>
      <c r="H647" s="93"/>
      <c r="I647" s="750"/>
      <c r="J647" s="750"/>
    </row>
    <row r="648" spans="1:10" x14ac:dyDescent="0.35">
      <c r="A648" s="92"/>
      <c r="F648" s="726"/>
      <c r="G648" s="735"/>
      <c r="H648" s="93"/>
      <c r="I648" s="750"/>
      <c r="J648" s="750"/>
    </row>
    <row r="649" spans="1:10" x14ac:dyDescent="0.35">
      <c r="A649" s="92"/>
      <c r="F649" s="726"/>
      <c r="G649" s="735"/>
      <c r="H649" s="93"/>
      <c r="I649" s="750"/>
      <c r="J649" s="750"/>
    </row>
    <row r="650" spans="1:10" x14ac:dyDescent="0.35">
      <c r="A650" s="92"/>
      <c r="F650" s="726"/>
      <c r="G650" s="735"/>
      <c r="H650" s="93"/>
      <c r="I650" s="750"/>
      <c r="J650" s="750"/>
    </row>
    <row r="651" spans="1:10" x14ac:dyDescent="0.35">
      <c r="A651" s="92"/>
      <c r="F651" s="726"/>
      <c r="G651" s="735"/>
      <c r="H651" s="93"/>
      <c r="I651" s="750"/>
      <c r="J651" s="750"/>
    </row>
    <row r="652" spans="1:10" x14ac:dyDescent="0.35">
      <c r="A652" s="92"/>
      <c r="F652" s="726"/>
      <c r="G652" s="735"/>
      <c r="H652" s="93"/>
      <c r="I652" s="750"/>
      <c r="J652" s="750"/>
    </row>
    <row r="653" spans="1:10" x14ac:dyDescent="0.35">
      <c r="A653" s="92"/>
      <c r="F653" s="726"/>
      <c r="G653" s="735"/>
      <c r="H653" s="93"/>
      <c r="I653" s="750"/>
      <c r="J653" s="750"/>
    </row>
    <row r="654" spans="1:10" x14ac:dyDescent="0.35">
      <c r="A654" s="92"/>
      <c r="F654" s="726"/>
      <c r="G654" s="735"/>
      <c r="H654" s="93"/>
      <c r="I654" s="750"/>
      <c r="J654" s="750"/>
    </row>
    <row r="655" spans="1:10" x14ac:dyDescent="0.35">
      <c r="A655" s="92"/>
      <c r="F655" s="726"/>
      <c r="G655" s="735"/>
      <c r="H655" s="93"/>
      <c r="I655" s="750"/>
      <c r="J655" s="750"/>
    </row>
    <row r="656" spans="1:10" x14ac:dyDescent="0.35">
      <c r="A656" s="92"/>
      <c r="F656" s="726"/>
      <c r="G656" s="735"/>
      <c r="H656" s="93"/>
      <c r="I656" s="750"/>
      <c r="J656" s="750"/>
    </row>
    <row r="657" spans="1:10" x14ac:dyDescent="0.35">
      <c r="A657" s="92"/>
      <c r="F657" s="726"/>
      <c r="G657" s="735"/>
      <c r="H657" s="93"/>
      <c r="I657" s="750"/>
      <c r="J657" s="750"/>
    </row>
    <row r="658" spans="1:10" x14ac:dyDescent="0.35">
      <c r="A658" s="92"/>
      <c r="F658" s="726"/>
      <c r="G658" s="735"/>
      <c r="H658" s="93"/>
      <c r="I658" s="750"/>
      <c r="J658" s="750"/>
    </row>
    <row r="659" spans="1:10" x14ac:dyDescent="0.35">
      <c r="A659" s="92"/>
      <c r="F659" s="726"/>
      <c r="G659" s="735"/>
      <c r="H659" s="93"/>
      <c r="I659" s="750"/>
      <c r="J659" s="750"/>
    </row>
    <row r="660" spans="1:10" x14ac:dyDescent="0.35">
      <c r="A660" s="92"/>
      <c r="F660" s="726"/>
      <c r="G660" s="735"/>
      <c r="H660" s="93"/>
      <c r="I660" s="750"/>
      <c r="J660" s="750"/>
    </row>
    <row r="661" spans="1:10" x14ac:dyDescent="0.35">
      <c r="A661" s="92"/>
      <c r="F661" s="726"/>
      <c r="G661" s="735"/>
      <c r="H661" s="93"/>
      <c r="I661" s="750"/>
      <c r="J661" s="750"/>
    </row>
    <row r="662" spans="1:10" x14ac:dyDescent="0.35">
      <c r="A662" s="92"/>
      <c r="F662" s="726"/>
      <c r="G662" s="735"/>
      <c r="H662" s="93"/>
      <c r="I662" s="750"/>
      <c r="J662" s="750"/>
    </row>
    <row r="663" spans="1:10" x14ac:dyDescent="0.35">
      <c r="A663" s="92"/>
      <c r="F663" s="726"/>
      <c r="G663" s="735"/>
      <c r="H663" s="93"/>
      <c r="I663" s="750"/>
      <c r="J663" s="750"/>
    </row>
    <row r="664" spans="1:10" x14ac:dyDescent="0.35">
      <c r="A664" s="92"/>
      <c r="F664" s="726"/>
      <c r="G664" s="735"/>
      <c r="H664" s="93"/>
      <c r="I664" s="750"/>
      <c r="J664" s="750"/>
    </row>
    <row r="665" spans="1:10" x14ac:dyDescent="0.35">
      <c r="A665" s="92"/>
      <c r="F665" s="726"/>
      <c r="G665" s="735"/>
      <c r="H665" s="93"/>
      <c r="I665" s="750"/>
      <c r="J665" s="750"/>
    </row>
    <row r="666" spans="1:10" x14ac:dyDescent="0.35">
      <c r="A666" s="92"/>
      <c r="F666" s="726"/>
      <c r="G666" s="735"/>
      <c r="H666" s="93"/>
      <c r="I666" s="750"/>
      <c r="J666" s="750"/>
    </row>
    <row r="667" spans="1:10" x14ac:dyDescent="0.35">
      <c r="A667" s="92"/>
      <c r="F667" s="726"/>
      <c r="G667" s="735"/>
      <c r="H667" s="93"/>
      <c r="I667" s="750"/>
      <c r="J667" s="750"/>
    </row>
    <row r="668" spans="1:10" x14ac:dyDescent="0.35">
      <c r="A668" s="92"/>
      <c r="F668" s="726"/>
      <c r="G668" s="735"/>
      <c r="H668" s="93"/>
      <c r="I668" s="750"/>
      <c r="J668" s="750"/>
    </row>
    <row r="669" spans="1:10" x14ac:dyDescent="0.35">
      <c r="A669" s="92"/>
      <c r="F669" s="726"/>
      <c r="G669" s="735"/>
      <c r="H669" s="93"/>
      <c r="I669" s="750"/>
      <c r="J669" s="750"/>
    </row>
    <row r="670" spans="1:10" x14ac:dyDescent="0.35">
      <c r="A670" s="92"/>
      <c r="F670" s="726"/>
      <c r="G670" s="735"/>
      <c r="H670" s="93"/>
      <c r="I670" s="750"/>
      <c r="J670" s="750"/>
    </row>
    <row r="671" spans="1:10" x14ac:dyDescent="0.35">
      <c r="A671" s="92"/>
      <c r="F671" s="726"/>
      <c r="G671" s="735"/>
      <c r="H671" s="93"/>
      <c r="I671" s="750"/>
      <c r="J671" s="750"/>
    </row>
    <row r="672" spans="1:10" x14ac:dyDescent="0.35">
      <c r="A672" s="92"/>
      <c r="F672" s="726"/>
      <c r="G672" s="735"/>
      <c r="H672" s="93"/>
      <c r="I672" s="750"/>
      <c r="J672" s="750"/>
    </row>
    <row r="673" spans="1:10" x14ac:dyDescent="0.35">
      <c r="A673" s="92"/>
      <c r="F673" s="726"/>
      <c r="G673" s="735"/>
      <c r="H673" s="93"/>
      <c r="I673" s="750"/>
      <c r="J673" s="750"/>
    </row>
    <row r="674" spans="1:10" x14ac:dyDescent="0.35">
      <c r="A674" s="92"/>
      <c r="F674" s="726"/>
      <c r="G674" s="735"/>
      <c r="H674" s="93"/>
      <c r="I674" s="750"/>
      <c r="J674" s="750"/>
    </row>
    <row r="675" spans="1:10" x14ac:dyDescent="0.35">
      <c r="A675" s="92"/>
      <c r="F675" s="726"/>
      <c r="G675" s="735"/>
      <c r="H675" s="93"/>
      <c r="I675" s="750"/>
      <c r="J675" s="750"/>
    </row>
    <row r="676" spans="1:10" x14ac:dyDescent="0.35">
      <c r="A676" s="92"/>
      <c r="F676" s="726"/>
      <c r="G676" s="735"/>
      <c r="H676" s="93"/>
      <c r="I676" s="750"/>
      <c r="J676" s="750"/>
    </row>
    <row r="677" spans="1:10" x14ac:dyDescent="0.35">
      <c r="A677" s="92"/>
      <c r="F677" s="726"/>
      <c r="G677" s="735"/>
      <c r="H677" s="93"/>
      <c r="I677" s="750"/>
      <c r="J677" s="750"/>
    </row>
    <row r="678" spans="1:10" x14ac:dyDescent="0.35">
      <c r="A678" s="92"/>
      <c r="F678" s="726"/>
      <c r="G678" s="735"/>
      <c r="H678" s="93"/>
      <c r="I678" s="750"/>
      <c r="J678" s="750"/>
    </row>
    <row r="679" spans="1:10" x14ac:dyDescent="0.35">
      <c r="A679" s="92"/>
      <c r="F679" s="726"/>
      <c r="G679" s="735"/>
      <c r="H679" s="93"/>
      <c r="I679" s="750"/>
      <c r="J679" s="750"/>
    </row>
    <row r="680" spans="1:10" x14ac:dyDescent="0.35">
      <c r="A680" s="92"/>
      <c r="F680" s="726"/>
      <c r="G680" s="735"/>
      <c r="H680" s="93"/>
      <c r="I680" s="750"/>
      <c r="J680" s="750"/>
    </row>
    <row r="681" spans="1:10" x14ac:dyDescent="0.35">
      <c r="A681" s="92"/>
      <c r="F681" s="726"/>
      <c r="G681" s="735"/>
      <c r="H681" s="93"/>
      <c r="I681" s="750"/>
      <c r="J681" s="750"/>
    </row>
    <row r="682" spans="1:10" x14ac:dyDescent="0.35">
      <c r="A682" s="92"/>
      <c r="F682" s="726"/>
      <c r="G682" s="735"/>
      <c r="H682" s="93"/>
      <c r="I682" s="750"/>
      <c r="J682" s="750"/>
    </row>
    <row r="683" spans="1:10" x14ac:dyDescent="0.35">
      <c r="A683" s="92"/>
      <c r="F683" s="726"/>
      <c r="G683" s="735"/>
      <c r="H683" s="93"/>
      <c r="I683" s="750"/>
      <c r="J683" s="750"/>
    </row>
    <row r="684" spans="1:10" x14ac:dyDescent="0.35">
      <c r="A684" s="92"/>
      <c r="F684" s="726"/>
      <c r="G684" s="735"/>
      <c r="H684" s="93"/>
      <c r="I684" s="750"/>
      <c r="J684" s="750"/>
    </row>
    <row r="685" spans="1:10" x14ac:dyDescent="0.35">
      <c r="A685" s="92"/>
      <c r="F685" s="726"/>
      <c r="G685" s="735"/>
      <c r="H685" s="93"/>
      <c r="I685" s="750"/>
      <c r="J685" s="750"/>
    </row>
    <row r="686" spans="1:10" x14ac:dyDescent="0.35">
      <c r="A686" s="92"/>
      <c r="F686" s="726"/>
      <c r="G686" s="735"/>
      <c r="H686" s="93"/>
      <c r="I686" s="750"/>
      <c r="J686" s="750"/>
    </row>
    <row r="687" spans="1:10" x14ac:dyDescent="0.35">
      <c r="A687" s="92"/>
      <c r="F687" s="726"/>
      <c r="G687" s="735"/>
      <c r="H687" s="93"/>
      <c r="I687" s="750"/>
      <c r="J687" s="750"/>
    </row>
    <row r="688" spans="1:10" x14ac:dyDescent="0.35">
      <c r="A688" s="92"/>
      <c r="F688" s="726"/>
      <c r="G688" s="735"/>
      <c r="H688" s="93"/>
      <c r="I688" s="750"/>
      <c r="J688" s="750"/>
    </row>
    <row r="689" spans="1:10" x14ac:dyDescent="0.35">
      <c r="A689" s="92"/>
      <c r="F689" s="726"/>
      <c r="G689" s="735"/>
      <c r="H689" s="93"/>
      <c r="I689" s="750"/>
      <c r="J689" s="750"/>
    </row>
    <row r="690" spans="1:10" x14ac:dyDescent="0.35">
      <c r="A690" s="92"/>
      <c r="F690" s="726"/>
      <c r="G690" s="735"/>
      <c r="H690" s="93"/>
      <c r="I690" s="750"/>
      <c r="J690" s="750"/>
    </row>
    <row r="691" spans="1:10" x14ac:dyDescent="0.35">
      <c r="A691" s="92"/>
      <c r="F691" s="726"/>
      <c r="G691" s="735"/>
      <c r="H691" s="93"/>
      <c r="I691" s="750"/>
      <c r="J691" s="750"/>
    </row>
    <row r="692" spans="1:10" x14ac:dyDescent="0.35">
      <c r="A692" s="92"/>
      <c r="F692" s="726"/>
      <c r="G692" s="735"/>
      <c r="H692" s="93"/>
      <c r="I692" s="750"/>
      <c r="J692" s="750"/>
    </row>
    <row r="693" spans="1:10" x14ac:dyDescent="0.35">
      <c r="A693" s="92"/>
      <c r="F693" s="726"/>
      <c r="G693" s="735"/>
      <c r="H693" s="93"/>
      <c r="I693" s="750"/>
      <c r="J693" s="750"/>
    </row>
    <row r="694" spans="1:10" x14ac:dyDescent="0.35">
      <c r="A694" s="92"/>
      <c r="F694" s="726"/>
      <c r="G694" s="735"/>
      <c r="H694" s="93"/>
      <c r="I694" s="750"/>
      <c r="J694" s="750"/>
    </row>
    <row r="695" spans="1:10" x14ac:dyDescent="0.35">
      <c r="A695" s="92"/>
      <c r="F695" s="726"/>
      <c r="G695" s="735"/>
      <c r="H695" s="93"/>
      <c r="I695" s="750"/>
      <c r="J695" s="750"/>
    </row>
    <row r="696" spans="1:10" x14ac:dyDescent="0.35">
      <c r="A696" s="92"/>
      <c r="F696" s="726"/>
      <c r="G696" s="735"/>
      <c r="H696" s="93"/>
      <c r="I696" s="750"/>
      <c r="J696" s="750"/>
    </row>
    <row r="697" spans="1:10" x14ac:dyDescent="0.35">
      <c r="A697" s="92"/>
      <c r="F697" s="726"/>
      <c r="G697" s="735"/>
      <c r="H697" s="93"/>
      <c r="I697" s="750"/>
      <c r="J697" s="750"/>
    </row>
    <row r="698" spans="1:10" x14ac:dyDescent="0.35">
      <c r="A698" s="92"/>
      <c r="F698" s="726"/>
      <c r="G698" s="735"/>
      <c r="H698" s="93"/>
      <c r="I698" s="750"/>
      <c r="J698" s="750"/>
    </row>
    <row r="699" spans="1:10" x14ac:dyDescent="0.35">
      <c r="A699" s="92"/>
      <c r="F699" s="726"/>
      <c r="G699" s="735"/>
      <c r="H699" s="93"/>
      <c r="I699" s="750"/>
      <c r="J699" s="750"/>
    </row>
    <row r="700" spans="1:10" x14ac:dyDescent="0.35">
      <c r="A700" s="92"/>
      <c r="F700" s="726"/>
      <c r="G700" s="735"/>
      <c r="H700" s="93"/>
      <c r="I700" s="750"/>
      <c r="J700" s="750"/>
    </row>
    <row r="701" spans="1:10" x14ac:dyDescent="0.35">
      <c r="A701" s="92"/>
      <c r="F701" s="726"/>
      <c r="G701" s="735"/>
      <c r="H701" s="93"/>
      <c r="I701" s="750"/>
      <c r="J701" s="750"/>
    </row>
    <row r="702" spans="1:10" x14ac:dyDescent="0.35">
      <c r="A702" s="92"/>
      <c r="F702" s="726"/>
      <c r="G702" s="735"/>
      <c r="H702" s="93"/>
      <c r="I702" s="750"/>
      <c r="J702" s="750"/>
    </row>
    <row r="703" spans="1:10" x14ac:dyDescent="0.35">
      <c r="A703" s="92"/>
      <c r="F703" s="726"/>
      <c r="G703" s="735"/>
      <c r="H703" s="93"/>
      <c r="I703" s="750"/>
      <c r="J703" s="750"/>
    </row>
    <row r="704" spans="1:10" x14ac:dyDescent="0.35">
      <c r="A704" s="92"/>
      <c r="F704" s="726"/>
      <c r="G704" s="735"/>
      <c r="H704" s="93"/>
      <c r="I704" s="750"/>
      <c r="J704" s="750"/>
    </row>
    <row r="705" spans="1:10" x14ac:dyDescent="0.35">
      <c r="A705" s="92"/>
      <c r="F705" s="726"/>
      <c r="G705" s="735"/>
      <c r="H705" s="93"/>
      <c r="I705" s="750"/>
      <c r="J705" s="750"/>
    </row>
    <row r="706" spans="1:10" x14ac:dyDescent="0.35">
      <c r="A706" s="92"/>
      <c r="F706" s="726"/>
      <c r="G706" s="735"/>
      <c r="H706" s="93"/>
      <c r="I706" s="750"/>
      <c r="J706" s="750"/>
    </row>
    <row r="707" spans="1:10" x14ac:dyDescent="0.35">
      <c r="A707" s="92"/>
      <c r="F707" s="726"/>
      <c r="G707" s="735"/>
      <c r="H707" s="93"/>
      <c r="I707" s="750"/>
      <c r="J707" s="750"/>
    </row>
    <row r="708" spans="1:10" x14ac:dyDescent="0.35">
      <c r="A708" s="92"/>
      <c r="F708" s="726"/>
      <c r="G708" s="735"/>
      <c r="H708" s="93"/>
      <c r="I708" s="750"/>
      <c r="J708" s="750"/>
    </row>
    <row r="709" spans="1:10" x14ac:dyDescent="0.35">
      <c r="A709" s="92"/>
      <c r="F709" s="726"/>
      <c r="G709" s="735"/>
      <c r="H709" s="93"/>
      <c r="I709" s="750"/>
      <c r="J709" s="750"/>
    </row>
    <row r="710" spans="1:10" x14ac:dyDescent="0.35">
      <c r="A710" s="92"/>
      <c r="F710" s="726"/>
      <c r="G710" s="735"/>
      <c r="H710" s="93"/>
      <c r="I710" s="750"/>
      <c r="J710" s="750"/>
    </row>
    <row r="711" spans="1:10" x14ac:dyDescent="0.35">
      <c r="A711" s="92"/>
      <c r="F711" s="726"/>
      <c r="G711" s="735"/>
      <c r="H711" s="93"/>
      <c r="I711" s="750"/>
      <c r="J711" s="750"/>
    </row>
    <row r="712" spans="1:10" x14ac:dyDescent="0.35">
      <c r="A712" s="92"/>
      <c r="F712" s="726"/>
      <c r="G712" s="735"/>
      <c r="H712" s="93"/>
      <c r="I712" s="750"/>
      <c r="J712" s="750"/>
    </row>
    <row r="713" spans="1:10" x14ac:dyDescent="0.35">
      <c r="A713" s="92"/>
      <c r="F713" s="726"/>
      <c r="G713" s="735"/>
      <c r="H713" s="93"/>
      <c r="I713" s="750"/>
      <c r="J713" s="750"/>
    </row>
    <row r="714" spans="1:10" x14ac:dyDescent="0.35">
      <c r="A714" s="92"/>
      <c r="F714" s="726"/>
      <c r="G714" s="735"/>
      <c r="H714" s="93"/>
      <c r="I714" s="750"/>
      <c r="J714" s="750"/>
    </row>
    <row r="715" spans="1:10" x14ac:dyDescent="0.35">
      <c r="A715" s="92"/>
      <c r="F715" s="726"/>
      <c r="G715" s="735"/>
      <c r="H715" s="93"/>
      <c r="I715" s="750"/>
      <c r="J715" s="750"/>
    </row>
    <row r="716" spans="1:10" x14ac:dyDescent="0.35">
      <c r="A716" s="92"/>
      <c r="F716" s="726"/>
      <c r="G716" s="735"/>
      <c r="H716" s="93"/>
      <c r="I716" s="750"/>
      <c r="J716" s="750"/>
    </row>
    <row r="717" spans="1:10" x14ac:dyDescent="0.35">
      <c r="A717" s="92"/>
      <c r="F717" s="726"/>
      <c r="G717" s="735"/>
      <c r="H717" s="93"/>
      <c r="I717" s="750"/>
      <c r="J717" s="750"/>
    </row>
    <row r="718" spans="1:10" x14ac:dyDescent="0.35">
      <c r="A718" s="92"/>
      <c r="F718" s="726"/>
      <c r="G718" s="735"/>
      <c r="H718" s="93"/>
      <c r="I718" s="750"/>
      <c r="J718" s="750"/>
    </row>
    <row r="719" spans="1:10" x14ac:dyDescent="0.35">
      <c r="A719" s="92"/>
      <c r="F719" s="726"/>
      <c r="G719" s="735"/>
      <c r="H719" s="93"/>
      <c r="I719" s="750"/>
      <c r="J719" s="750"/>
    </row>
    <row r="720" spans="1:10" x14ac:dyDescent="0.35">
      <c r="A720" s="92"/>
      <c r="F720" s="726"/>
      <c r="G720" s="735"/>
      <c r="H720" s="93"/>
      <c r="I720" s="750"/>
      <c r="J720" s="750"/>
    </row>
    <row r="721" spans="1:10" x14ac:dyDescent="0.35">
      <c r="A721" s="92"/>
      <c r="F721" s="726"/>
      <c r="G721" s="735"/>
      <c r="H721" s="93"/>
      <c r="I721" s="750"/>
      <c r="J721" s="750"/>
    </row>
    <row r="722" spans="1:10" x14ac:dyDescent="0.35">
      <c r="A722" s="92"/>
      <c r="F722" s="726"/>
      <c r="G722" s="735"/>
      <c r="H722" s="93"/>
      <c r="I722" s="750"/>
      <c r="J722" s="750"/>
    </row>
    <row r="723" spans="1:10" x14ac:dyDescent="0.35">
      <c r="A723" s="92"/>
      <c r="F723" s="726"/>
      <c r="G723" s="735"/>
      <c r="H723" s="93"/>
      <c r="I723" s="750"/>
      <c r="J723" s="750"/>
    </row>
    <row r="724" spans="1:10" x14ac:dyDescent="0.35">
      <c r="A724" s="92"/>
      <c r="F724" s="726"/>
      <c r="G724" s="735"/>
      <c r="H724" s="93"/>
      <c r="I724" s="750"/>
      <c r="J724" s="750"/>
    </row>
    <row r="725" spans="1:10" x14ac:dyDescent="0.35">
      <c r="A725" s="92"/>
      <c r="F725" s="726"/>
      <c r="G725" s="735"/>
      <c r="H725" s="93"/>
      <c r="I725" s="750"/>
      <c r="J725" s="750"/>
    </row>
    <row r="726" spans="1:10" x14ac:dyDescent="0.35">
      <c r="A726" s="92"/>
      <c r="F726" s="726"/>
      <c r="G726" s="735"/>
      <c r="H726" s="93"/>
      <c r="I726" s="750"/>
      <c r="J726" s="750"/>
    </row>
    <row r="727" spans="1:10" x14ac:dyDescent="0.35">
      <c r="A727" s="92"/>
      <c r="F727" s="726"/>
      <c r="G727" s="735"/>
      <c r="H727" s="93"/>
      <c r="I727" s="750"/>
      <c r="J727" s="750"/>
    </row>
    <row r="728" spans="1:10" x14ac:dyDescent="0.35">
      <c r="A728" s="92"/>
      <c r="F728" s="726"/>
      <c r="G728" s="735"/>
      <c r="H728" s="93"/>
      <c r="I728" s="750"/>
      <c r="J728" s="750"/>
    </row>
    <row r="729" spans="1:10" x14ac:dyDescent="0.35">
      <c r="A729" s="92"/>
      <c r="F729" s="726"/>
      <c r="G729" s="735"/>
      <c r="H729" s="93"/>
      <c r="I729" s="750"/>
      <c r="J729" s="750"/>
    </row>
    <row r="730" spans="1:10" x14ac:dyDescent="0.35">
      <c r="A730" s="92"/>
      <c r="F730" s="726"/>
      <c r="G730" s="735"/>
      <c r="H730" s="93"/>
      <c r="I730" s="750"/>
      <c r="J730" s="750"/>
    </row>
    <row r="731" spans="1:10" x14ac:dyDescent="0.35">
      <c r="A731" s="92"/>
      <c r="F731" s="726"/>
      <c r="G731" s="735"/>
      <c r="H731" s="93"/>
      <c r="I731" s="750"/>
      <c r="J731" s="750"/>
    </row>
    <row r="732" spans="1:10" x14ac:dyDescent="0.35">
      <c r="A732" s="92"/>
      <c r="F732" s="726"/>
      <c r="G732" s="735"/>
      <c r="H732" s="93"/>
      <c r="I732" s="750"/>
      <c r="J732" s="750"/>
    </row>
    <row r="733" spans="1:10" x14ac:dyDescent="0.35">
      <c r="A733" s="92"/>
      <c r="F733" s="726"/>
      <c r="G733" s="735"/>
      <c r="H733" s="93"/>
      <c r="I733" s="750"/>
      <c r="J733" s="750"/>
    </row>
    <row r="734" spans="1:10" x14ac:dyDescent="0.35">
      <c r="A734" s="92"/>
      <c r="F734" s="726"/>
      <c r="G734" s="735"/>
      <c r="H734" s="93"/>
      <c r="I734" s="750"/>
      <c r="J734" s="750"/>
    </row>
    <row r="735" spans="1:10" x14ac:dyDescent="0.35">
      <c r="A735" s="92"/>
      <c r="F735" s="726"/>
      <c r="G735" s="735"/>
      <c r="H735" s="93"/>
      <c r="I735" s="750"/>
      <c r="J735" s="750"/>
    </row>
    <row r="736" spans="1:10" x14ac:dyDescent="0.35">
      <c r="A736" s="92"/>
      <c r="F736" s="726"/>
      <c r="G736" s="735"/>
      <c r="H736" s="93"/>
      <c r="I736" s="750"/>
      <c r="J736" s="750"/>
    </row>
    <row r="737" spans="1:10" x14ac:dyDescent="0.35">
      <c r="A737" s="92"/>
      <c r="F737" s="726"/>
      <c r="G737" s="735"/>
      <c r="H737" s="93"/>
      <c r="I737" s="750"/>
      <c r="J737" s="750"/>
    </row>
    <row r="738" spans="1:10" x14ac:dyDescent="0.35">
      <c r="A738" s="92"/>
      <c r="F738" s="726"/>
      <c r="G738" s="735"/>
      <c r="H738" s="93"/>
      <c r="I738" s="750"/>
      <c r="J738" s="750"/>
    </row>
    <row r="739" spans="1:10" x14ac:dyDescent="0.35">
      <c r="A739" s="92"/>
      <c r="F739" s="726"/>
      <c r="G739" s="735"/>
      <c r="H739" s="93"/>
      <c r="I739" s="750"/>
      <c r="J739" s="750"/>
    </row>
    <row r="740" spans="1:10" x14ac:dyDescent="0.35">
      <c r="A740" s="92"/>
      <c r="F740" s="726"/>
      <c r="G740" s="735"/>
      <c r="H740" s="93"/>
      <c r="I740" s="750"/>
      <c r="J740" s="750"/>
    </row>
    <row r="741" spans="1:10" x14ac:dyDescent="0.35">
      <c r="A741" s="92"/>
      <c r="F741" s="726"/>
      <c r="G741" s="735"/>
      <c r="H741" s="93"/>
      <c r="I741" s="750"/>
      <c r="J741" s="750"/>
    </row>
    <row r="742" spans="1:10" x14ac:dyDescent="0.35">
      <c r="A742" s="92"/>
      <c r="F742" s="726"/>
      <c r="G742" s="735"/>
      <c r="H742" s="93"/>
      <c r="I742" s="750"/>
      <c r="J742" s="750"/>
    </row>
    <row r="743" spans="1:10" x14ac:dyDescent="0.35">
      <c r="A743" s="92"/>
      <c r="F743" s="726"/>
      <c r="G743" s="735"/>
      <c r="H743" s="93"/>
      <c r="I743" s="750"/>
      <c r="J743" s="750"/>
    </row>
    <row r="744" spans="1:10" x14ac:dyDescent="0.35">
      <c r="A744" s="92"/>
      <c r="F744" s="726"/>
      <c r="G744" s="735"/>
      <c r="H744" s="93"/>
      <c r="I744" s="750"/>
      <c r="J744" s="750"/>
    </row>
    <row r="745" spans="1:10" x14ac:dyDescent="0.35">
      <c r="A745" s="92"/>
      <c r="F745" s="726"/>
      <c r="G745" s="735"/>
      <c r="H745" s="93"/>
      <c r="I745" s="750"/>
      <c r="J745" s="750"/>
    </row>
    <row r="746" spans="1:10" x14ac:dyDescent="0.35">
      <c r="A746" s="92"/>
      <c r="F746" s="726"/>
      <c r="G746" s="735"/>
      <c r="H746" s="93"/>
      <c r="I746" s="750"/>
      <c r="J746" s="750"/>
    </row>
    <row r="747" spans="1:10" x14ac:dyDescent="0.35">
      <c r="A747" s="92"/>
      <c r="F747" s="726"/>
      <c r="G747" s="735"/>
      <c r="H747" s="93"/>
      <c r="I747" s="750"/>
      <c r="J747" s="750"/>
    </row>
    <row r="748" spans="1:10" x14ac:dyDescent="0.35">
      <c r="A748" s="92"/>
      <c r="F748" s="726"/>
      <c r="G748" s="735"/>
      <c r="H748" s="93"/>
      <c r="I748" s="750"/>
      <c r="J748" s="750"/>
    </row>
    <row r="749" spans="1:10" x14ac:dyDescent="0.35">
      <c r="A749" s="92"/>
      <c r="F749" s="726"/>
      <c r="G749" s="735"/>
      <c r="H749" s="93"/>
      <c r="I749" s="750"/>
      <c r="J749" s="750"/>
    </row>
    <row r="750" spans="1:10" x14ac:dyDescent="0.35">
      <c r="A750" s="92"/>
      <c r="F750" s="726"/>
      <c r="G750" s="735"/>
      <c r="H750" s="93"/>
      <c r="I750" s="750"/>
      <c r="J750" s="750"/>
    </row>
    <row r="751" spans="1:10" x14ac:dyDescent="0.35">
      <c r="A751" s="92"/>
      <c r="F751" s="726"/>
      <c r="G751" s="735"/>
      <c r="H751" s="93"/>
      <c r="I751" s="750"/>
      <c r="J751" s="750"/>
    </row>
    <row r="752" spans="1:10" x14ac:dyDescent="0.35">
      <c r="A752" s="92"/>
      <c r="F752" s="726"/>
      <c r="G752" s="735"/>
      <c r="H752" s="93"/>
      <c r="I752" s="750"/>
      <c r="J752" s="750"/>
    </row>
    <row r="753" spans="1:10" x14ac:dyDescent="0.35">
      <c r="A753" s="92"/>
      <c r="F753" s="726"/>
      <c r="G753" s="735"/>
      <c r="H753" s="93"/>
      <c r="I753" s="750"/>
      <c r="J753" s="750"/>
    </row>
    <row r="754" spans="1:10" x14ac:dyDescent="0.35">
      <c r="A754" s="92"/>
      <c r="F754" s="726"/>
      <c r="G754" s="735"/>
      <c r="H754" s="93"/>
      <c r="I754" s="750"/>
      <c r="J754" s="750"/>
    </row>
    <row r="755" spans="1:10" x14ac:dyDescent="0.35">
      <c r="A755" s="92"/>
      <c r="F755" s="726"/>
      <c r="G755" s="735"/>
      <c r="H755" s="93"/>
      <c r="I755" s="750"/>
      <c r="J755" s="750"/>
    </row>
    <row r="756" spans="1:10" x14ac:dyDescent="0.35">
      <c r="A756" s="92"/>
      <c r="F756" s="726"/>
      <c r="G756" s="735"/>
      <c r="H756" s="93"/>
      <c r="I756" s="750"/>
      <c r="J756" s="750"/>
    </row>
    <row r="757" spans="1:10" x14ac:dyDescent="0.35">
      <c r="A757" s="92"/>
      <c r="F757" s="726"/>
      <c r="G757" s="735"/>
      <c r="H757" s="93"/>
      <c r="I757" s="750"/>
      <c r="J757" s="750"/>
    </row>
    <row r="758" spans="1:10" x14ac:dyDescent="0.35">
      <c r="A758" s="92"/>
      <c r="F758" s="726"/>
      <c r="G758" s="735"/>
      <c r="H758" s="93"/>
      <c r="I758" s="750"/>
      <c r="J758" s="750"/>
    </row>
    <row r="759" spans="1:10" x14ac:dyDescent="0.35">
      <c r="A759" s="92"/>
      <c r="F759" s="726"/>
      <c r="G759" s="735"/>
      <c r="H759" s="93"/>
      <c r="I759" s="750"/>
      <c r="J759" s="750"/>
    </row>
    <row r="760" spans="1:10" x14ac:dyDescent="0.35">
      <c r="A760" s="92"/>
      <c r="F760" s="726"/>
      <c r="G760" s="735"/>
      <c r="H760" s="93"/>
      <c r="I760" s="750"/>
      <c r="J760" s="750"/>
    </row>
    <row r="761" spans="1:10" x14ac:dyDescent="0.35">
      <c r="A761" s="92"/>
      <c r="F761" s="726"/>
      <c r="G761" s="735"/>
      <c r="H761" s="93"/>
      <c r="I761" s="750"/>
      <c r="J761" s="750"/>
    </row>
    <row r="762" spans="1:10" x14ac:dyDescent="0.35">
      <c r="A762" s="92"/>
      <c r="F762" s="726"/>
      <c r="G762" s="735"/>
      <c r="H762" s="93"/>
      <c r="I762" s="750"/>
      <c r="J762" s="750"/>
    </row>
    <row r="763" spans="1:10" x14ac:dyDescent="0.35">
      <c r="A763" s="92"/>
      <c r="F763" s="726"/>
      <c r="G763" s="735"/>
      <c r="H763" s="93"/>
      <c r="I763" s="750"/>
      <c r="J763" s="750"/>
    </row>
    <row r="764" spans="1:10" x14ac:dyDescent="0.35">
      <c r="A764" s="92"/>
      <c r="F764" s="726"/>
      <c r="G764" s="735"/>
      <c r="H764" s="93"/>
      <c r="I764" s="750"/>
      <c r="J764" s="750"/>
    </row>
    <row r="765" spans="1:10" x14ac:dyDescent="0.35">
      <c r="A765" s="92"/>
      <c r="F765" s="726"/>
      <c r="G765" s="735"/>
      <c r="H765" s="93"/>
      <c r="I765" s="750"/>
      <c r="J765" s="750"/>
    </row>
    <row r="766" spans="1:10" x14ac:dyDescent="0.35">
      <c r="A766" s="92"/>
      <c r="F766" s="726"/>
      <c r="G766" s="735"/>
      <c r="H766" s="93"/>
      <c r="I766" s="750"/>
      <c r="J766" s="750"/>
    </row>
    <row r="767" spans="1:10" x14ac:dyDescent="0.35">
      <c r="A767" s="92"/>
      <c r="F767" s="726"/>
      <c r="G767" s="735"/>
      <c r="H767" s="93"/>
      <c r="I767" s="750"/>
      <c r="J767" s="750"/>
    </row>
    <row r="768" spans="1:10" x14ac:dyDescent="0.35">
      <c r="A768" s="92"/>
      <c r="F768" s="726"/>
      <c r="G768" s="735"/>
      <c r="H768" s="93"/>
      <c r="I768" s="750"/>
      <c r="J768" s="750"/>
    </row>
    <row r="769" spans="1:10" x14ac:dyDescent="0.35">
      <c r="A769" s="92"/>
      <c r="F769" s="726"/>
      <c r="G769" s="735"/>
      <c r="H769" s="93"/>
      <c r="I769" s="750"/>
      <c r="J769" s="750"/>
    </row>
    <row r="770" spans="1:10" x14ac:dyDescent="0.35">
      <c r="A770" s="92"/>
      <c r="F770" s="726"/>
      <c r="G770" s="735"/>
      <c r="H770" s="93"/>
      <c r="I770" s="750"/>
      <c r="J770" s="750"/>
    </row>
    <row r="771" spans="1:10" x14ac:dyDescent="0.35">
      <c r="A771" s="92"/>
      <c r="F771" s="726"/>
      <c r="G771" s="735"/>
      <c r="H771" s="93"/>
      <c r="I771" s="750"/>
      <c r="J771" s="750"/>
    </row>
    <row r="772" spans="1:10" x14ac:dyDescent="0.35">
      <c r="A772" s="92"/>
      <c r="F772" s="726"/>
      <c r="G772" s="735"/>
      <c r="H772" s="93"/>
      <c r="I772" s="750"/>
      <c r="J772" s="750"/>
    </row>
    <row r="773" spans="1:10" x14ac:dyDescent="0.35">
      <c r="A773" s="92"/>
      <c r="F773" s="726"/>
      <c r="G773" s="735"/>
      <c r="H773" s="93"/>
      <c r="I773" s="750"/>
      <c r="J773" s="750"/>
    </row>
    <row r="774" spans="1:10" x14ac:dyDescent="0.35">
      <c r="A774" s="92"/>
      <c r="F774" s="726"/>
      <c r="G774" s="735"/>
      <c r="H774" s="93"/>
      <c r="I774" s="750"/>
      <c r="J774" s="750"/>
    </row>
    <row r="775" spans="1:10" x14ac:dyDescent="0.35">
      <c r="A775" s="92"/>
      <c r="F775" s="726"/>
      <c r="G775" s="735"/>
      <c r="H775" s="93"/>
      <c r="I775" s="750"/>
      <c r="J775" s="750"/>
    </row>
    <row r="776" spans="1:10" x14ac:dyDescent="0.35">
      <c r="A776" s="92"/>
      <c r="F776" s="726"/>
      <c r="G776" s="735"/>
      <c r="H776" s="93"/>
      <c r="I776" s="750"/>
      <c r="J776" s="750"/>
    </row>
    <row r="777" spans="1:10" x14ac:dyDescent="0.35">
      <c r="A777" s="92"/>
      <c r="F777" s="726"/>
      <c r="G777" s="735"/>
      <c r="H777" s="93"/>
      <c r="I777" s="750"/>
      <c r="J777" s="750"/>
    </row>
    <row r="778" spans="1:10" x14ac:dyDescent="0.35">
      <c r="A778" s="92"/>
      <c r="F778" s="726"/>
      <c r="G778" s="735"/>
      <c r="H778" s="93"/>
      <c r="I778" s="750"/>
      <c r="J778" s="750"/>
    </row>
    <row r="779" spans="1:10" x14ac:dyDescent="0.35">
      <c r="A779" s="92"/>
      <c r="F779" s="726"/>
      <c r="G779" s="735"/>
      <c r="H779" s="93"/>
      <c r="I779" s="750"/>
      <c r="J779" s="750"/>
    </row>
    <row r="780" spans="1:10" x14ac:dyDescent="0.35">
      <c r="A780" s="92"/>
      <c r="F780" s="726"/>
      <c r="G780" s="735"/>
      <c r="H780" s="93"/>
      <c r="I780" s="750"/>
      <c r="J780" s="750"/>
    </row>
    <row r="781" spans="1:10" x14ac:dyDescent="0.35">
      <c r="A781" s="92"/>
      <c r="F781" s="726"/>
      <c r="G781" s="735"/>
      <c r="H781" s="93"/>
      <c r="I781" s="750"/>
      <c r="J781" s="750"/>
    </row>
    <row r="782" spans="1:10" x14ac:dyDescent="0.35">
      <c r="A782" s="92"/>
      <c r="F782" s="726"/>
      <c r="G782" s="735"/>
      <c r="H782" s="93"/>
      <c r="I782" s="750"/>
      <c r="J782" s="750"/>
    </row>
    <row r="783" spans="1:10" x14ac:dyDescent="0.35">
      <c r="A783" s="92"/>
      <c r="F783" s="726"/>
      <c r="G783" s="735"/>
      <c r="H783" s="93"/>
      <c r="I783" s="750"/>
      <c r="J783" s="750"/>
    </row>
    <row r="784" spans="1:10" x14ac:dyDescent="0.35">
      <c r="A784" s="92"/>
      <c r="F784" s="726"/>
      <c r="G784" s="735"/>
      <c r="H784" s="93"/>
      <c r="I784" s="750"/>
      <c r="J784" s="750"/>
    </row>
    <row r="785" spans="1:10" x14ac:dyDescent="0.35">
      <c r="A785" s="92"/>
      <c r="F785" s="726"/>
      <c r="G785" s="735"/>
      <c r="H785" s="93"/>
      <c r="I785" s="750"/>
      <c r="J785" s="750"/>
    </row>
    <row r="786" spans="1:10" x14ac:dyDescent="0.35">
      <c r="A786" s="92"/>
      <c r="F786" s="726"/>
      <c r="G786" s="735"/>
      <c r="H786" s="93"/>
      <c r="I786" s="750"/>
      <c r="J786" s="750"/>
    </row>
    <row r="787" spans="1:10" x14ac:dyDescent="0.35">
      <c r="A787" s="92"/>
      <c r="F787" s="726"/>
      <c r="G787" s="735"/>
      <c r="H787" s="93"/>
      <c r="I787" s="750"/>
      <c r="J787" s="750"/>
    </row>
    <row r="788" spans="1:10" x14ac:dyDescent="0.35">
      <c r="A788" s="92"/>
      <c r="F788" s="726"/>
      <c r="G788" s="735"/>
      <c r="H788" s="93"/>
      <c r="I788" s="750"/>
      <c r="J788" s="750"/>
    </row>
    <row r="789" spans="1:10" x14ac:dyDescent="0.35">
      <c r="A789" s="92"/>
      <c r="F789" s="726"/>
      <c r="G789" s="735"/>
      <c r="H789" s="93"/>
      <c r="I789" s="750"/>
      <c r="J789" s="750"/>
    </row>
    <row r="790" spans="1:10" x14ac:dyDescent="0.35">
      <c r="A790" s="92"/>
      <c r="F790" s="726"/>
      <c r="G790" s="735"/>
      <c r="H790" s="93"/>
      <c r="I790" s="750"/>
      <c r="J790" s="750"/>
    </row>
    <row r="791" spans="1:10" x14ac:dyDescent="0.35">
      <c r="A791" s="92"/>
      <c r="F791" s="726"/>
      <c r="G791" s="735"/>
      <c r="H791" s="93"/>
      <c r="I791" s="750"/>
      <c r="J791" s="750"/>
    </row>
    <row r="792" spans="1:10" x14ac:dyDescent="0.35">
      <c r="A792" s="92"/>
      <c r="F792" s="726"/>
      <c r="G792" s="735"/>
      <c r="H792" s="93"/>
      <c r="I792" s="750"/>
      <c r="J792" s="750"/>
    </row>
    <row r="793" spans="1:10" x14ac:dyDescent="0.35">
      <c r="A793" s="92"/>
      <c r="F793" s="726"/>
      <c r="G793" s="735"/>
      <c r="H793" s="93"/>
      <c r="I793" s="750"/>
      <c r="J793" s="750"/>
    </row>
    <row r="794" spans="1:10" x14ac:dyDescent="0.35">
      <c r="A794" s="92"/>
      <c r="F794" s="726"/>
      <c r="G794" s="735"/>
      <c r="H794" s="93"/>
      <c r="I794" s="750"/>
      <c r="J794" s="750"/>
    </row>
    <row r="795" spans="1:10" x14ac:dyDescent="0.35">
      <c r="A795" s="92"/>
      <c r="F795" s="726"/>
      <c r="G795" s="735"/>
      <c r="H795" s="93"/>
      <c r="I795" s="750"/>
      <c r="J795" s="750"/>
    </row>
    <row r="796" spans="1:10" x14ac:dyDescent="0.35">
      <c r="A796" s="92"/>
      <c r="F796" s="726"/>
      <c r="G796" s="735"/>
      <c r="H796" s="93"/>
      <c r="I796" s="750"/>
      <c r="J796" s="750"/>
    </row>
    <row r="797" spans="1:10" x14ac:dyDescent="0.35">
      <c r="A797" s="92"/>
      <c r="F797" s="726"/>
      <c r="G797" s="735"/>
      <c r="H797" s="93"/>
      <c r="I797" s="750"/>
      <c r="J797" s="750"/>
    </row>
    <row r="798" spans="1:10" x14ac:dyDescent="0.35">
      <c r="A798" s="92"/>
      <c r="F798" s="726"/>
      <c r="G798" s="735"/>
      <c r="H798" s="93"/>
      <c r="I798" s="750"/>
      <c r="J798" s="750"/>
    </row>
    <row r="799" spans="1:10" x14ac:dyDescent="0.35">
      <c r="A799" s="92"/>
      <c r="F799" s="726"/>
      <c r="G799" s="735"/>
      <c r="H799" s="93"/>
      <c r="I799" s="750"/>
      <c r="J799" s="750"/>
    </row>
    <row r="800" spans="1:10" x14ac:dyDescent="0.35">
      <c r="A800" s="92"/>
      <c r="F800" s="726"/>
      <c r="G800" s="735"/>
      <c r="H800" s="93"/>
      <c r="I800" s="750"/>
      <c r="J800" s="750"/>
    </row>
    <row r="801" spans="1:10" x14ac:dyDescent="0.35">
      <c r="A801" s="92"/>
      <c r="F801" s="726"/>
      <c r="G801" s="735"/>
      <c r="H801" s="93"/>
      <c r="I801" s="750"/>
      <c r="J801" s="750"/>
    </row>
    <row r="802" spans="1:10" x14ac:dyDescent="0.35">
      <c r="A802" s="92"/>
      <c r="F802" s="726"/>
      <c r="G802" s="735"/>
      <c r="H802" s="93"/>
      <c r="I802" s="750"/>
      <c r="J802" s="750"/>
    </row>
    <row r="803" spans="1:10" x14ac:dyDescent="0.35">
      <c r="A803" s="92"/>
      <c r="F803" s="726"/>
      <c r="G803" s="735"/>
      <c r="H803" s="93"/>
      <c r="I803" s="750"/>
      <c r="J803" s="750"/>
    </row>
    <row r="804" spans="1:10" x14ac:dyDescent="0.35">
      <c r="A804" s="92"/>
      <c r="F804" s="726"/>
      <c r="G804" s="735"/>
      <c r="H804" s="93"/>
      <c r="I804" s="750"/>
      <c r="J804" s="750"/>
    </row>
    <row r="805" spans="1:10" x14ac:dyDescent="0.35">
      <c r="A805" s="92"/>
      <c r="F805" s="726"/>
      <c r="G805" s="735"/>
      <c r="H805" s="93"/>
      <c r="I805" s="750"/>
      <c r="J805" s="750"/>
    </row>
    <row r="806" spans="1:10" x14ac:dyDescent="0.35">
      <c r="A806" s="92"/>
      <c r="F806" s="726"/>
      <c r="G806" s="735"/>
      <c r="H806" s="93"/>
      <c r="I806" s="750"/>
      <c r="J806" s="750"/>
    </row>
    <row r="807" spans="1:10" x14ac:dyDescent="0.35">
      <c r="A807" s="92"/>
      <c r="F807" s="726"/>
      <c r="G807" s="735"/>
      <c r="H807" s="93"/>
      <c r="I807" s="750"/>
      <c r="J807" s="750"/>
    </row>
    <row r="808" spans="1:10" x14ac:dyDescent="0.35">
      <c r="A808" s="92"/>
      <c r="F808" s="726"/>
      <c r="G808" s="735"/>
      <c r="H808" s="93"/>
      <c r="I808" s="750"/>
      <c r="J808" s="750"/>
    </row>
    <row r="809" spans="1:10" x14ac:dyDescent="0.35">
      <c r="A809" s="92"/>
      <c r="F809" s="726"/>
      <c r="G809" s="735"/>
      <c r="H809" s="93"/>
      <c r="I809" s="750"/>
      <c r="J809" s="750"/>
    </row>
    <row r="810" spans="1:10" x14ac:dyDescent="0.35">
      <c r="A810" s="92"/>
      <c r="F810" s="726"/>
      <c r="G810" s="735"/>
      <c r="H810" s="93"/>
      <c r="I810" s="750"/>
      <c r="J810" s="750"/>
    </row>
    <row r="811" spans="1:10" x14ac:dyDescent="0.35">
      <c r="A811" s="92"/>
      <c r="F811" s="726"/>
      <c r="G811" s="735"/>
      <c r="H811" s="93"/>
      <c r="I811" s="750"/>
      <c r="J811" s="750"/>
    </row>
    <row r="812" spans="1:10" x14ac:dyDescent="0.35">
      <c r="A812" s="92"/>
      <c r="F812" s="726"/>
      <c r="G812" s="735"/>
      <c r="H812" s="93"/>
      <c r="I812" s="750"/>
      <c r="J812" s="750"/>
    </row>
    <row r="813" spans="1:10" x14ac:dyDescent="0.35">
      <c r="A813" s="92"/>
      <c r="F813" s="726"/>
      <c r="G813" s="735"/>
      <c r="H813" s="93"/>
      <c r="I813" s="750"/>
      <c r="J813" s="750"/>
    </row>
    <row r="814" spans="1:10" x14ac:dyDescent="0.35">
      <c r="A814" s="92"/>
      <c r="F814" s="726"/>
      <c r="G814" s="735"/>
      <c r="H814" s="93"/>
      <c r="I814" s="750"/>
      <c r="J814" s="750"/>
    </row>
    <row r="815" spans="1:10" x14ac:dyDescent="0.35">
      <c r="A815" s="92"/>
      <c r="F815" s="726"/>
      <c r="G815" s="735"/>
      <c r="H815" s="93"/>
      <c r="I815" s="750"/>
      <c r="J815" s="750"/>
    </row>
    <row r="816" spans="1:10" x14ac:dyDescent="0.35">
      <c r="A816" s="92"/>
      <c r="F816" s="726"/>
      <c r="G816" s="735"/>
      <c r="H816" s="93"/>
      <c r="I816" s="750"/>
      <c r="J816" s="750"/>
    </row>
    <row r="817" spans="1:10" x14ac:dyDescent="0.35">
      <c r="A817" s="92"/>
      <c r="F817" s="726"/>
      <c r="G817" s="735"/>
      <c r="H817" s="93"/>
      <c r="I817" s="750"/>
      <c r="J817" s="750"/>
    </row>
    <row r="818" spans="1:10" x14ac:dyDescent="0.35">
      <c r="A818" s="92"/>
      <c r="F818" s="726"/>
      <c r="G818" s="735"/>
      <c r="H818" s="93"/>
      <c r="I818" s="750"/>
      <c r="J818" s="750"/>
    </row>
    <row r="819" spans="1:10" x14ac:dyDescent="0.35">
      <c r="A819" s="92"/>
      <c r="F819" s="726"/>
      <c r="G819" s="735"/>
      <c r="H819" s="93"/>
      <c r="I819" s="750"/>
      <c r="J819" s="750"/>
    </row>
    <row r="820" spans="1:10" x14ac:dyDescent="0.35">
      <c r="A820" s="92"/>
      <c r="F820" s="726"/>
      <c r="G820" s="735"/>
      <c r="H820" s="93"/>
      <c r="I820" s="750"/>
      <c r="J820" s="750"/>
    </row>
    <row r="821" spans="1:10" x14ac:dyDescent="0.35">
      <c r="A821" s="92"/>
      <c r="F821" s="726"/>
      <c r="G821" s="735"/>
      <c r="H821" s="93"/>
      <c r="I821" s="750"/>
      <c r="J821" s="750"/>
    </row>
    <row r="822" spans="1:10" x14ac:dyDescent="0.35">
      <c r="A822" s="92"/>
      <c r="F822" s="726"/>
      <c r="G822" s="735"/>
      <c r="H822" s="93"/>
      <c r="I822" s="750"/>
      <c r="J822" s="750"/>
    </row>
    <row r="823" spans="1:10" x14ac:dyDescent="0.35">
      <c r="A823" s="92"/>
      <c r="F823" s="726"/>
      <c r="G823" s="735"/>
      <c r="H823" s="93"/>
      <c r="I823" s="750"/>
      <c r="J823" s="750"/>
    </row>
    <row r="824" spans="1:10" x14ac:dyDescent="0.35">
      <c r="A824" s="92"/>
      <c r="F824" s="726"/>
      <c r="G824" s="735"/>
      <c r="H824" s="93"/>
      <c r="I824" s="750"/>
      <c r="J824" s="750"/>
    </row>
    <row r="825" spans="1:10" x14ac:dyDescent="0.35">
      <c r="A825" s="92"/>
      <c r="F825" s="726"/>
      <c r="G825" s="735"/>
      <c r="H825" s="93"/>
      <c r="I825" s="750"/>
      <c r="J825" s="750"/>
    </row>
    <row r="826" spans="1:10" x14ac:dyDescent="0.35">
      <c r="A826" s="92"/>
      <c r="F826" s="726"/>
      <c r="G826" s="735"/>
      <c r="H826" s="93"/>
      <c r="I826" s="750"/>
      <c r="J826" s="750"/>
    </row>
    <row r="827" spans="1:10" x14ac:dyDescent="0.35">
      <c r="A827" s="92"/>
      <c r="F827" s="726"/>
      <c r="G827" s="735"/>
      <c r="H827" s="93"/>
      <c r="I827" s="750"/>
      <c r="J827" s="750"/>
    </row>
    <row r="828" spans="1:10" x14ac:dyDescent="0.35">
      <c r="A828" s="92"/>
      <c r="F828" s="726"/>
      <c r="G828" s="735"/>
      <c r="H828" s="93"/>
      <c r="I828" s="750"/>
      <c r="J828" s="750"/>
    </row>
    <row r="829" spans="1:10" x14ac:dyDescent="0.35">
      <c r="A829" s="92"/>
      <c r="F829" s="726"/>
      <c r="G829" s="735"/>
      <c r="H829" s="93"/>
      <c r="I829" s="750"/>
      <c r="J829" s="750"/>
    </row>
    <row r="830" spans="1:10" x14ac:dyDescent="0.35">
      <c r="A830" s="92"/>
      <c r="F830" s="726"/>
      <c r="G830" s="735"/>
      <c r="H830" s="93"/>
      <c r="I830" s="750"/>
      <c r="J830" s="750"/>
    </row>
    <row r="831" spans="1:10" x14ac:dyDescent="0.35">
      <c r="A831" s="92"/>
      <c r="F831" s="726"/>
      <c r="G831" s="735"/>
      <c r="H831" s="93"/>
      <c r="I831" s="750"/>
      <c r="J831" s="750"/>
    </row>
    <row r="832" spans="1:10" x14ac:dyDescent="0.35">
      <c r="A832" s="92"/>
      <c r="F832" s="726"/>
      <c r="G832" s="735"/>
      <c r="H832" s="93"/>
      <c r="I832" s="750"/>
      <c r="J832" s="750"/>
    </row>
    <row r="833" spans="1:10" x14ac:dyDescent="0.35">
      <c r="A833" s="92"/>
      <c r="F833" s="726"/>
      <c r="G833" s="735"/>
      <c r="H833" s="93"/>
      <c r="I833" s="750"/>
      <c r="J833" s="750"/>
    </row>
    <row r="834" spans="1:10" x14ac:dyDescent="0.35">
      <c r="A834" s="92"/>
      <c r="F834" s="726"/>
      <c r="G834" s="735"/>
      <c r="H834" s="93"/>
      <c r="I834" s="750"/>
      <c r="J834" s="750"/>
    </row>
    <row r="835" spans="1:10" x14ac:dyDescent="0.35">
      <c r="A835" s="92"/>
      <c r="F835" s="726"/>
      <c r="G835" s="735"/>
      <c r="H835" s="93"/>
      <c r="I835" s="750"/>
      <c r="J835" s="750"/>
    </row>
    <row r="836" spans="1:10" x14ac:dyDescent="0.35">
      <c r="A836" s="92"/>
      <c r="F836" s="726"/>
      <c r="G836" s="735"/>
      <c r="H836" s="93"/>
      <c r="I836" s="750"/>
      <c r="J836" s="750"/>
    </row>
    <row r="837" spans="1:10" x14ac:dyDescent="0.35">
      <c r="A837" s="92"/>
      <c r="F837" s="726"/>
      <c r="G837" s="735"/>
      <c r="H837" s="93"/>
      <c r="I837" s="750"/>
      <c r="J837" s="750"/>
    </row>
    <row r="838" spans="1:10" x14ac:dyDescent="0.35">
      <c r="A838" s="92"/>
      <c r="F838" s="726"/>
      <c r="G838" s="735"/>
      <c r="H838" s="93"/>
      <c r="I838" s="750"/>
      <c r="J838" s="750"/>
    </row>
    <row r="839" spans="1:10" x14ac:dyDescent="0.35">
      <c r="A839" s="92"/>
      <c r="F839" s="726"/>
      <c r="G839" s="735"/>
      <c r="H839" s="93"/>
      <c r="I839" s="750"/>
      <c r="J839" s="750"/>
    </row>
    <row r="840" spans="1:10" x14ac:dyDescent="0.35">
      <c r="A840" s="92"/>
      <c r="F840" s="726"/>
      <c r="G840" s="735"/>
      <c r="H840" s="93"/>
      <c r="I840" s="750"/>
      <c r="J840" s="750"/>
    </row>
    <row r="841" spans="1:10" x14ac:dyDescent="0.35">
      <c r="A841" s="92"/>
      <c r="F841" s="726"/>
      <c r="G841" s="735"/>
      <c r="H841" s="93"/>
      <c r="I841" s="750"/>
      <c r="J841" s="750"/>
    </row>
    <row r="842" spans="1:10" x14ac:dyDescent="0.35">
      <c r="A842" s="92"/>
      <c r="F842" s="726"/>
      <c r="G842" s="735"/>
      <c r="H842" s="93"/>
      <c r="I842" s="750"/>
      <c r="J842" s="750"/>
    </row>
    <row r="843" spans="1:10" x14ac:dyDescent="0.35">
      <c r="A843" s="92"/>
      <c r="F843" s="726"/>
      <c r="G843" s="735"/>
      <c r="H843" s="93"/>
      <c r="I843" s="750"/>
      <c r="J843" s="750"/>
    </row>
    <row r="844" spans="1:10" x14ac:dyDescent="0.35">
      <c r="A844" s="92"/>
      <c r="F844" s="726"/>
      <c r="G844" s="735"/>
      <c r="H844" s="93"/>
      <c r="I844" s="750"/>
      <c r="J844" s="750"/>
    </row>
    <row r="845" spans="1:10" x14ac:dyDescent="0.35">
      <c r="A845" s="92"/>
      <c r="F845" s="726"/>
      <c r="G845" s="735"/>
      <c r="H845" s="93"/>
      <c r="I845" s="750"/>
      <c r="J845" s="750"/>
    </row>
    <row r="846" spans="1:10" x14ac:dyDescent="0.35">
      <c r="A846" s="92"/>
      <c r="F846" s="726"/>
      <c r="G846" s="735"/>
      <c r="H846" s="93"/>
      <c r="I846" s="750"/>
      <c r="J846" s="750"/>
    </row>
    <row r="847" spans="1:10" x14ac:dyDescent="0.35">
      <c r="A847" s="92"/>
      <c r="F847" s="726"/>
      <c r="G847" s="735"/>
      <c r="H847" s="93"/>
      <c r="I847" s="750"/>
      <c r="J847" s="750"/>
    </row>
    <row r="848" spans="1:10" x14ac:dyDescent="0.35">
      <c r="A848" s="92"/>
      <c r="F848" s="726"/>
      <c r="G848" s="735"/>
      <c r="H848" s="93"/>
      <c r="I848" s="750"/>
      <c r="J848" s="750"/>
    </row>
    <row r="849" spans="1:10" x14ac:dyDescent="0.35">
      <c r="A849" s="92"/>
      <c r="F849" s="726"/>
      <c r="G849" s="735"/>
      <c r="H849" s="93"/>
      <c r="I849" s="750"/>
      <c r="J849" s="750"/>
    </row>
    <row r="850" spans="1:10" x14ac:dyDescent="0.35">
      <c r="A850" s="92"/>
      <c r="F850" s="726"/>
      <c r="G850" s="735"/>
      <c r="H850" s="93"/>
      <c r="I850" s="750"/>
      <c r="J850" s="750"/>
    </row>
    <row r="851" spans="1:10" x14ac:dyDescent="0.35">
      <c r="A851" s="92"/>
      <c r="F851" s="726"/>
      <c r="G851" s="735"/>
      <c r="H851" s="93"/>
      <c r="I851" s="750"/>
      <c r="J851" s="750"/>
    </row>
    <row r="852" spans="1:10" x14ac:dyDescent="0.35">
      <c r="A852" s="92"/>
      <c r="F852" s="726"/>
      <c r="G852" s="735"/>
      <c r="H852" s="93"/>
      <c r="I852" s="750"/>
      <c r="J852" s="750"/>
    </row>
    <row r="853" spans="1:10" x14ac:dyDescent="0.35">
      <c r="A853" s="92"/>
      <c r="F853" s="726"/>
      <c r="G853" s="735"/>
      <c r="H853" s="93"/>
      <c r="I853" s="750"/>
      <c r="J853" s="750"/>
    </row>
    <row r="854" spans="1:10" x14ac:dyDescent="0.35">
      <c r="A854" s="92"/>
      <c r="F854" s="726"/>
      <c r="G854" s="735"/>
      <c r="H854" s="93"/>
      <c r="I854" s="750"/>
      <c r="J854" s="750"/>
    </row>
    <row r="855" spans="1:10" x14ac:dyDescent="0.35">
      <c r="A855" s="92"/>
      <c r="F855" s="726"/>
      <c r="G855" s="735"/>
      <c r="H855" s="93"/>
      <c r="I855" s="750"/>
      <c r="J855" s="750"/>
    </row>
    <row r="856" spans="1:10" x14ac:dyDescent="0.35">
      <c r="A856" s="92"/>
      <c r="F856" s="726"/>
      <c r="G856" s="735"/>
      <c r="H856" s="93"/>
      <c r="I856" s="750"/>
      <c r="J856" s="750"/>
    </row>
    <row r="857" spans="1:10" x14ac:dyDescent="0.35">
      <c r="A857" s="92"/>
      <c r="F857" s="726"/>
      <c r="G857" s="735"/>
      <c r="H857" s="93"/>
      <c r="I857" s="750"/>
      <c r="J857" s="750"/>
    </row>
    <row r="858" spans="1:10" x14ac:dyDescent="0.35">
      <c r="A858" s="92"/>
      <c r="F858" s="726"/>
      <c r="G858" s="735"/>
      <c r="H858" s="93"/>
      <c r="I858" s="750"/>
      <c r="J858" s="750"/>
    </row>
    <row r="859" spans="1:10" x14ac:dyDescent="0.35">
      <c r="A859" s="92"/>
      <c r="F859" s="726"/>
      <c r="G859" s="735"/>
      <c r="H859" s="93"/>
      <c r="I859" s="750"/>
      <c r="J859" s="750"/>
    </row>
    <row r="860" spans="1:10" x14ac:dyDescent="0.35">
      <c r="A860" s="92"/>
      <c r="F860" s="726"/>
      <c r="G860" s="735"/>
      <c r="H860" s="93"/>
      <c r="I860" s="750"/>
      <c r="J860" s="750"/>
    </row>
    <row r="861" spans="1:10" x14ac:dyDescent="0.35">
      <c r="A861" s="92"/>
      <c r="F861" s="726"/>
      <c r="G861" s="735"/>
      <c r="H861" s="93"/>
      <c r="I861" s="750"/>
      <c r="J861" s="750"/>
    </row>
    <row r="862" spans="1:10" x14ac:dyDescent="0.35">
      <c r="A862" s="92"/>
      <c r="F862" s="726"/>
      <c r="G862" s="735"/>
      <c r="H862" s="93"/>
      <c r="I862" s="750"/>
      <c r="J862" s="750"/>
    </row>
    <row r="863" spans="1:10" x14ac:dyDescent="0.35">
      <c r="A863" s="92"/>
      <c r="F863" s="726"/>
      <c r="G863" s="735"/>
      <c r="H863" s="93"/>
      <c r="I863" s="750"/>
      <c r="J863" s="750"/>
    </row>
    <row r="864" spans="1:10" x14ac:dyDescent="0.35">
      <c r="A864" s="92"/>
      <c r="F864" s="726"/>
      <c r="G864" s="735"/>
      <c r="H864" s="93"/>
      <c r="I864" s="750"/>
      <c r="J864" s="750"/>
    </row>
    <row r="865" spans="1:10" x14ac:dyDescent="0.35">
      <c r="A865" s="92"/>
      <c r="F865" s="726"/>
      <c r="G865" s="735"/>
      <c r="H865" s="93"/>
      <c r="I865" s="750"/>
      <c r="J865" s="750"/>
    </row>
    <row r="866" spans="1:10" x14ac:dyDescent="0.35">
      <c r="A866" s="92"/>
      <c r="F866" s="726"/>
      <c r="G866" s="735"/>
      <c r="H866" s="93"/>
      <c r="I866" s="750"/>
      <c r="J866" s="750"/>
    </row>
    <row r="867" spans="1:10" x14ac:dyDescent="0.35">
      <c r="A867" s="92"/>
      <c r="F867" s="726"/>
      <c r="G867" s="735"/>
      <c r="H867" s="93"/>
      <c r="I867" s="750"/>
      <c r="J867" s="750"/>
    </row>
    <row r="868" spans="1:10" x14ac:dyDescent="0.35">
      <c r="A868" s="92"/>
      <c r="F868" s="726"/>
      <c r="G868" s="735"/>
      <c r="H868" s="93"/>
      <c r="I868" s="750"/>
      <c r="J868" s="750"/>
    </row>
    <row r="869" spans="1:10" x14ac:dyDescent="0.35">
      <c r="A869" s="92"/>
      <c r="F869" s="726"/>
      <c r="G869" s="735"/>
      <c r="H869" s="93"/>
      <c r="I869" s="750"/>
      <c r="J869" s="750"/>
    </row>
    <row r="870" spans="1:10" x14ac:dyDescent="0.35">
      <c r="A870" s="92"/>
      <c r="F870" s="726"/>
      <c r="G870" s="735"/>
      <c r="H870" s="93"/>
      <c r="I870" s="750"/>
      <c r="J870" s="750"/>
    </row>
    <row r="871" spans="1:10" x14ac:dyDescent="0.35">
      <c r="A871" s="92"/>
      <c r="F871" s="726"/>
      <c r="G871" s="735"/>
      <c r="H871" s="93"/>
      <c r="I871" s="750"/>
      <c r="J871" s="750"/>
    </row>
    <row r="872" spans="1:10" x14ac:dyDescent="0.35">
      <c r="A872" s="92"/>
      <c r="F872" s="726"/>
      <c r="G872" s="735"/>
      <c r="H872" s="93"/>
      <c r="I872" s="750"/>
      <c r="J872" s="750"/>
    </row>
    <row r="873" spans="1:10" x14ac:dyDescent="0.35">
      <c r="A873" s="92"/>
      <c r="F873" s="726"/>
      <c r="G873" s="735"/>
      <c r="H873" s="93"/>
      <c r="I873" s="750"/>
      <c r="J873" s="750"/>
    </row>
    <row r="874" spans="1:10" x14ac:dyDescent="0.35">
      <c r="A874" s="92"/>
      <c r="F874" s="726"/>
      <c r="G874" s="735"/>
      <c r="H874" s="93"/>
      <c r="I874" s="750"/>
      <c r="J874" s="750"/>
    </row>
    <row r="875" spans="1:10" x14ac:dyDescent="0.35">
      <c r="A875" s="92"/>
      <c r="F875" s="726"/>
      <c r="G875" s="735"/>
      <c r="H875" s="93"/>
      <c r="I875" s="750"/>
      <c r="J875" s="750"/>
    </row>
    <row r="876" spans="1:10" x14ac:dyDescent="0.35">
      <c r="A876" s="92"/>
      <c r="F876" s="726"/>
      <c r="G876" s="735"/>
      <c r="H876" s="93"/>
      <c r="I876" s="750"/>
      <c r="J876" s="750"/>
    </row>
    <row r="877" spans="1:10" x14ac:dyDescent="0.35">
      <c r="A877" s="92"/>
      <c r="F877" s="726"/>
      <c r="G877" s="735"/>
      <c r="H877" s="93"/>
      <c r="I877" s="750"/>
      <c r="J877" s="750"/>
    </row>
    <row r="878" spans="1:10" x14ac:dyDescent="0.35">
      <c r="A878" s="92"/>
      <c r="F878" s="726"/>
      <c r="G878" s="735"/>
      <c r="H878" s="93"/>
      <c r="I878" s="750"/>
      <c r="J878" s="750"/>
    </row>
    <row r="879" spans="1:10" x14ac:dyDescent="0.35">
      <c r="A879" s="92"/>
      <c r="F879" s="726"/>
      <c r="G879" s="735"/>
      <c r="H879" s="93"/>
      <c r="I879" s="750"/>
      <c r="J879" s="750"/>
    </row>
    <row r="880" spans="1:10" x14ac:dyDescent="0.35">
      <c r="A880" s="92"/>
      <c r="F880" s="726"/>
      <c r="G880" s="735"/>
      <c r="H880" s="93"/>
      <c r="I880" s="750"/>
      <c r="J880" s="750"/>
    </row>
    <row r="881" spans="1:10" x14ac:dyDescent="0.35">
      <c r="A881" s="92"/>
      <c r="F881" s="726"/>
      <c r="G881" s="735"/>
      <c r="H881" s="93"/>
      <c r="I881" s="750"/>
      <c r="J881" s="750"/>
    </row>
    <row r="882" spans="1:10" x14ac:dyDescent="0.35">
      <c r="A882" s="92"/>
      <c r="F882" s="726"/>
      <c r="G882" s="735"/>
      <c r="H882" s="93"/>
      <c r="I882" s="750"/>
      <c r="J882" s="750"/>
    </row>
    <row r="883" spans="1:10" x14ac:dyDescent="0.35">
      <c r="A883" s="92"/>
      <c r="F883" s="726"/>
      <c r="G883" s="735"/>
      <c r="H883" s="93"/>
      <c r="I883" s="750"/>
      <c r="J883" s="750"/>
    </row>
    <row r="884" spans="1:10" x14ac:dyDescent="0.35">
      <c r="A884" s="92"/>
      <c r="F884" s="726"/>
      <c r="G884" s="735"/>
      <c r="H884" s="93"/>
      <c r="I884" s="750"/>
      <c r="J884" s="750"/>
    </row>
    <row r="885" spans="1:10" x14ac:dyDescent="0.35">
      <c r="A885" s="92"/>
      <c r="F885" s="726"/>
      <c r="G885" s="735"/>
      <c r="H885" s="93"/>
      <c r="I885" s="750"/>
      <c r="J885" s="750"/>
    </row>
    <row r="886" spans="1:10" x14ac:dyDescent="0.35">
      <c r="A886" s="92"/>
      <c r="F886" s="726"/>
      <c r="G886" s="735"/>
      <c r="H886" s="93"/>
      <c r="I886" s="750"/>
      <c r="J886" s="750"/>
    </row>
    <row r="887" spans="1:10" x14ac:dyDescent="0.35">
      <c r="A887" s="92"/>
      <c r="F887" s="726"/>
      <c r="G887" s="735"/>
      <c r="H887" s="93"/>
      <c r="I887" s="750"/>
      <c r="J887" s="750"/>
    </row>
    <row r="888" spans="1:10" x14ac:dyDescent="0.35">
      <c r="A888" s="92"/>
      <c r="F888" s="726"/>
      <c r="G888" s="735"/>
      <c r="H888" s="93"/>
      <c r="I888" s="750"/>
      <c r="J888" s="750"/>
    </row>
    <row r="889" spans="1:10" x14ac:dyDescent="0.35">
      <c r="A889" s="92"/>
      <c r="F889" s="726"/>
      <c r="G889" s="735"/>
      <c r="H889" s="93"/>
      <c r="I889" s="750"/>
      <c r="J889" s="750"/>
    </row>
    <row r="890" spans="1:10" x14ac:dyDescent="0.35">
      <c r="A890" s="92"/>
      <c r="F890" s="726"/>
      <c r="G890" s="735"/>
      <c r="H890" s="93"/>
      <c r="I890" s="750"/>
      <c r="J890" s="750"/>
    </row>
    <row r="891" spans="1:10" x14ac:dyDescent="0.35">
      <c r="A891" s="92"/>
      <c r="F891" s="726"/>
      <c r="G891" s="735"/>
      <c r="H891" s="93"/>
      <c r="I891" s="750"/>
      <c r="J891" s="750"/>
    </row>
    <row r="892" spans="1:10" x14ac:dyDescent="0.35">
      <c r="A892" s="92"/>
      <c r="F892" s="726"/>
      <c r="G892" s="735"/>
      <c r="H892" s="93"/>
      <c r="I892" s="750"/>
      <c r="J892" s="750"/>
    </row>
    <row r="893" spans="1:10" x14ac:dyDescent="0.35">
      <c r="A893" s="92"/>
      <c r="F893" s="726"/>
      <c r="G893" s="735"/>
      <c r="H893" s="93"/>
      <c r="I893" s="750"/>
      <c r="J893" s="750"/>
    </row>
    <row r="894" spans="1:10" x14ac:dyDescent="0.35">
      <c r="A894" s="92"/>
      <c r="F894" s="726"/>
      <c r="G894" s="735"/>
      <c r="H894" s="93"/>
      <c r="I894" s="750"/>
      <c r="J894" s="750"/>
    </row>
    <row r="895" spans="1:10" x14ac:dyDescent="0.35">
      <c r="A895" s="92"/>
      <c r="F895" s="726"/>
      <c r="G895" s="735"/>
      <c r="H895" s="93"/>
      <c r="I895" s="750"/>
      <c r="J895" s="750"/>
    </row>
    <row r="896" spans="1:10" x14ac:dyDescent="0.35">
      <c r="A896" s="92"/>
      <c r="F896" s="726"/>
      <c r="G896" s="735"/>
      <c r="H896" s="93"/>
      <c r="I896" s="750"/>
      <c r="J896" s="750"/>
    </row>
    <row r="897" spans="1:10" x14ac:dyDescent="0.35">
      <c r="A897" s="92"/>
      <c r="F897" s="726"/>
      <c r="G897" s="735"/>
      <c r="H897" s="93"/>
      <c r="I897" s="750"/>
      <c r="J897" s="750"/>
    </row>
    <row r="898" spans="1:10" x14ac:dyDescent="0.35">
      <c r="A898" s="92"/>
      <c r="F898" s="726"/>
      <c r="G898" s="735"/>
      <c r="H898" s="93"/>
      <c r="I898" s="750"/>
      <c r="J898" s="750"/>
    </row>
    <row r="899" spans="1:10" x14ac:dyDescent="0.35">
      <c r="A899" s="92"/>
      <c r="F899" s="726"/>
      <c r="G899" s="735"/>
      <c r="H899" s="93"/>
      <c r="I899" s="750"/>
      <c r="J899" s="750"/>
    </row>
    <row r="900" spans="1:10" x14ac:dyDescent="0.35">
      <c r="A900" s="92"/>
      <c r="F900" s="726"/>
      <c r="G900" s="735"/>
      <c r="H900" s="93"/>
      <c r="I900" s="750"/>
      <c r="J900" s="750"/>
    </row>
    <row r="901" spans="1:10" x14ac:dyDescent="0.35">
      <c r="A901" s="92"/>
      <c r="F901" s="726"/>
      <c r="G901" s="735"/>
      <c r="H901" s="93"/>
      <c r="I901" s="750"/>
      <c r="J901" s="750"/>
    </row>
    <row r="902" spans="1:10" x14ac:dyDescent="0.35">
      <c r="A902" s="92"/>
      <c r="F902" s="726"/>
      <c r="G902" s="735"/>
      <c r="H902" s="93"/>
      <c r="I902" s="750"/>
      <c r="J902" s="750"/>
    </row>
    <row r="903" spans="1:10" x14ac:dyDescent="0.35">
      <c r="A903" s="92"/>
      <c r="F903" s="726"/>
      <c r="G903" s="735"/>
      <c r="H903" s="93"/>
      <c r="I903" s="750"/>
      <c r="J903" s="750"/>
    </row>
    <row r="904" spans="1:10" x14ac:dyDescent="0.35">
      <c r="A904" s="92"/>
      <c r="F904" s="726"/>
      <c r="G904" s="735"/>
      <c r="H904" s="93"/>
      <c r="I904" s="750"/>
      <c r="J904" s="750"/>
    </row>
    <row r="905" spans="1:10" x14ac:dyDescent="0.35">
      <c r="A905" s="92"/>
      <c r="F905" s="726"/>
      <c r="G905" s="735"/>
      <c r="H905" s="93"/>
      <c r="I905" s="750"/>
      <c r="J905" s="750"/>
    </row>
    <row r="906" spans="1:10" x14ac:dyDescent="0.35">
      <c r="A906" s="92"/>
      <c r="F906" s="726"/>
      <c r="G906" s="735"/>
      <c r="H906" s="93"/>
      <c r="I906" s="750"/>
      <c r="J906" s="750"/>
    </row>
    <row r="907" spans="1:10" x14ac:dyDescent="0.35">
      <c r="A907" s="92"/>
      <c r="F907" s="726"/>
      <c r="G907" s="735"/>
      <c r="H907" s="93"/>
      <c r="I907" s="750"/>
      <c r="J907" s="750"/>
    </row>
    <row r="908" spans="1:10" x14ac:dyDescent="0.35">
      <c r="A908" s="92"/>
      <c r="F908" s="726"/>
      <c r="G908" s="735"/>
      <c r="H908" s="93"/>
      <c r="I908" s="750"/>
      <c r="J908" s="750"/>
    </row>
    <row r="909" spans="1:10" x14ac:dyDescent="0.35">
      <c r="A909" s="92"/>
      <c r="F909" s="726"/>
      <c r="G909" s="735"/>
      <c r="H909" s="93"/>
      <c r="I909" s="750"/>
      <c r="J909" s="750"/>
    </row>
    <row r="910" spans="1:10" x14ac:dyDescent="0.35">
      <c r="A910" s="92"/>
      <c r="F910" s="726"/>
      <c r="G910" s="735"/>
      <c r="H910" s="93"/>
      <c r="I910" s="750"/>
      <c r="J910" s="750"/>
    </row>
    <row r="911" spans="1:10" x14ac:dyDescent="0.35">
      <c r="A911" s="92"/>
      <c r="F911" s="726"/>
      <c r="G911" s="735"/>
      <c r="H911" s="93"/>
      <c r="I911" s="750"/>
      <c r="J911" s="750"/>
    </row>
    <row r="912" spans="1:10" x14ac:dyDescent="0.35">
      <c r="A912" s="92"/>
      <c r="F912" s="726"/>
      <c r="G912" s="735"/>
      <c r="H912" s="93"/>
      <c r="I912" s="750"/>
      <c r="J912" s="750"/>
    </row>
    <row r="913" spans="1:10" x14ac:dyDescent="0.35">
      <c r="A913" s="92"/>
      <c r="F913" s="726"/>
      <c r="G913" s="735"/>
      <c r="H913" s="93"/>
      <c r="I913" s="750"/>
      <c r="J913" s="750"/>
    </row>
    <row r="914" spans="1:10" x14ac:dyDescent="0.35">
      <c r="A914" s="92"/>
      <c r="F914" s="726"/>
      <c r="G914" s="735"/>
      <c r="H914" s="93"/>
      <c r="I914" s="750"/>
      <c r="J914" s="750"/>
    </row>
    <row r="915" spans="1:10" x14ac:dyDescent="0.35">
      <c r="A915" s="92"/>
      <c r="F915" s="726"/>
      <c r="G915" s="735"/>
      <c r="H915" s="93"/>
      <c r="I915" s="750"/>
      <c r="J915" s="750"/>
    </row>
    <row r="916" spans="1:10" x14ac:dyDescent="0.35">
      <c r="A916" s="92"/>
      <c r="F916" s="726"/>
      <c r="G916" s="735"/>
      <c r="H916" s="93"/>
      <c r="I916" s="750"/>
      <c r="J916" s="750"/>
    </row>
    <row r="917" spans="1:10" x14ac:dyDescent="0.35">
      <c r="A917" s="92"/>
      <c r="F917" s="726"/>
      <c r="G917" s="735"/>
      <c r="H917" s="93"/>
      <c r="I917" s="750"/>
      <c r="J917" s="750"/>
    </row>
    <row r="918" spans="1:10" x14ac:dyDescent="0.35">
      <c r="A918" s="92"/>
      <c r="F918" s="726"/>
      <c r="G918" s="735"/>
      <c r="H918" s="93"/>
      <c r="I918" s="750"/>
      <c r="J918" s="750"/>
    </row>
    <row r="919" spans="1:10" x14ac:dyDescent="0.35">
      <c r="A919" s="92"/>
      <c r="F919" s="726"/>
      <c r="G919" s="735"/>
      <c r="H919" s="93"/>
      <c r="I919" s="750"/>
      <c r="J919" s="750"/>
    </row>
    <row r="920" spans="1:10" x14ac:dyDescent="0.35">
      <c r="A920" s="92"/>
      <c r="F920" s="726"/>
      <c r="G920" s="735"/>
      <c r="H920" s="93"/>
      <c r="I920" s="750"/>
      <c r="J920" s="750"/>
    </row>
    <row r="921" spans="1:10" x14ac:dyDescent="0.35">
      <c r="A921" s="92"/>
      <c r="F921" s="726"/>
      <c r="G921" s="735"/>
      <c r="H921" s="93"/>
      <c r="I921" s="750"/>
      <c r="J921" s="750"/>
    </row>
    <row r="922" spans="1:10" x14ac:dyDescent="0.35">
      <c r="A922" s="92"/>
      <c r="F922" s="726"/>
      <c r="G922" s="735"/>
      <c r="H922" s="93"/>
      <c r="I922" s="750"/>
      <c r="J922" s="750"/>
    </row>
    <row r="923" spans="1:10" x14ac:dyDescent="0.35">
      <c r="A923" s="92"/>
      <c r="F923" s="726"/>
      <c r="G923" s="735"/>
      <c r="H923" s="93"/>
      <c r="I923" s="750"/>
      <c r="J923" s="750"/>
    </row>
    <row r="924" spans="1:10" x14ac:dyDescent="0.35">
      <c r="A924" s="92"/>
      <c r="F924" s="726"/>
      <c r="G924" s="735"/>
      <c r="H924" s="93"/>
      <c r="I924" s="750"/>
      <c r="J924" s="750"/>
    </row>
    <row r="925" spans="1:10" x14ac:dyDescent="0.35">
      <c r="A925" s="92"/>
      <c r="F925" s="726"/>
      <c r="G925" s="735"/>
      <c r="H925" s="93"/>
      <c r="I925" s="750"/>
      <c r="J925" s="750"/>
    </row>
    <row r="926" spans="1:10" x14ac:dyDescent="0.35">
      <c r="A926" s="92"/>
      <c r="F926" s="726"/>
      <c r="G926" s="735"/>
      <c r="H926" s="93"/>
      <c r="I926" s="750"/>
      <c r="J926" s="750"/>
    </row>
    <row r="927" spans="1:10" x14ac:dyDescent="0.35">
      <c r="A927" s="92"/>
      <c r="F927" s="726"/>
      <c r="G927" s="735"/>
      <c r="H927" s="93"/>
      <c r="I927" s="750"/>
      <c r="J927" s="750"/>
    </row>
    <row r="928" spans="1:10" x14ac:dyDescent="0.35">
      <c r="A928" s="92"/>
      <c r="F928" s="726"/>
      <c r="G928" s="735"/>
      <c r="H928" s="93"/>
      <c r="I928" s="750"/>
      <c r="J928" s="750"/>
    </row>
    <row r="929" spans="1:10" x14ac:dyDescent="0.35">
      <c r="A929" s="92"/>
      <c r="F929" s="726"/>
      <c r="G929" s="735"/>
      <c r="H929" s="93"/>
      <c r="I929" s="750"/>
      <c r="J929" s="750"/>
    </row>
    <row r="930" spans="1:10" x14ac:dyDescent="0.35">
      <c r="A930" s="92"/>
      <c r="F930" s="726"/>
      <c r="G930" s="735"/>
      <c r="H930" s="93"/>
      <c r="I930" s="750"/>
      <c r="J930" s="750"/>
    </row>
    <row r="931" spans="1:10" x14ac:dyDescent="0.35">
      <c r="A931" s="92"/>
      <c r="F931" s="726"/>
      <c r="G931" s="735"/>
      <c r="H931" s="93"/>
      <c r="I931" s="750"/>
      <c r="J931" s="750"/>
    </row>
    <row r="932" spans="1:10" x14ac:dyDescent="0.35">
      <c r="A932" s="92"/>
      <c r="F932" s="726"/>
      <c r="G932" s="735"/>
      <c r="H932" s="93"/>
      <c r="I932" s="750"/>
      <c r="J932" s="750"/>
    </row>
    <row r="933" spans="1:10" x14ac:dyDescent="0.35">
      <c r="A933" s="92"/>
      <c r="F933" s="726"/>
      <c r="G933" s="735"/>
      <c r="H933" s="93"/>
      <c r="I933" s="750"/>
      <c r="J933" s="750"/>
    </row>
    <row r="934" spans="1:10" x14ac:dyDescent="0.35">
      <c r="A934" s="92"/>
      <c r="F934" s="726"/>
      <c r="G934" s="735"/>
      <c r="H934" s="93"/>
      <c r="I934" s="750"/>
      <c r="J934" s="750"/>
    </row>
    <row r="935" spans="1:10" x14ac:dyDescent="0.35">
      <c r="A935" s="92"/>
      <c r="F935" s="726"/>
      <c r="G935" s="735"/>
      <c r="H935" s="93"/>
      <c r="I935" s="750"/>
      <c r="J935" s="750"/>
    </row>
    <row r="936" spans="1:10" x14ac:dyDescent="0.35">
      <c r="A936" s="92"/>
      <c r="F936" s="726"/>
      <c r="G936" s="735"/>
      <c r="H936" s="93"/>
      <c r="I936" s="750"/>
      <c r="J936" s="750"/>
    </row>
    <row r="937" spans="1:10" x14ac:dyDescent="0.35">
      <c r="A937" s="92"/>
      <c r="F937" s="726"/>
      <c r="G937" s="735"/>
      <c r="H937" s="93"/>
      <c r="I937" s="750"/>
      <c r="J937" s="750"/>
    </row>
    <row r="938" spans="1:10" x14ac:dyDescent="0.35">
      <c r="A938" s="92"/>
      <c r="F938" s="726"/>
      <c r="G938" s="735"/>
      <c r="H938" s="93"/>
      <c r="I938" s="750"/>
      <c r="J938" s="750"/>
    </row>
    <row r="939" spans="1:10" x14ac:dyDescent="0.35">
      <c r="A939" s="92"/>
      <c r="F939" s="726"/>
      <c r="G939" s="735"/>
      <c r="H939" s="93"/>
      <c r="I939" s="750"/>
      <c r="J939" s="750"/>
    </row>
    <row r="940" spans="1:10" x14ac:dyDescent="0.35">
      <c r="A940" s="92"/>
      <c r="F940" s="726"/>
      <c r="G940" s="735"/>
      <c r="H940" s="93"/>
      <c r="I940" s="750"/>
      <c r="J940" s="750"/>
    </row>
    <row r="941" spans="1:10" x14ac:dyDescent="0.35">
      <c r="A941" s="92"/>
      <c r="F941" s="726"/>
      <c r="G941" s="735"/>
      <c r="H941" s="93"/>
      <c r="I941" s="750"/>
      <c r="J941" s="750"/>
    </row>
    <row r="942" spans="1:10" x14ac:dyDescent="0.35">
      <c r="A942" s="92"/>
      <c r="F942" s="726"/>
      <c r="G942" s="735"/>
      <c r="H942" s="93"/>
      <c r="I942" s="750"/>
      <c r="J942" s="750"/>
    </row>
    <row r="943" spans="1:10" x14ac:dyDescent="0.35">
      <c r="A943" s="92"/>
      <c r="F943" s="726"/>
      <c r="G943" s="735"/>
      <c r="H943" s="93"/>
      <c r="I943" s="750"/>
      <c r="J943" s="750"/>
    </row>
    <row r="944" spans="1:10" x14ac:dyDescent="0.35">
      <c r="A944" s="92"/>
      <c r="F944" s="726"/>
      <c r="G944" s="735"/>
      <c r="H944" s="93"/>
      <c r="I944" s="750"/>
      <c r="J944" s="750"/>
    </row>
    <row r="945" spans="1:10" x14ac:dyDescent="0.35">
      <c r="A945" s="92"/>
      <c r="F945" s="726"/>
      <c r="G945" s="735"/>
      <c r="H945" s="93"/>
      <c r="I945" s="750"/>
      <c r="J945" s="750"/>
    </row>
    <row r="946" spans="1:10" x14ac:dyDescent="0.35">
      <c r="A946" s="92"/>
      <c r="F946" s="726"/>
      <c r="G946" s="735"/>
      <c r="H946" s="93"/>
      <c r="I946" s="750"/>
      <c r="J946" s="750"/>
    </row>
    <row r="947" spans="1:10" x14ac:dyDescent="0.35">
      <c r="A947" s="92"/>
      <c r="F947" s="726"/>
      <c r="G947" s="735"/>
      <c r="H947" s="93"/>
      <c r="I947" s="750"/>
      <c r="J947" s="750"/>
    </row>
    <row r="948" spans="1:10" x14ac:dyDescent="0.35">
      <c r="A948" s="92"/>
      <c r="F948" s="726"/>
      <c r="G948" s="735"/>
      <c r="H948" s="93"/>
      <c r="I948" s="750"/>
      <c r="J948" s="750"/>
    </row>
    <row r="949" spans="1:10" x14ac:dyDescent="0.35">
      <c r="A949" s="92"/>
      <c r="F949" s="726"/>
      <c r="G949" s="735"/>
      <c r="H949" s="93"/>
      <c r="I949" s="750"/>
      <c r="J949" s="750"/>
    </row>
    <row r="950" spans="1:10" x14ac:dyDescent="0.35">
      <c r="A950" s="92"/>
      <c r="F950" s="726"/>
      <c r="G950" s="735"/>
      <c r="H950" s="93"/>
      <c r="I950" s="750"/>
      <c r="J950" s="750"/>
    </row>
    <row r="951" spans="1:10" x14ac:dyDescent="0.35">
      <c r="A951" s="92"/>
      <c r="F951" s="726"/>
      <c r="G951" s="735"/>
      <c r="H951" s="93"/>
      <c r="I951" s="750"/>
      <c r="J951" s="750"/>
    </row>
    <row r="952" spans="1:10" x14ac:dyDescent="0.35">
      <c r="A952" s="92"/>
      <c r="F952" s="726"/>
      <c r="G952" s="735"/>
      <c r="H952" s="93"/>
      <c r="I952" s="750"/>
      <c r="J952" s="750"/>
    </row>
    <row r="953" spans="1:10" x14ac:dyDescent="0.35">
      <c r="A953" s="92"/>
      <c r="F953" s="726"/>
      <c r="G953" s="735"/>
      <c r="H953" s="93"/>
      <c r="I953" s="750"/>
      <c r="J953" s="750"/>
    </row>
    <row r="954" spans="1:10" x14ac:dyDescent="0.35">
      <c r="A954" s="92"/>
      <c r="F954" s="726"/>
      <c r="G954" s="735"/>
      <c r="H954" s="93"/>
      <c r="I954" s="750"/>
      <c r="J954" s="750"/>
    </row>
    <row r="955" spans="1:10" x14ac:dyDescent="0.35">
      <c r="A955" s="92"/>
      <c r="F955" s="726"/>
      <c r="G955" s="735"/>
      <c r="H955" s="93"/>
      <c r="I955" s="750"/>
      <c r="J955" s="750"/>
    </row>
    <row r="956" spans="1:10" x14ac:dyDescent="0.35">
      <c r="A956" s="92"/>
      <c r="F956" s="726"/>
      <c r="G956" s="735"/>
      <c r="H956" s="93"/>
      <c r="I956" s="750"/>
      <c r="J956" s="750"/>
    </row>
    <row r="957" spans="1:10" x14ac:dyDescent="0.35">
      <c r="A957" s="92"/>
      <c r="F957" s="726"/>
      <c r="G957" s="735"/>
      <c r="H957" s="93"/>
      <c r="I957" s="750"/>
      <c r="J957" s="750"/>
    </row>
    <row r="958" spans="1:10" x14ac:dyDescent="0.35">
      <c r="A958" s="92"/>
      <c r="F958" s="726"/>
      <c r="G958" s="735"/>
      <c r="H958" s="93"/>
      <c r="I958" s="750"/>
      <c r="J958" s="750"/>
    </row>
    <row r="959" spans="1:10" x14ac:dyDescent="0.35">
      <c r="A959" s="92"/>
      <c r="F959" s="726"/>
      <c r="G959" s="735"/>
      <c r="H959" s="93"/>
      <c r="I959" s="750"/>
      <c r="J959" s="750"/>
    </row>
    <row r="960" spans="1:10" x14ac:dyDescent="0.35">
      <c r="A960" s="92"/>
      <c r="F960" s="726"/>
      <c r="G960" s="735"/>
      <c r="H960" s="93"/>
      <c r="I960" s="750"/>
      <c r="J960" s="750"/>
    </row>
    <row r="961" spans="1:10" x14ac:dyDescent="0.35">
      <c r="A961" s="92"/>
      <c r="F961" s="726"/>
      <c r="G961" s="735"/>
      <c r="H961" s="93"/>
      <c r="I961" s="750"/>
      <c r="J961" s="750"/>
    </row>
    <row r="962" spans="1:10" x14ac:dyDescent="0.35">
      <c r="A962" s="92"/>
      <c r="F962" s="726"/>
      <c r="G962" s="735"/>
      <c r="H962" s="93"/>
      <c r="I962" s="750"/>
      <c r="J962" s="750"/>
    </row>
    <row r="963" spans="1:10" x14ac:dyDescent="0.35">
      <c r="A963" s="92"/>
      <c r="F963" s="726"/>
      <c r="G963" s="735"/>
      <c r="H963" s="93"/>
      <c r="I963" s="750"/>
      <c r="J963" s="750"/>
    </row>
    <row r="964" spans="1:10" x14ac:dyDescent="0.35">
      <c r="A964" s="92"/>
      <c r="F964" s="726"/>
      <c r="G964" s="735"/>
      <c r="H964" s="93"/>
      <c r="I964" s="750"/>
      <c r="J964" s="750"/>
    </row>
    <row r="965" spans="1:10" x14ac:dyDescent="0.35">
      <c r="A965" s="92"/>
      <c r="F965" s="726"/>
      <c r="G965" s="735"/>
      <c r="H965" s="93"/>
      <c r="I965" s="750"/>
      <c r="J965" s="750"/>
    </row>
    <row r="966" spans="1:10" x14ac:dyDescent="0.35">
      <c r="A966" s="92"/>
      <c r="F966" s="726"/>
      <c r="G966" s="735"/>
      <c r="H966" s="93"/>
      <c r="I966" s="750"/>
      <c r="J966" s="750"/>
    </row>
    <row r="967" spans="1:10" x14ac:dyDescent="0.35">
      <c r="A967" s="92"/>
      <c r="F967" s="726"/>
      <c r="G967" s="735"/>
      <c r="H967" s="93"/>
      <c r="I967" s="750"/>
      <c r="J967" s="750"/>
    </row>
    <row r="968" spans="1:10" x14ac:dyDescent="0.35">
      <c r="A968" s="92"/>
      <c r="F968" s="726"/>
      <c r="G968" s="735"/>
      <c r="H968" s="93"/>
      <c r="I968" s="750"/>
      <c r="J968" s="750"/>
    </row>
    <row r="969" spans="1:10" x14ac:dyDescent="0.35">
      <c r="A969" s="92"/>
      <c r="F969" s="726"/>
      <c r="G969" s="735"/>
      <c r="H969" s="93"/>
      <c r="I969" s="750"/>
      <c r="J969" s="750"/>
    </row>
    <row r="970" spans="1:10" x14ac:dyDescent="0.35">
      <c r="A970" s="92"/>
      <c r="F970" s="726"/>
      <c r="G970" s="735"/>
      <c r="H970" s="93"/>
      <c r="I970" s="750"/>
      <c r="J970" s="750"/>
    </row>
    <row r="971" spans="1:10" x14ac:dyDescent="0.35">
      <c r="A971" s="92"/>
      <c r="F971" s="726"/>
      <c r="G971" s="735"/>
      <c r="H971" s="93"/>
      <c r="I971" s="750"/>
      <c r="J971" s="750"/>
    </row>
    <row r="972" spans="1:10" x14ac:dyDescent="0.35">
      <c r="A972" s="92"/>
      <c r="F972" s="726"/>
      <c r="G972" s="735"/>
      <c r="H972" s="93"/>
      <c r="I972" s="750"/>
      <c r="J972" s="750"/>
    </row>
    <row r="973" spans="1:10" x14ac:dyDescent="0.35">
      <c r="A973" s="92"/>
      <c r="F973" s="726"/>
      <c r="G973" s="735"/>
      <c r="H973" s="93"/>
      <c r="I973" s="750"/>
      <c r="J973" s="750"/>
    </row>
    <row r="974" spans="1:10" x14ac:dyDescent="0.35">
      <c r="A974" s="92"/>
      <c r="F974" s="726"/>
      <c r="G974" s="735"/>
      <c r="H974" s="93"/>
      <c r="I974" s="750"/>
      <c r="J974" s="750"/>
    </row>
    <row r="975" spans="1:10" x14ac:dyDescent="0.35">
      <c r="A975" s="92"/>
      <c r="F975" s="726"/>
      <c r="G975" s="735"/>
      <c r="H975" s="93"/>
      <c r="I975" s="750"/>
      <c r="J975" s="750"/>
    </row>
    <row r="976" spans="1:10" x14ac:dyDescent="0.35">
      <c r="A976" s="92"/>
      <c r="F976" s="726"/>
      <c r="G976" s="735"/>
      <c r="H976" s="93"/>
      <c r="I976" s="750"/>
      <c r="J976" s="750"/>
    </row>
    <row r="977" spans="1:10" x14ac:dyDescent="0.35">
      <c r="A977" s="92"/>
      <c r="F977" s="726"/>
      <c r="G977" s="735"/>
      <c r="H977" s="93"/>
      <c r="I977" s="750"/>
      <c r="J977" s="750"/>
    </row>
    <row r="978" spans="1:10" x14ac:dyDescent="0.35">
      <c r="A978" s="92"/>
      <c r="F978" s="726"/>
      <c r="G978" s="735"/>
      <c r="H978" s="93"/>
      <c r="I978" s="750"/>
      <c r="J978" s="750"/>
    </row>
    <row r="979" spans="1:10" x14ac:dyDescent="0.35">
      <c r="A979" s="92"/>
      <c r="F979" s="726"/>
      <c r="G979" s="735"/>
      <c r="H979" s="93"/>
      <c r="I979" s="750"/>
      <c r="J979" s="750"/>
    </row>
    <row r="980" spans="1:10" x14ac:dyDescent="0.35">
      <c r="A980" s="92"/>
      <c r="F980" s="726"/>
      <c r="G980" s="735"/>
      <c r="H980" s="93"/>
      <c r="I980" s="750"/>
      <c r="J980" s="750"/>
    </row>
    <row r="981" spans="1:10" x14ac:dyDescent="0.35">
      <c r="A981" s="92"/>
      <c r="F981" s="726"/>
      <c r="G981" s="735"/>
      <c r="H981" s="93"/>
      <c r="I981" s="750"/>
      <c r="J981" s="750"/>
    </row>
    <row r="982" spans="1:10" x14ac:dyDescent="0.35">
      <c r="A982" s="92"/>
      <c r="F982" s="726"/>
      <c r="G982" s="735"/>
      <c r="H982" s="93"/>
      <c r="I982" s="750"/>
      <c r="J982" s="750"/>
    </row>
    <row r="983" spans="1:10" x14ac:dyDescent="0.35">
      <c r="A983" s="92"/>
      <c r="F983" s="726"/>
      <c r="G983" s="735"/>
      <c r="H983" s="93"/>
      <c r="I983" s="750"/>
      <c r="J983" s="750"/>
    </row>
    <row r="984" spans="1:10" x14ac:dyDescent="0.35">
      <c r="A984" s="92"/>
      <c r="F984" s="726"/>
      <c r="G984" s="735"/>
      <c r="H984" s="93"/>
      <c r="I984" s="750"/>
      <c r="J984" s="750"/>
    </row>
    <row r="985" spans="1:10" x14ac:dyDescent="0.35">
      <c r="A985" s="92"/>
      <c r="F985" s="726"/>
      <c r="G985" s="735"/>
      <c r="H985" s="93"/>
      <c r="I985" s="750"/>
      <c r="J985" s="750"/>
    </row>
    <row r="986" spans="1:10" x14ac:dyDescent="0.35">
      <c r="A986" s="92"/>
      <c r="F986" s="726"/>
      <c r="G986" s="735"/>
      <c r="H986" s="93"/>
      <c r="I986" s="750"/>
      <c r="J986" s="750"/>
    </row>
    <row r="987" spans="1:10" x14ac:dyDescent="0.35">
      <c r="A987" s="92"/>
      <c r="F987" s="726"/>
      <c r="G987" s="735"/>
      <c r="H987" s="93"/>
      <c r="I987" s="750"/>
      <c r="J987" s="750"/>
    </row>
    <row r="988" spans="1:10" x14ac:dyDescent="0.35">
      <c r="A988" s="92"/>
      <c r="F988" s="726"/>
      <c r="G988" s="735"/>
      <c r="H988" s="93"/>
      <c r="I988" s="750"/>
      <c r="J988" s="750"/>
    </row>
    <row r="989" spans="1:10" x14ac:dyDescent="0.35">
      <c r="A989" s="92"/>
      <c r="F989" s="726"/>
      <c r="G989" s="735"/>
      <c r="H989" s="93"/>
      <c r="I989" s="750"/>
      <c r="J989" s="750"/>
    </row>
    <row r="990" spans="1:10" x14ac:dyDescent="0.35">
      <c r="A990" s="92"/>
      <c r="F990" s="726"/>
      <c r="G990" s="735"/>
      <c r="H990" s="93"/>
      <c r="I990" s="750"/>
      <c r="J990" s="750"/>
    </row>
    <row r="991" spans="1:10" x14ac:dyDescent="0.35">
      <c r="A991" s="92"/>
      <c r="F991" s="726"/>
      <c r="G991" s="735"/>
      <c r="H991" s="93"/>
      <c r="I991" s="750"/>
      <c r="J991" s="750"/>
    </row>
    <row r="992" spans="1:10" x14ac:dyDescent="0.35">
      <c r="A992" s="92"/>
      <c r="F992" s="726"/>
      <c r="G992" s="735"/>
      <c r="H992" s="93"/>
      <c r="I992" s="750"/>
      <c r="J992" s="750"/>
    </row>
    <row r="993" spans="1:10" x14ac:dyDescent="0.35">
      <c r="A993" s="92"/>
      <c r="F993" s="726"/>
      <c r="G993" s="735"/>
      <c r="H993" s="93"/>
      <c r="I993" s="750"/>
      <c r="J993" s="750"/>
    </row>
    <row r="994" spans="1:10" x14ac:dyDescent="0.35">
      <c r="A994" s="92"/>
      <c r="F994" s="726"/>
      <c r="G994" s="735"/>
      <c r="H994" s="93"/>
      <c r="I994" s="750"/>
      <c r="J994" s="750"/>
    </row>
    <row r="995" spans="1:10" x14ac:dyDescent="0.35">
      <c r="A995" s="92"/>
      <c r="F995" s="726"/>
      <c r="G995" s="735"/>
      <c r="H995" s="93"/>
      <c r="I995" s="750"/>
      <c r="J995" s="750"/>
    </row>
    <row r="996" spans="1:10" x14ac:dyDescent="0.35">
      <c r="A996" s="92"/>
      <c r="F996" s="726"/>
      <c r="G996" s="735"/>
      <c r="H996" s="93"/>
      <c r="I996" s="750"/>
      <c r="J996" s="750"/>
    </row>
    <row r="997" spans="1:10" x14ac:dyDescent="0.35">
      <c r="A997" s="92"/>
      <c r="F997" s="726"/>
      <c r="G997" s="735"/>
      <c r="H997" s="93"/>
      <c r="I997" s="750"/>
      <c r="J997" s="750"/>
    </row>
    <row r="998" spans="1:10" x14ac:dyDescent="0.35">
      <c r="A998" s="92"/>
      <c r="F998" s="726"/>
      <c r="G998" s="735"/>
      <c r="H998" s="93"/>
      <c r="I998" s="750"/>
      <c r="J998" s="750"/>
    </row>
    <row r="999" spans="1:10" x14ac:dyDescent="0.35">
      <c r="A999" s="92"/>
      <c r="F999" s="726"/>
      <c r="G999" s="735"/>
      <c r="H999" s="93"/>
      <c r="I999" s="750"/>
      <c r="J999" s="750"/>
    </row>
    <row r="1000" spans="1:10" x14ac:dyDescent="0.35">
      <c r="A1000" s="92"/>
      <c r="F1000" s="726"/>
      <c r="G1000" s="735"/>
      <c r="H1000" s="93"/>
      <c r="I1000" s="750"/>
      <c r="J1000" s="750"/>
    </row>
    <row r="1001" spans="1:10" x14ac:dyDescent="0.35">
      <c r="A1001" s="92"/>
      <c r="F1001" s="726"/>
      <c r="G1001" s="735"/>
      <c r="H1001" s="93"/>
      <c r="I1001" s="750"/>
      <c r="J1001" s="750"/>
    </row>
    <row r="1002" spans="1:10" x14ac:dyDescent="0.35">
      <c r="A1002" s="92"/>
      <c r="F1002" s="726"/>
      <c r="G1002" s="735"/>
      <c r="H1002" s="93"/>
      <c r="I1002" s="750"/>
      <c r="J1002" s="750"/>
    </row>
    <row r="1003" spans="1:10" x14ac:dyDescent="0.35">
      <c r="A1003" s="92"/>
      <c r="F1003" s="726"/>
      <c r="G1003" s="735"/>
      <c r="H1003" s="93"/>
      <c r="I1003" s="750"/>
      <c r="J1003" s="750"/>
    </row>
    <row r="1004" spans="1:10" x14ac:dyDescent="0.35">
      <c r="A1004" s="92"/>
      <c r="F1004" s="726"/>
      <c r="G1004" s="735"/>
      <c r="H1004" s="93"/>
      <c r="I1004" s="750"/>
      <c r="J1004" s="750"/>
    </row>
    <row r="1005" spans="1:10" x14ac:dyDescent="0.35">
      <c r="A1005" s="92"/>
      <c r="F1005" s="726"/>
      <c r="G1005" s="735"/>
      <c r="H1005" s="93"/>
      <c r="I1005" s="750"/>
      <c r="J1005" s="750"/>
    </row>
    <row r="1006" spans="1:10" x14ac:dyDescent="0.35">
      <c r="A1006" s="92"/>
      <c r="F1006" s="726"/>
      <c r="G1006" s="735"/>
      <c r="H1006" s="93"/>
      <c r="I1006" s="750"/>
      <c r="J1006" s="750"/>
    </row>
    <row r="1007" spans="1:10" x14ac:dyDescent="0.35">
      <c r="A1007" s="92"/>
      <c r="F1007" s="726"/>
      <c r="G1007" s="735"/>
      <c r="H1007" s="93"/>
      <c r="I1007" s="750"/>
      <c r="J1007" s="750"/>
    </row>
    <row r="1008" spans="1:10" x14ac:dyDescent="0.35">
      <c r="A1008" s="92"/>
      <c r="F1008" s="726"/>
      <c r="G1008" s="735"/>
      <c r="H1008" s="93"/>
      <c r="I1008" s="750"/>
      <c r="J1008" s="750"/>
    </row>
    <row r="1009" spans="1:10" x14ac:dyDescent="0.35">
      <c r="A1009" s="92"/>
      <c r="F1009" s="726"/>
      <c r="G1009" s="735"/>
      <c r="H1009" s="93"/>
      <c r="I1009" s="750"/>
      <c r="J1009" s="750"/>
    </row>
    <row r="1010" spans="1:10" x14ac:dyDescent="0.35">
      <c r="A1010" s="92"/>
      <c r="F1010" s="726"/>
      <c r="G1010" s="735"/>
      <c r="H1010" s="93"/>
      <c r="I1010" s="750"/>
      <c r="J1010" s="750"/>
    </row>
    <row r="1011" spans="1:10" x14ac:dyDescent="0.35">
      <c r="A1011" s="92"/>
      <c r="F1011" s="726"/>
      <c r="G1011" s="735"/>
      <c r="H1011" s="93"/>
      <c r="I1011" s="750"/>
      <c r="J1011" s="750"/>
    </row>
    <row r="1012" spans="1:10" x14ac:dyDescent="0.35">
      <c r="A1012" s="92"/>
      <c r="F1012" s="726"/>
      <c r="G1012" s="735"/>
      <c r="H1012" s="93"/>
      <c r="I1012" s="750"/>
      <c r="J1012" s="750"/>
    </row>
    <row r="1013" spans="1:10" x14ac:dyDescent="0.35">
      <c r="A1013" s="92"/>
      <c r="F1013" s="726"/>
      <c r="G1013" s="735"/>
      <c r="H1013" s="93"/>
      <c r="I1013" s="750"/>
      <c r="J1013" s="750"/>
    </row>
    <row r="1014" spans="1:10" x14ac:dyDescent="0.35">
      <c r="A1014" s="92"/>
      <c r="F1014" s="726"/>
      <c r="G1014" s="735"/>
      <c r="H1014" s="93"/>
      <c r="I1014" s="750"/>
      <c r="J1014" s="750"/>
    </row>
    <row r="1015" spans="1:10" x14ac:dyDescent="0.35">
      <c r="A1015" s="92"/>
      <c r="F1015" s="726"/>
      <c r="G1015" s="735"/>
      <c r="H1015" s="93"/>
      <c r="I1015" s="750"/>
      <c r="J1015" s="750"/>
    </row>
    <row r="1016" spans="1:10" x14ac:dyDescent="0.35">
      <c r="A1016" s="92"/>
      <c r="F1016" s="726"/>
      <c r="G1016" s="735"/>
      <c r="H1016" s="93"/>
      <c r="I1016" s="750"/>
      <c r="J1016" s="750"/>
    </row>
    <row r="1017" spans="1:10" x14ac:dyDescent="0.35">
      <c r="A1017" s="92"/>
      <c r="F1017" s="726"/>
      <c r="G1017" s="735"/>
      <c r="H1017" s="93"/>
      <c r="I1017" s="750"/>
      <c r="J1017" s="750"/>
    </row>
    <row r="1018" spans="1:10" x14ac:dyDescent="0.35">
      <c r="A1018" s="92"/>
      <c r="F1018" s="726"/>
      <c r="G1018" s="735"/>
      <c r="H1018" s="93"/>
      <c r="I1018" s="750"/>
      <c r="J1018" s="750"/>
    </row>
    <row r="1019" spans="1:10" x14ac:dyDescent="0.35">
      <c r="A1019" s="92"/>
      <c r="F1019" s="726"/>
      <c r="G1019" s="735"/>
      <c r="H1019" s="93"/>
      <c r="I1019" s="750"/>
      <c r="J1019" s="750"/>
    </row>
    <row r="1020" spans="1:10" x14ac:dyDescent="0.35">
      <c r="A1020" s="92"/>
      <c r="F1020" s="726"/>
      <c r="G1020" s="735"/>
      <c r="H1020" s="93"/>
      <c r="I1020" s="750"/>
      <c r="J1020" s="750"/>
    </row>
    <row r="1021" spans="1:10" x14ac:dyDescent="0.35">
      <c r="A1021" s="92"/>
      <c r="F1021" s="726"/>
      <c r="G1021" s="735"/>
      <c r="H1021" s="93"/>
      <c r="I1021" s="750"/>
      <c r="J1021" s="750"/>
    </row>
    <row r="1022" spans="1:10" x14ac:dyDescent="0.35">
      <c r="A1022" s="92"/>
      <c r="F1022" s="726"/>
      <c r="G1022" s="735"/>
      <c r="H1022" s="93"/>
      <c r="I1022" s="750"/>
      <c r="J1022" s="750"/>
    </row>
    <row r="1023" spans="1:10" x14ac:dyDescent="0.35">
      <c r="A1023" s="92"/>
      <c r="F1023" s="726"/>
      <c r="G1023" s="735"/>
      <c r="H1023" s="93"/>
      <c r="I1023" s="750"/>
      <c r="J1023" s="750"/>
    </row>
    <row r="1024" spans="1:10" x14ac:dyDescent="0.35">
      <c r="A1024" s="92"/>
      <c r="F1024" s="726"/>
      <c r="G1024" s="735"/>
      <c r="H1024" s="93"/>
      <c r="I1024" s="750"/>
      <c r="J1024" s="750"/>
    </row>
    <row r="1025" spans="1:10" x14ac:dyDescent="0.35">
      <c r="A1025" s="92"/>
      <c r="F1025" s="726"/>
      <c r="G1025" s="735"/>
      <c r="H1025" s="93"/>
      <c r="I1025" s="750"/>
      <c r="J1025" s="750"/>
    </row>
    <row r="1026" spans="1:10" x14ac:dyDescent="0.35">
      <c r="A1026" s="92"/>
      <c r="F1026" s="726"/>
      <c r="G1026" s="735"/>
      <c r="H1026" s="93"/>
      <c r="I1026" s="750"/>
      <c r="J1026" s="750"/>
    </row>
    <row r="1027" spans="1:10" x14ac:dyDescent="0.35">
      <c r="A1027" s="92"/>
      <c r="F1027" s="726"/>
      <c r="G1027" s="735"/>
      <c r="H1027" s="93"/>
      <c r="I1027" s="750"/>
      <c r="J1027" s="750"/>
    </row>
    <row r="1028" spans="1:10" x14ac:dyDescent="0.35">
      <c r="A1028" s="92"/>
      <c r="F1028" s="726"/>
      <c r="G1028" s="735"/>
      <c r="H1028" s="93"/>
      <c r="I1028" s="750"/>
      <c r="J1028" s="750"/>
    </row>
    <row r="1029" spans="1:10" x14ac:dyDescent="0.35">
      <c r="A1029" s="92"/>
      <c r="F1029" s="726"/>
      <c r="G1029" s="735"/>
      <c r="H1029" s="93"/>
      <c r="I1029" s="750"/>
      <c r="J1029" s="750"/>
    </row>
    <row r="1030" spans="1:10" x14ac:dyDescent="0.35">
      <c r="A1030" s="92"/>
      <c r="F1030" s="726"/>
      <c r="G1030" s="735"/>
      <c r="H1030" s="93"/>
      <c r="I1030" s="750"/>
      <c r="J1030" s="750"/>
    </row>
    <row r="1031" spans="1:10" x14ac:dyDescent="0.35">
      <c r="A1031" s="92"/>
      <c r="F1031" s="726"/>
      <c r="G1031" s="735"/>
      <c r="H1031" s="93"/>
      <c r="I1031" s="750"/>
      <c r="J1031" s="750"/>
    </row>
    <row r="1032" spans="1:10" x14ac:dyDescent="0.35">
      <c r="A1032" s="92"/>
      <c r="F1032" s="726"/>
      <c r="G1032" s="735"/>
      <c r="H1032" s="93"/>
      <c r="I1032" s="750"/>
      <c r="J1032" s="750"/>
    </row>
    <row r="1033" spans="1:10" x14ac:dyDescent="0.35">
      <c r="A1033" s="92"/>
      <c r="F1033" s="726"/>
      <c r="G1033" s="735"/>
      <c r="H1033" s="93"/>
      <c r="I1033" s="750"/>
      <c r="J1033" s="750"/>
    </row>
    <row r="1034" spans="1:10" x14ac:dyDescent="0.35">
      <c r="A1034" s="92"/>
      <c r="F1034" s="726"/>
      <c r="G1034" s="735"/>
      <c r="H1034" s="93"/>
      <c r="I1034" s="750"/>
      <c r="J1034" s="750"/>
    </row>
    <row r="1035" spans="1:10" x14ac:dyDescent="0.35">
      <c r="A1035" s="92"/>
      <c r="F1035" s="726"/>
      <c r="G1035" s="735"/>
      <c r="H1035" s="93"/>
      <c r="I1035" s="750"/>
      <c r="J1035" s="750"/>
    </row>
    <row r="1036" spans="1:10" x14ac:dyDescent="0.35">
      <c r="A1036" s="92"/>
      <c r="F1036" s="726"/>
      <c r="G1036" s="735"/>
      <c r="H1036" s="93"/>
      <c r="I1036" s="750"/>
      <c r="J1036" s="750"/>
    </row>
    <row r="1037" spans="1:10" x14ac:dyDescent="0.35">
      <c r="A1037" s="92"/>
      <c r="F1037" s="726"/>
      <c r="G1037" s="735"/>
      <c r="H1037" s="93"/>
      <c r="I1037" s="750"/>
      <c r="J1037" s="750"/>
    </row>
    <row r="1038" spans="1:10" x14ac:dyDescent="0.35">
      <c r="A1038" s="92"/>
      <c r="F1038" s="726"/>
      <c r="G1038" s="735"/>
      <c r="H1038" s="93"/>
      <c r="I1038" s="750"/>
      <c r="J1038" s="750"/>
    </row>
    <row r="1039" spans="1:10" x14ac:dyDescent="0.35">
      <c r="A1039" s="92"/>
      <c r="F1039" s="726"/>
      <c r="G1039" s="735"/>
      <c r="H1039" s="93"/>
      <c r="I1039" s="750"/>
      <c r="J1039" s="750"/>
    </row>
    <row r="1040" spans="1:10" x14ac:dyDescent="0.35">
      <c r="A1040" s="92"/>
      <c r="F1040" s="726"/>
      <c r="G1040" s="735"/>
      <c r="H1040" s="93"/>
      <c r="I1040" s="750"/>
      <c r="J1040" s="750"/>
    </row>
    <row r="1041" spans="1:10" x14ac:dyDescent="0.35">
      <c r="A1041" s="92"/>
      <c r="F1041" s="726"/>
      <c r="G1041" s="735"/>
      <c r="H1041" s="93"/>
      <c r="I1041" s="750"/>
      <c r="J1041" s="750"/>
    </row>
    <row r="1042" spans="1:10" x14ac:dyDescent="0.35">
      <c r="A1042" s="92"/>
      <c r="F1042" s="726"/>
      <c r="G1042" s="735"/>
      <c r="H1042" s="93"/>
      <c r="I1042" s="750"/>
      <c r="J1042" s="750"/>
    </row>
    <row r="1043" spans="1:10" x14ac:dyDescent="0.35">
      <c r="A1043" s="92"/>
      <c r="F1043" s="726"/>
      <c r="G1043" s="735"/>
      <c r="H1043" s="93"/>
      <c r="I1043" s="750"/>
      <c r="J1043" s="750"/>
    </row>
    <row r="1044" spans="1:10" x14ac:dyDescent="0.35">
      <c r="A1044" s="92"/>
      <c r="F1044" s="726"/>
      <c r="G1044" s="735"/>
      <c r="H1044" s="93"/>
      <c r="I1044" s="750"/>
      <c r="J1044" s="750"/>
    </row>
    <row r="1045" spans="1:10" x14ac:dyDescent="0.35">
      <c r="A1045" s="92"/>
      <c r="F1045" s="726"/>
      <c r="G1045" s="735"/>
      <c r="H1045" s="93"/>
      <c r="I1045" s="750"/>
      <c r="J1045" s="750"/>
    </row>
    <row r="1046" spans="1:10" x14ac:dyDescent="0.35">
      <c r="A1046" s="92"/>
      <c r="F1046" s="726"/>
      <c r="G1046" s="735"/>
      <c r="H1046" s="93"/>
      <c r="I1046" s="750"/>
      <c r="J1046" s="750"/>
    </row>
    <row r="1047" spans="1:10" x14ac:dyDescent="0.35">
      <c r="A1047" s="92"/>
      <c r="F1047" s="726"/>
      <c r="G1047" s="735"/>
      <c r="H1047" s="93"/>
      <c r="I1047" s="750"/>
      <c r="J1047" s="750"/>
    </row>
    <row r="1048" spans="1:10" x14ac:dyDescent="0.35">
      <c r="A1048" s="92"/>
      <c r="F1048" s="726"/>
      <c r="G1048" s="735"/>
      <c r="H1048" s="93"/>
      <c r="I1048" s="750"/>
      <c r="J1048" s="750"/>
    </row>
    <row r="1049" spans="1:10" x14ac:dyDescent="0.35">
      <c r="A1049" s="92"/>
      <c r="F1049" s="726"/>
      <c r="G1049" s="735"/>
      <c r="H1049" s="93"/>
      <c r="I1049" s="750"/>
      <c r="J1049" s="750"/>
    </row>
    <row r="1050" spans="1:10" x14ac:dyDescent="0.35">
      <c r="A1050" s="92"/>
      <c r="F1050" s="726"/>
      <c r="G1050" s="735"/>
      <c r="H1050" s="93"/>
      <c r="I1050" s="750"/>
      <c r="J1050" s="750"/>
    </row>
    <row r="1051" spans="1:10" x14ac:dyDescent="0.35">
      <c r="A1051" s="92"/>
      <c r="F1051" s="726"/>
      <c r="G1051" s="735"/>
      <c r="H1051" s="93"/>
      <c r="I1051" s="750"/>
      <c r="J1051" s="750"/>
    </row>
    <row r="1052" spans="1:10" x14ac:dyDescent="0.35">
      <c r="A1052" s="92"/>
      <c r="F1052" s="726"/>
      <c r="G1052" s="735"/>
      <c r="H1052" s="93"/>
      <c r="I1052" s="750"/>
      <c r="J1052" s="750"/>
    </row>
    <row r="1053" spans="1:10" x14ac:dyDescent="0.35">
      <c r="A1053" s="92"/>
      <c r="F1053" s="726"/>
      <c r="G1053" s="735"/>
      <c r="H1053" s="93"/>
      <c r="I1053" s="750"/>
      <c r="J1053" s="750"/>
    </row>
    <row r="1054" spans="1:10" x14ac:dyDescent="0.35">
      <c r="A1054" s="92"/>
      <c r="F1054" s="726"/>
      <c r="G1054" s="735"/>
      <c r="H1054" s="93"/>
      <c r="I1054" s="750"/>
      <c r="J1054" s="750"/>
    </row>
    <row r="1055" spans="1:10" x14ac:dyDescent="0.35">
      <c r="A1055" s="92"/>
      <c r="F1055" s="726"/>
      <c r="G1055" s="735"/>
      <c r="H1055" s="93"/>
      <c r="I1055" s="750"/>
      <c r="J1055" s="750"/>
    </row>
    <row r="1056" spans="1:10" x14ac:dyDescent="0.35">
      <c r="A1056" s="92"/>
      <c r="F1056" s="726"/>
      <c r="G1056" s="735"/>
      <c r="H1056" s="93"/>
      <c r="I1056" s="750"/>
      <c r="J1056" s="750"/>
    </row>
    <row r="1057" spans="1:10" x14ac:dyDescent="0.35">
      <c r="A1057" s="92"/>
      <c r="F1057" s="726"/>
      <c r="G1057" s="735"/>
      <c r="H1057" s="93"/>
      <c r="I1057" s="750"/>
      <c r="J1057" s="750"/>
    </row>
    <row r="1058" spans="1:10" x14ac:dyDescent="0.35">
      <c r="A1058" s="92"/>
      <c r="F1058" s="726"/>
      <c r="G1058" s="735"/>
      <c r="H1058" s="93"/>
      <c r="I1058" s="750"/>
      <c r="J1058" s="750"/>
    </row>
    <row r="1059" spans="1:10" x14ac:dyDescent="0.35">
      <c r="A1059" s="92"/>
      <c r="F1059" s="726"/>
      <c r="G1059" s="735"/>
      <c r="H1059" s="93"/>
      <c r="I1059" s="750"/>
      <c r="J1059" s="750"/>
    </row>
    <row r="1060" spans="1:10" x14ac:dyDescent="0.35">
      <c r="A1060" s="92"/>
      <c r="F1060" s="726"/>
      <c r="G1060" s="735"/>
      <c r="H1060" s="93"/>
      <c r="I1060" s="750"/>
      <c r="J1060" s="750"/>
    </row>
    <row r="1061" spans="1:10" x14ac:dyDescent="0.35">
      <c r="A1061" s="92"/>
      <c r="F1061" s="726"/>
      <c r="G1061" s="735"/>
      <c r="H1061" s="93"/>
      <c r="I1061" s="750"/>
      <c r="J1061" s="750"/>
    </row>
    <row r="1062" spans="1:10" x14ac:dyDescent="0.35">
      <c r="A1062" s="92"/>
      <c r="F1062" s="726"/>
      <c r="G1062" s="735"/>
      <c r="H1062" s="93"/>
      <c r="I1062" s="750"/>
      <c r="J1062" s="750"/>
    </row>
    <row r="1063" spans="1:10" x14ac:dyDescent="0.35">
      <c r="A1063" s="92"/>
      <c r="F1063" s="726"/>
      <c r="G1063" s="735"/>
      <c r="H1063" s="93"/>
      <c r="I1063" s="750"/>
      <c r="J1063" s="750"/>
    </row>
    <row r="1064" spans="1:10" x14ac:dyDescent="0.35">
      <c r="A1064" s="92"/>
      <c r="F1064" s="726"/>
      <c r="G1064" s="735"/>
      <c r="H1064" s="93"/>
      <c r="I1064" s="750"/>
      <c r="J1064" s="750"/>
    </row>
    <row r="1065" spans="1:10" x14ac:dyDescent="0.35">
      <c r="A1065" s="92"/>
      <c r="F1065" s="726"/>
      <c r="G1065" s="735"/>
      <c r="H1065" s="93"/>
      <c r="I1065" s="750"/>
      <c r="J1065" s="750"/>
    </row>
    <row r="1066" spans="1:10" x14ac:dyDescent="0.35">
      <c r="A1066" s="92"/>
      <c r="F1066" s="726"/>
      <c r="G1066" s="735"/>
      <c r="H1066" s="93"/>
      <c r="I1066" s="750"/>
      <c r="J1066" s="750"/>
    </row>
    <row r="1067" spans="1:10" x14ac:dyDescent="0.35">
      <c r="A1067" s="92"/>
      <c r="F1067" s="726"/>
      <c r="G1067" s="735"/>
      <c r="H1067" s="93"/>
      <c r="I1067" s="750"/>
      <c r="J1067" s="750"/>
    </row>
    <row r="1068" spans="1:10" x14ac:dyDescent="0.35">
      <c r="A1068" s="92"/>
      <c r="F1068" s="726"/>
      <c r="G1068" s="735"/>
      <c r="H1068" s="93"/>
      <c r="I1068" s="750"/>
      <c r="J1068" s="750"/>
    </row>
    <row r="1069" spans="1:10" x14ac:dyDescent="0.35">
      <c r="A1069" s="92"/>
      <c r="F1069" s="726"/>
      <c r="G1069" s="735"/>
      <c r="H1069" s="93"/>
      <c r="I1069" s="750"/>
      <c r="J1069" s="750"/>
    </row>
    <row r="1070" spans="1:10" x14ac:dyDescent="0.35">
      <c r="A1070" s="92"/>
      <c r="F1070" s="726"/>
      <c r="G1070" s="735"/>
      <c r="H1070" s="93"/>
      <c r="I1070" s="750"/>
      <c r="J1070" s="750"/>
    </row>
    <row r="1071" spans="1:10" x14ac:dyDescent="0.35">
      <c r="A1071" s="92"/>
      <c r="F1071" s="726"/>
      <c r="G1071" s="735"/>
      <c r="H1071" s="93"/>
      <c r="I1071" s="750"/>
      <c r="J1071" s="750"/>
    </row>
    <row r="1072" spans="1:10" x14ac:dyDescent="0.35">
      <c r="A1072" s="92"/>
      <c r="F1072" s="726"/>
      <c r="G1072" s="735"/>
      <c r="H1072" s="93"/>
      <c r="I1072" s="750"/>
      <c r="J1072" s="750"/>
    </row>
    <row r="1073" spans="1:10" x14ac:dyDescent="0.35">
      <c r="A1073" s="92"/>
      <c r="F1073" s="726"/>
      <c r="G1073" s="735"/>
      <c r="H1073" s="93"/>
      <c r="I1073" s="750"/>
      <c r="J1073" s="750"/>
    </row>
    <row r="1074" spans="1:10" x14ac:dyDescent="0.35">
      <c r="A1074" s="92"/>
      <c r="F1074" s="726"/>
      <c r="G1074" s="735"/>
      <c r="H1074" s="93"/>
      <c r="I1074" s="750"/>
      <c r="J1074" s="750"/>
    </row>
    <row r="1075" spans="1:10" x14ac:dyDescent="0.35">
      <c r="A1075" s="92"/>
      <c r="F1075" s="726"/>
      <c r="G1075" s="735"/>
      <c r="H1075" s="93"/>
      <c r="I1075" s="750"/>
      <c r="J1075" s="750"/>
    </row>
    <row r="1076" spans="1:10" x14ac:dyDescent="0.35">
      <c r="A1076" s="92"/>
      <c r="F1076" s="726"/>
      <c r="G1076" s="735"/>
      <c r="H1076" s="93"/>
      <c r="I1076" s="750"/>
      <c r="J1076" s="750"/>
    </row>
    <row r="1077" spans="1:10" x14ac:dyDescent="0.35">
      <c r="A1077" s="92"/>
      <c r="F1077" s="726"/>
      <c r="G1077" s="735"/>
      <c r="H1077" s="93"/>
      <c r="I1077" s="750"/>
      <c r="J1077" s="750"/>
    </row>
    <row r="1078" spans="1:10" x14ac:dyDescent="0.35">
      <c r="A1078" s="92"/>
      <c r="F1078" s="726"/>
      <c r="G1078" s="735"/>
      <c r="H1078" s="93"/>
      <c r="I1078" s="750"/>
      <c r="J1078" s="750"/>
    </row>
    <row r="1079" spans="1:10" x14ac:dyDescent="0.35">
      <c r="A1079" s="92"/>
      <c r="F1079" s="726"/>
      <c r="G1079" s="735"/>
      <c r="H1079" s="93"/>
      <c r="I1079" s="750"/>
      <c r="J1079" s="750"/>
    </row>
    <row r="1080" spans="1:10" x14ac:dyDescent="0.35">
      <c r="A1080" s="92"/>
      <c r="F1080" s="726"/>
      <c r="G1080" s="735"/>
      <c r="H1080" s="93"/>
      <c r="I1080" s="750"/>
      <c r="J1080" s="750"/>
    </row>
    <row r="1081" spans="1:10" x14ac:dyDescent="0.35">
      <c r="A1081" s="92"/>
      <c r="F1081" s="726"/>
      <c r="G1081" s="735"/>
      <c r="H1081" s="93"/>
      <c r="I1081" s="750"/>
      <c r="J1081" s="750"/>
    </row>
    <row r="1082" spans="1:10" x14ac:dyDescent="0.35">
      <c r="A1082" s="92"/>
      <c r="F1082" s="726"/>
      <c r="G1082" s="735"/>
      <c r="H1082" s="93"/>
      <c r="I1082" s="750"/>
      <c r="J1082" s="750"/>
    </row>
    <row r="1083" spans="1:10" x14ac:dyDescent="0.35">
      <c r="A1083" s="92"/>
      <c r="F1083" s="726"/>
      <c r="G1083" s="735"/>
      <c r="H1083" s="93"/>
      <c r="I1083" s="750"/>
      <c r="J1083" s="750"/>
    </row>
    <row r="1084" spans="1:10" x14ac:dyDescent="0.35">
      <c r="A1084" s="92"/>
      <c r="F1084" s="726"/>
      <c r="G1084" s="735"/>
      <c r="H1084" s="93"/>
      <c r="I1084" s="750"/>
      <c r="J1084" s="750"/>
    </row>
    <row r="1085" spans="1:10" x14ac:dyDescent="0.35">
      <c r="A1085" s="92"/>
      <c r="F1085" s="726"/>
      <c r="G1085" s="735"/>
      <c r="H1085" s="93"/>
      <c r="I1085" s="750"/>
      <c r="J1085" s="750"/>
    </row>
    <row r="1086" spans="1:10" x14ac:dyDescent="0.35">
      <c r="A1086" s="92"/>
      <c r="F1086" s="726"/>
      <c r="G1086" s="735"/>
      <c r="H1086" s="93"/>
      <c r="I1086" s="750"/>
      <c r="J1086" s="750"/>
    </row>
    <row r="1087" spans="1:10" x14ac:dyDescent="0.35">
      <c r="A1087" s="92"/>
      <c r="F1087" s="726"/>
      <c r="G1087" s="735"/>
      <c r="H1087" s="93"/>
      <c r="I1087" s="750"/>
      <c r="J1087" s="750"/>
    </row>
    <row r="1088" spans="1:10" x14ac:dyDescent="0.35">
      <c r="A1088" s="92"/>
      <c r="F1088" s="726"/>
      <c r="G1088" s="735"/>
      <c r="H1088" s="93"/>
      <c r="I1088" s="750"/>
      <c r="J1088" s="750"/>
    </row>
    <row r="1089" spans="1:10" x14ac:dyDescent="0.35">
      <c r="A1089" s="92"/>
      <c r="F1089" s="726"/>
      <c r="G1089" s="735"/>
      <c r="H1089" s="93"/>
      <c r="I1089" s="750"/>
      <c r="J1089" s="750"/>
    </row>
    <row r="1090" spans="1:10" x14ac:dyDescent="0.35">
      <c r="A1090" s="92"/>
      <c r="F1090" s="726"/>
      <c r="G1090" s="735"/>
      <c r="H1090" s="93"/>
      <c r="I1090" s="750"/>
      <c r="J1090" s="750"/>
    </row>
    <row r="1091" spans="1:10" x14ac:dyDescent="0.35">
      <c r="A1091" s="92"/>
      <c r="F1091" s="726"/>
      <c r="G1091" s="735"/>
      <c r="H1091" s="93"/>
      <c r="I1091" s="750"/>
      <c r="J1091" s="750"/>
    </row>
    <row r="1092" spans="1:10" x14ac:dyDescent="0.35">
      <c r="A1092" s="92"/>
      <c r="F1092" s="726"/>
      <c r="G1092" s="735"/>
      <c r="H1092" s="93"/>
      <c r="I1092" s="750"/>
      <c r="J1092" s="750"/>
    </row>
    <row r="1093" spans="1:10" x14ac:dyDescent="0.35">
      <c r="A1093" s="92"/>
      <c r="F1093" s="726"/>
      <c r="G1093" s="735"/>
      <c r="H1093" s="93"/>
      <c r="I1093" s="750"/>
      <c r="J1093" s="750"/>
    </row>
    <row r="1094" spans="1:10" x14ac:dyDescent="0.35">
      <c r="A1094" s="92"/>
      <c r="F1094" s="726"/>
      <c r="G1094" s="735"/>
      <c r="H1094" s="93"/>
      <c r="I1094" s="750"/>
      <c r="J1094" s="750"/>
    </row>
    <row r="1095" spans="1:10" x14ac:dyDescent="0.35">
      <c r="A1095" s="92"/>
      <c r="F1095" s="726"/>
      <c r="G1095" s="735"/>
      <c r="H1095" s="93"/>
      <c r="I1095" s="750"/>
      <c r="J1095" s="750"/>
    </row>
    <row r="1096" spans="1:10" x14ac:dyDescent="0.35">
      <c r="A1096" s="92"/>
      <c r="F1096" s="726"/>
      <c r="G1096" s="735"/>
      <c r="H1096" s="93"/>
      <c r="I1096" s="750"/>
      <c r="J1096" s="750"/>
    </row>
    <row r="1097" spans="1:10" x14ac:dyDescent="0.35">
      <c r="A1097" s="92"/>
      <c r="F1097" s="726"/>
      <c r="G1097" s="735"/>
      <c r="H1097" s="93"/>
      <c r="I1097" s="750"/>
      <c r="J1097" s="750"/>
    </row>
    <row r="1098" spans="1:10" x14ac:dyDescent="0.35">
      <c r="A1098" s="92"/>
      <c r="F1098" s="726"/>
      <c r="G1098" s="735"/>
      <c r="H1098" s="93"/>
      <c r="I1098" s="750"/>
      <c r="J1098" s="750"/>
    </row>
    <row r="1099" spans="1:10" x14ac:dyDescent="0.35">
      <c r="A1099" s="92"/>
      <c r="F1099" s="726"/>
      <c r="G1099" s="735"/>
      <c r="H1099" s="93"/>
      <c r="I1099" s="750"/>
      <c r="J1099" s="750"/>
    </row>
    <row r="1100" spans="1:10" x14ac:dyDescent="0.35">
      <c r="A1100" s="92"/>
      <c r="F1100" s="726"/>
      <c r="G1100" s="735"/>
      <c r="H1100" s="93"/>
      <c r="I1100" s="750"/>
      <c r="J1100" s="750"/>
    </row>
    <row r="1101" spans="1:10" x14ac:dyDescent="0.35">
      <c r="A1101" s="92"/>
      <c r="F1101" s="726"/>
      <c r="G1101" s="735"/>
      <c r="H1101" s="93"/>
      <c r="I1101" s="750"/>
      <c r="J1101" s="750"/>
    </row>
    <row r="1102" spans="1:10" x14ac:dyDescent="0.35">
      <c r="A1102" s="92"/>
      <c r="F1102" s="726"/>
      <c r="G1102" s="735"/>
      <c r="H1102" s="93"/>
      <c r="I1102" s="750"/>
      <c r="J1102" s="750"/>
    </row>
    <row r="1103" spans="1:10" x14ac:dyDescent="0.35">
      <c r="A1103" s="92"/>
      <c r="F1103" s="726"/>
      <c r="G1103" s="735"/>
      <c r="H1103" s="93"/>
      <c r="I1103" s="750"/>
      <c r="J1103" s="750"/>
    </row>
    <row r="1104" spans="1:10" x14ac:dyDescent="0.35">
      <c r="A1104" s="92"/>
      <c r="F1104" s="726"/>
      <c r="G1104" s="735"/>
      <c r="H1104" s="93"/>
      <c r="I1104" s="750"/>
      <c r="J1104" s="750"/>
    </row>
    <row r="1105" spans="1:10" x14ac:dyDescent="0.35">
      <c r="A1105" s="92"/>
      <c r="F1105" s="726"/>
      <c r="G1105" s="735"/>
      <c r="H1105" s="93"/>
      <c r="I1105" s="750"/>
      <c r="J1105" s="750"/>
    </row>
    <row r="1106" spans="1:10" x14ac:dyDescent="0.35">
      <c r="A1106" s="92"/>
      <c r="F1106" s="726"/>
      <c r="G1106" s="735"/>
      <c r="H1106" s="93"/>
      <c r="I1106" s="750"/>
      <c r="J1106" s="750"/>
    </row>
    <row r="1107" spans="1:10" x14ac:dyDescent="0.35">
      <c r="A1107" s="92"/>
      <c r="F1107" s="726"/>
      <c r="G1107" s="735"/>
      <c r="H1107" s="93"/>
      <c r="I1107" s="750"/>
      <c r="J1107" s="750"/>
    </row>
    <row r="1108" spans="1:10" x14ac:dyDescent="0.35">
      <c r="A1108" s="92"/>
      <c r="F1108" s="726"/>
      <c r="G1108" s="735"/>
      <c r="H1108" s="93"/>
      <c r="I1108" s="750"/>
      <c r="J1108" s="750"/>
    </row>
    <row r="1109" spans="1:10" x14ac:dyDescent="0.35">
      <c r="A1109" s="92"/>
      <c r="F1109" s="726"/>
      <c r="G1109" s="735"/>
      <c r="H1109" s="93"/>
      <c r="I1109" s="750"/>
      <c r="J1109" s="750"/>
    </row>
    <row r="1110" spans="1:10" x14ac:dyDescent="0.35">
      <c r="A1110" s="92"/>
      <c r="F1110" s="726"/>
      <c r="G1110" s="735"/>
      <c r="H1110" s="93"/>
      <c r="I1110" s="750"/>
      <c r="J1110" s="750"/>
    </row>
    <row r="1111" spans="1:10" x14ac:dyDescent="0.35">
      <c r="A1111" s="92"/>
      <c r="F1111" s="726"/>
      <c r="G1111" s="735"/>
      <c r="H1111" s="93"/>
      <c r="I1111" s="750"/>
      <c r="J1111" s="750"/>
    </row>
    <row r="1112" spans="1:10" x14ac:dyDescent="0.35">
      <c r="A1112" s="92"/>
      <c r="F1112" s="726"/>
      <c r="G1112" s="735"/>
      <c r="H1112" s="93"/>
      <c r="I1112" s="750"/>
      <c r="J1112" s="750"/>
    </row>
    <row r="1113" spans="1:10" x14ac:dyDescent="0.35">
      <c r="A1113" s="92"/>
      <c r="F1113" s="726"/>
      <c r="G1113" s="735"/>
      <c r="H1113" s="93"/>
      <c r="I1113" s="750"/>
      <c r="J1113" s="750"/>
    </row>
    <row r="1114" spans="1:10" x14ac:dyDescent="0.35">
      <c r="A1114" s="92"/>
      <c r="F1114" s="726"/>
      <c r="G1114" s="735"/>
      <c r="H1114" s="93"/>
      <c r="I1114" s="750"/>
      <c r="J1114" s="750"/>
    </row>
    <row r="1115" spans="1:10" x14ac:dyDescent="0.35">
      <c r="A1115" s="92"/>
      <c r="F1115" s="726"/>
      <c r="G1115" s="735"/>
      <c r="H1115" s="93"/>
      <c r="I1115" s="750"/>
      <c r="J1115" s="750"/>
    </row>
    <row r="1116" spans="1:10" x14ac:dyDescent="0.35">
      <c r="A1116" s="92"/>
      <c r="F1116" s="726"/>
      <c r="G1116" s="735"/>
      <c r="H1116" s="93"/>
      <c r="I1116" s="750"/>
      <c r="J1116" s="750"/>
    </row>
    <row r="1117" spans="1:10" x14ac:dyDescent="0.35">
      <c r="A1117" s="92"/>
      <c r="F1117" s="726"/>
      <c r="G1117" s="735"/>
      <c r="H1117" s="93"/>
      <c r="I1117" s="750"/>
      <c r="J1117" s="750"/>
    </row>
    <row r="1118" spans="1:10" x14ac:dyDescent="0.35">
      <c r="A1118" s="92"/>
      <c r="F1118" s="726"/>
      <c r="G1118" s="735"/>
      <c r="H1118" s="93"/>
      <c r="I1118" s="750"/>
      <c r="J1118" s="750"/>
    </row>
    <row r="1119" spans="1:10" x14ac:dyDescent="0.35">
      <c r="A1119" s="92"/>
      <c r="F1119" s="726"/>
      <c r="G1119" s="735"/>
      <c r="H1119" s="93"/>
      <c r="I1119" s="750"/>
      <c r="J1119" s="750"/>
    </row>
    <row r="1120" spans="1:10" x14ac:dyDescent="0.35">
      <c r="A1120" s="92"/>
      <c r="F1120" s="726"/>
      <c r="G1120" s="735"/>
      <c r="H1120" s="93"/>
      <c r="I1120" s="750"/>
      <c r="J1120" s="750"/>
    </row>
    <row r="1121" spans="1:10" x14ac:dyDescent="0.35">
      <c r="A1121" s="92"/>
      <c r="F1121" s="726"/>
      <c r="G1121" s="735"/>
      <c r="H1121" s="93"/>
      <c r="I1121" s="750"/>
      <c r="J1121" s="750"/>
    </row>
    <row r="1122" spans="1:10" x14ac:dyDescent="0.35">
      <c r="A1122" s="92"/>
      <c r="F1122" s="726"/>
      <c r="G1122" s="735"/>
      <c r="H1122" s="93"/>
      <c r="I1122" s="750"/>
      <c r="J1122" s="750"/>
    </row>
    <row r="1123" spans="1:10" x14ac:dyDescent="0.35">
      <c r="A1123" s="92"/>
      <c r="F1123" s="726"/>
      <c r="G1123" s="735"/>
      <c r="H1123" s="93"/>
      <c r="I1123" s="750"/>
      <c r="J1123" s="750"/>
    </row>
    <row r="1124" spans="1:10" x14ac:dyDescent="0.35">
      <c r="A1124" s="92"/>
      <c r="F1124" s="726"/>
      <c r="G1124" s="735"/>
      <c r="H1124" s="93"/>
      <c r="I1124" s="750"/>
      <c r="J1124" s="750"/>
    </row>
    <row r="1125" spans="1:10" x14ac:dyDescent="0.35">
      <c r="A1125" s="92"/>
      <c r="F1125" s="726"/>
      <c r="G1125" s="735"/>
      <c r="H1125" s="93"/>
      <c r="I1125" s="750"/>
      <c r="J1125" s="750"/>
    </row>
    <row r="1126" spans="1:10" x14ac:dyDescent="0.35">
      <c r="A1126" s="92"/>
      <c r="F1126" s="726"/>
      <c r="G1126" s="735"/>
      <c r="H1126" s="93"/>
      <c r="I1126" s="750"/>
      <c r="J1126" s="750"/>
    </row>
    <row r="1127" spans="1:10" x14ac:dyDescent="0.35">
      <c r="A1127" s="92"/>
      <c r="F1127" s="726"/>
      <c r="G1127" s="735"/>
      <c r="H1127" s="93"/>
      <c r="I1127" s="750"/>
      <c r="J1127" s="750"/>
    </row>
    <row r="1128" spans="1:10" x14ac:dyDescent="0.35">
      <c r="A1128" s="92"/>
      <c r="F1128" s="726"/>
      <c r="G1128" s="735"/>
      <c r="H1128" s="93"/>
      <c r="I1128" s="750"/>
      <c r="J1128" s="750"/>
    </row>
    <row r="1129" spans="1:10" x14ac:dyDescent="0.35">
      <c r="A1129" s="92"/>
      <c r="F1129" s="726"/>
      <c r="G1129" s="735"/>
      <c r="H1129" s="93"/>
      <c r="I1129" s="750"/>
      <c r="J1129" s="750"/>
    </row>
    <row r="1130" spans="1:10" x14ac:dyDescent="0.35">
      <c r="A1130" s="92"/>
      <c r="F1130" s="726"/>
      <c r="G1130" s="735"/>
      <c r="H1130" s="93"/>
      <c r="I1130" s="750"/>
      <c r="J1130" s="750"/>
    </row>
    <row r="1131" spans="1:10" x14ac:dyDescent="0.35">
      <c r="A1131" s="92"/>
      <c r="F1131" s="726"/>
      <c r="G1131" s="735"/>
      <c r="H1131" s="93"/>
      <c r="I1131" s="750"/>
      <c r="J1131" s="750"/>
    </row>
    <row r="1132" spans="1:10" x14ac:dyDescent="0.35">
      <c r="A1132" s="92"/>
      <c r="F1132" s="726"/>
      <c r="G1132" s="735"/>
      <c r="H1132" s="93"/>
      <c r="I1132" s="750"/>
      <c r="J1132" s="750"/>
    </row>
    <row r="1133" spans="1:10" x14ac:dyDescent="0.35">
      <c r="A1133" s="92"/>
      <c r="F1133" s="726"/>
      <c r="G1133" s="735"/>
      <c r="H1133" s="93"/>
      <c r="I1133" s="750"/>
      <c r="J1133" s="750"/>
    </row>
    <row r="1134" spans="1:10" x14ac:dyDescent="0.35">
      <c r="A1134" s="92"/>
      <c r="F1134" s="726"/>
      <c r="G1134" s="735"/>
      <c r="H1134" s="93"/>
      <c r="I1134" s="750"/>
      <c r="J1134" s="750"/>
    </row>
    <row r="1135" spans="1:10" x14ac:dyDescent="0.35">
      <c r="A1135" s="92"/>
      <c r="F1135" s="726"/>
      <c r="G1135" s="735"/>
      <c r="H1135" s="93"/>
      <c r="I1135" s="750"/>
      <c r="J1135" s="750"/>
    </row>
    <row r="1136" spans="1:10" x14ac:dyDescent="0.35">
      <c r="A1136" s="92"/>
      <c r="F1136" s="726"/>
      <c r="G1136" s="735"/>
      <c r="H1136" s="93"/>
      <c r="I1136" s="750"/>
      <c r="J1136" s="750"/>
    </row>
    <row r="1137" spans="1:10" x14ac:dyDescent="0.35">
      <c r="A1137" s="92"/>
      <c r="F1137" s="726"/>
      <c r="G1137" s="735"/>
      <c r="H1137" s="93"/>
      <c r="I1137" s="750"/>
      <c r="J1137" s="750"/>
    </row>
    <row r="1138" spans="1:10" x14ac:dyDescent="0.35">
      <c r="A1138" s="92"/>
      <c r="F1138" s="726"/>
      <c r="G1138" s="735"/>
      <c r="H1138" s="93"/>
      <c r="I1138" s="750"/>
      <c r="J1138" s="750"/>
    </row>
    <row r="1139" spans="1:10" x14ac:dyDescent="0.35">
      <c r="A1139" s="92"/>
      <c r="F1139" s="726"/>
      <c r="G1139" s="735"/>
      <c r="H1139" s="93"/>
      <c r="I1139" s="750"/>
      <c r="J1139" s="750"/>
    </row>
    <row r="1140" spans="1:10" x14ac:dyDescent="0.35">
      <c r="A1140" s="92"/>
      <c r="F1140" s="726"/>
      <c r="G1140" s="735"/>
      <c r="H1140" s="93"/>
      <c r="I1140" s="750"/>
      <c r="J1140" s="750"/>
    </row>
    <row r="1141" spans="1:10" x14ac:dyDescent="0.35">
      <c r="A1141" s="92"/>
      <c r="F1141" s="726"/>
      <c r="G1141" s="735"/>
      <c r="H1141" s="93"/>
      <c r="I1141" s="750"/>
      <c r="J1141" s="750"/>
    </row>
    <row r="1142" spans="1:10" x14ac:dyDescent="0.35">
      <c r="A1142" s="92"/>
      <c r="F1142" s="726"/>
      <c r="G1142" s="735"/>
      <c r="H1142" s="93"/>
      <c r="I1142" s="750"/>
      <c r="J1142" s="750"/>
    </row>
    <row r="1143" spans="1:10" x14ac:dyDescent="0.35">
      <c r="A1143" s="92"/>
      <c r="F1143" s="726"/>
      <c r="G1143" s="735"/>
      <c r="H1143" s="93"/>
      <c r="I1143" s="750"/>
      <c r="J1143" s="750"/>
    </row>
    <row r="1144" spans="1:10" x14ac:dyDescent="0.35">
      <c r="A1144" s="92"/>
      <c r="F1144" s="726"/>
      <c r="G1144" s="735"/>
      <c r="H1144" s="93"/>
      <c r="I1144" s="750"/>
      <c r="J1144" s="750"/>
    </row>
    <row r="1145" spans="1:10" x14ac:dyDescent="0.35">
      <c r="A1145" s="92"/>
      <c r="F1145" s="726"/>
      <c r="G1145" s="735"/>
      <c r="H1145" s="93"/>
      <c r="I1145" s="750"/>
      <c r="J1145" s="750"/>
    </row>
    <row r="1146" spans="1:10" x14ac:dyDescent="0.35">
      <c r="A1146" s="92"/>
      <c r="F1146" s="726"/>
      <c r="G1146" s="735"/>
      <c r="H1146" s="93"/>
      <c r="I1146" s="750"/>
      <c r="J1146" s="750"/>
    </row>
    <row r="1147" spans="1:10" x14ac:dyDescent="0.35">
      <c r="A1147" s="92"/>
      <c r="F1147" s="726"/>
      <c r="G1147" s="735"/>
      <c r="H1147" s="93"/>
      <c r="I1147" s="750"/>
      <c r="J1147" s="750"/>
    </row>
    <row r="1148" spans="1:10" x14ac:dyDescent="0.35">
      <c r="A1148" s="92"/>
      <c r="F1148" s="726"/>
      <c r="G1148" s="735"/>
      <c r="H1148" s="93"/>
      <c r="I1148" s="750"/>
      <c r="J1148" s="750"/>
    </row>
    <row r="1149" spans="1:10" x14ac:dyDescent="0.35">
      <c r="A1149" s="92"/>
      <c r="F1149" s="726"/>
      <c r="G1149" s="735"/>
      <c r="H1149" s="93"/>
      <c r="I1149" s="750"/>
      <c r="J1149" s="750"/>
    </row>
    <row r="1150" spans="1:10" x14ac:dyDescent="0.35">
      <c r="A1150" s="92"/>
      <c r="F1150" s="726"/>
      <c r="G1150" s="735"/>
      <c r="H1150" s="93"/>
      <c r="I1150" s="750"/>
      <c r="J1150" s="750"/>
    </row>
    <row r="1151" spans="1:10" x14ac:dyDescent="0.35">
      <c r="A1151" s="92"/>
      <c r="F1151" s="726"/>
      <c r="G1151" s="735"/>
      <c r="H1151" s="93"/>
      <c r="I1151" s="750"/>
      <c r="J1151" s="750"/>
    </row>
    <row r="1152" spans="1:10" x14ac:dyDescent="0.35">
      <c r="A1152" s="92"/>
      <c r="F1152" s="726"/>
      <c r="G1152" s="735"/>
      <c r="H1152" s="93"/>
      <c r="I1152" s="750"/>
      <c r="J1152" s="750"/>
    </row>
    <row r="1153" spans="1:10" x14ac:dyDescent="0.35">
      <c r="A1153" s="92"/>
      <c r="F1153" s="726"/>
      <c r="G1153" s="735"/>
      <c r="H1153" s="93"/>
      <c r="I1153" s="750"/>
      <c r="J1153" s="750"/>
    </row>
    <row r="1154" spans="1:10" x14ac:dyDescent="0.35">
      <c r="A1154" s="92"/>
      <c r="F1154" s="726"/>
      <c r="G1154" s="735"/>
      <c r="H1154" s="93"/>
      <c r="I1154" s="750"/>
      <c r="J1154" s="750"/>
    </row>
    <row r="1155" spans="1:10" x14ac:dyDescent="0.35">
      <c r="A1155" s="92"/>
      <c r="F1155" s="726"/>
      <c r="G1155" s="735"/>
      <c r="H1155" s="93"/>
      <c r="I1155" s="750"/>
      <c r="J1155" s="750"/>
    </row>
    <row r="1156" spans="1:10" x14ac:dyDescent="0.35">
      <c r="A1156" s="92"/>
      <c r="F1156" s="726"/>
      <c r="G1156" s="735"/>
      <c r="H1156" s="93"/>
      <c r="I1156" s="750"/>
      <c r="J1156" s="750"/>
    </row>
    <row r="1157" spans="1:10" x14ac:dyDescent="0.35">
      <c r="A1157" s="92"/>
      <c r="F1157" s="726"/>
      <c r="G1157" s="735"/>
      <c r="H1157" s="93"/>
      <c r="I1157" s="750"/>
      <c r="J1157" s="750"/>
    </row>
    <row r="1158" spans="1:10" x14ac:dyDescent="0.35">
      <c r="A1158" s="92"/>
      <c r="F1158" s="726"/>
      <c r="G1158" s="735"/>
      <c r="H1158" s="93"/>
      <c r="I1158" s="750"/>
      <c r="J1158" s="750"/>
    </row>
    <row r="1159" spans="1:10" x14ac:dyDescent="0.35">
      <c r="A1159" s="92"/>
      <c r="F1159" s="726"/>
      <c r="G1159" s="735"/>
      <c r="H1159" s="93"/>
      <c r="I1159" s="750"/>
      <c r="J1159" s="750"/>
    </row>
    <row r="1160" spans="1:10" x14ac:dyDescent="0.35">
      <c r="A1160" s="92"/>
      <c r="F1160" s="726"/>
      <c r="G1160" s="735"/>
      <c r="H1160" s="93"/>
      <c r="I1160" s="750"/>
      <c r="J1160" s="750"/>
    </row>
    <row r="1161" spans="1:10" x14ac:dyDescent="0.35">
      <c r="A1161" s="92"/>
      <c r="F1161" s="726"/>
      <c r="G1161" s="735"/>
      <c r="H1161" s="93"/>
      <c r="I1161" s="750"/>
      <c r="J1161" s="750"/>
    </row>
    <row r="1162" spans="1:10" x14ac:dyDescent="0.35">
      <c r="A1162" s="92"/>
      <c r="F1162" s="726"/>
      <c r="G1162" s="735"/>
      <c r="H1162" s="93"/>
      <c r="I1162" s="750"/>
      <c r="J1162" s="750"/>
    </row>
    <row r="1163" spans="1:10" x14ac:dyDescent="0.35">
      <c r="A1163" s="92"/>
      <c r="F1163" s="726"/>
      <c r="G1163" s="735"/>
      <c r="H1163" s="93"/>
      <c r="I1163" s="750"/>
      <c r="J1163" s="750"/>
    </row>
    <row r="1164" spans="1:10" x14ac:dyDescent="0.35">
      <c r="A1164" s="92"/>
      <c r="F1164" s="726"/>
      <c r="G1164" s="735"/>
      <c r="H1164" s="93"/>
      <c r="I1164" s="750"/>
      <c r="J1164" s="750"/>
    </row>
    <row r="1165" spans="1:10" x14ac:dyDescent="0.35">
      <c r="A1165" s="92"/>
      <c r="F1165" s="726"/>
      <c r="G1165" s="735"/>
      <c r="H1165" s="93"/>
      <c r="I1165" s="750"/>
      <c r="J1165" s="750"/>
    </row>
    <row r="1166" spans="1:10" x14ac:dyDescent="0.35">
      <c r="A1166" s="92"/>
      <c r="F1166" s="726"/>
      <c r="G1166" s="735"/>
      <c r="H1166" s="93"/>
      <c r="I1166" s="750"/>
      <c r="J1166" s="750"/>
    </row>
    <row r="1167" spans="1:10" x14ac:dyDescent="0.35">
      <c r="A1167" s="92"/>
      <c r="F1167" s="726"/>
      <c r="G1167" s="735"/>
      <c r="H1167" s="93"/>
      <c r="I1167" s="750"/>
      <c r="J1167" s="750"/>
    </row>
    <row r="1168" spans="1:10" x14ac:dyDescent="0.35">
      <c r="A1168" s="92"/>
      <c r="F1168" s="726"/>
      <c r="G1168" s="735"/>
      <c r="H1168" s="93"/>
      <c r="I1168" s="750"/>
      <c r="J1168" s="750"/>
    </row>
    <row r="1169" spans="1:10" x14ac:dyDescent="0.35">
      <c r="A1169" s="92"/>
      <c r="F1169" s="726"/>
      <c r="G1169" s="735"/>
      <c r="H1169" s="93"/>
      <c r="I1169" s="750"/>
      <c r="J1169" s="750"/>
    </row>
    <row r="1170" spans="1:10" x14ac:dyDescent="0.35">
      <c r="A1170" s="92"/>
      <c r="F1170" s="726"/>
      <c r="G1170" s="735"/>
      <c r="H1170" s="93"/>
      <c r="I1170" s="750"/>
      <c r="J1170" s="750"/>
    </row>
    <row r="1171" spans="1:10" x14ac:dyDescent="0.35">
      <c r="A1171" s="92"/>
      <c r="F1171" s="726"/>
      <c r="G1171" s="735"/>
      <c r="H1171" s="93"/>
      <c r="I1171" s="750"/>
      <c r="J1171" s="750"/>
    </row>
    <row r="1172" spans="1:10" x14ac:dyDescent="0.35">
      <c r="A1172" s="92"/>
      <c r="F1172" s="726"/>
      <c r="G1172" s="735"/>
      <c r="H1172" s="93"/>
      <c r="I1172" s="750"/>
      <c r="J1172" s="750"/>
    </row>
    <row r="1173" spans="1:10" x14ac:dyDescent="0.35">
      <c r="A1173" s="92"/>
      <c r="F1173" s="726"/>
      <c r="G1173" s="735"/>
      <c r="H1173" s="93"/>
      <c r="I1173" s="750"/>
      <c r="J1173" s="750"/>
    </row>
    <row r="1174" spans="1:10" x14ac:dyDescent="0.35">
      <c r="A1174" s="92"/>
      <c r="F1174" s="726"/>
      <c r="G1174" s="735"/>
      <c r="H1174" s="93"/>
      <c r="I1174" s="750"/>
      <c r="J1174" s="750"/>
    </row>
    <row r="1175" spans="1:10" x14ac:dyDescent="0.35">
      <c r="A1175" s="92"/>
      <c r="F1175" s="726"/>
      <c r="G1175" s="735"/>
      <c r="H1175" s="93"/>
      <c r="I1175" s="750"/>
      <c r="J1175" s="750"/>
    </row>
    <row r="1176" spans="1:10" x14ac:dyDescent="0.35">
      <c r="A1176" s="92"/>
      <c r="F1176" s="726"/>
      <c r="G1176" s="735"/>
      <c r="H1176" s="93"/>
      <c r="I1176" s="750"/>
      <c r="J1176" s="750"/>
    </row>
    <row r="1177" spans="1:10" x14ac:dyDescent="0.35">
      <c r="A1177" s="92"/>
      <c r="F1177" s="726"/>
      <c r="G1177" s="735"/>
      <c r="H1177" s="93"/>
      <c r="I1177" s="750"/>
      <c r="J1177" s="750"/>
    </row>
    <row r="1178" spans="1:10" x14ac:dyDescent="0.35">
      <c r="A1178" s="92"/>
      <c r="F1178" s="726"/>
      <c r="G1178" s="735"/>
      <c r="H1178" s="93"/>
      <c r="I1178" s="750"/>
      <c r="J1178" s="750"/>
    </row>
    <row r="1179" spans="1:10" x14ac:dyDescent="0.35">
      <c r="A1179" s="92"/>
      <c r="F1179" s="726"/>
      <c r="G1179" s="735"/>
      <c r="H1179" s="93"/>
      <c r="I1179" s="750"/>
      <c r="J1179" s="750"/>
    </row>
    <row r="1180" spans="1:10" x14ac:dyDescent="0.35">
      <c r="A1180" s="92"/>
      <c r="F1180" s="726"/>
      <c r="G1180" s="735"/>
      <c r="H1180" s="93"/>
      <c r="I1180" s="750"/>
      <c r="J1180" s="750"/>
    </row>
    <row r="1181" spans="1:10" x14ac:dyDescent="0.35">
      <c r="A1181" s="92"/>
      <c r="F1181" s="726"/>
      <c r="G1181" s="735"/>
      <c r="H1181" s="93"/>
      <c r="I1181" s="750"/>
      <c r="J1181" s="750"/>
    </row>
    <row r="1182" spans="1:10" x14ac:dyDescent="0.35">
      <c r="A1182" s="92"/>
      <c r="F1182" s="726"/>
      <c r="G1182" s="735"/>
      <c r="H1182" s="93"/>
      <c r="I1182" s="750"/>
      <c r="J1182" s="750"/>
    </row>
    <row r="1183" spans="1:10" x14ac:dyDescent="0.35">
      <c r="A1183" s="92"/>
      <c r="F1183" s="726"/>
      <c r="G1183" s="735"/>
      <c r="H1183" s="93"/>
      <c r="I1183" s="750"/>
      <c r="J1183" s="750"/>
    </row>
    <row r="1184" spans="1:10" x14ac:dyDescent="0.35">
      <c r="A1184" s="92"/>
      <c r="F1184" s="726"/>
      <c r="G1184" s="735"/>
      <c r="H1184" s="93"/>
      <c r="I1184" s="750"/>
      <c r="J1184" s="750"/>
    </row>
    <row r="1185" spans="1:10" x14ac:dyDescent="0.35">
      <c r="A1185" s="92"/>
      <c r="F1185" s="726"/>
      <c r="G1185" s="735"/>
      <c r="H1185" s="93"/>
      <c r="I1185" s="750"/>
      <c r="J1185" s="750"/>
    </row>
    <row r="1186" spans="1:10" x14ac:dyDescent="0.35">
      <c r="A1186" s="92"/>
      <c r="F1186" s="726"/>
      <c r="G1186" s="735"/>
      <c r="H1186" s="93"/>
      <c r="I1186" s="750"/>
      <c r="J1186" s="750"/>
    </row>
    <row r="1187" spans="1:10" x14ac:dyDescent="0.35">
      <c r="A1187" s="92"/>
      <c r="F1187" s="726"/>
      <c r="G1187" s="735"/>
      <c r="H1187" s="93"/>
      <c r="I1187" s="750"/>
      <c r="J1187" s="750"/>
    </row>
    <row r="1188" spans="1:10" x14ac:dyDescent="0.35">
      <c r="A1188" s="92"/>
      <c r="F1188" s="726"/>
      <c r="G1188" s="735"/>
      <c r="H1188" s="93"/>
      <c r="I1188" s="750"/>
      <c r="J1188" s="750"/>
    </row>
    <row r="1189" spans="1:10" x14ac:dyDescent="0.35">
      <c r="A1189" s="92"/>
      <c r="F1189" s="726"/>
      <c r="G1189" s="735"/>
      <c r="H1189" s="93"/>
      <c r="I1189" s="750"/>
      <c r="J1189" s="750"/>
    </row>
    <row r="1190" spans="1:10" x14ac:dyDescent="0.35">
      <c r="A1190" s="92"/>
      <c r="F1190" s="726"/>
      <c r="G1190" s="735"/>
      <c r="H1190" s="93"/>
      <c r="I1190" s="750"/>
      <c r="J1190" s="750"/>
    </row>
    <row r="1191" spans="1:10" x14ac:dyDescent="0.35">
      <c r="A1191" s="92"/>
      <c r="F1191" s="726"/>
      <c r="G1191" s="735"/>
      <c r="H1191" s="93"/>
      <c r="I1191" s="750"/>
      <c r="J1191" s="750"/>
    </row>
    <row r="1192" spans="1:10" x14ac:dyDescent="0.35">
      <c r="A1192" s="92"/>
      <c r="F1192" s="726"/>
      <c r="G1192" s="735"/>
      <c r="H1192" s="93"/>
      <c r="I1192" s="750"/>
      <c r="J1192" s="750"/>
    </row>
    <row r="1193" spans="1:10" x14ac:dyDescent="0.35">
      <c r="A1193" s="92"/>
      <c r="F1193" s="726"/>
      <c r="G1193" s="735"/>
      <c r="H1193" s="93"/>
      <c r="I1193" s="750"/>
      <c r="J1193" s="750"/>
    </row>
    <row r="1194" spans="1:10" x14ac:dyDescent="0.35">
      <c r="A1194" s="92"/>
      <c r="F1194" s="726"/>
      <c r="G1194" s="735"/>
      <c r="H1194" s="93"/>
      <c r="I1194" s="750"/>
      <c r="J1194" s="750"/>
    </row>
    <row r="1195" spans="1:10" x14ac:dyDescent="0.35">
      <c r="A1195" s="92"/>
      <c r="F1195" s="726"/>
      <c r="G1195" s="735"/>
      <c r="H1195" s="93"/>
      <c r="I1195" s="750"/>
      <c r="J1195" s="750"/>
    </row>
    <row r="1196" spans="1:10" x14ac:dyDescent="0.35">
      <c r="A1196" s="92"/>
      <c r="F1196" s="726"/>
      <c r="G1196" s="735"/>
      <c r="H1196" s="93"/>
      <c r="I1196" s="750"/>
      <c r="J1196" s="750"/>
    </row>
    <row r="1197" spans="1:10" x14ac:dyDescent="0.35">
      <c r="A1197" s="92"/>
      <c r="F1197" s="726"/>
      <c r="G1197" s="735"/>
      <c r="H1197" s="93"/>
      <c r="I1197" s="750"/>
      <c r="J1197" s="750"/>
    </row>
    <row r="1198" spans="1:10" x14ac:dyDescent="0.35">
      <c r="A1198" s="92"/>
      <c r="F1198" s="726"/>
      <c r="G1198" s="735"/>
      <c r="H1198" s="93"/>
      <c r="I1198" s="750"/>
      <c r="J1198" s="750"/>
    </row>
    <row r="1199" spans="1:10" x14ac:dyDescent="0.35">
      <c r="A1199" s="92"/>
      <c r="F1199" s="726"/>
      <c r="G1199" s="735"/>
      <c r="H1199" s="93"/>
      <c r="I1199" s="750"/>
      <c r="J1199" s="750"/>
    </row>
    <row r="1200" spans="1:10" x14ac:dyDescent="0.35">
      <c r="A1200" s="92"/>
      <c r="F1200" s="726"/>
      <c r="G1200" s="735"/>
      <c r="H1200" s="93"/>
      <c r="I1200" s="750"/>
      <c r="J1200" s="750"/>
    </row>
    <row r="1201" spans="1:10" x14ac:dyDescent="0.35">
      <c r="A1201" s="92"/>
      <c r="F1201" s="726"/>
      <c r="G1201" s="735"/>
      <c r="H1201" s="93"/>
      <c r="I1201" s="750"/>
      <c r="J1201" s="750"/>
    </row>
    <row r="1202" spans="1:10" x14ac:dyDescent="0.35">
      <c r="A1202" s="92"/>
      <c r="F1202" s="726"/>
      <c r="G1202" s="735"/>
      <c r="H1202" s="93"/>
      <c r="I1202" s="750"/>
      <c r="J1202" s="750"/>
    </row>
    <row r="1203" spans="1:10" x14ac:dyDescent="0.35">
      <c r="A1203" s="92"/>
      <c r="F1203" s="726"/>
      <c r="G1203" s="735"/>
      <c r="H1203" s="93"/>
      <c r="I1203" s="750"/>
      <c r="J1203" s="750"/>
    </row>
    <row r="1204" spans="1:10" x14ac:dyDescent="0.35">
      <c r="A1204" s="92"/>
      <c r="F1204" s="726"/>
      <c r="G1204" s="735"/>
      <c r="H1204" s="93"/>
      <c r="I1204" s="750"/>
      <c r="J1204" s="750"/>
    </row>
    <row r="1205" spans="1:10" x14ac:dyDescent="0.35">
      <c r="A1205" s="92"/>
      <c r="F1205" s="726"/>
      <c r="G1205" s="735"/>
      <c r="H1205" s="93"/>
      <c r="I1205" s="750"/>
      <c r="J1205" s="750"/>
    </row>
    <row r="1206" spans="1:10" x14ac:dyDescent="0.35">
      <c r="A1206" s="92"/>
      <c r="F1206" s="726"/>
      <c r="G1206" s="735"/>
      <c r="H1206" s="93"/>
      <c r="I1206" s="750"/>
      <c r="J1206" s="750"/>
    </row>
    <row r="1207" spans="1:10" x14ac:dyDescent="0.35">
      <c r="A1207" s="92"/>
      <c r="F1207" s="726"/>
      <c r="G1207" s="735"/>
      <c r="H1207" s="93"/>
      <c r="I1207" s="750"/>
      <c r="J1207" s="750"/>
    </row>
    <row r="1208" spans="1:10" x14ac:dyDescent="0.35">
      <c r="A1208" s="92"/>
      <c r="F1208" s="726"/>
      <c r="G1208" s="735"/>
      <c r="H1208" s="93"/>
      <c r="I1208" s="750"/>
      <c r="J1208" s="750"/>
    </row>
    <row r="1209" spans="1:10" x14ac:dyDescent="0.35">
      <c r="A1209" s="92"/>
      <c r="F1209" s="726"/>
      <c r="G1209" s="735"/>
      <c r="H1209" s="93"/>
      <c r="I1209" s="750"/>
      <c r="J1209" s="750"/>
    </row>
    <row r="1210" spans="1:10" x14ac:dyDescent="0.35">
      <c r="A1210" s="92"/>
      <c r="F1210" s="726"/>
      <c r="G1210" s="735"/>
      <c r="H1210" s="93"/>
      <c r="I1210" s="750"/>
      <c r="J1210" s="750"/>
    </row>
    <row r="1211" spans="1:10" x14ac:dyDescent="0.35">
      <c r="A1211" s="92"/>
      <c r="F1211" s="726"/>
      <c r="G1211" s="735"/>
      <c r="H1211" s="93"/>
      <c r="I1211" s="750"/>
      <c r="J1211" s="750"/>
    </row>
    <row r="1212" spans="1:10" x14ac:dyDescent="0.35">
      <c r="A1212" s="92"/>
      <c r="F1212" s="726"/>
      <c r="G1212" s="735"/>
      <c r="H1212" s="93"/>
      <c r="I1212" s="750"/>
      <c r="J1212" s="750"/>
    </row>
    <row r="1213" spans="1:10" x14ac:dyDescent="0.35">
      <c r="A1213" s="92"/>
      <c r="F1213" s="726"/>
      <c r="G1213" s="735"/>
      <c r="H1213" s="93"/>
      <c r="I1213" s="750"/>
      <c r="J1213" s="750"/>
    </row>
    <row r="1214" spans="1:10" x14ac:dyDescent="0.35">
      <c r="A1214" s="92"/>
      <c r="F1214" s="726"/>
      <c r="G1214" s="735"/>
      <c r="H1214" s="93"/>
      <c r="I1214" s="750"/>
      <c r="J1214" s="750"/>
    </row>
    <row r="1215" spans="1:10" x14ac:dyDescent="0.35">
      <c r="A1215" s="92"/>
      <c r="F1215" s="726"/>
      <c r="G1215" s="735"/>
      <c r="H1215" s="93"/>
      <c r="I1215" s="750"/>
      <c r="J1215" s="750"/>
    </row>
    <row r="1216" spans="1:10" x14ac:dyDescent="0.35">
      <c r="A1216" s="92"/>
      <c r="F1216" s="726"/>
      <c r="G1216" s="735"/>
      <c r="H1216" s="93"/>
      <c r="I1216" s="750"/>
      <c r="J1216" s="750"/>
    </row>
    <row r="1217" spans="1:10" x14ac:dyDescent="0.35">
      <c r="A1217" s="92"/>
      <c r="F1217" s="726"/>
      <c r="G1217" s="735"/>
      <c r="H1217" s="93"/>
      <c r="I1217" s="750"/>
      <c r="J1217" s="750"/>
    </row>
    <row r="1218" spans="1:10" x14ac:dyDescent="0.35">
      <c r="A1218" s="92"/>
      <c r="F1218" s="726"/>
      <c r="G1218" s="735"/>
      <c r="H1218" s="93"/>
      <c r="I1218" s="750"/>
      <c r="J1218" s="750"/>
    </row>
    <row r="1219" spans="1:10" x14ac:dyDescent="0.35">
      <c r="A1219" s="92"/>
      <c r="F1219" s="726"/>
      <c r="G1219" s="735"/>
      <c r="H1219" s="93"/>
      <c r="I1219" s="750"/>
      <c r="J1219" s="750"/>
    </row>
    <row r="1220" spans="1:10" x14ac:dyDescent="0.35">
      <c r="A1220" s="92"/>
      <c r="F1220" s="726"/>
      <c r="G1220" s="735"/>
      <c r="H1220" s="93"/>
      <c r="I1220" s="750"/>
      <c r="J1220" s="750"/>
    </row>
    <row r="1221" spans="1:10" x14ac:dyDescent="0.35">
      <c r="A1221" s="92"/>
      <c r="F1221" s="726"/>
      <c r="G1221" s="735"/>
      <c r="H1221" s="93"/>
      <c r="I1221" s="750"/>
      <c r="J1221" s="750"/>
    </row>
    <row r="1222" spans="1:10" x14ac:dyDescent="0.35">
      <c r="A1222" s="92"/>
      <c r="F1222" s="726"/>
      <c r="G1222" s="735"/>
      <c r="H1222" s="93"/>
      <c r="I1222" s="750"/>
      <c r="J1222" s="750"/>
    </row>
    <row r="1223" spans="1:10" x14ac:dyDescent="0.35">
      <c r="A1223" s="92"/>
      <c r="F1223" s="726"/>
      <c r="G1223" s="735"/>
      <c r="H1223" s="93"/>
      <c r="I1223" s="750"/>
      <c r="J1223" s="750"/>
    </row>
    <row r="1224" spans="1:10" x14ac:dyDescent="0.35">
      <c r="A1224" s="92"/>
      <c r="F1224" s="726"/>
      <c r="G1224" s="735"/>
      <c r="H1224" s="93"/>
      <c r="I1224" s="750"/>
      <c r="J1224" s="750"/>
    </row>
    <row r="1225" spans="1:10" x14ac:dyDescent="0.35">
      <c r="A1225" s="92"/>
      <c r="F1225" s="726"/>
      <c r="G1225" s="735"/>
      <c r="H1225" s="93"/>
      <c r="I1225" s="750"/>
      <c r="J1225" s="750"/>
    </row>
    <row r="1226" spans="1:10" x14ac:dyDescent="0.35">
      <c r="A1226" s="92"/>
      <c r="F1226" s="726"/>
      <c r="G1226" s="735"/>
      <c r="H1226" s="93"/>
      <c r="I1226" s="750"/>
      <c r="J1226" s="750"/>
    </row>
    <row r="1227" spans="1:10" x14ac:dyDescent="0.35">
      <c r="A1227" s="92"/>
      <c r="F1227" s="726"/>
      <c r="G1227" s="735"/>
      <c r="H1227" s="93"/>
      <c r="I1227" s="750"/>
      <c r="J1227" s="750"/>
    </row>
    <row r="1228" spans="1:10" x14ac:dyDescent="0.35">
      <c r="A1228" s="92"/>
      <c r="F1228" s="726"/>
      <c r="G1228" s="735"/>
      <c r="H1228" s="93"/>
      <c r="I1228" s="750"/>
      <c r="J1228" s="750"/>
    </row>
    <row r="1229" spans="1:10" x14ac:dyDescent="0.35">
      <c r="A1229" s="92"/>
      <c r="F1229" s="726"/>
      <c r="G1229" s="735"/>
      <c r="H1229" s="93"/>
      <c r="I1229" s="750"/>
      <c r="J1229" s="750"/>
    </row>
    <row r="1230" spans="1:10" x14ac:dyDescent="0.35">
      <c r="A1230" s="92"/>
      <c r="F1230" s="726"/>
      <c r="G1230" s="735"/>
      <c r="H1230" s="93"/>
      <c r="I1230" s="750"/>
      <c r="J1230" s="750"/>
    </row>
    <row r="1231" spans="1:10" x14ac:dyDescent="0.35">
      <c r="A1231" s="92"/>
      <c r="F1231" s="726"/>
      <c r="G1231" s="735"/>
      <c r="H1231" s="93"/>
      <c r="I1231" s="750"/>
      <c r="J1231" s="750"/>
    </row>
    <row r="1232" spans="1:10" x14ac:dyDescent="0.35">
      <c r="A1232" s="92"/>
      <c r="F1232" s="726"/>
      <c r="G1232" s="735"/>
      <c r="H1232" s="93"/>
      <c r="I1232" s="750"/>
      <c r="J1232" s="750"/>
    </row>
    <row r="1233" spans="1:10" x14ac:dyDescent="0.35">
      <c r="A1233" s="92"/>
      <c r="F1233" s="726"/>
      <c r="G1233" s="735"/>
      <c r="H1233" s="93"/>
      <c r="I1233" s="750"/>
      <c r="J1233" s="750"/>
    </row>
    <row r="1234" spans="1:10" x14ac:dyDescent="0.35">
      <c r="A1234" s="92"/>
      <c r="F1234" s="726"/>
      <c r="G1234" s="735"/>
      <c r="H1234" s="93"/>
      <c r="I1234" s="750"/>
      <c r="J1234" s="750"/>
    </row>
    <row r="1235" spans="1:10" x14ac:dyDescent="0.35">
      <c r="A1235" s="92"/>
      <c r="F1235" s="726"/>
      <c r="G1235" s="735"/>
      <c r="H1235" s="93"/>
      <c r="I1235" s="750"/>
      <c r="J1235" s="750"/>
    </row>
    <row r="1236" spans="1:10" x14ac:dyDescent="0.35">
      <c r="A1236" s="92"/>
      <c r="F1236" s="726"/>
      <c r="G1236" s="735"/>
      <c r="H1236" s="93"/>
      <c r="I1236" s="750"/>
      <c r="J1236" s="750"/>
    </row>
    <row r="1237" spans="1:10" x14ac:dyDescent="0.35">
      <c r="A1237" s="92"/>
      <c r="F1237" s="726"/>
      <c r="G1237" s="735"/>
      <c r="H1237" s="93"/>
      <c r="I1237" s="750"/>
      <c r="J1237" s="750"/>
    </row>
    <row r="1238" spans="1:10" x14ac:dyDescent="0.35">
      <c r="A1238" s="92"/>
      <c r="F1238" s="726"/>
      <c r="G1238" s="735"/>
      <c r="H1238" s="93"/>
      <c r="I1238" s="750"/>
      <c r="J1238" s="750"/>
    </row>
    <row r="1239" spans="1:10" x14ac:dyDescent="0.35">
      <c r="A1239" s="92"/>
      <c r="F1239" s="726"/>
      <c r="G1239" s="735"/>
      <c r="H1239" s="93"/>
      <c r="I1239" s="750"/>
      <c r="J1239" s="750"/>
    </row>
    <row r="1240" spans="1:10" x14ac:dyDescent="0.35">
      <c r="A1240" s="92"/>
      <c r="F1240" s="726"/>
      <c r="G1240" s="735"/>
      <c r="H1240" s="93"/>
      <c r="I1240" s="750"/>
      <c r="J1240" s="750"/>
    </row>
    <row r="1241" spans="1:10" x14ac:dyDescent="0.35">
      <c r="A1241" s="92"/>
      <c r="F1241" s="726"/>
      <c r="G1241" s="735"/>
      <c r="H1241" s="93"/>
      <c r="I1241" s="750"/>
      <c r="J1241" s="750"/>
    </row>
    <row r="1242" spans="1:10" x14ac:dyDescent="0.35">
      <c r="A1242" s="92"/>
      <c r="F1242" s="726"/>
      <c r="G1242" s="735"/>
      <c r="H1242" s="93"/>
      <c r="I1242" s="750"/>
      <c r="J1242" s="750"/>
    </row>
    <row r="1243" spans="1:10" x14ac:dyDescent="0.35">
      <c r="A1243" s="92"/>
      <c r="F1243" s="726"/>
      <c r="G1243" s="735"/>
      <c r="H1243" s="93"/>
      <c r="I1243" s="750"/>
      <c r="J1243" s="750"/>
    </row>
    <row r="1244" spans="1:10" x14ac:dyDescent="0.35">
      <c r="A1244" s="92"/>
      <c r="F1244" s="726"/>
      <c r="G1244" s="735"/>
      <c r="H1244" s="93"/>
      <c r="I1244" s="750"/>
      <c r="J1244" s="750"/>
    </row>
    <row r="1245" spans="1:10" x14ac:dyDescent="0.35">
      <c r="A1245" s="92"/>
      <c r="F1245" s="726"/>
      <c r="G1245" s="735"/>
      <c r="H1245" s="93"/>
      <c r="I1245" s="750"/>
      <c r="J1245" s="750"/>
    </row>
    <row r="1246" spans="1:10" x14ac:dyDescent="0.35">
      <c r="A1246" s="92"/>
      <c r="F1246" s="726"/>
      <c r="G1246" s="735"/>
      <c r="H1246" s="93"/>
      <c r="I1246" s="750"/>
      <c r="J1246" s="750"/>
    </row>
    <row r="1247" spans="1:10" x14ac:dyDescent="0.35">
      <c r="A1247" s="92"/>
      <c r="F1247" s="726"/>
      <c r="G1247" s="735"/>
      <c r="H1247" s="93"/>
      <c r="I1247" s="750"/>
      <c r="J1247" s="750"/>
    </row>
    <row r="1248" spans="1:10" x14ac:dyDescent="0.35">
      <c r="A1248" s="92"/>
      <c r="F1248" s="726"/>
      <c r="G1248" s="735"/>
      <c r="H1248" s="93"/>
      <c r="I1248" s="750"/>
      <c r="J1248" s="750"/>
    </row>
    <row r="1249" spans="1:10" x14ac:dyDescent="0.35">
      <c r="A1249" s="92"/>
      <c r="F1249" s="726"/>
      <c r="G1249" s="735"/>
      <c r="H1249" s="93"/>
      <c r="I1249" s="750"/>
      <c r="J1249" s="750"/>
    </row>
    <row r="1250" spans="1:10" x14ac:dyDescent="0.35">
      <c r="A1250" s="92"/>
      <c r="F1250" s="726"/>
      <c r="G1250" s="735"/>
      <c r="H1250" s="93"/>
      <c r="I1250" s="750"/>
      <c r="J1250" s="750"/>
    </row>
    <row r="1251" spans="1:10" x14ac:dyDescent="0.35">
      <c r="A1251" s="92"/>
      <c r="F1251" s="726"/>
      <c r="G1251" s="735"/>
      <c r="H1251" s="93"/>
      <c r="I1251" s="750"/>
      <c r="J1251" s="750"/>
    </row>
    <row r="1252" spans="1:10" x14ac:dyDescent="0.35">
      <c r="A1252" s="92"/>
      <c r="F1252" s="726"/>
      <c r="G1252" s="735"/>
      <c r="H1252" s="93"/>
      <c r="I1252" s="750"/>
      <c r="J1252" s="750"/>
    </row>
    <row r="1253" spans="1:10" x14ac:dyDescent="0.35">
      <c r="A1253" s="92"/>
      <c r="F1253" s="726"/>
      <c r="G1253" s="735"/>
      <c r="H1253" s="93"/>
      <c r="I1253" s="750"/>
      <c r="J1253" s="750"/>
    </row>
    <row r="1254" spans="1:10" x14ac:dyDescent="0.35">
      <c r="A1254" s="92"/>
      <c r="F1254" s="726"/>
      <c r="G1254" s="735"/>
      <c r="H1254" s="93"/>
      <c r="I1254" s="750"/>
      <c r="J1254" s="750"/>
    </row>
    <row r="1255" spans="1:10" x14ac:dyDescent="0.35">
      <c r="A1255" s="92"/>
      <c r="F1255" s="726"/>
      <c r="G1255" s="735"/>
      <c r="H1255" s="93"/>
      <c r="I1255" s="750"/>
      <c r="J1255" s="750"/>
    </row>
    <row r="1256" spans="1:10" x14ac:dyDescent="0.35">
      <c r="A1256" s="92"/>
      <c r="F1256" s="726"/>
      <c r="G1256" s="735"/>
      <c r="H1256" s="93"/>
      <c r="I1256" s="750"/>
      <c r="J1256" s="750"/>
    </row>
    <row r="1257" spans="1:10" x14ac:dyDescent="0.35">
      <c r="A1257" s="92"/>
      <c r="F1257" s="726"/>
      <c r="G1257" s="735"/>
      <c r="H1257" s="93"/>
      <c r="I1257" s="750"/>
      <c r="J1257" s="750"/>
    </row>
    <row r="1258" spans="1:10" x14ac:dyDescent="0.35">
      <c r="A1258" s="92"/>
      <c r="F1258" s="726"/>
      <c r="G1258" s="735"/>
      <c r="H1258" s="93"/>
      <c r="I1258" s="750"/>
      <c r="J1258" s="750"/>
    </row>
    <row r="1259" spans="1:10" x14ac:dyDescent="0.35">
      <c r="A1259" s="92"/>
      <c r="F1259" s="726"/>
      <c r="G1259" s="735"/>
      <c r="H1259" s="93"/>
      <c r="I1259" s="750"/>
      <c r="J1259" s="750"/>
    </row>
    <row r="1260" spans="1:10" x14ac:dyDescent="0.35">
      <c r="A1260" s="92"/>
      <c r="F1260" s="726"/>
      <c r="G1260" s="735"/>
      <c r="H1260" s="93"/>
      <c r="I1260" s="750"/>
      <c r="J1260" s="750"/>
    </row>
    <row r="1261" spans="1:10" x14ac:dyDescent="0.35">
      <c r="A1261" s="92"/>
      <c r="F1261" s="726"/>
      <c r="G1261" s="735"/>
      <c r="H1261" s="93"/>
      <c r="I1261" s="750"/>
      <c r="J1261" s="750"/>
    </row>
    <row r="1262" spans="1:10" x14ac:dyDescent="0.35">
      <c r="A1262" s="92"/>
      <c r="F1262" s="726"/>
      <c r="G1262" s="735"/>
      <c r="H1262" s="93"/>
      <c r="I1262" s="750"/>
      <c r="J1262" s="750"/>
    </row>
    <row r="1263" spans="1:10" x14ac:dyDescent="0.35">
      <c r="A1263" s="92"/>
      <c r="F1263" s="726"/>
      <c r="G1263" s="735"/>
      <c r="H1263" s="93"/>
      <c r="I1263" s="750"/>
      <c r="J1263" s="750"/>
    </row>
    <row r="1264" spans="1:10" x14ac:dyDescent="0.35">
      <c r="A1264" s="92"/>
      <c r="F1264" s="726"/>
      <c r="G1264" s="735"/>
      <c r="H1264" s="93"/>
      <c r="I1264" s="750"/>
      <c r="J1264" s="750"/>
    </row>
    <row r="1265" spans="1:10" x14ac:dyDescent="0.35">
      <c r="A1265" s="92"/>
      <c r="F1265" s="726"/>
      <c r="G1265" s="735"/>
      <c r="H1265" s="93"/>
      <c r="I1265" s="750"/>
      <c r="J1265" s="750"/>
    </row>
    <row r="1266" spans="1:10" x14ac:dyDescent="0.35">
      <c r="A1266" s="92"/>
      <c r="F1266" s="726"/>
      <c r="G1266" s="735"/>
      <c r="H1266" s="93"/>
      <c r="I1266" s="750"/>
      <c r="J1266" s="750"/>
    </row>
    <row r="1267" spans="1:10" x14ac:dyDescent="0.35">
      <c r="A1267" s="92"/>
      <c r="F1267" s="726"/>
      <c r="G1267" s="735"/>
      <c r="H1267" s="93"/>
      <c r="I1267" s="750"/>
      <c r="J1267" s="750"/>
    </row>
    <row r="1268" spans="1:10" x14ac:dyDescent="0.35">
      <c r="A1268" s="92"/>
      <c r="F1268" s="726"/>
      <c r="G1268" s="735"/>
      <c r="H1268" s="93"/>
      <c r="I1268" s="750"/>
      <c r="J1268" s="750"/>
    </row>
    <row r="1269" spans="1:10" x14ac:dyDescent="0.35">
      <c r="A1269" s="92"/>
      <c r="F1269" s="726"/>
      <c r="G1269" s="735"/>
      <c r="H1269" s="93"/>
      <c r="I1269" s="750"/>
      <c r="J1269" s="750"/>
    </row>
    <row r="1270" spans="1:10" x14ac:dyDescent="0.35">
      <c r="A1270" s="92"/>
      <c r="F1270" s="726"/>
      <c r="G1270" s="735"/>
      <c r="H1270" s="93"/>
      <c r="I1270" s="750"/>
      <c r="J1270" s="750"/>
    </row>
    <row r="1271" spans="1:10" x14ac:dyDescent="0.35">
      <c r="A1271" s="92"/>
      <c r="F1271" s="726"/>
      <c r="G1271" s="735"/>
      <c r="H1271" s="93"/>
      <c r="I1271" s="750"/>
      <c r="J1271" s="750"/>
    </row>
    <row r="1272" spans="1:10" x14ac:dyDescent="0.35">
      <c r="A1272" s="92"/>
      <c r="F1272" s="726"/>
      <c r="G1272" s="735"/>
      <c r="H1272" s="93"/>
      <c r="I1272" s="750"/>
      <c r="J1272" s="750"/>
    </row>
    <row r="1273" spans="1:10" x14ac:dyDescent="0.35">
      <c r="A1273" s="92"/>
      <c r="F1273" s="726"/>
      <c r="G1273" s="735"/>
      <c r="H1273" s="93"/>
      <c r="I1273" s="750"/>
      <c r="J1273" s="750"/>
    </row>
    <row r="1274" spans="1:10" x14ac:dyDescent="0.35">
      <c r="A1274" s="92"/>
      <c r="F1274" s="726"/>
      <c r="G1274" s="735"/>
      <c r="H1274" s="93"/>
      <c r="I1274" s="750"/>
      <c r="J1274" s="750"/>
    </row>
    <row r="1275" spans="1:10" x14ac:dyDescent="0.35">
      <c r="A1275" s="92"/>
      <c r="F1275" s="726"/>
      <c r="G1275" s="735"/>
      <c r="H1275" s="93"/>
      <c r="I1275" s="750"/>
      <c r="J1275" s="750"/>
    </row>
    <row r="1276" spans="1:10" x14ac:dyDescent="0.35">
      <c r="A1276" s="92"/>
      <c r="F1276" s="726"/>
      <c r="G1276" s="735"/>
      <c r="H1276" s="93"/>
      <c r="I1276" s="750"/>
      <c r="J1276" s="750"/>
    </row>
    <row r="1277" spans="1:10" x14ac:dyDescent="0.35">
      <c r="A1277" s="92"/>
      <c r="F1277" s="726"/>
      <c r="G1277" s="735"/>
      <c r="H1277" s="93"/>
      <c r="I1277" s="750"/>
      <c r="J1277" s="750"/>
    </row>
    <row r="1278" spans="1:10" x14ac:dyDescent="0.35">
      <c r="A1278" s="92"/>
      <c r="F1278" s="726"/>
      <c r="G1278" s="735"/>
      <c r="H1278" s="93"/>
      <c r="I1278" s="750"/>
      <c r="J1278" s="750"/>
    </row>
    <row r="1279" spans="1:10" x14ac:dyDescent="0.35">
      <c r="A1279" s="92"/>
      <c r="F1279" s="726"/>
      <c r="G1279" s="735"/>
      <c r="H1279" s="93"/>
      <c r="I1279" s="750"/>
      <c r="J1279" s="750"/>
    </row>
    <row r="1280" spans="1:10" x14ac:dyDescent="0.35">
      <c r="A1280" s="92"/>
      <c r="F1280" s="726"/>
      <c r="G1280" s="735"/>
      <c r="H1280" s="93"/>
      <c r="I1280" s="750"/>
      <c r="J1280" s="750"/>
    </row>
    <row r="1281" spans="1:10" x14ac:dyDescent="0.35">
      <c r="A1281" s="92"/>
      <c r="F1281" s="726"/>
      <c r="G1281" s="735"/>
      <c r="H1281" s="93"/>
      <c r="I1281" s="750"/>
      <c r="J1281" s="750"/>
    </row>
    <row r="1282" spans="1:10" x14ac:dyDescent="0.35">
      <c r="A1282" s="92"/>
      <c r="F1282" s="726"/>
      <c r="G1282" s="735"/>
      <c r="H1282" s="93"/>
      <c r="I1282" s="750"/>
      <c r="J1282" s="750"/>
    </row>
    <row r="1283" spans="1:10" x14ac:dyDescent="0.35">
      <c r="A1283" s="92"/>
      <c r="F1283" s="726"/>
      <c r="G1283" s="735"/>
      <c r="H1283" s="93"/>
      <c r="I1283" s="750"/>
      <c r="J1283" s="750"/>
    </row>
    <row r="1284" spans="1:10" x14ac:dyDescent="0.35">
      <c r="A1284" s="92"/>
      <c r="F1284" s="726"/>
      <c r="G1284" s="735"/>
      <c r="H1284" s="93"/>
      <c r="I1284" s="750"/>
      <c r="J1284" s="750"/>
    </row>
    <row r="1285" spans="1:10" x14ac:dyDescent="0.35">
      <c r="A1285" s="92"/>
      <c r="F1285" s="726"/>
      <c r="G1285" s="735"/>
      <c r="H1285" s="93"/>
      <c r="I1285" s="750"/>
      <c r="J1285" s="750"/>
    </row>
    <row r="1286" spans="1:10" x14ac:dyDescent="0.35">
      <c r="A1286" s="92"/>
      <c r="F1286" s="726"/>
      <c r="G1286" s="735"/>
      <c r="H1286" s="93"/>
      <c r="I1286" s="750"/>
      <c r="J1286" s="750"/>
    </row>
    <row r="1287" spans="1:10" x14ac:dyDescent="0.35">
      <c r="A1287" s="92"/>
      <c r="F1287" s="726"/>
      <c r="G1287" s="735"/>
      <c r="H1287" s="93"/>
      <c r="I1287" s="750"/>
      <c r="J1287" s="750"/>
    </row>
    <row r="1288" spans="1:10" x14ac:dyDescent="0.35">
      <c r="A1288" s="92"/>
      <c r="F1288" s="726"/>
      <c r="G1288" s="735"/>
      <c r="H1288" s="93"/>
      <c r="I1288" s="750"/>
      <c r="J1288" s="750"/>
    </row>
    <row r="1289" spans="1:10" x14ac:dyDescent="0.35">
      <c r="A1289" s="92"/>
      <c r="F1289" s="726"/>
      <c r="G1289" s="735"/>
      <c r="H1289" s="93"/>
      <c r="I1289" s="750"/>
      <c r="J1289" s="750"/>
    </row>
    <row r="1290" spans="1:10" x14ac:dyDescent="0.35">
      <c r="A1290" s="92"/>
      <c r="F1290" s="726"/>
      <c r="G1290" s="735"/>
      <c r="H1290" s="93"/>
      <c r="I1290" s="750"/>
      <c r="J1290" s="750"/>
    </row>
    <row r="1291" spans="1:10" x14ac:dyDescent="0.35">
      <c r="A1291" s="92"/>
      <c r="F1291" s="726"/>
      <c r="G1291" s="735"/>
      <c r="H1291" s="93"/>
      <c r="I1291" s="750"/>
      <c r="J1291" s="750"/>
    </row>
    <row r="1292" spans="1:10" x14ac:dyDescent="0.35">
      <c r="A1292" s="92"/>
      <c r="F1292" s="726"/>
      <c r="G1292" s="735"/>
      <c r="H1292" s="93"/>
      <c r="I1292" s="750"/>
      <c r="J1292" s="750"/>
    </row>
    <row r="1293" spans="1:10" x14ac:dyDescent="0.35">
      <c r="A1293" s="92"/>
      <c r="F1293" s="726"/>
      <c r="G1293" s="735"/>
      <c r="H1293" s="93"/>
      <c r="I1293" s="750"/>
      <c r="J1293" s="750"/>
    </row>
    <row r="1294" spans="1:10" x14ac:dyDescent="0.35">
      <c r="A1294" s="92"/>
      <c r="F1294" s="726"/>
      <c r="G1294" s="735"/>
      <c r="H1294" s="93"/>
      <c r="I1294" s="750"/>
      <c r="J1294" s="750"/>
    </row>
    <row r="1295" spans="1:10" x14ac:dyDescent="0.35">
      <c r="A1295" s="92"/>
      <c r="F1295" s="726"/>
      <c r="G1295" s="735"/>
      <c r="H1295" s="93"/>
      <c r="I1295" s="750"/>
      <c r="J1295" s="750"/>
    </row>
    <row r="1296" spans="1:10" x14ac:dyDescent="0.35">
      <c r="A1296" s="92"/>
      <c r="F1296" s="726"/>
      <c r="G1296" s="735"/>
      <c r="H1296" s="93"/>
      <c r="I1296" s="750"/>
      <c r="J1296" s="750"/>
    </row>
    <row r="1297" spans="1:10" x14ac:dyDescent="0.35">
      <c r="A1297" s="92"/>
      <c r="F1297" s="726"/>
      <c r="G1297" s="735"/>
      <c r="H1297" s="93"/>
      <c r="I1297" s="750"/>
      <c r="J1297" s="750"/>
    </row>
    <row r="1298" spans="1:10" x14ac:dyDescent="0.35">
      <c r="A1298" s="92"/>
      <c r="F1298" s="726"/>
      <c r="G1298" s="735"/>
      <c r="H1298" s="93"/>
      <c r="I1298" s="750"/>
      <c r="J1298" s="750"/>
    </row>
    <row r="1299" spans="1:10" x14ac:dyDescent="0.35">
      <c r="A1299" s="92"/>
      <c r="F1299" s="726"/>
      <c r="G1299" s="735"/>
      <c r="H1299" s="93"/>
      <c r="I1299" s="750"/>
      <c r="J1299" s="750"/>
    </row>
    <row r="1300" spans="1:10" x14ac:dyDescent="0.35">
      <c r="A1300" s="92"/>
      <c r="F1300" s="726"/>
      <c r="G1300" s="735"/>
      <c r="H1300" s="93"/>
      <c r="I1300" s="750"/>
      <c r="J1300" s="750"/>
    </row>
    <row r="1301" spans="1:10" x14ac:dyDescent="0.35">
      <c r="A1301" s="92"/>
      <c r="F1301" s="726"/>
      <c r="G1301" s="735"/>
      <c r="H1301" s="93"/>
      <c r="I1301" s="750"/>
      <c r="J1301" s="750"/>
    </row>
    <row r="1302" spans="1:10" x14ac:dyDescent="0.35">
      <c r="A1302" s="92"/>
      <c r="F1302" s="726"/>
      <c r="G1302" s="735"/>
      <c r="H1302" s="93"/>
      <c r="I1302" s="750"/>
      <c r="J1302" s="750"/>
    </row>
    <row r="1303" spans="1:10" x14ac:dyDescent="0.35">
      <c r="A1303" s="92"/>
      <c r="F1303" s="726"/>
      <c r="G1303" s="735"/>
      <c r="H1303" s="93"/>
      <c r="I1303" s="750"/>
      <c r="J1303" s="750"/>
    </row>
    <row r="1304" spans="1:10" x14ac:dyDescent="0.35">
      <c r="A1304" s="92"/>
      <c r="F1304" s="726"/>
      <c r="G1304" s="735"/>
      <c r="H1304" s="93"/>
      <c r="I1304" s="750"/>
      <c r="J1304" s="750"/>
    </row>
    <row r="1305" spans="1:10" x14ac:dyDescent="0.35">
      <c r="A1305" s="92"/>
      <c r="F1305" s="726"/>
      <c r="G1305" s="735"/>
      <c r="H1305" s="93"/>
      <c r="I1305" s="750"/>
      <c r="J1305" s="750"/>
    </row>
    <row r="1306" spans="1:10" x14ac:dyDescent="0.35">
      <c r="A1306" s="92"/>
      <c r="F1306" s="726"/>
      <c r="G1306" s="735"/>
      <c r="H1306" s="93"/>
      <c r="I1306" s="750"/>
      <c r="J1306" s="750"/>
    </row>
    <row r="1307" spans="1:10" x14ac:dyDescent="0.35">
      <c r="A1307" s="92"/>
      <c r="F1307" s="726"/>
      <c r="G1307" s="735"/>
      <c r="H1307" s="93"/>
      <c r="I1307" s="750"/>
      <c r="J1307" s="750"/>
    </row>
    <row r="1308" spans="1:10" x14ac:dyDescent="0.35">
      <c r="A1308" s="92"/>
      <c r="F1308" s="726"/>
      <c r="G1308" s="735"/>
      <c r="H1308" s="93"/>
      <c r="I1308" s="750"/>
      <c r="J1308" s="750"/>
    </row>
    <row r="1309" spans="1:10" x14ac:dyDescent="0.35">
      <c r="A1309" s="92"/>
      <c r="F1309" s="726"/>
      <c r="G1309" s="735"/>
      <c r="H1309" s="93"/>
      <c r="I1309" s="750"/>
      <c r="J1309" s="750"/>
    </row>
    <row r="1310" spans="1:10" x14ac:dyDescent="0.35">
      <c r="A1310" s="92"/>
      <c r="F1310" s="726"/>
      <c r="G1310" s="735"/>
      <c r="H1310" s="93"/>
      <c r="I1310" s="750"/>
      <c r="J1310" s="750"/>
    </row>
    <row r="1311" spans="1:10" x14ac:dyDescent="0.35">
      <c r="A1311" s="92"/>
      <c r="F1311" s="726"/>
      <c r="G1311" s="735"/>
      <c r="H1311" s="93"/>
      <c r="I1311" s="750"/>
      <c r="J1311" s="750"/>
    </row>
    <row r="1312" spans="1:10" x14ac:dyDescent="0.35">
      <c r="A1312" s="92"/>
      <c r="F1312" s="726"/>
      <c r="G1312" s="735"/>
      <c r="H1312" s="93"/>
      <c r="I1312" s="750"/>
      <c r="J1312" s="750"/>
    </row>
    <row r="1313" spans="1:10" x14ac:dyDescent="0.35">
      <c r="A1313" s="92"/>
      <c r="F1313" s="726"/>
      <c r="G1313" s="735"/>
      <c r="H1313" s="93"/>
      <c r="I1313" s="750"/>
      <c r="J1313" s="750"/>
    </row>
    <row r="1314" spans="1:10" x14ac:dyDescent="0.35">
      <c r="A1314" s="92"/>
      <c r="F1314" s="726"/>
      <c r="G1314" s="735"/>
      <c r="H1314" s="93"/>
      <c r="I1314" s="750"/>
      <c r="J1314" s="750"/>
    </row>
    <row r="1315" spans="1:10" x14ac:dyDescent="0.35">
      <c r="A1315" s="92"/>
      <c r="F1315" s="726"/>
      <c r="G1315" s="735"/>
      <c r="H1315" s="93"/>
      <c r="I1315" s="750"/>
      <c r="J1315" s="750"/>
    </row>
    <row r="1316" spans="1:10" x14ac:dyDescent="0.35">
      <c r="A1316" s="92"/>
      <c r="F1316" s="726"/>
      <c r="G1316" s="735"/>
      <c r="H1316" s="93"/>
      <c r="I1316" s="750"/>
      <c r="J1316" s="750"/>
    </row>
    <row r="1317" spans="1:10" x14ac:dyDescent="0.35">
      <c r="A1317" s="92"/>
      <c r="F1317" s="726"/>
      <c r="G1317" s="735"/>
      <c r="H1317" s="93"/>
      <c r="I1317" s="750"/>
      <c r="J1317" s="750"/>
    </row>
    <row r="1318" spans="1:10" x14ac:dyDescent="0.35">
      <c r="A1318" s="92"/>
      <c r="F1318" s="726"/>
      <c r="G1318" s="735"/>
      <c r="H1318" s="93"/>
      <c r="I1318" s="750"/>
      <c r="J1318" s="750"/>
    </row>
    <row r="1319" spans="1:10" x14ac:dyDescent="0.35">
      <c r="A1319" s="92"/>
      <c r="F1319" s="726"/>
      <c r="G1319" s="735"/>
      <c r="H1319" s="93"/>
      <c r="I1319" s="750"/>
      <c r="J1319" s="750"/>
    </row>
    <row r="1320" spans="1:10" x14ac:dyDescent="0.35">
      <c r="A1320" s="92"/>
      <c r="F1320" s="726"/>
      <c r="G1320" s="735"/>
      <c r="H1320" s="93"/>
      <c r="I1320" s="750"/>
      <c r="J1320" s="750"/>
    </row>
    <row r="1321" spans="1:10" x14ac:dyDescent="0.35">
      <c r="A1321" s="92"/>
      <c r="F1321" s="726"/>
      <c r="G1321" s="735"/>
      <c r="H1321" s="93"/>
      <c r="I1321" s="750"/>
      <c r="J1321" s="750"/>
    </row>
    <row r="1322" spans="1:10" x14ac:dyDescent="0.35">
      <c r="A1322" s="92"/>
      <c r="F1322" s="726"/>
      <c r="G1322" s="735"/>
      <c r="H1322" s="93"/>
      <c r="I1322" s="750"/>
      <c r="J1322" s="750"/>
    </row>
    <row r="1323" spans="1:10" x14ac:dyDescent="0.35">
      <c r="A1323" s="92"/>
      <c r="F1323" s="726"/>
      <c r="G1323" s="735"/>
      <c r="H1323" s="93"/>
      <c r="I1323" s="750"/>
      <c r="J1323" s="750"/>
    </row>
    <row r="1324" spans="1:10" x14ac:dyDescent="0.35">
      <c r="A1324" s="92"/>
      <c r="F1324" s="726"/>
      <c r="G1324" s="735"/>
      <c r="H1324" s="93"/>
      <c r="I1324" s="750"/>
      <c r="J1324" s="750"/>
    </row>
    <row r="1325" spans="1:10" x14ac:dyDescent="0.35">
      <c r="A1325" s="92"/>
      <c r="F1325" s="726"/>
      <c r="G1325" s="735"/>
      <c r="H1325" s="93"/>
      <c r="I1325" s="750"/>
      <c r="J1325" s="750"/>
    </row>
    <row r="1326" spans="1:10" x14ac:dyDescent="0.35">
      <c r="A1326" s="92"/>
      <c r="F1326" s="726"/>
      <c r="G1326" s="735"/>
      <c r="H1326" s="93"/>
      <c r="I1326" s="750"/>
      <c r="J1326" s="750"/>
    </row>
    <row r="1327" spans="1:10" x14ac:dyDescent="0.35">
      <c r="A1327" s="92"/>
      <c r="F1327" s="726"/>
      <c r="G1327" s="735"/>
      <c r="H1327" s="93"/>
      <c r="I1327" s="750"/>
      <c r="J1327" s="750"/>
    </row>
    <row r="1328" spans="1:10" x14ac:dyDescent="0.35">
      <c r="A1328" s="92"/>
      <c r="F1328" s="726"/>
      <c r="G1328" s="735"/>
      <c r="H1328" s="93"/>
      <c r="I1328" s="750"/>
      <c r="J1328" s="750"/>
    </row>
    <row r="1329" spans="1:10" x14ac:dyDescent="0.35">
      <c r="A1329" s="92"/>
      <c r="F1329" s="726"/>
      <c r="G1329" s="735"/>
      <c r="H1329" s="93"/>
      <c r="I1329" s="750"/>
      <c r="J1329" s="750"/>
    </row>
    <row r="1330" spans="1:10" x14ac:dyDescent="0.35">
      <c r="A1330" s="92"/>
      <c r="F1330" s="726"/>
      <c r="G1330" s="735"/>
      <c r="H1330" s="93"/>
      <c r="I1330" s="750"/>
      <c r="J1330" s="750"/>
    </row>
    <row r="1331" spans="1:10" x14ac:dyDescent="0.35">
      <c r="A1331" s="92"/>
      <c r="F1331" s="726"/>
      <c r="G1331" s="735"/>
      <c r="H1331" s="93"/>
      <c r="I1331" s="750"/>
      <c r="J1331" s="750"/>
    </row>
    <row r="1332" spans="1:10" x14ac:dyDescent="0.35">
      <c r="A1332" s="92"/>
      <c r="F1332" s="726"/>
      <c r="G1332" s="735"/>
      <c r="H1332" s="93"/>
      <c r="I1332" s="750"/>
      <c r="J1332" s="750"/>
    </row>
    <row r="1333" spans="1:10" x14ac:dyDescent="0.35">
      <c r="A1333" s="92"/>
      <c r="F1333" s="726"/>
      <c r="G1333" s="735"/>
      <c r="H1333" s="93"/>
      <c r="I1333" s="750"/>
      <c r="J1333" s="750"/>
    </row>
    <row r="1334" spans="1:10" x14ac:dyDescent="0.35">
      <c r="A1334" s="92"/>
      <c r="F1334" s="726"/>
      <c r="G1334" s="735"/>
      <c r="H1334" s="93"/>
      <c r="I1334" s="750"/>
      <c r="J1334" s="750"/>
    </row>
    <row r="1335" spans="1:10" x14ac:dyDescent="0.35">
      <c r="A1335" s="92"/>
      <c r="F1335" s="726"/>
      <c r="G1335" s="735"/>
      <c r="H1335" s="93"/>
      <c r="I1335" s="750"/>
      <c r="J1335" s="750"/>
    </row>
    <row r="1336" spans="1:10" x14ac:dyDescent="0.35">
      <c r="A1336" s="92"/>
      <c r="F1336" s="726"/>
      <c r="G1336" s="735"/>
      <c r="H1336" s="93"/>
      <c r="I1336" s="750"/>
      <c r="J1336" s="750"/>
    </row>
    <row r="1337" spans="1:10" x14ac:dyDescent="0.35">
      <c r="A1337" s="92"/>
      <c r="F1337" s="726"/>
      <c r="G1337" s="735"/>
      <c r="H1337" s="93"/>
      <c r="I1337" s="750"/>
      <c r="J1337" s="750"/>
    </row>
    <row r="1338" spans="1:10" x14ac:dyDescent="0.35">
      <c r="A1338" s="92"/>
      <c r="F1338" s="726"/>
      <c r="G1338" s="735"/>
      <c r="H1338" s="93"/>
      <c r="I1338" s="750"/>
      <c r="J1338" s="750"/>
    </row>
    <row r="1339" spans="1:10" x14ac:dyDescent="0.35">
      <c r="A1339" s="92"/>
      <c r="F1339" s="726"/>
      <c r="G1339" s="735"/>
      <c r="H1339" s="93"/>
      <c r="I1339" s="750"/>
      <c r="J1339" s="750"/>
    </row>
    <row r="1340" spans="1:10" x14ac:dyDescent="0.35">
      <c r="A1340" s="92"/>
      <c r="F1340" s="726"/>
      <c r="G1340" s="735"/>
      <c r="H1340" s="93"/>
      <c r="I1340" s="750"/>
      <c r="J1340" s="750"/>
    </row>
    <row r="1341" spans="1:10" x14ac:dyDescent="0.35">
      <c r="A1341" s="92"/>
      <c r="F1341" s="726"/>
      <c r="G1341" s="735"/>
      <c r="H1341" s="93"/>
      <c r="I1341" s="750"/>
      <c r="J1341" s="750"/>
    </row>
    <row r="1342" spans="1:10" x14ac:dyDescent="0.35">
      <c r="A1342" s="92"/>
      <c r="F1342" s="726"/>
      <c r="G1342" s="735"/>
      <c r="H1342" s="93"/>
      <c r="I1342" s="750"/>
      <c r="J1342" s="750"/>
    </row>
    <row r="1343" spans="1:10" x14ac:dyDescent="0.35">
      <c r="A1343" s="92"/>
      <c r="F1343" s="726"/>
      <c r="G1343" s="735"/>
      <c r="H1343" s="93"/>
      <c r="I1343" s="750"/>
      <c r="J1343" s="750"/>
    </row>
    <row r="1344" spans="1:10" x14ac:dyDescent="0.35">
      <c r="A1344" s="92"/>
      <c r="F1344" s="726"/>
      <c r="G1344" s="735"/>
      <c r="H1344" s="93"/>
      <c r="I1344" s="750"/>
      <c r="J1344" s="750"/>
    </row>
    <row r="1345" spans="1:10" x14ac:dyDescent="0.35">
      <c r="A1345" s="92"/>
      <c r="F1345" s="726"/>
      <c r="G1345" s="735"/>
      <c r="H1345" s="93"/>
      <c r="I1345" s="750"/>
      <c r="J1345" s="750"/>
    </row>
    <row r="1346" spans="1:10" x14ac:dyDescent="0.35">
      <c r="A1346" s="92"/>
      <c r="F1346" s="726"/>
      <c r="G1346" s="735"/>
      <c r="H1346" s="93"/>
      <c r="I1346" s="750"/>
      <c r="J1346" s="750"/>
    </row>
    <row r="1347" spans="1:10" x14ac:dyDescent="0.35">
      <c r="A1347" s="92"/>
      <c r="F1347" s="726"/>
      <c r="G1347" s="735"/>
      <c r="H1347" s="93"/>
      <c r="I1347" s="750"/>
      <c r="J1347" s="750"/>
    </row>
    <row r="1348" spans="1:10" x14ac:dyDescent="0.35">
      <c r="A1348" s="92"/>
      <c r="F1348" s="726"/>
      <c r="G1348" s="735"/>
      <c r="H1348" s="93"/>
      <c r="I1348" s="750"/>
      <c r="J1348" s="750"/>
    </row>
    <row r="1349" spans="1:10" x14ac:dyDescent="0.35">
      <c r="A1349" s="92"/>
      <c r="F1349" s="726"/>
      <c r="G1349" s="735"/>
      <c r="H1349" s="93"/>
      <c r="I1349" s="750"/>
      <c r="J1349" s="750"/>
    </row>
    <row r="1350" spans="1:10" x14ac:dyDescent="0.35">
      <c r="A1350" s="92"/>
      <c r="F1350" s="726"/>
      <c r="G1350" s="735"/>
      <c r="H1350" s="93"/>
      <c r="I1350" s="750"/>
      <c r="J1350" s="750"/>
    </row>
    <row r="1351" spans="1:10" x14ac:dyDescent="0.35">
      <c r="A1351" s="92"/>
      <c r="F1351" s="726"/>
      <c r="G1351" s="735"/>
      <c r="H1351" s="93"/>
      <c r="I1351" s="750"/>
      <c r="J1351" s="750"/>
    </row>
    <row r="1352" spans="1:10" x14ac:dyDescent="0.35">
      <c r="A1352" s="92"/>
      <c r="F1352" s="726"/>
      <c r="G1352" s="735"/>
      <c r="H1352" s="93"/>
      <c r="I1352" s="750"/>
      <c r="J1352" s="750"/>
    </row>
    <row r="1353" spans="1:10" x14ac:dyDescent="0.35">
      <c r="A1353" s="92"/>
      <c r="F1353" s="726"/>
      <c r="G1353" s="735"/>
      <c r="H1353" s="93"/>
      <c r="I1353" s="750"/>
      <c r="J1353" s="750"/>
    </row>
    <row r="1354" spans="1:10" x14ac:dyDescent="0.35">
      <c r="A1354" s="92"/>
      <c r="F1354" s="726"/>
      <c r="G1354" s="735"/>
      <c r="H1354" s="93"/>
      <c r="I1354" s="750"/>
      <c r="J1354" s="750"/>
    </row>
    <row r="1355" spans="1:10" x14ac:dyDescent="0.35">
      <c r="A1355" s="92"/>
      <c r="F1355" s="726"/>
      <c r="G1355" s="735"/>
      <c r="H1355" s="93"/>
      <c r="I1355" s="750"/>
      <c r="J1355" s="750"/>
    </row>
    <row r="1356" spans="1:10" x14ac:dyDescent="0.35">
      <c r="A1356" s="92"/>
      <c r="F1356" s="726"/>
      <c r="G1356" s="735"/>
      <c r="H1356" s="93"/>
      <c r="I1356" s="750"/>
      <c r="J1356" s="750"/>
    </row>
    <row r="1357" spans="1:10" x14ac:dyDescent="0.35">
      <c r="A1357" s="92"/>
      <c r="F1357" s="726"/>
      <c r="G1357" s="735"/>
      <c r="H1357" s="93"/>
      <c r="I1357" s="750"/>
      <c r="J1357" s="750"/>
    </row>
    <row r="1358" spans="1:10" x14ac:dyDescent="0.35">
      <c r="A1358" s="92"/>
      <c r="F1358" s="726"/>
      <c r="G1358" s="735"/>
      <c r="H1358" s="93"/>
      <c r="I1358" s="750"/>
      <c r="J1358" s="750"/>
    </row>
    <row r="1359" spans="1:10" x14ac:dyDescent="0.35">
      <c r="A1359" s="92"/>
      <c r="F1359" s="726"/>
      <c r="G1359" s="735"/>
      <c r="H1359" s="93"/>
      <c r="I1359" s="750"/>
      <c r="J1359" s="750"/>
    </row>
    <row r="1360" spans="1:10" x14ac:dyDescent="0.35">
      <c r="A1360" s="92"/>
      <c r="F1360" s="726"/>
      <c r="G1360" s="735"/>
      <c r="H1360" s="93"/>
      <c r="I1360" s="750"/>
      <c r="J1360" s="750"/>
    </row>
    <row r="1361" spans="1:10" x14ac:dyDescent="0.35">
      <c r="A1361" s="92"/>
      <c r="F1361" s="726"/>
      <c r="G1361" s="735"/>
      <c r="H1361" s="93"/>
      <c r="I1361" s="750"/>
      <c r="J1361" s="750"/>
    </row>
    <row r="1362" spans="1:10" x14ac:dyDescent="0.35">
      <c r="A1362" s="92"/>
      <c r="F1362" s="726"/>
      <c r="G1362" s="735"/>
      <c r="H1362" s="93"/>
      <c r="I1362" s="750"/>
      <c r="J1362" s="750"/>
    </row>
    <row r="1363" spans="1:10" x14ac:dyDescent="0.35">
      <c r="A1363" s="92"/>
      <c r="F1363" s="726"/>
      <c r="G1363" s="735"/>
      <c r="H1363" s="93"/>
      <c r="I1363" s="750"/>
      <c r="J1363" s="750"/>
    </row>
    <row r="1364" spans="1:10" x14ac:dyDescent="0.35">
      <c r="A1364" s="92"/>
      <c r="F1364" s="726"/>
      <c r="G1364" s="735"/>
      <c r="H1364" s="93"/>
      <c r="I1364" s="750"/>
      <c r="J1364" s="750"/>
    </row>
    <row r="1365" spans="1:10" x14ac:dyDescent="0.35">
      <c r="A1365" s="92"/>
      <c r="F1365" s="726"/>
      <c r="G1365" s="735"/>
      <c r="H1365" s="93"/>
      <c r="I1365" s="750"/>
      <c r="J1365" s="750"/>
    </row>
    <row r="1366" spans="1:10" x14ac:dyDescent="0.35">
      <c r="A1366" s="92"/>
      <c r="F1366" s="726"/>
      <c r="G1366" s="735"/>
      <c r="H1366" s="93"/>
      <c r="I1366" s="750"/>
      <c r="J1366" s="750"/>
    </row>
    <row r="1367" spans="1:10" x14ac:dyDescent="0.35">
      <c r="A1367" s="92"/>
      <c r="F1367" s="726"/>
      <c r="G1367" s="735"/>
      <c r="H1367" s="93"/>
      <c r="I1367" s="750"/>
      <c r="J1367" s="750"/>
    </row>
    <row r="1368" spans="1:10" x14ac:dyDescent="0.35">
      <c r="A1368" s="92"/>
      <c r="F1368" s="726"/>
      <c r="G1368" s="735"/>
      <c r="H1368" s="93"/>
      <c r="I1368" s="750"/>
      <c r="J1368" s="750"/>
    </row>
    <row r="1369" spans="1:10" x14ac:dyDescent="0.35">
      <c r="A1369" s="92"/>
      <c r="F1369" s="726"/>
      <c r="G1369" s="735"/>
      <c r="H1369" s="93"/>
      <c r="I1369" s="750"/>
      <c r="J1369" s="750"/>
    </row>
    <row r="1370" spans="1:10" x14ac:dyDescent="0.35">
      <c r="A1370" s="92"/>
      <c r="F1370" s="726"/>
      <c r="G1370" s="735"/>
      <c r="H1370" s="93"/>
      <c r="I1370" s="750"/>
      <c r="J1370" s="750"/>
    </row>
    <row r="1371" spans="1:10" x14ac:dyDescent="0.35">
      <c r="A1371" s="92"/>
      <c r="F1371" s="726"/>
      <c r="G1371" s="735"/>
      <c r="H1371" s="93"/>
      <c r="I1371" s="750"/>
      <c r="J1371" s="750"/>
    </row>
    <row r="1372" spans="1:10" x14ac:dyDescent="0.35">
      <c r="A1372" s="92"/>
      <c r="F1372" s="726"/>
      <c r="G1372" s="735"/>
      <c r="H1372" s="93"/>
      <c r="I1372" s="750"/>
      <c r="J1372" s="750"/>
    </row>
    <row r="1373" spans="1:10" x14ac:dyDescent="0.35">
      <c r="A1373" s="92"/>
      <c r="F1373" s="726"/>
      <c r="G1373" s="735"/>
      <c r="H1373" s="93"/>
      <c r="I1373" s="750"/>
      <c r="J1373" s="750"/>
    </row>
    <row r="1374" spans="1:10" x14ac:dyDescent="0.35">
      <c r="A1374" s="92"/>
      <c r="F1374" s="726"/>
      <c r="G1374" s="735"/>
      <c r="H1374" s="93"/>
      <c r="I1374" s="750"/>
      <c r="J1374" s="750"/>
    </row>
    <row r="1375" spans="1:10" x14ac:dyDescent="0.35">
      <c r="A1375" s="92"/>
      <c r="F1375" s="726"/>
      <c r="G1375" s="735"/>
      <c r="H1375" s="93"/>
      <c r="I1375" s="750"/>
      <c r="J1375" s="750"/>
    </row>
    <row r="1376" spans="1:10" x14ac:dyDescent="0.35">
      <c r="A1376" s="92"/>
      <c r="F1376" s="726"/>
      <c r="G1376" s="735"/>
      <c r="H1376" s="93"/>
      <c r="I1376" s="750"/>
      <c r="J1376" s="750"/>
    </row>
    <row r="1377" spans="1:10" x14ac:dyDescent="0.35">
      <c r="A1377" s="92"/>
      <c r="F1377" s="726"/>
      <c r="G1377" s="735"/>
      <c r="H1377" s="93"/>
      <c r="I1377" s="750"/>
      <c r="J1377" s="750"/>
    </row>
    <row r="1378" spans="1:10" x14ac:dyDescent="0.35">
      <c r="A1378" s="92"/>
      <c r="F1378" s="726"/>
      <c r="G1378" s="735"/>
      <c r="H1378" s="93"/>
      <c r="I1378" s="750"/>
      <c r="J1378" s="750"/>
    </row>
    <row r="1379" spans="1:10" x14ac:dyDescent="0.35">
      <c r="A1379" s="92"/>
      <c r="F1379" s="726"/>
      <c r="G1379" s="735"/>
      <c r="H1379" s="93"/>
      <c r="I1379" s="750"/>
      <c r="J1379" s="750"/>
    </row>
    <row r="1380" spans="1:10" x14ac:dyDescent="0.35">
      <c r="A1380" s="92"/>
      <c r="F1380" s="726"/>
      <c r="G1380" s="735"/>
      <c r="H1380" s="93"/>
      <c r="I1380" s="750"/>
      <c r="J1380" s="750"/>
    </row>
    <row r="1381" spans="1:10" x14ac:dyDescent="0.35">
      <c r="A1381" s="92"/>
      <c r="F1381" s="726"/>
      <c r="G1381" s="735"/>
      <c r="H1381" s="93"/>
      <c r="I1381" s="750"/>
      <c r="J1381" s="750"/>
    </row>
    <row r="1382" spans="1:10" x14ac:dyDescent="0.35">
      <c r="A1382" s="92"/>
      <c r="F1382" s="726"/>
      <c r="G1382" s="735"/>
      <c r="H1382" s="93"/>
      <c r="I1382" s="750"/>
      <c r="J1382" s="750"/>
    </row>
    <row r="1383" spans="1:10" x14ac:dyDescent="0.35">
      <c r="A1383" s="92"/>
      <c r="F1383" s="726"/>
      <c r="G1383" s="735"/>
      <c r="H1383" s="93"/>
      <c r="I1383" s="750"/>
      <c r="J1383" s="750"/>
    </row>
    <row r="1384" spans="1:10" x14ac:dyDescent="0.35">
      <c r="A1384" s="92"/>
      <c r="F1384" s="726"/>
      <c r="G1384" s="735"/>
      <c r="H1384" s="93"/>
      <c r="I1384" s="750"/>
      <c r="J1384" s="750"/>
    </row>
    <row r="1385" spans="1:10" x14ac:dyDescent="0.35">
      <c r="A1385" s="92"/>
      <c r="F1385" s="726"/>
      <c r="G1385" s="735"/>
      <c r="H1385" s="93"/>
      <c r="I1385" s="750"/>
      <c r="J1385" s="750"/>
    </row>
    <row r="1386" spans="1:10" x14ac:dyDescent="0.35">
      <c r="A1386" s="92"/>
      <c r="F1386" s="726"/>
      <c r="G1386" s="735"/>
      <c r="H1386" s="93"/>
      <c r="I1386" s="750"/>
      <c r="J1386" s="750"/>
    </row>
    <row r="1387" spans="1:10" x14ac:dyDescent="0.35">
      <c r="A1387" s="92"/>
      <c r="F1387" s="726"/>
      <c r="G1387" s="735"/>
      <c r="H1387" s="93"/>
      <c r="I1387" s="750"/>
      <c r="J1387" s="750"/>
    </row>
    <row r="1388" spans="1:10" x14ac:dyDescent="0.35">
      <c r="A1388" s="92"/>
      <c r="F1388" s="726"/>
      <c r="G1388" s="735"/>
      <c r="H1388" s="93"/>
      <c r="I1388" s="750"/>
      <c r="J1388" s="750"/>
    </row>
    <row r="1389" spans="1:10" x14ac:dyDescent="0.35">
      <c r="A1389" s="92"/>
      <c r="F1389" s="726"/>
      <c r="G1389" s="735"/>
      <c r="H1389" s="93"/>
      <c r="I1389" s="750"/>
      <c r="J1389" s="750"/>
    </row>
    <row r="1390" spans="1:10" x14ac:dyDescent="0.35">
      <c r="A1390" s="92"/>
      <c r="F1390" s="726"/>
      <c r="G1390" s="735"/>
      <c r="H1390" s="93"/>
      <c r="I1390" s="750"/>
      <c r="J1390" s="750"/>
    </row>
    <row r="1391" spans="1:10" x14ac:dyDescent="0.35">
      <c r="A1391" s="92"/>
      <c r="F1391" s="726"/>
      <c r="G1391" s="735"/>
      <c r="H1391" s="93"/>
      <c r="I1391" s="750"/>
      <c r="J1391" s="750"/>
    </row>
    <row r="1392" spans="1:10" x14ac:dyDescent="0.35">
      <c r="A1392" s="92"/>
      <c r="F1392" s="726"/>
      <c r="G1392" s="735"/>
      <c r="H1392" s="93"/>
      <c r="I1392" s="750"/>
      <c r="J1392" s="750"/>
    </row>
    <row r="1393" spans="1:10" x14ac:dyDescent="0.35">
      <c r="A1393" s="92"/>
      <c r="F1393" s="726"/>
      <c r="G1393" s="735"/>
      <c r="H1393" s="93"/>
      <c r="I1393" s="750"/>
      <c r="J1393" s="750"/>
    </row>
    <row r="1394" spans="1:10" x14ac:dyDescent="0.35">
      <c r="A1394" s="92"/>
      <c r="F1394" s="726"/>
      <c r="G1394" s="735"/>
      <c r="H1394" s="93"/>
      <c r="I1394" s="750"/>
      <c r="J1394" s="750"/>
    </row>
    <row r="1395" spans="1:10" x14ac:dyDescent="0.35">
      <c r="A1395" s="92"/>
      <c r="F1395" s="726"/>
      <c r="G1395" s="735"/>
      <c r="H1395" s="93"/>
      <c r="I1395" s="750"/>
      <c r="J1395" s="750"/>
    </row>
    <row r="1396" spans="1:10" x14ac:dyDescent="0.35">
      <c r="A1396" s="92"/>
      <c r="F1396" s="726"/>
      <c r="G1396" s="735"/>
      <c r="H1396" s="93"/>
      <c r="I1396" s="750"/>
      <c r="J1396" s="750"/>
    </row>
    <row r="1397" spans="1:10" x14ac:dyDescent="0.35">
      <c r="A1397" s="92"/>
      <c r="F1397" s="726"/>
      <c r="G1397" s="735"/>
      <c r="H1397" s="93"/>
      <c r="I1397" s="750"/>
      <c r="J1397" s="750"/>
    </row>
    <row r="1398" spans="1:10" x14ac:dyDescent="0.35">
      <c r="A1398" s="92"/>
      <c r="F1398" s="726"/>
      <c r="G1398" s="735"/>
      <c r="H1398" s="93"/>
      <c r="I1398" s="750"/>
      <c r="J1398" s="750"/>
    </row>
    <row r="1399" spans="1:10" x14ac:dyDescent="0.35">
      <c r="A1399" s="92"/>
      <c r="F1399" s="726"/>
      <c r="G1399" s="735"/>
      <c r="H1399" s="93"/>
      <c r="I1399" s="750"/>
      <c r="J1399" s="750"/>
    </row>
    <row r="1400" spans="1:10" x14ac:dyDescent="0.35">
      <c r="A1400" s="92"/>
      <c r="F1400" s="726"/>
      <c r="G1400" s="735"/>
      <c r="H1400" s="93"/>
      <c r="I1400" s="750"/>
      <c r="J1400" s="750"/>
    </row>
    <row r="1401" spans="1:10" x14ac:dyDescent="0.35">
      <c r="A1401" s="92"/>
      <c r="F1401" s="726"/>
      <c r="G1401" s="735"/>
      <c r="H1401" s="93"/>
      <c r="I1401" s="750"/>
      <c r="J1401" s="750"/>
    </row>
    <row r="1402" spans="1:10" x14ac:dyDescent="0.35">
      <c r="A1402" s="92"/>
      <c r="F1402" s="726"/>
      <c r="G1402" s="735"/>
      <c r="H1402" s="93"/>
      <c r="I1402" s="750"/>
      <c r="J1402" s="750"/>
    </row>
    <row r="1403" spans="1:10" x14ac:dyDescent="0.35">
      <c r="A1403" s="92"/>
      <c r="F1403" s="726"/>
      <c r="G1403" s="735"/>
      <c r="H1403" s="93"/>
      <c r="I1403" s="750"/>
      <c r="J1403" s="750"/>
    </row>
    <row r="1404" spans="1:10" x14ac:dyDescent="0.35">
      <c r="A1404" s="92"/>
      <c r="F1404" s="726"/>
      <c r="G1404" s="735"/>
      <c r="H1404" s="93"/>
      <c r="I1404" s="750"/>
      <c r="J1404" s="750"/>
    </row>
    <row r="1405" spans="1:10" x14ac:dyDescent="0.35">
      <c r="A1405" s="92"/>
      <c r="F1405" s="726"/>
      <c r="G1405" s="735"/>
      <c r="H1405" s="93"/>
      <c r="I1405" s="750"/>
      <c r="J1405" s="750"/>
    </row>
    <row r="1406" spans="1:10" x14ac:dyDescent="0.35">
      <c r="A1406" s="92"/>
      <c r="F1406" s="726"/>
      <c r="G1406" s="735"/>
      <c r="H1406" s="93"/>
      <c r="I1406" s="750"/>
      <c r="J1406" s="750"/>
    </row>
    <row r="1407" spans="1:10" x14ac:dyDescent="0.35">
      <c r="A1407" s="92"/>
      <c r="F1407" s="726"/>
      <c r="G1407" s="735"/>
      <c r="H1407" s="93"/>
      <c r="I1407" s="750"/>
      <c r="J1407" s="750"/>
    </row>
    <row r="1408" spans="1:10" x14ac:dyDescent="0.35">
      <c r="A1408" s="92"/>
      <c r="F1408" s="726"/>
      <c r="G1408" s="735"/>
      <c r="H1408" s="93"/>
      <c r="I1408" s="750"/>
      <c r="J1408" s="750"/>
    </row>
    <row r="1409" spans="1:10" x14ac:dyDescent="0.35">
      <c r="A1409" s="92"/>
      <c r="F1409" s="726"/>
      <c r="G1409" s="735"/>
      <c r="H1409" s="93"/>
      <c r="I1409" s="750"/>
      <c r="J1409" s="750"/>
    </row>
    <row r="1410" spans="1:10" x14ac:dyDescent="0.35">
      <c r="A1410" s="92"/>
      <c r="F1410" s="726"/>
      <c r="G1410" s="735"/>
      <c r="H1410" s="93"/>
      <c r="I1410" s="750"/>
      <c r="J1410" s="750"/>
    </row>
    <row r="1411" spans="1:10" x14ac:dyDescent="0.35">
      <c r="A1411" s="92"/>
      <c r="F1411" s="726"/>
      <c r="G1411" s="735"/>
      <c r="H1411" s="93"/>
      <c r="I1411" s="750"/>
      <c r="J1411" s="750"/>
    </row>
    <row r="1412" spans="1:10" x14ac:dyDescent="0.35">
      <c r="A1412" s="92"/>
      <c r="F1412" s="726"/>
      <c r="G1412" s="735"/>
      <c r="H1412" s="93"/>
      <c r="I1412" s="750"/>
      <c r="J1412" s="750"/>
    </row>
    <row r="1413" spans="1:10" x14ac:dyDescent="0.35">
      <c r="A1413" s="92"/>
      <c r="F1413" s="726"/>
      <c r="G1413" s="735"/>
      <c r="H1413" s="93"/>
      <c r="I1413" s="750"/>
      <c r="J1413" s="750"/>
    </row>
    <row r="1414" spans="1:10" x14ac:dyDescent="0.35">
      <c r="A1414" s="92"/>
      <c r="F1414" s="726"/>
      <c r="G1414" s="735"/>
      <c r="H1414" s="93"/>
      <c r="I1414" s="750"/>
      <c r="J1414" s="750"/>
    </row>
    <row r="1415" spans="1:10" x14ac:dyDescent="0.35">
      <c r="A1415" s="92"/>
      <c r="F1415" s="726"/>
      <c r="G1415" s="735"/>
      <c r="H1415" s="93"/>
      <c r="I1415" s="750"/>
      <c r="J1415" s="750"/>
    </row>
    <row r="1416" spans="1:10" x14ac:dyDescent="0.35">
      <c r="A1416" s="92"/>
      <c r="F1416" s="726"/>
      <c r="G1416" s="735"/>
      <c r="H1416" s="93"/>
      <c r="I1416" s="750"/>
      <c r="J1416" s="750"/>
    </row>
    <row r="1417" spans="1:10" x14ac:dyDescent="0.35">
      <c r="A1417" s="92"/>
      <c r="F1417" s="726"/>
      <c r="G1417" s="735"/>
      <c r="H1417" s="93"/>
      <c r="I1417" s="750"/>
      <c r="J1417" s="750"/>
    </row>
    <row r="1418" spans="1:10" x14ac:dyDescent="0.35">
      <c r="A1418" s="92"/>
      <c r="F1418" s="726"/>
      <c r="G1418" s="735"/>
      <c r="H1418" s="93"/>
      <c r="I1418" s="750"/>
      <c r="J1418" s="750"/>
    </row>
    <row r="1419" spans="1:10" x14ac:dyDescent="0.35">
      <c r="A1419" s="92"/>
      <c r="F1419" s="726"/>
      <c r="G1419" s="735"/>
      <c r="H1419" s="93"/>
      <c r="I1419" s="750"/>
      <c r="J1419" s="750"/>
    </row>
    <row r="1420" spans="1:10" x14ac:dyDescent="0.35">
      <c r="A1420" s="92"/>
      <c r="F1420" s="726"/>
      <c r="G1420" s="735"/>
      <c r="H1420" s="93"/>
      <c r="I1420" s="750"/>
      <c r="J1420" s="750"/>
    </row>
    <row r="1421" spans="1:10" x14ac:dyDescent="0.35">
      <c r="A1421" s="92"/>
      <c r="F1421" s="726"/>
      <c r="G1421" s="735"/>
      <c r="H1421" s="93"/>
      <c r="I1421" s="750"/>
      <c r="J1421" s="750"/>
    </row>
    <row r="1422" spans="1:10" x14ac:dyDescent="0.35">
      <c r="A1422" s="92"/>
      <c r="F1422" s="726"/>
      <c r="G1422" s="735"/>
      <c r="H1422" s="93"/>
      <c r="I1422" s="750"/>
      <c r="J1422" s="750"/>
    </row>
    <row r="1423" spans="1:10" x14ac:dyDescent="0.35">
      <c r="A1423" s="92"/>
      <c r="F1423" s="726"/>
      <c r="G1423" s="735"/>
      <c r="H1423" s="93"/>
      <c r="I1423" s="750"/>
      <c r="J1423" s="750"/>
    </row>
    <row r="1424" spans="1:10" x14ac:dyDescent="0.35">
      <c r="A1424" s="92"/>
      <c r="F1424" s="726"/>
      <c r="G1424" s="735"/>
      <c r="H1424" s="93"/>
      <c r="I1424" s="750"/>
      <c r="J1424" s="750"/>
    </row>
    <row r="1425" spans="1:10" x14ac:dyDescent="0.35">
      <c r="A1425" s="92"/>
      <c r="F1425" s="726"/>
      <c r="G1425" s="735"/>
      <c r="H1425" s="93"/>
      <c r="I1425" s="750"/>
      <c r="J1425" s="750"/>
    </row>
    <row r="1426" spans="1:10" x14ac:dyDescent="0.35">
      <c r="A1426" s="92"/>
      <c r="F1426" s="726"/>
      <c r="G1426" s="735"/>
      <c r="H1426" s="93"/>
      <c r="I1426" s="750"/>
      <c r="J1426" s="750"/>
    </row>
    <row r="1427" spans="1:10" x14ac:dyDescent="0.35">
      <c r="A1427" s="92"/>
      <c r="F1427" s="726"/>
      <c r="G1427" s="735"/>
      <c r="H1427" s="93"/>
      <c r="I1427" s="750"/>
      <c r="J1427" s="750"/>
    </row>
    <row r="1428" spans="1:10" x14ac:dyDescent="0.35">
      <c r="A1428" s="92"/>
      <c r="F1428" s="726"/>
      <c r="G1428" s="735"/>
      <c r="H1428" s="93"/>
      <c r="I1428" s="750"/>
      <c r="J1428" s="750"/>
    </row>
    <row r="1429" spans="1:10" x14ac:dyDescent="0.35">
      <c r="A1429" s="92"/>
      <c r="F1429" s="726"/>
      <c r="G1429" s="735"/>
      <c r="H1429" s="93"/>
      <c r="I1429" s="750"/>
      <c r="J1429" s="750"/>
    </row>
    <row r="1430" spans="1:10" x14ac:dyDescent="0.35">
      <c r="A1430" s="92"/>
      <c r="F1430" s="726"/>
      <c r="G1430" s="735"/>
      <c r="H1430" s="93"/>
      <c r="I1430" s="750"/>
      <c r="J1430" s="750"/>
    </row>
    <row r="1431" spans="1:10" x14ac:dyDescent="0.35">
      <c r="A1431" s="92"/>
      <c r="F1431" s="726"/>
      <c r="G1431" s="735"/>
      <c r="H1431" s="93"/>
      <c r="I1431" s="750"/>
      <c r="J1431" s="750"/>
    </row>
    <row r="1432" spans="1:10" x14ac:dyDescent="0.35">
      <c r="A1432" s="92"/>
      <c r="F1432" s="726"/>
      <c r="G1432" s="735"/>
      <c r="H1432" s="93"/>
      <c r="I1432" s="750"/>
      <c r="J1432" s="750"/>
    </row>
    <row r="1433" spans="1:10" x14ac:dyDescent="0.35">
      <c r="A1433" s="92"/>
      <c r="F1433" s="726"/>
      <c r="G1433" s="735"/>
      <c r="H1433" s="93"/>
      <c r="I1433" s="750"/>
      <c r="J1433" s="750"/>
    </row>
    <row r="1434" spans="1:10" x14ac:dyDescent="0.35">
      <c r="A1434" s="92"/>
      <c r="F1434" s="726"/>
      <c r="G1434" s="735"/>
      <c r="H1434" s="93"/>
      <c r="I1434" s="750"/>
      <c r="J1434" s="750"/>
    </row>
    <row r="1435" spans="1:10" x14ac:dyDescent="0.35">
      <c r="A1435" s="92"/>
      <c r="F1435" s="726"/>
      <c r="G1435" s="735"/>
      <c r="H1435" s="93"/>
      <c r="I1435" s="750"/>
      <c r="J1435" s="750"/>
    </row>
    <row r="1436" spans="1:10" x14ac:dyDescent="0.35">
      <c r="A1436" s="92"/>
      <c r="F1436" s="726"/>
      <c r="G1436" s="735"/>
      <c r="H1436" s="93"/>
      <c r="I1436" s="750"/>
      <c r="J1436" s="750"/>
    </row>
    <row r="1437" spans="1:10" x14ac:dyDescent="0.35">
      <c r="A1437" s="92"/>
      <c r="F1437" s="726"/>
      <c r="G1437" s="735"/>
      <c r="H1437" s="93"/>
      <c r="I1437" s="750"/>
      <c r="J1437" s="750"/>
    </row>
    <row r="1438" spans="1:10" x14ac:dyDescent="0.35">
      <c r="A1438" s="92"/>
      <c r="F1438" s="726"/>
      <c r="G1438" s="735"/>
      <c r="H1438" s="93"/>
      <c r="I1438" s="750"/>
      <c r="J1438" s="750"/>
    </row>
    <row r="1439" spans="1:10" x14ac:dyDescent="0.35">
      <c r="A1439" s="92"/>
      <c r="F1439" s="726"/>
      <c r="G1439" s="735"/>
      <c r="H1439" s="93"/>
      <c r="I1439" s="750"/>
      <c r="J1439" s="750"/>
    </row>
    <row r="1440" spans="1:10" x14ac:dyDescent="0.35">
      <c r="A1440" s="92"/>
      <c r="F1440" s="726"/>
      <c r="G1440" s="735"/>
      <c r="H1440" s="93"/>
      <c r="I1440" s="750"/>
      <c r="J1440" s="750"/>
    </row>
    <row r="1441" spans="1:10" x14ac:dyDescent="0.35">
      <c r="A1441" s="92"/>
      <c r="F1441" s="726"/>
      <c r="G1441" s="735"/>
      <c r="H1441" s="93"/>
      <c r="I1441" s="750"/>
      <c r="J1441" s="750"/>
    </row>
    <row r="1442" spans="1:10" x14ac:dyDescent="0.35">
      <c r="A1442" s="92"/>
      <c r="F1442" s="726"/>
      <c r="G1442" s="735"/>
      <c r="H1442" s="93"/>
      <c r="I1442" s="750"/>
      <c r="J1442" s="750"/>
    </row>
    <row r="1443" spans="1:10" x14ac:dyDescent="0.35">
      <c r="A1443" s="92"/>
      <c r="F1443" s="726"/>
      <c r="G1443" s="735"/>
      <c r="H1443" s="93"/>
      <c r="I1443" s="750"/>
      <c r="J1443" s="750"/>
    </row>
    <row r="1444" spans="1:10" x14ac:dyDescent="0.35">
      <c r="A1444" s="92"/>
      <c r="F1444" s="726"/>
      <c r="G1444" s="735"/>
      <c r="H1444" s="93"/>
      <c r="I1444" s="750"/>
      <c r="J1444" s="750"/>
    </row>
    <row r="1445" spans="1:10" x14ac:dyDescent="0.35">
      <c r="A1445" s="92"/>
      <c r="F1445" s="726"/>
      <c r="G1445" s="735"/>
      <c r="H1445" s="93"/>
      <c r="I1445" s="750"/>
      <c r="J1445" s="750"/>
    </row>
    <row r="1446" spans="1:10" x14ac:dyDescent="0.35">
      <c r="A1446" s="92"/>
      <c r="F1446" s="726"/>
      <c r="G1446" s="735"/>
      <c r="H1446" s="93"/>
      <c r="I1446" s="750"/>
      <c r="J1446" s="750"/>
    </row>
    <row r="1447" spans="1:10" x14ac:dyDescent="0.35">
      <c r="A1447" s="92"/>
      <c r="F1447" s="726"/>
      <c r="G1447" s="735"/>
      <c r="H1447" s="93"/>
      <c r="I1447" s="750"/>
      <c r="J1447" s="750"/>
    </row>
    <row r="1448" spans="1:10" x14ac:dyDescent="0.35">
      <c r="A1448" s="92"/>
      <c r="F1448" s="726"/>
      <c r="G1448" s="735"/>
      <c r="H1448" s="93"/>
      <c r="I1448" s="750"/>
      <c r="J1448" s="750"/>
    </row>
    <row r="1449" spans="1:10" x14ac:dyDescent="0.35">
      <c r="A1449" s="92"/>
      <c r="F1449" s="726"/>
      <c r="G1449" s="735"/>
      <c r="H1449" s="93"/>
      <c r="I1449" s="750"/>
      <c r="J1449" s="750"/>
    </row>
    <row r="1450" spans="1:10" x14ac:dyDescent="0.35">
      <c r="A1450" s="92"/>
      <c r="F1450" s="726"/>
      <c r="G1450" s="735"/>
      <c r="H1450" s="93"/>
      <c r="I1450" s="750"/>
      <c r="J1450" s="750"/>
    </row>
    <row r="1451" spans="1:10" x14ac:dyDescent="0.35">
      <c r="A1451" s="92"/>
      <c r="F1451" s="726"/>
      <c r="G1451" s="735"/>
      <c r="H1451" s="93"/>
      <c r="I1451" s="750"/>
      <c r="J1451" s="750"/>
    </row>
    <row r="1452" spans="1:10" x14ac:dyDescent="0.35">
      <c r="A1452" s="92"/>
      <c r="F1452" s="726"/>
      <c r="G1452" s="735"/>
      <c r="H1452" s="93"/>
      <c r="I1452" s="750"/>
      <c r="J1452" s="750"/>
    </row>
    <row r="1453" spans="1:10" x14ac:dyDescent="0.35">
      <c r="A1453" s="92"/>
      <c r="F1453" s="726"/>
      <c r="G1453" s="735"/>
      <c r="H1453" s="93"/>
      <c r="I1453" s="750"/>
      <c r="J1453" s="750"/>
    </row>
    <row r="1454" spans="1:10" x14ac:dyDescent="0.35">
      <c r="A1454" s="92"/>
      <c r="F1454" s="726"/>
      <c r="G1454" s="735"/>
      <c r="H1454" s="93"/>
      <c r="I1454" s="750"/>
      <c r="J1454" s="750"/>
    </row>
    <row r="1455" spans="1:10" x14ac:dyDescent="0.35">
      <c r="A1455" s="92"/>
      <c r="F1455" s="726"/>
      <c r="G1455" s="735"/>
      <c r="H1455" s="93"/>
      <c r="I1455" s="750"/>
      <c r="J1455" s="750"/>
    </row>
    <row r="1456" spans="1:10" x14ac:dyDescent="0.35">
      <c r="A1456" s="92"/>
      <c r="F1456" s="726"/>
      <c r="G1456" s="735"/>
      <c r="H1456" s="93"/>
      <c r="I1456" s="750"/>
      <c r="J1456" s="750"/>
    </row>
    <row r="1457" spans="1:10" x14ac:dyDescent="0.35">
      <c r="A1457" s="92"/>
      <c r="F1457" s="726"/>
      <c r="G1457" s="735"/>
      <c r="H1457" s="93"/>
      <c r="I1457" s="750"/>
      <c r="J1457" s="750"/>
    </row>
    <row r="1458" spans="1:10" x14ac:dyDescent="0.35">
      <c r="A1458" s="92"/>
      <c r="F1458" s="726"/>
      <c r="G1458" s="735"/>
      <c r="H1458" s="93"/>
      <c r="I1458" s="750"/>
      <c r="J1458" s="750"/>
    </row>
    <row r="1459" spans="1:10" x14ac:dyDescent="0.35">
      <c r="A1459" s="92"/>
      <c r="F1459" s="726"/>
      <c r="G1459" s="735"/>
      <c r="H1459" s="93"/>
      <c r="I1459" s="750"/>
      <c r="J1459" s="750"/>
    </row>
    <row r="1460" spans="1:10" x14ac:dyDescent="0.35">
      <c r="A1460" s="92"/>
      <c r="F1460" s="726"/>
      <c r="G1460" s="735"/>
      <c r="H1460" s="93"/>
      <c r="I1460" s="750"/>
      <c r="J1460" s="750"/>
    </row>
    <row r="1461" spans="1:10" x14ac:dyDescent="0.35">
      <c r="A1461" s="92"/>
      <c r="F1461" s="726"/>
      <c r="G1461" s="735"/>
      <c r="H1461" s="93"/>
      <c r="I1461" s="750"/>
      <c r="J1461" s="750"/>
    </row>
    <row r="1462" spans="1:10" x14ac:dyDescent="0.35">
      <c r="A1462" s="92"/>
      <c r="F1462" s="726"/>
      <c r="G1462" s="735"/>
      <c r="H1462" s="93"/>
      <c r="I1462" s="750"/>
      <c r="J1462" s="750"/>
    </row>
    <row r="1463" spans="1:10" x14ac:dyDescent="0.35">
      <c r="A1463" s="92"/>
      <c r="F1463" s="726"/>
      <c r="G1463" s="735"/>
      <c r="H1463" s="93"/>
      <c r="I1463" s="750"/>
      <c r="J1463" s="750"/>
    </row>
    <row r="1464" spans="1:10" x14ac:dyDescent="0.35">
      <c r="A1464" s="92"/>
      <c r="F1464" s="726"/>
      <c r="G1464" s="735"/>
      <c r="H1464" s="93"/>
      <c r="I1464" s="750"/>
      <c r="J1464" s="750"/>
    </row>
    <row r="1465" spans="1:10" x14ac:dyDescent="0.35">
      <c r="A1465" s="92"/>
      <c r="F1465" s="726"/>
      <c r="G1465" s="735"/>
      <c r="H1465" s="93"/>
      <c r="I1465" s="750"/>
      <c r="J1465" s="750"/>
    </row>
    <row r="1466" spans="1:10" x14ac:dyDescent="0.35">
      <c r="A1466" s="92"/>
      <c r="F1466" s="726"/>
      <c r="G1466" s="735"/>
      <c r="H1466" s="93"/>
      <c r="I1466" s="750"/>
      <c r="J1466" s="750"/>
    </row>
    <row r="1467" spans="1:10" x14ac:dyDescent="0.35">
      <c r="A1467" s="92"/>
      <c r="F1467" s="726"/>
      <c r="G1467" s="735"/>
      <c r="H1467" s="93"/>
      <c r="I1467" s="750"/>
      <c r="J1467" s="750"/>
    </row>
    <row r="1468" spans="1:10" x14ac:dyDescent="0.35">
      <c r="A1468" s="92"/>
      <c r="F1468" s="726"/>
      <c r="G1468" s="735"/>
      <c r="H1468" s="93"/>
      <c r="I1468" s="750"/>
      <c r="J1468" s="750"/>
    </row>
    <row r="1469" spans="1:10" x14ac:dyDescent="0.35">
      <c r="A1469" s="92"/>
      <c r="F1469" s="726"/>
      <c r="G1469" s="735"/>
      <c r="H1469" s="93"/>
      <c r="I1469" s="750"/>
      <c r="J1469" s="750"/>
    </row>
    <row r="1470" spans="1:10" x14ac:dyDescent="0.35">
      <c r="A1470" s="92"/>
      <c r="F1470" s="726"/>
      <c r="G1470" s="735"/>
      <c r="H1470" s="93"/>
      <c r="I1470" s="750"/>
      <c r="J1470" s="750"/>
    </row>
    <row r="1471" spans="1:10" x14ac:dyDescent="0.35">
      <c r="A1471" s="92"/>
      <c r="F1471" s="726"/>
      <c r="G1471" s="735"/>
      <c r="H1471" s="93"/>
      <c r="I1471" s="750"/>
      <c r="J1471" s="750"/>
    </row>
    <row r="1472" spans="1:10" x14ac:dyDescent="0.35">
      <c r="A1472" s="92"/>
      <c r="F1472" s="726"/>
      <c r="G1472" s="735"/>
      <c r="H1472" s="93"/>
      <c r="I1472" s="750"/>
      <c r="J1472" s="750"/>
    </row>
    <row r="1473" spans="1:10" x14ac:dyDescent="0.35">
      <c r="A1473" s="92"/>
      <c r="F1473" s="726"/>
      <c r="G1473" s="735"/>
      <c r="H1473" s="93"/>
      <c r="I1473" s="750"/>
      <c r="J1473" s="750"/>
    </row>
    <row r="1474" spans="1:10" x14ac:dyDescent="0.35">
      <c r="A1474" s="92"/>
      <c r="F1474" s="726"/>
      <c r="G1474" s="735"/>
      <c r="H1474" s="93"/>
      <c r="I1474" s="750"/>
      <c r="J1474" s="750"/>
    </row>
    <row r="1475" spans="1:10" x14ac:dyDescent="0.35">
      <c r="A1475" s="92"/>
      <c r="F1475" s="726"/>
      <c r="G1475" s="735"/>
      <c r="H1475" s="93"/>
      <c r="I1475" s="750"/>
      <c r="J1475" s="750"/>
    </row>
    <row r="1476" spans="1:10" x14ac:dyDescent="0.35">
      <c r="A1476" s="92"/>
      <c r="F1476" s="726"/>
      <c r="G1476" s="735"/>
      <c r="H1476" s="93"/>
      <c r="I1476" s="750"/>
      <c r="J1476" s="750"/>
    </row>
    <row r="1477" spans="1:10" x14ac:dyDescent="0.35">
      <c r="A1477" s="92"/>
      <c r="F1477" s="726"/>
      <c r="G1477" s="735"/>
      <c r="H1477" s="93"/>
      <c r="I1477" s="750"/>
      <c r="J1477" s="750"/>
    </row>
    <row r="1478" spans="1:10" x14ac:dyDescent="0.35">
      <c r="A1478" s="92"/>
      <c r="F1478" s="726"/>
      <c r="G1478" s="735"/>
      <c r="H1478" s="93"/>
      <c r="I1478" s="750"/>
      <c r="J1478" s="750"/>
    </row>
    <row r="1479" spans="1:10" x14ac:dyDescent="0.35">
      <c r="A1479" s="92"/>
      <c r="F1479" s="726"/>
      <c r="G1479" s="735"/>
      <c r="H1479" s="93"/>
      <c r="I1479" s="750"/>
      <c r="J1479" s="750"/>
    </row>
    <row r="1480" spans="1:10" x14ac:dyDescent="0.35">
      <c r="A1480" s="92"/>
      <c r="F1480" s="726"/>
      <c r="G1480" s="735"/>
      <c r="H1480" s="93"/>
      <c r="I1480" s="750"/>
      <c r="J1480" s="750"/>
    </row>
    <row r="1481" spans="1:10" x14ac:dyDescent="0.35">
      <c r="A1481" s="92"/>
      <c r="F1481" s="726"/>
      <c r="G1481" s="735"/>
      <c r="H1481" s="93"/>
      <c r="I1481" s="750"/>
      <c r="J1481" s="750"/>
    </row>
    <row r="1482" spans="1:10" x14ac:dyDescent="0.35">
      <c r="A1482" s="92"/>
      <c r="F1482" s="726"/>
      <c r="G1482" s="735"/>
      <c r="H1482" s="93"/>
      <c r="I1482" s="750"/>
      <c r="J1482" s="750"/>
    </row>
    <row r="1483" spans="1:10" x14ac:dyDescent="0.35">
      <c r="A1483" s="92"/>
      <c r="F1483" s="726"/>
      <c r="G1483" s="735"/>
      <c r="H1483" s="93"/>
      <c r="I1483" s="750"/>
      <c r="J1483" s="750"/>
    </row>
    <row r="1484" spans="1:10" x14ac:dyDescent="0.35">
      <c r="A1484" s="92"/>
      <c r="F1484" s="726"/>
      <c r="G1484" s="735"/>
      <c r="H1484" s="93"/>
      <c r="I1484" s="750"/>
      <c r="J1484" s="750"/>
    </row>
    <row r="1485" spans="1:10" x14ac:dyDescent="0.35">
      <c r="A1485" s="92"/>
      <c r="F1485" s="726"/>
      <c r="G1485" s="735"/>
      <c r="H1485" s="93"/>
      <c r="I1485" s="750"/>
      <c r="J1485" s="750"/>
    </row>
    <row r="1486" spans="1:10" x14ac:dyDescent="0.35">
      <c r="A1486" s="92"/>
      <c r="F1486" s="726"/>
      <c r="G1486" s="735"/>
      <c r="H1486" s="93"/>
      <c r="I1486" s="750"/>
      <c r="J1486" s="750"/>
    </row>
    <row r="1487" spans="1:10" x14ac:dyDescent="0.35">
      <c r="A1487" s="92"/>
      <c r="F1487" s="726"/>
      <c r="G1487" s="735"/>
      <c r="H1487" s="93"/>
      <c r="I1487" s="750"/>
      <c r="J1487" s="750"/>
    </row>
    <row r="1488" spans="1:10" x14ac:dyDescent="0.35">
      <c r="A1488" s="92"/>
      <c r="F1488" s="726"/>
      <c r="G1488" s="735"/>
      <c r="H1488" s="93"/>
      <c r="I1488" s="750"/>
      <c r="J1488" s="750"/>
    </row>
    <row r="1489" spans="1:10" x14ac:dyDescent="0.35">
      <c r="A1489" s="92"/>
      <c r="F1489" s="726"/>
      <c r="G1489" s="735"/>
      <c r="H1489" s="93"/>
      <c r="I1489" s="750"/>
      <c r="J1489" s="750"/>
    </row>
    <row r="1490" spans="1:10" x14ac:dyDescent="0.35">
      <c r="A1490" s="92"/>
      <c r="F1490" s="726"/>
      <c r="G1490" s="735"/>
      <c r="H1490" s="93"/>
      <c r="I1490" s="750"/>
      <c r="J1490" s="750"/>
    </row>
    <row r="1491" spans="1:10" x14ac:dyDescent="0.35">
      <c r="A1491" s="92"/>
      <c r="F1491" s="726"/>
      <c r="G1491" s="735"/>
      <c r="H1491" s="93"/>
      <c r="I1491" s="750"/>
      <c r="J1491" s="750"/>
    </row>
    <row r="1492" spans="1:10" x14ac:dyDescent="0.35">
      <c r="A1492" s="92"/>
      <c r="F1492" s="726"/>
      <c r="G1492" s="735"/>
      <c r="H1492" s="93"/>
      <c r="I1492" s="750"/>
      <c r="J1492" s="750"/>
    </row>
    <row r="1493" spans="1:10" x14ac:dyDescent="0.35">
      <c r="A1493" s="92"/>
      <c r="F1493" s="726"/>
      <c r="G1493" s="735"/>
      <c r="H1493" s="93"/>
      <c r="I1493" s="750"/>
      <c r="J1493" s="750"/>
    </row>
    <row r="1494" spans="1:10" x14ac:dyDescent="0.35">
      <c r="A1494" s="92"/>
      <c r="F1494" s="726"/>
      <c r="G1494" s="735"/>
      <c r="H1494" s="93"/>
      <c r="I1494" s="750"/>
      <c r="J1494" s="750"/>
    </row>
    <row r="1495" spans="1:10" x14ac:dyDescent="0.35">
      <c r="A1495" s="92"/>
      <c r="F1495" s="726"/>
      <c r="G1495" s="735"/>
      <c r="H1495" s="93"/>
      <c r="I1495" s="750"/>
      <c r="J1495" s="750"/>
    </row>
    <row r="1496" spans="1:10" x14ac:dyDescent="0.35">
      <c r="A1496" s="92"/>
      <c r="F1496" s="726"/>
      <c r="G1496" s="735"/>
      <c r="H1496" s="93"/>
      <c r="I1496" s="750"/>
      <c r="J1496" s="750"/>
    </row>
    <row r="1497" spans="1:10" x14ac:dyDescent="0.35">
      <c r="A1497" s="92"/>
      <c r="F1497" s="726"/>
      <c r="G1497" s="735"/>
      <c r="H1497" s="93"/>
      <c r="I1497" s="750"/>
      <c r="J1497" s="750"/>
    </row>
    <row r="1498" spans="1:10" x14ac:dyDescent="0.35">
      <c r="A1498" s="92"/>
      <c r="F1498" s="726"/>
      <c r="G1498" s="735"/>
      <c r="H1498" s="93"/>
      <c r="I1498" s="750"/>
      <c r="J1498" s="750"/>
    </row>
    <row r="1499" spans="1:10" x14ac:dyDescent="0.35">
      <c r="A1499" s="92"/>
      <c r="F1499" s="726"/>
      <c r="G1499" s="735"/>
      <c r="H1499" s="93"/>
      <c r="I1499" s="750"/>
      <c r="J1499" s="750"/>
    </row>
    <row r="1500" spans="1:10" x14ac:dyDescent="0.35">
      <c r="A1500" s="92"/>
      <c r="F1500" s="726"/>
      <c r="G1500" s="735"/>
      <c r="H1500" s="93"/>
      <c r="I1500" s="750"/>
      <c r="J1500" s="750"/>
    </row>
    <row r="1501" spans="1:10" x14ac:dyDescent="0.35">
      <c r="A1501" s="92"/>
      <c r="F1501" s="726"/>
      <c r="G1501" s="735"/>
      <c r="H1501" s="93"/>
      <c r="I1501" s="750"/>
      <c r="J1501" s="750"/>
    </row>
    <row r="1502" spans="1:10" x14ac:dyDescent="0.35">
      <c r="A1502" s="92"/>
      <c r="F1502" s="726"/>
      <c r="G1502" s="735"/>
      <c r="H1502" s="93"/>
      <c r="I1502" s="750"/>
      <c r="J1502" s="750"/>
    </row>
    <row r="1503" spans="1:10" x14ac:dyDescent="0.35">
      <c r="A1503" s="92"/>
      <c r="F1503" s="726"/>
      <c r="G1503" s="735"/>
      <c r="H1503" s="93"/>
      <c r="I1503" s="750"/>
      <c r="J1503" s="750"/>
    </row>
    <row r="1504" spans="1:10" x14ac:dyDescent="0.35">
      <c r="A1504" s="92"/>
      <c r="F1504" s="726"/>
      <c r="G1504" s="735"/>
      <c r="H1504" s="93"/>
      <c r="I1504" s="750"/>
      <c r="J1504" s="750"/>
    </row>
    <row r="1505" spans="1:10" x14ac:dyDescent="0.35">
      <c r="A1505" s="92"/>
      <c r="F1505" s="726"/>
      <c r="G1505" s="735"/>
      <c r="H1505" s="93"/>
      <c r="I1505" s="750"/>
      <c r="J1505" s="750"/>
    </row>
    <row r="1506" spans="1:10" x14ac:dyDescent="0.35">
      <c r="A1506" s="92"/>
      <c r="F1506" s="726"/>
      <c r="G1506" s="735"/>
      <c r="H1506" s="93"/>
      <c r="I1506" s="750"/>
      <c r="J1506" s="750"/>
    </row>
    <row r="1507" spans="1:10" x14ac:dyDescent="0.35">
      <c r="A1507" s="92"/>
      <c r="F1507" s="726"/>
      <c r="G1507" s="735"/>
      <c r="H1507" s="93"/>
      <c r="I1507" s="750"/>
      <c r="J1507" s="750"/>
    </row>
    <row r="1508" spans="1:10" x14ac:dyDescent="0.35">
      <c r="A1508" s="92"/>
      <c r="F1508" s="726"/>
      <c r="G1508" s="735"/>
      <c r="H1508" s="93"/>
      <c r="I1508" s="750"/>
      <c r="J1508" s="750"/>
    </row>
    <row r="1509" spans="1:10" x14ac:dyDescent="0.35">
      <c r="A1509" s="92"/>
      <c r="F1509" s="726"/>
      <c r="G1509" s="735"/>
      <c r="H1509" s="93"/>
      <c r="I1509" s="750"/>
      <c r="J1509" s="750"/>
    </row>
    <row r="1510" spans="1:10" x14ac:dyDescent="0.35">
      <c r="A1510" s="92"/>
      <c r="F1510" s="726"/>
      <c r="G1510" s="735"/>
      <c r="H1510" s="93"/>
      <c r="I1510" s="750"/>
      <c r="J1510" s="750"/>
    </row>
    <row r="1511" spans="1:10" x14ac:dyDescent="0.35">
      <c r="A1511" s="92"/>
      <c r="F1511" s="726"/>
      <c r="G1511" s="735"/>
      <c r="H1511" s="93"/>
      <c r="I1511" s="750"/>
      <c r="J1511" s="750"/>
    </row>
    <row r="1512" spans="1:10" x14ac:dyDescent="0.35">
      <c r="A1512" s="92"/>
      <c r="F1512" s="726"/>
      <c r="G1512" s="735"/>
      <c r="H1512" s="93"/>
      <c r="I1512" s="750"/>
      <c r="J1512" s="750"/>
    </row>
    <row r="1513" spans="1:10" x14ac:dyDescent="0.35">
      <c r="A1513" s="92"/>
      <c r="F1513" s="726"/>
      <c r="G1513" s="735"/>
      <c r="H1513" s="93"/>
      <c r="I1513" s="750"/>
      <c r="J1513" s="750"/>
    </row>
    <row r="1514" spans="1:10" x14ac:dyDescent="0.35">
      <c r="A1514" s="92"/>
      <c r="F1514" s="726"/>
      <c r="G1514" s="735"/>
      <c r="H1514" s="93"/>
      <c r="I1514" s="750"/>
      <c r="J1514" s="750"/>
    </row>
    <row r="1515" spans="1:10" x14ac:dyDescent="0.35">
      <c r="A1515" s="92"/>
      <c r="F1515" s="726"/>
      <c r="G1515" s="735"/>
      <c r="H1515" s="93"/>
      <c r="I1515" s="750"/>
      <c r="J1515" s="750"/>
    </row>
    <row r="1516" spans="1:10" x14ac:dyDescent="0.35">
      <c r="A1516" s="92"/>
      <c r="F1516" s="726"/>
      <c r="G1516" s="735"/>
      <c r="H1516" s="93"/>
      <c r="I1516" s="750"/>
      <c r="J1516" s="750"/>
    </row>
    <row r="1517" spans="1:10" x14ac:dyDescent="0.35">
      <c r="A1517" s="92"/>
      <c r="F1517" s="726"/>
      <c r="G1517" s="735"/>
      <c r="H1517" s="93"/>
      <c r="I1517" s="750"/>
      <c r="J1517" s="750"/>
    </row>
    <row r="1518" spans="1:10" x14ac:dyDescent="0.35">
      <c r="A1518" s="92"/>
      <c r="F1518" s="726"/>
      <c r="G1518" s="735"/>
      <c r="H1518" s="93"/>
      <c r="I1518" s="750"/>
      <c r="J1518" s="750"/>
    </row>
    <row r="1519" spans="1:10" x14ac:dyDescent="0.35">
      <c r="A1519" s="92"/>
      <c r="F1519" s="726"/>
      <c r="G1519" s="735"/>
      <c r="H1519" s="93"/>
      <c r="I1519" s="750"/>
      <c r="J1519" s="750"/>
    </row>
    <row r="1520" spans="1:10" x14ac:dyDescent="0.35">
      <c r="A1520" s="92"/>
      <c r="F1520" s="726"/>
      <c r="G1520" s="735"/>
      <c r="H1520" s="93"/>
      <c r="I1520" s="750"/>
      <c r="J1520" s="750"/>
    </row>
    <row r="1521" spans="1:10" x14ac:dyDescent="0.35">
      <c r="A1521" s="92"/>
      <c r="F1521" s="726"/>
      <c r="G1521" s="735"/>
      <c r="H1521" s="93"/>
      <c r="I1521" s="750"/>
      <c r="J1521" s="750"/>
    </row>
    <row r="1522" spans="1:10" x14ac:dyDescent="0.35">
      <c r="A1522" s="92"/>
      <c r="F1522" s="726"/>
      <c r="G1522" s="735"/>
      <c r="H1522" s="93"/>
      <c r="I1522" s="750"/>
      <c r="J1522" s="750"/>
    </row>
    <row r="1523" spans="1:10" x14ac:dyDescent="0.35">
      <c r="A1523" s="92"/>
      <c r="F1523" s="726"/>
      <c r="G1523" s="735"/>
      <c r="H1523" s="93"/>
      <c r="I1523" s="750"/>
      <c r="J1523" s="750"/>
    </row>
    <row r="1524" spans="1:10" x14ac:dyDescent="0.35">
      <c r="A1524" s="92"/>
      <c r="F1524" s="726"/>
      <c r="G1524" s="735"/>
      <c r="H1524" s="93"/>
      <c r="I1524" s="750"/>
      <c r="J1524" s="750"/>
    </row>
    <row r="1525" spans="1:10" x14ac:dyDescent="0.35">
      <c r="A1525" s="92"/>
      <c r="F1525" s="726"/>
      <c r="G1525" s="735"/>
      <c r="H1525" s="93"/>
      <c r="I1525" s="750"/>
      <c r="J1525" s="750"/>
    </row>
    <row r="1526" spans="1:10" x14ac:dyDescent="0.35">
      <c r="A1526" s="92"/>
      <c r="F1526" s="726"/>
      <c r="G1526" s="735"/>
      <c r="H1526" s="93"/>
      <c r="I1526" s="750"/>
      <c r="J1526" s="750"/>
    </row>
    <row r="1527" spans="1:10" x14ac:dyDescent="0.35">
      <c r="A1527" s="92"/>
      <c r="F1527" s="726"/>
      <c r="G1527" s="735"/>
      <c r="H1527" s="93"/>
      <c r="I1527" s="750"/>
      <c r="J1527" s="750"/>
    </row>
    <row r="1528" spans="1:10" x14ac:dyDescent="0.35">
      <c r="A1528" s="92"/>
      <c r="F1528" s="726"/>
      <c r="G1528" s="735"/>
      <c r="H1528" s="93"/>
      <c r="I1528" s="750"/>
      <c r="J1528" s="750"/>
    </row>
    <row r="1529" spans="1:10" x14ac:dyDescent="0.35">
      <c r="A1529" s="92"/>
      <c r="F1529" s="726"/>
      <c r="G1529" s="735"/>
      <c r="H1529" s="93"/>
      <c r="I1529" s="750"/>
      <c r="J1529" s="750"/>
    </row>
    <row r="1530" spans="1:10" x14ac:dyDescent="0.35">
      <c r="A1530" s="92"/>
      <c r="F1530" s="726"/>
      <c r="G1530" s="735"/>
      <c r="H1530" s="93"/>
      <c r="I1530" s="750"/>
      <c r="J1530" s="750"/>
    </row>
    <row r="1531" spans="1:10" x14ac:dyDescent="0.35">
      <c r="A1531" s="92"/>
      <c r="F1531" s="726"/>
      <c r="G1531" s="735"/>
      <c r="H1531" s="93"/>
      <c r="I1531" s="750"/>
      <c r="J1531" s="750"/>
    </row>
    <row r="1532" spans="1:10" x14ac:dyDescent="0.35">
      <c r="A1532" s="92"/>
      <c r="F1532" s="726"/>
      <c r="G1532" s="735"/>
      <c r="H1532" s="93"/>
      <c r="I1532" s="750"/>
      <c r="J1532" s="750"/>
    </row>
    <row r="1533" spans="1:10" x14ac:dyDescent="0.35">
      <c r="A1533" s="92"/>
      <c r="F1533" s="726"/>
      <c r="G1533" s="735"/>
      <c r="H1533" s="93"/>
      <c r="I1533" s="750"/>
      <c r="J1533" s="750"/>
    </row>
    <row r="1534" spans="1:10" x14ac:dyDescent="0.35">
      <c r="A1534" s="92"/>
      <c r="F1534" s="726"/>
      <c r="G1534" s="735"/>
      <c r="H1534" s="93"/>
      <c r="I1534" s="750"/>
      <c r="J1534" s="750"/>
    </row>
    <row r="1535" spans="1:10" x14ac:dyDescent="0.35">
      <c r="A1535" s="92"/>
      <c r="F1535" s="726"/>
      <c r="G1535" s="735"/>
      <c r="H1535" s="93"/>
      <c r="I1535" s="750"/>
      <c r="J1535" s="750"/>
    </row>
    <row r="1536" spans="1:10" x14ac:dyDescent="0.35">
      <c r="A1536" s="92"/>
      <c r="F1536" s="726"/>
      <c r="G1536" s="735"/>
      <c r="H1536" s="93"/>
      <c r="I1536" s="750"/>
      <c r="J1536" s="750"/>
    </row>
    <row r="1537" spans="1:10" x14ac:dyDescent="0.35">
      <c r="A1537" s="92"/>
      <c r="F1537" s="726"/>
      <c r="G1537" s="735"/>
      <c r="H1537" s="93"/>
      <c r="I1537" s="750"/>
      <c r="J1537" s="750"/>
    </row>
    <row r="1538" spans="1:10" x14ac:dyDescent="0.35">
      <c r="A1538" s="92"/>
      <c r="F1538" s="726"/>
      <c r="G1538" s="735"/>
      <c r="H1538" s="93"/>
      <c r="I1538" s="750"/>
      <c r="J1538" s="750"/>
    </row>
    <row r="1539" spans="1:10" x14ac:dyDescent="0.35">
      <c r="A1539" s="92"/>
      <c r="F1539" s="726"/>
      <c r="G1539" s="735"/>
      <c r="H1539" s="93"/>
      <c r="I1539" s="750"/>
      <c r="J1539" s="750"/>
    </row>
    <row r="1540" spans="1:10" x14ac:dyDescent="0.35">
      <c r="A1540" s="92"/>
      <c r="F1540" s="726"/>
      <c r="G1540" s="735"/>
      <c r="H1540" s="93"/>
      <c r="I1540" s="750"/>
      <c r="J1540" s="750"/>
    </row>
    <row r="1541" spans="1:10" x14ac:dyDescent="0.35">
      <c r="A1541" s="92"/>
      <c r="F1541" s="726"/>
      <c r="G1541" s="735"/>
      <c r="H1541" s="93"/>
      <c r="I1541" s="750"/>
      <c r="J1541" s="750"/>
    </row>
    <row r="1542" spans="1:10" x14ac:dyDescent="0.35">
      <c r="A1542" s="92"/>
      <c r="F1542" s="726"/>
      <c r="G1542" s="735"/>
      <c r="H1542" s="93"/>
      <c r="I1542" s="750"/>
      <c r="J1542" s="750"/>
    </row>
    <row r="1543" spans="1:10" x14ac:dyDescent="0.35">
      <c r="A1543" s="92"/>
      <c r="F1543" s="726"/>
      <c r="G1543" s="735"/>
      <c r="H1543" s="93"/>
      <c r="I1543" s="750"/>
      <c r="J1543" s="750"/>
    </row>
    <row r="1544" spans="1:10" x14ac:dyDescent="0.35">
      <c r="A1544" s="92"/>
      <c r="F1544" s="726"/>
      <c r="G1544" s="735"/>
      <c r="H1544" s="93"/>
      <c r="I1544" s="750"/>
      <c r="J1544" s="750"/>
    </row>
    <row r="1545" spans="1:10" x14ac:dyDescent="0.35">
      <c r="A1545" s="92"/>
      <c r="F1545" s="726"/>
      <c r="G1545" s="735"/>
      <c r="H1545" s="93"/>
      <c r="I1545" s="750"/>
      <c r="J1545" s="750"/>
    </row>
    <row r="1546" spans="1:10" x14ac:dyDescent="0.35">
      <c r="A1546" s="92"/>
      <c r="F1546" s="726"/>
      <c r="G1546" s="735"/>
      <c r="H1546" s="93"/>
      <c r="I1546" s="750"/>
      <c r="J1546" s="750"/>
    </row>
    <row r="1547" spans="1:10" x14ac:dyDescent="0.35">
      <c r="A1547" s="92"/>
      <c r="F1547" s="726"/>
      <c r="G1547" s="735"/>
      <c r="H1547" s="93"/>
      <c r="I1547" s="750"/>
      <c r="J1547" s="750"/>
    </row>
    <row r="1548" spans="1:10" x14ac:dyDescent="0.35">
      <c r="A1548" s="92"/>
      <c r="F1548" s="726"/>
      <c r="G1548" s="735"/>
      <c r="H1548" s="93"/>
      <c r="I1548" s="750"/>
      <c r="J1548" s="750"/>
    </row>
    <row r="1549" spans="1:10" x14ac:dyDescent="0.35">
      <c r="A1549" s="92"/>
      <c r="F1549" s="726"/>
      <c r="G1549" s="735"/>
      <c r="H1549" s="93"/>
      <c r="I1549" s="750"/>
      <c r="J1549" s="750"/>
    </row>
    <row r="1550" spans="1:10" x14ac:dyDescent="0.35">
      <c r="A1550" s="92"/>
      <c r="F1550" s="726"/>
      <c r="G1550" s="735"/>
      <c r="H1550" s="93"/>
      <c r="I1550" s="750"/>
      <c r="J1550" s="750"/>
    </row>
    <row r="1551" spans="1:10" x14ac:dyDescent="0.35">
      <c r="A1551" s="92"/>
      <c r="F1551" s="726"/>
      <c r="G1551" s="735"/>
      <c r="H1551" s="93"/>
      <c r="I1551" s="750"/>
      <c r="J1551" s="750"/>
    </row>
    <row r="1552" spans="1:10" x14ac:dyDescent="0.35">
      <c r="A1552" s="92"/>
      <c r="F1552" s="726"/>
      <c r="G1552" s="735"/>
      <c r="H1552" s="93"/>
      <c r="I1552" s="750"/>
      <c r="J1552" s="750"/>
    </row>
    <row r="1553" spans="1:10" x14ac:dyDescent="0.35">
      <c r="A1553" s="92"/>
      <c r="F1553" s="726"/>
      <c r="G1553" s="735"/>
      <c r="H1553" s="93"/>
      <c r="I1553" s="750"/>
      <c r="J1553" s="750"/>
    </row>
    <row r="1554" spans="1:10" x14ac:dyDescent="0.35">
      <c r="A1554" s="92"/>
      <c r="F1554" s="726"/>
      <c r="G1554" s="735"/>
      <c r="H1554" s="93"/>
      <c r="I1554" s="750"/>
      <c r="J1554" s="750"/>
    </row>
    <row r="1555" spans="1:10" x14ac:dyDescent="0.35">
      <c r="A1555" s="92"/>
      <c r="F1555" s="726"/>
      <c r="G1555" s="735"/>
      <c r="H1555" s="93"/>
      <c r="I1555" s="750"/>
      <c r="J1555" s="750"/>
    </row>
    <row r="1556" spans="1:10" x14ac:dyDescent="0.35">
      <c r="A1556" s="92"/>
      <c r="F1556" s="726"/>
      <c r="G1556" s="735"/>
      <c r="H1556" s="93"/>
      <c r="I1556" s="750"/>
      <c r="J1556" s="750"/>
    </row>
    <row r="1557" spans="1:10" x14ac:dyDescent="0.35">
      <c r="A1557" s="92"/>
      <c r="F1557" s="726"/>
      <c r="G1557" s="735"/>
      <c r="H1557" s="93"/>
      <c r="I1557" s="750"/>
      <c r="J1557" s="750"/>
    </row>
    <row r="1558" spans="1:10" x14ac:dyDescent="0.35">
      <c r="A1558" s="92"/>
      <c r="F1558" s="726"/>
      <c r="G1558" s="735"/>
      <c r="H1558" s="93"/>
      <c r="I1558" s="750"/>
      <c r="J1558" s="750"/>
    </row>
    <row r="1559" spans="1:10" x14ac:dyDescent="0.35">
      <c r="A1559" s="92"/>
      <c r="F1559" s="726"/>
      <c r="G1559" s="735"/>
      <c r="H1559" s="93"/>
      <c r="I1559" s="750"/>
      <c r="J1559" s="750"/>
    </row>
    <row r="1560" spans="1:10" x14ac:dyDescent="0.35">
      <c r="A1560" s="92"/>
      <c r="F1560" s="726"/>
      <c r="G1560" s="735"/>
      <c r="H1560" s="93"/>
      <c r="I1560" s="750"/>
      <c r="J1560" s="750"/>
    </row>
    <row r="1561" spans="1:10" x14ac:dyDescent="0.35">
      <c r="A1561" s="92"/>
      <c r="F1561" s="726"/>
      <c r="G1561" s="735"/>
      <c r="H1561" s="93"/>
      <c r="I1561" s="750"/>
      <c r="J1561" s="750"/>
    </row>
    <row r="1562" spans="1:10" x14ac:dyDescent="0.35">
      <c r="A1562" s="92"/>
      <c r="F1562" s="726"/>
      <c r="G1562" s="735"/>
      <c r="H1562" s="93"/>
      <c r="I1562" s="750"/>
      <c r="J1562" s="750"/>
    </row>
    <row r="1563" spans="1:10" x14ac:dyDescent="0.35">
      <c r="A1563" s="92"/>
      <c r="F1563" s="726"/>
      <c r="G1563" s="735"/>
      <c r="H1563" s="93"/>
      <c r="I1563" s="750"/>
      <c r="J1563" s="750"/>
    </row>
    <row r="1564" spans="1:10" x14ac:dyDescent="0.35">
      <c r="A1564" s="92"/>
      <c r="F1564" s="726"/>
      <c r="G1564" s="735"/>
      <c r="H1564" s="93"/>
      <c r="I1564" s="750"/>
      <c r="J1564" s="750"/>
    </row>
    <row r="1565" spans="1:10" x14ac:dyDescent="0.35">
      <c r="A1565" s="92"/>
      <c r="F1565" s="726"/>
      <c r="G1565" s="735"/>
      <c r="H1565" s="93"/>
      <c r="I1565" s="750"/>
      <c r="J1565" s="750"/>
    </row>
    <row r="1566" spans="1:10" x14ac:dyDescent="0.35">
      <c r="A1566" s="92"/>
      <c r="F1566" s="726"/>
      <c r="G1566" s="735"/>
      <c r="H1566" s="93"/>
      <c r="I1566" s="750"/>
      <c r="J1566" s="750"/>
    </row>
    <row r="1567" spans="1:10" x14ac:dyDescent="0.35">
      <c r="A1567" s="92"/>
      <c r="F1567" s="726"/>
      <c r="G1567" s="735"/>
      <c r="H1567" s="93"/>
      <c r="I1567" s="750"/>
      <c r="J1567" s="750"/>
    </row>
    <row r="1568" spans="1:10" x14ac:dyDescent="0.35">
      <c r="A1568" s="92"/>
      <c r="F1568" s="726"/>
      <c r="G1568" s="735"/>
      <c r="H1568" s="93"/>
      <c r="I1568" s="750"/>
      <c r="J1568" s="750"/>
    </row>
    <row r="1569" spans="1:10" x14ac:dyDescent="0.35">
      <c r="A1569" s="92"/>
      <c r="F1569" s="726"/>
      <c r="G1569" s="735"/>
      <c r="H1569" s="93"/>
      <c r="I1569" s="750"/>
      <c r="J1569" s="750"/>
    </row>
    <row r="1570" spans="1:10" x14ac:dyDescent="0.35">
      <c r="A1570" s="92"/>
      <c r="F1570" s="726"/>
      <c r="G1570" s="735"/>
      <c r="H1570" s="93"/>
      <c r="I1570" s="750"/>
      <c r="J1570" s="750"/>
    </row>
    <row r="1571" spans="1:10" x14ac:dyDescent="0.35">
      <c r="A1571" s="92"/>
      <c r="F1571" s="726"/>
      <c r="G1571" s="735"/>
      <c r="H1571" s="93"/>
      <c r="I1571" s="750"/>
      <c r="J1571" s="750"/>
    </row>
    <row r="1572" spans="1:10" x14ac:dyDescent="0.35">
      <c r="A1572" s="92"/>
      <c r="F1572" s="726"/>
      <c r="G1572" s="735"/>
      <c r="H1572" s="93"/>
      <c r="I1572" s="750"/>
      <c r="J1572" s="750"/>
    </row>
    <row r="1573" spans="1:10" x14ac:dyDescent="0.35">
      <c r="A1573" s="92"/>
      <c r="F1573" s="726"/>
      <c r="G1573" s="735"/>
      <c r="H1573" s="93"/>
      <c r="I1573" s="750"/>
      <c r="J1573" s="750"/>
    </row>
    <row r="1574" spans="1:10" x14ac:dyDescent="0.35">
      <c r="A1574" s="92"/>
      <c r="F1574" s="726"/>
      <c r="G1574" s="735"/>
      <c r="H1574" s="93"/>
      <c r="I1574" s="750"/>
      <c r="J1574" s="750"/>
    </row>
    <row r="1575" spans="1:10" x14ac:dyDescent="0.35">
      <c r="A1575" s="92"/>
      <c r="F1575" s="726"/>
      <c r="G1575" s="735"/>
      <c r="H1575" s="93"/>
      <c r="I1575" s="750"/>
      <c r="J1575" s="750"/>
    </row>
    <row r="1576" spans="1:10" x14ac:dyDescent="0.35">
      <c r="A1576" s="92"/>
      <c r="F1576" s="726"/>
      <c r="G1576" s="735"/>
      <c r="H1576" s="93"/>
      <c r="I1576" s="750"/>
      <c r="J1576" s="750"/>
    </row>
    <row r="1577" spans="1:10" x14ac:dyDescent="0.35">
      <c r="A1577" s="92"/>
      <c r="F1577" s="726"/>
      <c r="G1577" s="735"/>
      <c r="H1577" s="93"/>
      <c r="I1577" s="750"/>
      <c r="J1577" s="750"/>
    </row>
    <row r="1578" spans="1:10" x14ac:dyDescent="0.35">
      <c r="A1578" s="92"/>
      <c r="F1578" s="726"/>
      <c r="G1578" s="735"/>
      <c r="H1578" s="93"/>
      <c r="I1578" s="750"/>
      <c r="J1578" s="750"/>
    </row>
    <row r="1579" spans="1:10" x14ac:dyDescent="0.35">
      <c r="A1579" s="92"/>
      <c r="F1579" s="726"/>
      <c r="G1579" s="735"/>
      <c r="H1579" s="93"/>
      <c r="I1579" s="750"/>
      <c r="J1579" s="750"/>
    </row>
    <row r="1580" spans="1:10" x14ac:dyDescent="0.35">
      <c r="A1580" s="92"/>
      <c r="F1580" s="726"/>
      <c r="G1580" s="735"/>
      <c r="H1580" s="93"/>
      <c r="I1580" s="750"/>
      <c r="J1580" s="750"/>
    </row>
    <row r="1581" spans="1:10" x14ac:dyDescent="0.35">
      <c r="A1581" s="92"/>
      <c r="F1581" s="726"/>
      <c r="G1581" s="735"/>
      <c r="H1581" s="93"/>
      <c r="I1581" s="750"/>
      <c r="J1581" s="750"/>
    </row>
    <row r="1582" spans="1:10" x14ac:dyDescent="0.35">
      <c r="A1582" s="92"/>
      <c r="F1582" s="726"/>
      <c r="G1582" s="735"/>
      <c r="H1582" s="93"/>
      <c r="I1582" s="750"/>
      <c r="J1582" s="750"/>
    </row>
    <row r="1583" spans="1:10" x14ac:dyDescent="0.35">
      <c r="A1583" s="92"/>
      <c r="F1583" s="726"/>
      <c r="G1583" s="735"/>
      <c r="H1583" s="93"/>
      <c r="I1583" s="750"/>
      <c r="J1583" s="750"/>
    </row>
    <row r="1584" spans="1:10" x14ac:dyDescent="0.35">
      <c r="A1584" s="92"/>
      <c r="F1584" s="726"/>
      <c r="G1584" s="735"/>
      <c r="H1584" s="93"/>
      <c r="I1584" s="750"/>
      <c r="J1584" s="750"/>
    </row>
    <row r="1585" spans="1:10" x14ac:dyDescent="0.35">
      <c r="A1585" s="92"/>
      <c r="F1585" s="726"/>
      <c r="G1585" s="735"/>
      <c r="H1585" s="93"/>
      <c r="I1585" s="750"/>
      <c r="J1585" s="750"/>
    </row>
    <row r="1586" spans="1:10" x14ac:dyDescent="0.35">
      <c r="A1586" s="92"/>
      <c r="F1586" s="726"/>
      <c r="G1586" s="735"/>
      <c r="H1586" s="93"/>
      <c r="I1586" s="750"/>
      <c r="J1586" s="750"/>
    </row>
    <row r="1587" spans="1:10" x14ac:dyDescent="0.35">
      <c r="A1587" s="92"/>
      <c r="F1587" s="726"/>
      <c r="G1587" s="735"/>
      <c r="H1587" s="93"/>
      <c r="I1587" s="750"/>
      <c r="J1587" s="750"/>
    </row>
    <row r="1588" spans="1:10" x14ac:dyDescent="0.35">
      <c r="A1588" s="92"/>
      <c r="F1588" s="726"/>
      <c r="G1588" s="735"/>
      <c r="H1588" s="93"/>
      <c r="I1588" s="750"/>
      <c r="J1588" s="750"/>
    </row>
    <row r="1589" spans="1:10" x14ac:dyDescent="0.35">
      <c r="A1589" s="92"/>
      <c r="F1589" s="726"/>
      <c r="G1589" s="735"/>
      <c r="H1589" s="93"/>
      <c r="I1589" s="750"/>
      <c r="J1589" s="750"/>
    </row>
    <row r="1590" spans="1:10" x14ac:dyDescent="0.35">
      <c r="A1590" s="92"/>
      <c r="F1590" s="726"/>
      <c r="G1590" s="735"/>
      <c r="H1590" s="93"/>
      <c r="I1590" s="750"/>
      <c r="J1590" s="750"/>
    </row>
    <row r="1591" spans="1:10" x14ac:dyDescent="0.35">
      <c r="A1591" s="92"/>
      <c r="F1591" s="726"/>
      <c r="G1591" s="735"/>
      <c r="H1591" s="93"/>
      <c r="I1591" s="750"/>
      <c r="J1591" s="750"/>
    </row>
    <row r="1592" spans="1:10" x14ac:dyDescent="0.35">
      <c r="A1592" s="92"/>
      <c r="F1592" s="726"/>
      <c r="G1592" s="735"/>
      <c r="H1592" s="93"/>
      <c r="I1592" s="750"/>
      <c r="J1592" s="750"/>
    </row>
    <row r="1593" spans="1:10" x14ac:dyDescent="0.35">
      <c r="A1593" s="92"/>
      <c r="F1593" s="726"/>
      <c r="G1593" s="735"/>
      <c r="H1593" s="93"/>
      <c r="I1593" s="750"/>
      <c r="J1593" s="750"/>
    </row>
    <row r="1594" spans="1:10" x14ac:dyDescent="0.35">
      <c r="A1594" s="92"/>
      <c r="F1594" s="726"/>
      <c r="G1594" s="735"/>
      <c r="H1594" s="93"/>
      <c r="I1594" s="750"/>
      <c r="J1594" s="750"/>
    </row>
    <row r="1595" spans="1:10" x14ac:dyDescent="0.35">
      <c r="A1595" s="92"/>
      <c r="F1595" s="726"/>
      <c r="G1595" s="735"/>
      <c r="H1595" s="93"/>
      <c r="I1595" s="750"/>
      <c r="J1595" s="750"/>
    </row>
    <row r="1596" spans="1:10" x14ac:dyDescent="0.35">
      <c r="A1596" s="92"/>
      <c r="F1596" s="726"/>
      <c r="G1596" s="735"/>
      <c r="H1596" s="93"/>
      <c r="I1596" s="750"/>
      <c r="J1596" s="750"/>
    </row>
    <row r="1597" spans="1:10" x14ac:dyDescent="0.35">
      <c r="A1597" s="92"/>
      <c r="F1597" s="726"/>
      <c r="G1597" s="735"/>
      <c r="H1597" s="93"/>
      <c r="I1597" s="750"/>
      <c r="J1597" s="750"/>
    </row>
    <row r="1598" spans="1:10" x14ac:dyDescent="0.35">
      <c r="A1598" s="92"/>
      <c r="F1598" s="726"/>
      <c r="G1598" s="735"/>
      <c r="H1598" s="93"/>
      <c r="I1598" s="750"/>
      <c r="J1598" s="750"/>
    </row>
    <row r="1599" spans="1:10" x14ac:dyDescent="0.35">
      <c r="A1599" s="92"/>
      <c r="F1599" s="726"/>
      <c r="G1599" s="735"/>
      <c r="H1599" s="93"/>
      <c r="I1599" s="750"/>
      <c r="J1599" s="750"/>
    </row>
    <row r="1600" spans="1:10" x14ac:dyDescent="0.35">
      <c r="A1600" s="92"/>
      <c r="F1600" s="726"/>
      <c r="G1600" s="735"/>
      <c r="H1600" s="93"/>
      <c r="I1600" s="750"/>
      <c r="J1600" s="750"/>
    </row>
    <row r="1601" spans="1:10" x14ac:dyDescent="0.35">
      <c r="A1601" s="92"/>
      <c r="F1601" s="726"/>
      <c r="G1601" s="735"/>
      <c r="H1601" s="93"/>
      <c r="I1601" s="750"/>
      <c r="J1601" s="750"/>
    </row>
    <row r="1602" spans="1:10" x14ac:dyDescent="0.35">
      <c r="A1602" s="92"/>
      <c r="F1602" s="726"/>
      <c r="G1602" s="735"/>
      <c r="H1602" s="93"/>
      <c r="I1602" s="750"/>
      <c r="J1602" s="750"/>
    </row>
    <row r="1603" spans="1:10" x14ac:dyDescent="0.35">
      <c r="A1603" s="92"/>
      <c r="F1603" s="726"/>
      <c r="G1603" s="735"/>
      <c r="H1603" s="93"/>
      <c r="I1603" s="750"/>
      <c r="J1603" s="750"/>
    </row>
    <row r="1604" spans="1:10" x14ac:dyDescent="0.35">
      <c r="A1604" s="92"/>
      <c r="F1604" s="726"/>
      <c r="G1604" s="735"/>
      <c r="H1604" s="93"/>
      <c r="I1604" s="750"/>
      <c r="J1604" s="750"/>
    </row>
    <row r="1605" spans="1:10" x14ac:dyDescent="0.35">
      <c r="A1605" s="92"/>
      <c r="F1605" s="726"/>
      <c r="G1605" s="735"/>
      <c r="H1605" s="93"/>
      <c r="I1605" s="750"/>
      <c r="J1605" s="750"/>
    </row>
    <row r="1606" spans="1:10" x14ac:dyDescent="0.35">
      <c r="A1606" s="92"/>
      <c r="F1606" s="726"/>
      <c r="G1606" s="735"/>
      <c r="H1606" s="93"/>
      <c r="I1606" s="750"/>
      <c r="J1606" s="750"/>
    </row>
    <row r="1607" spans="1:10" x14ac:dyDescent="0.35">
      <c r="A1607" s="92"/>
      <c r="F1607" s="726"/>
      <c r="G1607" s="735"/>
      <c r="H1607" s="93"/>
      <c r="I1607" s="750"/>
      <c r="J1607" s="750"/>
    </row>
    <row r="1608" spans="1:10" x14ac:dyDescent="0.35">
      <c r="A1608" s="92"/>
      <c r="F1608" s="726"/>
      <c r="G1608" s="735"/>
      <c r="H1608" s="93"/>
      <c r="I1608" s="750"/>
      <c r="J1608" s="750"/>
    </row>
    <row r="1609" spans="1:10" x14ac:dyDescent="0.35">
      <c r="A1609" s="92"/>
      <c r="F1609" s="726"/>
      <c r="G1609" s="735"/>
      <c r="H1609" s="93"/>
      <c r="I1609" s="750"/>
      <c r="J1609" s="750"/>
    </row>
    <row r="1610" spans="1:10" x14ac:dyDescent="0.35">
      <c r="A1610" s="92"/>
      <c r="F1610" s="726"/>
      <c r="G1610" s="735"/>
      <c r="H1610" s="93"/>
      <c r="I1610" s="750"/>
      <c r="J1610" s="750"/>
    </row>
    <row r="1611" spans="1:10" x14ac:dyDescent="0.35">
      <c r="A1611" s="92"/>
      <c r="F1611" s="726"/>
      <c r="G1611" s="735"/>
      <c r="H1611" s="93"/>
      <c r="I1611" s="750"/>
      <c r="J1611" s="750"/>
    </row>
    <row r="1612" spans="1:10" x14ac:dyDescent="0.35">
      <c r="A1612" s="92"/>
      <c r="F1612" s="726"/>
      <c r="G1612" s="735"/>
      <c r="H1612" s="93"/>
      <c r="I1612" s="750"/>
      <c r="J1612" s="750"/>
    </row>
    <row r="1613" spans="1:10" x14ac:dyDescent="0.35">
      <c r="A1613" s="92"/>
      <c r="F1613" s="726"/>
      <c r="G1613" s="735"/>
      <c r="H1613" s="93"/>
      <c r="I1613" s="750"/>
      <c r="J1613" s="750"/>
    </row>
    <row r="1614" spans="1:10" x14ac:dyDescent="0.35">
      <c r="A1614" s="92"/>
      <c r="F1614" s="726"/>
      <c r="G1614" s="735"/>
      <c r="H1614" s="93"/>
      <c r="I1614" s="750"/>
      <c r="J1614" s="750"/>
    </row>
    <row r="1615" spans="1:10" x14ac:dyDescent="0.35">
      <c r="A1615" s="92"/>
      <c r="F1615" s="726"/>
      <c r="G1615" s="735"/>
      <c r="H1615" s="93"/>
      <c r="I1615" s="750"/>
      <c r="J1615" s="750"/>
    </row>
    <row r="1616" spans="1:10" x14ac:dyDescent="0.35">
      <c r="A1616" s="92"/>
      <c r="F1616" s="726"/>
      <c r="G1616" s="735"/>
      <c r="H1616" s="93"/>
      <c r="I1616" s="750"/>
      <c r="J1616" s="750"/>
    </row>
    <row r="1617" spans="1:10" x14ac:dyDescent="0.35">
      <c r="A1617" s="92"/>
      <c r="F1617" s="726"/>
      <c r="G1617" s="735"/>
      <c r="H1617" s="93"/>
      <c r="I1617" s="750"/>
      <c r="J1617" s="750"/>
    </row>
    <row r="1618" spans="1:10" x14ac:dyDescent="0.35">
      <c r="A1618" s="92"/>
      <c r="F1618" s="726"/>
      <c r="G1618" s="735"/>
      <c r="H1618" s="93"/>
      <c r="I1618" s="750"/>
      <c r="J1618" s="750"/>
    </row>
    <row r="1619" spans="1:10" x14ac:dyDescent="0.35">
      <c r="A1619" s="92"/>
      <c r="F1619" s="726"/>
      <c r="G1619" s="735"/>
      <c r="H1619" s="93"/>
      <c r="I1619" s="750"/>
      <c r="J1619" s="750"/>
    </row>
    <row r="1620" spans="1:10" x14ac:dyDescent="0.35">
      <c r="A1620" s="92"/>
      <c r="F1620" s="726"/>
      <c r="G1620" s="735"/>
      <c r="H1620" s="93"/>
      <c r="I1620" s="750"/>
      <c r="J1620" s="750"/>
    </row>
    <row r="1621" spans="1:10" x14ac:dyDescent="0.35">
      <c r="A1621" s="92"/>
      <c r="F1621" s="726"/>
      <c r="G1621" s="735"/>
      <c r="H1621" s="93"/>
      <c r="I1621" s="750"/>
      <c r="J1621" s="750"/>
    </row>
    <row r="1622" spans="1:10" x14ac:dyDescent="0.35">
      <c r="A1622" s="92"/>
      <c r="F1622" s="726"/>
      <c r="G1622" s="735"/>
      <c r="H1622" s="93"/>
      <c r="I1622" s="750"/>
      <c r="J1622" s="750"/>
    </row>
    <row r="1623" spans="1:10" x14ac:dyDescent="0.35">
      <c r="A1623" s="92"/>
      <c r="F1623" s="726"/>
      <c r="G1623" s="735"/>
      <c r="H1623" s="93"/>
      <c r="I1623" s="750"/>
      <c r="J1623" s="750"/>
    </row>
    <row r="1624" spans="1:10" x14ac:dyDescent="0.35">
      <c r="A1624" s="92"/>
      <c r="F1624" s="726"/>
      <c r="G1624" s="735"/>
      <c r="H1624" s="93"/>
      <c r="I1624" s="750"/>
      <c r="J1624" s="750"/>
    </row>
    <row r="1625" spans="1:10" x14ac:dyDescent="0.35">
      <c r="A1625" s="92"/>
      <c r="F1625" s="726"/>
      <c r="G1625" s="735"/>
      <c r="H1625" s="93"/>
      <c r="I1625" s="750"/>
      <c r="J1625" s="750"/>
    </row>
    <row r="1626" spans="1:10" x14ac:dyDescent="0.35">
      <c r="A1626" s="92"/>
      <c r="F1626" s="726"/>
      <c r="G1626" s="735"/>
      <c r="H1626" s="93"/>
      <c r="I1626" s="750"/>
      <c r="J1626" s="750"/>
    </row>
    <row r="1627" spans="1:10" x14ac:dyDescent="0.35">
      <c r="A1627" s="92"/>
      <c r="F1627" s="726"/>
      <c r="G1627" s="735"/>
      <c r="H1627" s="93"/>
      <c r="I1627" s="750"/>
      <c r="J1627" s="750"/>
    </row>
    <row r="1628" spans="1:10" x14ac:dyDescent="0.35">
      <c r="A1628" s="92"/>
      <c r="F1628" s="726"/>
      <c r="G1628" s="735"/>
      <c r="H1628" s="93"/>
      <c r="I1628" s="750"/>
      <c r="J1628" s="750"/>
    </row>
    <row r="1629" spans="1:10" x14ac:dyDescent="0.35">
      <c r="A1629" s="92"/>
      <c r="F1629" s="726"/>
      <c r="G1629" s="735"/>
      <c r="H1629" s="93"/>
      <c r="I1629" s="750"/>
      <c r="J1629" s="750"/>
    </row>
    <row r="1630" spans="1:10" x14ac:dyDescent="0.35">
      <c r="A1630" s="92"/>
      <c r="F1630" s="726"/>
      <c r="G1630" s="735"/>
      <c r="H1630" s="93"/>
      <c r="I1630" s="750"/>
      <c r="J1630" s="750"/>
    </row>
    <row r="1631" spans="1:10" x14ac:dyDescent="0.35">
      <c r="A1631" s="92"/>
      <c r="F1631" s="726"/>
      <c r="G1631" s="735"/>
      <c r="H1631" s="93"/>
      <c r="I1631" s="750"/>
      <c r="J1631" s="750"/>
    </row>
    <row r="1632" spans="1:10" x14ac:dyDescent="0.35">
      <c r="A1632" s="92"/>
      <c r="F1632" s="726"/>
      <c r="G1632" s="735"/>
      <c r="H1632" s="93"/>
      <c r="I1632" s="750"/>
      <c r="J1632" s="750"/>
    </row>
    <row r="1633" spans="1:10" x14ac:dyDescent="0.35">
      <c r="A1633" s="92"/>
      <c r="F1633" s="726"/>
      <c r="G1633" s="735"/>
      <c r="H1633" s="93"/>
      <c r="I1633" s="750"/>
      <c r="J1633" s="750"/>
    </row>
    <row r="1634" spans="1:10" x14ac:dyDescent="0.35">
      <c r="A1634" s="92"/>
      <c r="F1634" s="726"/>
      <c r="G1634" s="735"/>
      <c r="H1634" s="93"/>
      <c r="I1634" s="750"/>
      <c r="J1634" s="750"/>
    </row>
    <row r="1635" spans="1:10" x14ac:dyDescent="0.35">
      <c r="A1635" s="92"/>
      <c r="F1635" s="726"/>
      <c r="G1635" s="735"/>
      <c r="H1635" s="93"/>
      <c r="I1635" s="750"/>
      <c r="J1635" s="750"/>
    </row>
    <row r="1636" spans="1:10" x14ac:dyDescent="0.35">
      <c r="A1636" s="92"/>
      <c r="F1636" s="726"/>
      <c r="G1636" s="735"/>
      <c r="H1636" s="93"/>
      <c r="I1636" s="750"/>
      <c r="J1636" s="750"/>
    </row>
    <row r="1637" spans="1:10" x14ac:dyDescent="0.35">
      <c r="A1637" s="92"/>
      <c r="F1637" s="726"/>
      <c r="G1637" s="735"/>
      <c r="H1637" s="93"/>
      <c r="I1637" s="750"/>
      <c r="J1637" s="750"/>
    </row>
    <row r="1638" spans="1:10" x14ac:dyDescent="0.35">
      <c r="A1638" s="92"/>
      <c r="F1638" s="726"/>
      <c r="G1638" s="735"/>
      <c r="H1638" s="93"/>
      <c r="I1638" s="750"/>
      <c r="J1638" s="750"/>
    </row>
    <row r="1639" spans="1:10" x14ac:dyDescent="0.35">
      <c r="A1639" s="92"/>
      <c r="F1639" s="726"/>
      <c r="G1639" s="735"/>
      <c r="H1639" s="93"/>
      <c r="I1639" s="750"/>
      <c r="J1639" s="750"/>
    </row>
    <row r="1640" spans="1:10" x14ac:dyDescent="0.35">
      <c r="A1640" s="92"/>
      <c r="F1640" s="726"/>
      <c r="G1640" s="735"/>
      <c r="H1640" s="93"/>
      <c r="I1640" s="750"/>
      <c r="J1640" s="750"/>
    </row>
    <row r="1641" spans="1:10" x14ac:dyDescent="0.35">
      <c r="A1641" s="92"/>
      <c r="F1641" s="726"/>
      <c r="G1641" s="735"/>
      <c r="H1641" s="93"/>
      <c r="I1641" s="750"/>
      <c r="J1641" s="750"/>
    </row>
    <row r="1642" spans="1:10" x14ac:dyDescent="0.35">
      <c r="A1642" s="92"/>
      <c r="F1642" s="726"/>
      <c r="G1642" s="735"/>
      <c r="H1642" s="93"/>
      <c r="I1642" s="750"/>
      <c r="J1642" s="750"/>
    </row>
    <row r="1643" spans="1:10" x14ac:dyDescent="0.35">
      <c r="A1643" s="92"/>
      <c r="F1643" s="726"/>
      <c r="G1643" s="735"/>
      <c r="H1643" s="93"/>
      <c r="I1643" s="750"/>
      <c r="J1643" s="750"/>
    </row>
    <row r="1644" spans="1:10" x14ac:dyDescent="0.35">
      <c r="A1644" s="92"/>
      <c r="F1644" s="726"/>
      <c r="G1644" s="735"/>
      <c r="H1644" s="93"/>
      <c r="I1644" s="750"/>
      <c r="J1644" s="750"/>
    </row>
    <row r="1645" spans="1:10" x14ac:dyDescent="0.35">
      <c r="A1645" s="92"/>
      <c r="F1645" s="726"/>
      <c r="G1645" s="735"/>
      <c r="H1645" s="93"/>
      <c r="I1645" s="750"/>
      <c r="J1645" s="750"/>
    </row>
    <row r="1646" spans="1:10" x14ac:dyDescent="0.35">
      <c r="A1646" s="92"/>
      <c r="F1646" s="726"/>
      <c r="G1646" s="735"/>
      <c r="H1646" s="93"/>
      <c r="I1646" s="750"/>
      <c r="J1646" s="750"/>
    </row>
    <row r="1647" spans="1:10" x14ac:dyDescent="0.35">
      <c r="A1647" s="92"/>
      <c r="F1647" s="726"/>
      <c r="G1647" s="735"/>
      <c r="H1647" s="93"/>
      <c r="I1647" s="750"/>
      <c r="J1647" s="750"/>
    </row>
    <row r="1648" spans="1:10" x14ac:dyDescent="0.35">
      <c r="A1648" s="92"/>
      <c r="F1648" s="726"/>
      <c r="G1648" s="735"/>
      <c r="H1648" s="93"/>
      <c r="I1648" s="750"/>
      <c r="J1648" s="750"/>
    </row>
    <row r="1649" spans="1:10" x14ac:dyDescent="0.35">
      <c r="A1649" s="92"/>
      <c r="F1649" s="726"/>
      <c r="G1649" s="735"/>
      <c r="H1649" s="93"/>
      <c r="I1649" s="750"/>
      <c r="J1649" s="750"/>
    </row>
    <row r="1650" spans="1:10" x14ac:dyDescent="0.35">
      <c r="A1650" s="92"/>
      <c r="F1650" s="726"/>
      <c r="G1650" s="735"/>
      <c r="H1650" s="93"/>
      <c r="I1650" s="750"/>
      <c r="J1650" s="750"/>
    </row>
    <row r="1651" spans="1:10" x14ac:dyDescent="0.35">
      <c r="A1651" s="92"/>
      <c r="F1651" s="726"/>
      <c r="G1651" s="735"/>
      <c r="H1651" s="93"/>
      <c r="I1651" s="750"/>
      <c r="J1651" s="750"/>
    </row>
    <row r="1652" spans="1:10" x14ac:dyDescent="0.35">
      <c r="A1652" s="92"/>
      <c r="F1652" s="726"/>
      <c r="G1652" s="735"/>
      <c r="H1652" s="93"/>
      <c r="I1652" s="750"/>
      <c r="J1652" s="750"/>
    </row>
    <row r="1653" spans="1:10" x14ac:dyDescent="0.35">
      <c r="A1653" s="92"/>
      <c r="F1653" s="726"/>
      <c r="G1653" s="735"/>
      <c r="H1653" s="93"/>
      <c r="I1653" s="750"/>
      <c r="J1653" s="750"/>
    </row>
    <row r="1654" spans="1:10" x14ac:dyDescent="0.35">
      <c r="A1654" s="92"/>
      <c r="F1654" s="726"/>
      <c r="G1654" s="735"/>
      <c r="H1654" s="93"/>
      <c r="I1654" s="750"/>
      <c r="J1654" s="750"/>
    </row>
    <row r="1655" spans="1:10" x14ac:dyDescent="0.35">
      <c r="A1655" s="92"/>
      <c r="F1655" s="726"/>
      <c r="G1655" s="735"/>
      <c r="H1655" s="93"/>
      <c r="I1655" s="750"/>
      <c r="J1655" s="750"/>
    </row>
    <row r="1656" spans="1:10" x14ac:dyDescent="0.35">
      <c r="A1656" s="92"/>
      <c r="F1656" s="726"/>
      <c r="G1656" s="735"/>
      <c r="H1656" s="93"/>
      <c r="I1656" s="750"/>
      <c r="J1656" s="750"/>
    </row>
    <row r="1657" spans="1:10" x14ac:dyDescent="0.35">
      <c r="A1657" s="92"/>
      <c r="F1657" s="726"/>
      <c r="G1657" s="735"/>
      <c r="H1657" s="93"/>
      <c r="I1657" s="750"/>
      <c r="J1657" s="750"/>
    </row>
    <row r="1658" spans="1:10" x14ac:dyDescent="0.35">
      <c r="A1658" s="92"/>
      <c r="F1658" s="726"/>
      <c r="G1658" s="735"/>
      <c r="H1658" s="93"/>
      <c r="I1658" s="750"/>
      <c r="J1658" s="750"/>
    </row>
    <row r="1659" spans="1:10" x14ac:dyDescent="0.35">
      <c r="A1659" s="92"/>
      <c r="F1659" s="726"/>
      <c r="G1659" s="735"/>
      <c r="H1659" s="93"/>
      <c r="I1659" s="750"/>
      <c r="J1659" s="750"/>
    </row>
    <row r="1660" spans="1:10" x14ac:dyDescent="0.35">
      <c r="A1660" s="92"/>
      <c r="F1660" s="726"/>
      <c r="G1660" s="735"/>
      <c r="H1660" s="93"/>
      <c r="I1660" s="750"/>
      <c r="J1660" s="750"/>
    </row>
    <row r="1661" spans="1:10" x14ac:dyDescent="0.35">
      <c r="A1661" s="92"/>
      <c r="F1661" s="726"/>
      <c r="G1661" s="735"/>
      <c r="H1661" s="93"/>
      <c r="I1661" s="750"/>
      <c r="J1661" s="750"/>
    </row>
    <row r="1662" spans="1:10" x14ac:dyDescent="0.35">
      <c r="A1662" s="92"/>
      <c r="F1662" s="726"/>
      <c r="G1662" s="735"/>
      <c r="H1662" s="93"/>
      <c r="I1662" s="750"/>
      <c r="J1662" s="750"/>
    </row>
    <row r="1663" spans="1:10" x14ac:dyDescent="0.35">
      <c r="A1663" s="92"/>
      <c r="F1663" s="726"/>
      <c r="G1663" s="735"/>
      <c r="H1663" s="93"/>
      <c r="I1663" s="750"/>
      <c r="J1663" s="750"/>
    </row>
    <row r="1664" spans="1:10" x14ac:dyDescent="0.35">
      <c r="A1664" s="92"/>
      <c r="F1664" s="726"/>
      <c r="G1664" s="735"/>
      <c r="H1664" s="93"/>
      <c r="I1664" s="750"/>
      <c r="J1664" s="750"/>
    </row>
    <row r="1665" spans="1:10" x14ac:dyDescent="0.35">
      <c r="A1665" s="92"/>
      <c r="F1665" s="726"/>
      <c r="G1665" s="735"/>
      <c r="H1665" s="93"/>
      <c r="I1665" s="750"/>
      <c r="J1665" s="750"/>
    </row>
    <row r="1666" spans="1:10" x14ac:dyDescent="0.35">
      <c r="A1666" s="92"/>
      <c r="F1666" s="726"/>
      <c r="G1666" s="735"/>
      <c r="H1666" s="93"/>
      <c r="I1666" s="750"/>
      <c r="J1666" s="750"/>
    </row>
    <row r="1667" spans="1:10" x14ac:dyDescent="0.35">
      <c r="A1667" s="92"/>
      <c r="F1667" s="726"/>
      <c r="G1667" s="735"/>
      <c r="H1667" s="93"/>
      <c r="I1667" s="750"/>
      <c r="J1667" s="750"/>
    </row>
    <row r="1668" spans="1:10" x14ac:dyDescent="0.35">
      <c r="A1668" s="92"/>
      <c r="F1668" s="726"/>
      <c r="G1668" s="735"/>
      <c r="H1668" s="93"/>
      <c r="I1668" s="750"/>
      <c r="J1668" s="750"/>
    </row>
    <row r="1669" spans="1:10" x14ac:dyDescent="0.35">
      <c r="A1669" s="92"/>
      <c r="F1669" s="726"/>
      <c r="G1669" s="735"/>
      <c r="H1669" s="93"/>
      <c r="I1669" s="750"/>
      <c r="J1669" s="750"/>
    </row>
    <row r="1670" spans="1:10" x14ac:dyDescent="0.35">
      <c r="A1670" s="92"/>
      <c r="F1670" s="726"/>
      <c r="G1670" s="735"/>
      <c r="H1670" s="93"/>
      <c r="I1670" s="750"/>
      <c r="J1670" s="750"/>
    </row>
    <row r="1671" spans="1:10" x14ac:dyDescent="0.35">
      <c r="A1671" s="92"/>
      <c r="F1671" s="726"/>
      <c r="G1671" s="735"/>
      <c r="H1671" s="93"/>
      <c r="I1671" s="750"/>
      <c r="J1671" s="750"/>
    </row>
    <row r="1672" spans="1:10" x14ac:dyDescent="0.35">
      <c r="A1672" s="92"/>
      <c r="F1672" s="726"/>
      <c r="G1672" s="735"/>
      <c r="H1672" s="93"/>
      <c r="I1672" s="750"/>
      <c r="J1672" s="750"/>
    </row>
    <row r="1673" spans="1:10" x14ac:dyDescent="0.35">
      <c r="A1673" s="92"/>
      <c r="F1673" s="726"/>
      <c r="G1673" s="735"/>
      <c r="H1673" s="93"/>
      <c r="I1673" s="750"/>
      <c r="J1673" s="750"/>
    </row>
    <row r="1674" spans="1:10" x14ac:dyDescent="0.35">
      <c r="A1674" s="92"/>
      <c r="F1674" s="726"/>
      <c r="G1674" s="735"/>
      <c r="H1674" s="93"/>
      <c r="I1674" s="750"/>
      <c r="J1674" s="750"/>
    </row>
    <row r="1675" spans="1:10" x14ac:dyDescent="0.35">
      <c r="A1675" s="92"/>
      <c r="F1675" s="726"/>
      <c r="G1675" s="735"/>
      <c r="H1675" s="93"/>
      <c r="I1675" s="750"/>
      <c r="J1675" s="750"/>
    </row>
    <row r="1676" spans="1:10" x14ac:dyDescent="0.35">
      <c r="A1676" s="92"/>
      <c r="F1676" s="726"/>
      <c r="G1676" s="735"/>
      <c r="H1676" s="93"/>
      <c r="I1676" s="750"/>
      <c r="J1676" s="750"/>
    </row>
    <row r="1677" spans="1:10" x14ac:dyDescent="0.35">
      <c r="A1677" s="92"/>
      <c r="F1677" s="726"/>
      <c r="G1677" s="735"/>
      <c r="H1677" s="93"/>
      <c r="I1677" s="750"/>
      <c r="J1677" s="750"/>
    </row>
    <row r="1678" spans="1:10" x14ac:dyDescent="0.35">
      <c r="A1678" s="92"/>
      <c r="F1678" s="726"/>
      <c r="G1678" s="735"/>
      <c r="H1678" s="93"/>
      <c r="I1678" s="750"/>
      <c r="J1678" s="750"/>
    </row>
    <row r="1679" spans="1:10" x14ac:dyDescent="0.35">
      <c r="A1679" s="92"/>
      <c r="F1679" s="726"/>
      <c r="G1679" s="735"/>
      <c r="H1679" s="93"/>
      <c r="I1679" s="750"/>
      <c r="J1679" s="750"/>
    </row>
    <row r="1680" spans="1:10" x14ac:dyDescent="0.35">
      <c r="A1680" s="92"/>
      <c r="F1680" s="726"/>
      <c r="G1680" s="735"/>
      <c r="H1680" s="93"/>
      <c r="I1680" s="750"/>
      <c r="J1680" s="750"/>
    </row>
    <row r="1681" spans="1:10" x14ac:dyDescent="0.35">
      <c r="A1681" s="92"/>
      <c r="F1681" s="726"/>
      <c r="G1681" s="735"/>
      <c r="H1681" s="93"/>
      <c r="I1681" s="750"/>
      <c r="J1681" s="750"/>
    </row>
    <row r="1682" spans="1:10" x14ac:dyDescent="0.35">
      <c r="A1682" s="92"/>
      <c r="F1682" s="726"/>
      <c r="G1682" s="735"/>
      <c r="H1682" s="93"/>
      <c r="I1682" s="750"/>
      <c r="J1682" s="750"/>
    </row>
    <row r="1683" spans="1:10" x14ac:dyDescent="0.35">
      <c r="A1683" s="92"/>
      <c r="F1683" s="726"/>
      <c r="G1683" s="735"/>
      <c r="H1683" s="93"/>
      <c r="I1683" s="750"/>
      <c r="J1683" s="750"/>
    </row>
    <row r="1684" spans="1:10" x14ac:dyDescent="0.35">
      <c r="A1684" s="92"/>
      <c r="F1684" s="726"/>
      <c r="G1684" s="735"/>
      <c r="H1684" s="93"/>
      <c r="I1684" s="750"/>
      <c r="J1684" s="750"/>
    </row>
    <row r="1685" spans="1:10" x14ac:dyDescent="0.35">
      <c r="A1685" s="92"/>
      <c r="F1685" s="726"/>
      <c r="G1685" s="735"/>
      <c r="H1685" s="93"/>
      <c r="I1685" s="750"/>
      <c r="J1685" s="750"/>
    </row>
    <row r="1686" spans="1:10" x14ac:dyDescent="0.35">
      <c r="A1686" s="92"/>
      <c r="F1686" s="726"/>
      <c r="G1686" s="735"/>
      <c r="H1686" s="93"/>
      <c r="I1686" s="750"/>
      <c r="J1686" s="750"/>
    </row>
    <row r="1687" spans="1:10" x14ac:dyDescent="0.35">
      <c r="A1687" s="92"/>
      <c r="F1687" s="726"/>
      <c r="G1687" s="735"/>
      <c r="H1687" s="93"/>
      <c r="I1687" s="750"/>
      <c r="J1687" s="750"/>
    </row>
    <row r="1688" spans="1:10" x14ac:dyDescent="0.35">
      <c r="A1688" s="92"/>
      <c r="F1688" s="726"/>
      <c r="G1688" s="735"/>
      <c r="H1688" s="93"/>
      <c r="I1688" s="750"/>
      <c r="J1688" s="750"/>
    </row>
    <row r="1689" spans="1:10" x14ac:dyDescent="0.35">
      <c r="A1689" s="92"/>
      <c r="F1689" s="726"/>
      <c r="G1689" s="735"/>
      <c r="H1689" s="93"/>
      <c r="I1689" s="750"/>
      <c r="J1689" s="750"/>
    </row>
    <row r="1690" spans="1:10" x14ac:dyDescent="0.35">
      <c r="A1690" s="92"/>
      <c r="F1690" s="726"/>
      <c r="G1690" s="735"/>
      <c r="H1690" s="93"/>
      <c r="I1690" s="750"/>
      <c r="J1690" s="750"/>
    </row>
    <row r="1691" spans="1:10" x14ac:dyDescent="0.35">
      <c r="A1691" s="92"/>
      <c r="F1691" s="726"/>
      <c r="G1691" s="735"/>
      <c r="H1691" s="93"/>
      <c r="I1691" s="750"/>
      <c r="J1691" s="750"/>
    </row>
    <row r="1692" spans="1:10" x14ac:dyDescent="0.35">
      <c r="A1692" s="92"/>
      <c r="F1692" s="726"/>
      <c r="G1692" s="735"/>
      <c r="H1692" s="93"/>
      <c r="I1692" s="750"/>
      <c r="J1692" s="750"/>
    </row>
    <row r="1693" spans="1:10" x14ac:dyDescent="0.35">
      <c r="A1693" s="92"/>
      <c r="F1693" s="726"/>
      <c r="G1693" s="735"/>
      <c r="H1693" s="93"/>
      <c r="I1693" s="750"/>
      <c r="J1693" s="750"/>
    </row>
    <row r="1694" spans="1:10" x14ac:dyDescent="0.35">
      <c r="A1694" s="92"/>
      <c r="F1694" s="726"/>
      <c r="G1694" s="735"/>
      <c r="H1694" s="93"/>
      <c r="I1694" s="750"/>
      <c r="J1694" s="750"/>
    </row>
    <row r="1695" spans="1:10" x14ac:dyDescent="0.35">
      <c r="A1695" s="92"/>
      <c r="F1695" s="726"/>
      <c r="G1695" s="735"/>
      <c r="H1695" s="93"/>
      <c r="I1695" s="750"/>
      <c r="J1695" s="750"/>
    </row>
    <row r="1696" spans="1:10" x14ac:dyDescent="0.35">
      <c r="A1696" s="92"/>
      <c r="F1696" s="726"/>
      <c r="G1696" s="735"/>
      <c r="H1696" s="93"/>
      <c r="I1696" s="750"/>
      <c r="J1696" s="750"/>
    </row>
    <row r="1697" spans="1:10" x14ac:dyDescent="0.35">
      <c r="A1697" s="92"/>
      <c r="F1697" s="726"/>
      <c r="G1697" s="735"/>
      <c r="H1697" s="93"/>
      <c r="I1697" s="750"/>
      <c r="J1697" s="750"/>
    </row>
    <row r="1698" spans="1:10" x14ac:dyDescent="0.35">
      <c r="A1698" s="92"/>
      <c r="F1698" s="726"/>
      <c r="G1698" s="735"/>
      <c r="H1698" s="93"/>
      <c r="I1698" s="750"/>
      <c r="J1698" s="750"/>
    </row>
    <row r="1699" spans="1:10" x14ac:dyDescent="0.35">
      <c r="A1699" s="92"/>
      <c r="F1699" s="726"/>
      <c r="G1699" s="735"/>
      <c r="H1699" s="93"/>
      <c r="I1699" s="750"/>
      <c r="J1699" s="750"/>
    </row>
    <row r="1700" spans="1:10" x14ac:dyDescent="0.35">
      <c r="A1700" s="92"/>
      <c r="F1700" s="726"/>
      <c r="G1700" s="735"/>
      <c r="H1700" s="93"/>
      <c r="I1700" s="750"/>
      <c r="J1700" s="750"/>
    </row>
    <row r="1701" spans="1:10" x14ac:dyDescent="0.35">
      <c r="A1701" s="92"/>
      <c r="F1701" s="726"/>
      <c r="G1701" s="735"/>
      <c r="H1701" s="93"/>
      <c r="I1701" s="750"/>
      <c r="J1701" s="750"/>
    </row>
    <row r="1702" spans="1:10" x14ac:dyDescent="0.35">
      <c r="A1702" s="92"/>
      <c r="F1702" s="726"/>
      <c r="G1702" s="735"/>
      <c r="H1702" s="93"/>
      <c r="I1702" s="750"/>
      <c r="J1702" s="750"/>
    </row>
    <row r="1703" spans="1:10" x14ac:dyDescent="0.35">
      <c r="A1703" s="92"/>
      <c r="F1703" s="726"/>
      <c r="G1703" s="735"/>
      <c r="H1703" s="93"/>
      <c r="I1703" s="750"/>
      <c r="J1703" s="750"/>
    </row>
    <row r="1704" spans="1:10" x14ac:dyDescent="0.35">
      <c r="A1704" s="92"/>
      <c r="F1704" s="726"/>
      <c r="G1704" s="735"/>
      <c r="H1704" s="93"/>
      <c r="I1704" s="750"/>
      <c r="J1704" s="750"/>
    </row>
    <row r="1705" spans="1:10" x14ac:dyDescent="0.35">
      <c r="A1705" s="92"/>
      <c r="F1705" s="726"/>
      <c r="G1705" s="735"/>
      <c r="H1705" s="93"/>
      <c r="I1705" s="750"/>
      <c r="J1705" s="750"/>
    </row>
    <row r="1706" spans="1:10" x14ac:dyDescent="0.35">
      <c r="A1706" s="92"/>
      <c r="F1706" s="726"/>
      <c r="G1706" s="735"/>
      <c r="H1706" s="93"/>
      <c r="I1706" s="750"/>
      <c r="J1706" s="750"/>
    </row>
    <row r="1707" spans="1:10" x14ac:dyDescent="0.35">
      <c r="A1707" s="92"/>
      <c r="F1707" s="726"/>
      <c r="G1707" s="735"/>
      <c r="H1707" s="93"/>
      <c r="I1707" s="750"/>
      <c r="J1707" s="750"/>
    </row>
    <row r="1708" spans="1:10" x14ac:dyDescent="0.35">
      <c r="A1708" s="92"/>
      <c r="F1708" s="726"/>
      <c r="G1708" s="735"/>
      <c r="H1708" s="93"/>
      <c r="I1708" s="750"/>
      <c r="J1708" s="750"/>
    </row>
    <row r="1709" spans="1:10" x14ac:dyDescent="0.35">
      <c r="A1709" s="92"/>
      <c r="F1709" s="726"/>
      <c r="G1709" s="735"/>
      <c r="H1709" s="93"/>
      <c r="I1709" s="750"/>
      <c r="J1709" s="750"/>
    </row>
    <row r="1710" spans="1:10" x14ac:dyDescent="0.35">
      <c r="A1710" s="92"/>
      <c r="F1710" s="726"/>
      <c r="G1710" s="735"/>
      <c r="H1710" s="93"/>
      <c r="I1710" s="750"/>
      <c r="J1710" s="750"/>
    </row>
    <row r="1711" spans="1:10" x14ac:dyDescent="0.35">
      <c r="A1711" s="92"/>
      <c r="F1711" s="726"/>
      <c r="G1711" s="735"/>
      <c r="H1711" s="93"/>
      <c r="I1711" s="750"/>
      <c r="J1711" s="750"/>
    </row>
    <row r="1712" spans="1:10" x14ac:dyDescent="0.35">
      <c r="A1712" s="92"/>
      <c r="F1712" s="726"/>
      <c r="G1712" s="735"/>
      <c r="H1712" s="93"/>
      <c r="I1712" s="750"/>
      <c r="J1712" s="750"/>
    </row>
    <row r="1713" spans="1:10" x14ac:dyDescent="0.35">
      <c r="A1713" s="92"/>
      <c r="F1713" s="726"/>
      <c r="G1713" s="735"/>
      <c r="H1713" s="93"/>
      <c r="I1713" s="750"/>
      <c r="J1713" s="750"/>
    </row>
    <row r="1714" spans="1:10" x14ac:dyDescent="0.35">
      <c r="A1714" s="92"/>
      <c r="F1714" s="726"/>
      <c r="G1714" s="735"/>
      <c r="H1714" s="93"/>
      <c r="I1714" s="750"/>
      <c r="J1714" s="750"/>
    </row>
    <row r="1715" spans="1:10" x14ac:dyDescent="0.35">
      <c r="A1715" s="92"/>
      <c r="F1715" s="726"/>
      <c r="G1715" s="735"/>
      <c r="H1715" s="93"/>
      <c r="I1715" s="750"/>
      <c r="J1715" s="750"/>
    </row>
    <row r="1716" spans="1:10" x14ac:dyDescent="0.35">
      <c r="A1716" s="92"/>
      <c r="F1716" s="726"/>
      <c r="G1716" s="735"/>
      <c r="H1716" s="93"/>
      <c r="I1716" s="750"/>
      <c r="J1716" s="750"/>
    </row>
    <row r="1717" spans="1:10" x14ac:dyDescent="0.35">
      <c r="A1717" s="92"/>
      <c r="F1717" s="726"/>
      <c r="G1717" s="735"/>
      <c r="H1717" s="93"/>
      <c r="I1717" s="750"/>
      <c r="J1717" s="750"/>
    </row>
    <row r="1718" spans="1:10" x14ac:dyDescent="0.35">
      <c r="A1718" s="92"/>
      <c r="F1718" s="726"/>
      <c r="G1718" s="735"/>
      <c r="H1718" s="93"/>
      <c r="I1718" s="750"/>
      <c r="J1718" s="750"/>
    </row>
    <row r="1719" spans="1:10" x14ac:dyDescent="0.35">
      <c r="A1719" s="92"/>
      <c r="F1719" s="726"/>
      <c r="G1719" s="735"/>
      <c r="H1719" s="93"/>
      <c r="I1719" s="750"/>
      <c r="J1719" s="750"/>
    </row>
    <row r="1720" spans="1:10" x14ac:dyDescent="0.35">
      <c r="A1720" s="92"/>
      <c r="F1720" s="726"/>
      <c r="G1720" s="735"/>
      <c r="H1720" s="93"/>
      <c r="I1720" s="750"/>
      <c r="J1720" s="750"/>
    </row>
    <row r="1721" spans="1:10" x14ac:dyDescent="0.35">
      <c r="A1721" s="92"/>
      <c r="F1721" s="726"/>
      <c r="G1721" s="735"/>
      <c r="H1721" s="93"/>
      <c r="I1721" s="750"/>
      <c r="J1721" s="750"/>
    </row>
    <row r="1722" spans="1:10" x14ac:dyDescent="0.35">
      <c r="A1722" s="92"/>
      <c r="F1722" s="726"/>
      <c r="G1722" s="735"/>
      <c r="H1722" s="93"/>
      <c r="I1722" s="750"/>
      <c r="J1722" s="750"/>
    </row>
    <row r="1723" spans="1:10" x14ac:dyDescent="0.35">
      <c r="A1723" s="92"/>
      <c r="F1723" s="726"/>
      <c r="G1723" s="735"/>
      <c r="H1723" s="93"/>
      <c r="I1723" s="750"/>
      <c r="J1723" s="750"/>
    </row>
    <row r="1724" spans="1:10" x14ac:dyDescent="0.35">
      <c r="A1724" s="92"/>
      <c r="F1724" s="726"/>
      <c r="G1724" s="735"/>
      <c r="H1724" s="93"/>
      <c r="I1724" s="750"/>
      <c r="J1724" s="750"/>
    </row>
    <row r="1725" spans="1:10" x14ac:dyDescent="0.35">
      <c r="A1725" s="92"/>
      <c r="F1725" s="726"/>
      <c r="G1725" s="735"/>
      <c r="H1725" s="93"/>
      <c r="I1725" s="750"/>
      <c r="J1725" s="750"/>
    </row>
    <row r="1726" spans="1:10" x14ac:dyDescent="0.35">
      <c r="A1726" s="92"/>
      <c r="F1726" s="726"/>
      <c r="G1726" s="735"/>
      <c r="H1726" s="93"/>
      <c r="I1726" s="750"/>
      <c r="J1726" s="750"/>
    </row>
    <row r="1727" spans="1:10" x14ac:dyDescent="0.35">
      <c r="A1727" s="92"/>
      <c r="F1727" s="726"/>
      <c r="G1727" s="735"/>
      <c r="H1727" s="93"/>
      <c r="I1727" s="750"/>
      <c r="J1727" s="750"/>
    </row>
    <row r="1728" spans="1:10" x14ac:dyDescent="0.35">
      <c r="A1728" s="92"/>
      <c r="F1728" s="726"/>
      <c r="G1728" s="735"/>
      <c r="H1728" s="93"/>
      <c r="I1728" s="750"/>
      <c r="J1728" s="750"/>
    </row>
    <row r="1729" spans="1:10" x14ac:dyDescent="0.35">
      <c r="A1729" s="92"/>
      <c r="F1729" s="726"/>
      <c r="G1729" s="735"/>
      <c r="H1729" s="93"/>
      <c r="I1729" s="750"/>
      <c r="J1729" s="750"/>
    </row>
    <row r="1730" spans="1:10" x14ac:dyDescent="0.35">
      <c r="A1730" s="92"/>
      <c r="F1730" s="726"/>
      <c r="G1730" s="735"/>
      <c r="H1730" s="93"/>
      <c r="I1730" s="750"/>
      <c r="J1730" s="750"/>
    </row>
    <row r="1731" spans="1:10" x14ac:dyDescent="0.35">
      <c r="A1731" s="92"/>
      <c r="F1731" s="726"/>
      <c r="G1731" s="735"/>
      <c r="H1731" s="93"/>
      <c r="I1731" s="750"/>
      <c r="J1731" s="750"/>
    </row>
    <row r="1732" spans="1:10" x14ac:dyDescent="0.35">
      <c r="A1732" s="92"/>
      <c r="F1732" s="726"/>
      <c r="G1732" s="735"/>
      <c r="H1732" s="93"/>
      <c r="I1732" s="750"/>
      <c r="J1732" s="750"/>
    </row>
    <row r="1733" spans="1:10" x14ac:dyDescent="0.35">
      <c r="A1733" s="92"/>
      <c r="F1733" s="726"/>
      <c r="G1733" s="735"/>
      <c r="H1733" s="93"/>
      <c r="I1733" s="750"/>
      <c r="J1733" s="750"/>
    </row>
    <row r="1734" spans="1:10" x14ac:dyDescent="0.35">
      <c r="A1734" s="92"/>
      <c r="F1734" s="726"/>
      <c r="G1734" s="735"/>
      <c r="H1734" s="93"/>
      <c r="I1734" s="750"/>
      <c r="J1734" s="750"/>
    </row>
    <row r="1735" spans="1:10" x14ac:dyDescent="0.35">
      <c r="A1735" s="92"/>
      <c r="F1735" s="726"/>
      <c r="G1735" s="735"/>
      <c r="H1735" s="93"/>
      <c r="I1735" s="750"/>
      <c r="J1735" s="750"/>
    </row>
    <row r="1736" spans="1:10" x14ac:dyDescent="0.35">
      <c r="A1736" s="92"/>
      <c r="F1736" s="726"/>
      <c r="G1736" s="735"/>
      <c r="H1736" s="93"/>
      <c r="I1736" s="750"/>
      <c r="J1736" s="750"/>
    </row>
    <row r="1737" spans="1:10" x14ac:dyDescent="0.35">
      <c r="A1737" s="92"/>
      <c r="F1737" s="726"/>
      <c r="G1737" s="735"/>
      <c r="H1737" s="93"/>
      <c r="I1737" s="750"/>
      <c r="J1737" s="750"/>
    </row>
    <row r="1738" spans="1:10" x14ac:dyDescent="0.35">
      <c r="A1738" s="92"/>
      <c r="F1738" s="726"/>
      <c r="G1738" s="735"/>
      <c r="H1738" s="93"/>
      <c r="I1738" s="750"/>
      <c r="J1738" s="750"/>
    </row>
    <row r="1739" spans="1:10" x14ac:dyDescent="0.35">
      <c r="A1739" s="92"/>
      <c r="F1739" s="726"/>
      <c r="G1739" s="735"/>
      <c r="H1739" s="93"/>
      <c r="I1739" s="750"/>
      <c r="J1739" s="750"/>
    </row>
    <row r="1740" spans="1:10" x14ac:dyDescent="0.35">
      <c r="A1740" s="92"/>
      <c r="F1740" s="726"/>
      <c r="G1740" s="735"/>
      <c r="H1740" s="93"/>
      <c r="I1740" s="750"/>
      <c r="J1740" s="750"/>
    </row>
    <row r="1741" spans="1:10" x14ac:dyDescent="0.35">
      <c r="A1741" s="92"/>
      <c r="F1741" s="726"/>
      <c r="G1741" s="735"/>
      <c r="H1741" s="93"/>
      <c r="I1741" s="750"/>
      <c r="J1741" s="750"/>
    </row>
    <row r="1742" spans="1:10" x14ac:dyDescent="0.35">
      <c r="A1742" s="92"/>
      <c r="F1742" s="726"/>
      <c r="G1742" s="735"/>
      <c r="H1742" s="93"/>
      <c r="I1742" s="750"/>
      <c r="J1742" s="750"/>
    </row>
    <row r="1743" spans="1:10" x14ac:dyDescent="0.35">
      <c r="A1743" s="92"/>
      <c r="F1743" s="726"/>
      <c r="G1743" s="735"/>
      <c r="H1743" s="93"/>
      <c r="I1743" s="750"/>
      <c r="J1743" s="750"/>
    </row>
    <row r="1744" spans="1:10" x14ac:dyDescent="0.35">
      <c r="A1744" s="92"/>
      <c r="F1744" s="726"/>
      <c r="G1744" s="735"/>
      <c r="H1744" s="93"/>
      <c r="I1744" s="750"/>
      <c r="J1744" s="750"/>
    </row>
    <row r="1745" spans="1:10" x14ac:dyDescent="0.35">
      <c r="A1745" s="92"/>
      <c r="F1745" s="726"/>
      <c r="G1745" s="735"/>
      <c r="H1745" s="93"/>
      <c r="I1745" s="750"/>
      <c r="J1745" s="750"/>
    </row>
    <row r="1746" spans="1:10" x14ac:dyDescent="0.35">
      <c r="A1746" s="92"/>
      <c r="F1746" s="726"/>
      <c r="G1746" s="735"/>
      <c r="H1746" s="93"/>
      <c r="I1746" s="750"/>
      <c r="J1746" s="750"/>
    </row>
    <row r="1747" spans="1:10" x14ac:dyDescent="0.35">
      <c r="A1747" s="92"/>
      <c r="F1747" s="726"/>
      <c r="G1747" s="735"/>
      <c r="H1747" s="93"/>
      <c r="I1747" s="750"/>
      <c r="J1747" s="750"/>
    </row>
    <row r="1748" spans="1:10" x14ac:dyDescent="0.35">
      <c r="A1748" s="92"/>
      <c r="F1748" s="726"/>
      <c r="G1748" s="735"/>
      <c r="H1748" s="93"/>
      <c r="I1748" s="750"/>
      <c r="J1748" s="750"/>
    </row>
    <row r="1749" spans="1:10" x14ac:dyDescent="0.35">
      <c r="A1749" s="92"/>
      <c r="F1749" s="726"/>
      <c r="G1749" s="735"/>
      <c r="H1749" s="93"/>
      <c r="I1749" s="750"/>
      <c r="J1749" s="750"/>
    </row>
    <row r="1750" spans="1:10" x14ac:dyDescent="0.35">
      <c r="A1750" s="92"/>
      <c r="F1750" s="726"/>
      <c r="G1750" s="735"/>
      <c r="H1750" s="93"/>
      <c r="I1750" s="750"/>
      <c r="J1750" s="750"/>
    </row>
    <row r="1751" spans="1:10" x14ac:dyDescent="0.35">
      <c r="A1751" s="92"/>
      <c r="F1751" s="726"/>
      <c r="G1751" s="735"/>
      <c r="H1751" s="93"/>
      <c r="I1751" s="750"/>
      <c r="J1751" s="750"/>
    </row>
    <row r="1752" spans="1:10" x14ac:dyDescent="0.35">
      <c r="A1752" s="92"/>
      <c r="F1752" s="726"/>
      <c r="G1752" s="735"/>
      <c r="H1752" s="93"/>
      <c r="I1752" s="750"/>
      <c r="J1752" s="750"/>
    </row>
    <row r="1753" spans="1:10" x14ac:dyDescent="0.35">
      <c r="A1753" s="92"/>
      <c r="F1753" s="726"/>
      <c r="G1753" s="735"/>
      <c r="H1753" s="93"/>
      <c r="I1753" s="750"/>
      <c r="J1753" s="750"/>
    </row>
    <row r="1754" spans="1:10" x14ac:dyDescent="0.35">
      <c r="A1754" s="92"/>
      <c r="F1754" s="726"/>
      <c r="G1754" s="735"/>
      <c r="H1754" s="93"/>
      <c r="I1754" s="750"/>
      <c r="J1754" s="750"/>
    </row>
    <row r="1755" spans="1:10" x14ac:dyDescent="0.35">
      <c r="A1755" s="92"/>
      <c r="F1755" s="726"/>
      <c r="G1755" s="735"/>
      <c r="H1755" s="93"/>
      <c r="I1755" s="750"/>
      <c r="J1755" s="750"/>
    </row>
    <row r="1756" spans="1:10" x14ac:dyDescent="0.35">
      <c r="A1756" s="92"/>
      <c r="F1756" s="726"/>
      <c r="G1756" s="735"/>
      <c r="H1756" s="93"/>
      <c r="I1756" s="750"/>
      <c r="J1756" s="750"/>
    </row>
    <row r="1757" spans="1:10" x14ac:dyDescent="0.35">
      <c r="A1757" s="92"/>
      <c r="F1757" s="726"/>
      <c r="G1757" s="735"/>
      <c r="H1757" s="93"/>
      <c r="I1757" s="750"/>
      <c r="J1757" s="750"/>
    </row>
    <row r="1758" spans="1:10" x14ac:dyDescent="0.35">
      <c r="A1758" s="92"/>
      <c r="F1758" s="726"/>
      <c r="G1758" s="735"/>
      <c r="H1758" s="93"/>
      <c r="I1758" s="750"/>
      <c r="J1758" s="750"/>
    </row>
    <row r="1759" spans="1:10" x14ac:dyDescent="0.35">
      <c r="A1759" s="92"/>
      <c r="F1759" s="726"/>
      <c r="G1759" s="735"/>
      <c r="H1759" s="93"/>
      <c r="I1759" s="750"/>
      <c r="J1759" s="750"/>
    </row>
    <row r="1760" spans="1:10" x14ac:dyDescent="0.35">
      <c r="A1760" s="92"/>
      <c r="F1760" s="726"/>
      <c r="G1760" s="735"/>
      <c r="H1760" s="93"/>
      <c r="I1760" s="750"/>
      <c r="J1760" s="750"/>
    </row>
    <row r="1761" spans="1:10" x14ac:dyDescent="0.35">
      <c r="A1761" s="92"/>
      <c r="F1761" s="726"/>
      <c r="G1761" s="735"/>
      <c r="H1761" s="93"/>
      <c r="I1761" s="750"/>
      <c r="J1761" s="750"/>
    </row>
    <row r="1762" spans="1:10" x14ac:dyDescent="0.35">
      <c r="A1762" s="92"/>
      <c r="F1762" s="726"/>
      <c r="G1762" s="735"/>
      <c r="H1762" s="93"/>
      <c r="I1762" s="750"/>
      <c r="J1762" s="750"/>
    </row>
    <row r="1763" spans="1:10" x14ac:dyDescent="0.35">
      <c r="A1763" s="92"/>
      <c r="F1763" s="726"/>
      <c r="G1763" s="735"/>
      <c r="H1763" s="93"/>
      <c r="I1763" s="750"/>
      <c r="J1763" s="750"/>
    </row>
    <row r="1764" spans="1:10" x14ac:dyDescent="0.35">
      <c r="A1764" s="92"/>
      <c r="F1764" s="726"/>
      <c r="G1764" s="735"/>
      <c r="H1764" s="93"/>
      <c r="I1764" s="750"/>
      <c r="J1764" s="750"/>
    </row>
    <row r="1765" spans="1:10" x14ac:dyDescent="0.35">
      <c r="A1765" s="92"/>
      <c r="F1765" s="726"/>
      <c r="G1765" s="735"/>
      <c r="H1765" s="93"/>
      <c r="I1765" s="750"/>
      <c r="J1765" s="750"/>
    </row>
    <row r="1766" spans="1:10" x14ac:dyDescent="0.35">
      <c r="A1766" s="92"/>
      <c r="F1766" s="726"/>
      <c r="G1766" s="735"/>
      <c r="H1766" s="93"/>
      <c r="I1766" s="750"/>
      <c r="J1766" s="750"/>
    </row>
    <row r="1767" spans="1:10" x14ac:dyDescent="0.35">
      <c r="A1767" s="92"/>
      <c r="F1767" s="726"/>
      <c r="G1767" s="735"/>
      <c r="H1767" s="93"/>
      <c r="I1767" s="750"/>
      <c r="J1767" s="750"/>
    </row>
    <row r="1768" spans="1:10" x14ac:dyDescent="0.35">
      <c r="A1768" s="92"/>
      <c r="F1768" s="726"/>
      <c r="G1768" s="735"/>
      <c r="H1768" s="93"/>
      <c r="I1768" s="750"/>
      <c r="J1768" s="750"/>
    </row>
    <row r="1769" spans="1:10" x14ac:dyDescent="0.35">
      <c r="A1769" s="92"/>
      <c r="F1769" s="726"/>
      <c r="G1769" s="735"/>
      <c r="H1769" s="93"/>
      <c r="I1769" s="750"/>
      <c r="J1769" s="750"/>
    </row>
    <row r="1770" spans="1:10" x14ac:dyDescent="0.35">
      <c r="A1770" s="92"/>
      <c r="F1770" s="726"/>
      <c r="G1770" s="735"/>
      <c r="H1770" s="93"/>
      <c r="I1770" s="750"/>
      <c r="J1770" s="750"/>
    </row>
    <row r="1771" spans="1:10" x14ac:dyDescent="0.35">
      <c r="A1771" s="92"/>
      <c r="F1771" s="726"/>
      <c r="G1771" s="735"/>
      <c r="H1771" s="93"/>
      <c r="I1771" s="750"/>
      <c r="J1771" s="750"/>
    </row>
    <row r="1772" spans="1:10" x14ac:dyDescent="0.35">
      <c r="A1772" s="92"/>
      <c r="F1772" s="726"/>
      <c r="G1772" s="735"/>
      <c r="H1772" s="93"/>
      <c r="I1772" s="750"/>
      <c r="J1772" s="750"/>
    </row>
    <row r="1773" spans="1:10" x14ac:dyDescent="0.35">
      <c r="A1773" s="92"/>
      <c r="F1773" s="726"/>
      <c r="G1773" s="735"/>
      <c r="H1773" s="93"/>
      <c r="I1773" s="750"/>
      <c r="J1773" s="750"/>
    </row>
    <row r="1774" spans="1:10" x14ac:dyDescent="0.35">
      <c r="H1774" s="93"/>
      <c r="I1774" s="750"/>
      <c r="J1774" s="750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499984740745262"/>
  </sheetPr>
  <dimension ref="A1:P1774"/>
  <sheetViews>
    <sheetView topLeftCell="A22" workbookViewId="0">
      <selection activeCell="G36" sqref="G36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76"/>
      <c r="C1" s="1177"/>
      <c r="D1" s="709" t="s">
        <v>0</v>
      </c>
      <c r="E1" s="1007">
        <f>COUNTA(B5:B54)</f>
        <v>34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35">
      <c r="A2" s="183"/>
      <c r="B2" s="198"/>
      <c r="C2" s="232"/>
      <c r="D2" s="712"/>
      <c r="E2" s="718"/>
      <c r="F2" s="722" t="s">
        <v>732</v>
      </c>
      <c r="G2" s="729">
        <v>1741220.23</v>
      </c>
      <c r="H2" s="200"/>
      <c r="I2" s="736"/>
      <c r="J2" s="753"/>
      <c r="K2" s="669"/>
      <c r="L2" s="42"/>
    </row>
    <row r="3" spans="1:12" s="3" customFormat="1" x14ac:dyDescent="0.3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35">
      <c r="A4" s="797" t="s">
        <v>11</v>
      </c>
      <c r="B4" s="798"/>
      <c r="C4" s="797" t="s">
        <v>12</v>
      </c>
      <c r="D4" s="799">
        <v>0</v>
      </c>
      <c r="E4" s="799"/>
      <c r="F4" s="800"/>
      <c r="G4" s="730"/>
    </row>
    <row r="5" spans="1:12" x14ac:dyDescent="0.35">
      <c r="A5" s="797"/>
      <c r="B5" s="798">
        <v>44564</v>
      </c>
      <c r="C5" s="797" t="s">
        <v>884</v>
      </c>
      <c r="D5" s="799">
        <v>89640</v>
      </c>
      <c r="E5" s="799"/>
      <c r="F5" s="800"/>
      <c r="G5" s="731"/>
      <c r="H5" s="11"/>
      <c r="I5" s="740"/>
    </row>
    <row r="6" spans="1:12" x14ac:dyDescent="0.35">
      <c r="A6" s="797"/>
      <c r="B6" s="798">
        <v>44564</v>
      </c>
      <c r="C6" s="797" t="s">
        <v>923</v>
      </c>
      <c r="D6" s="799"/>
      <c r="E6" s="799">
        <v>75000</v>
      </c>
      <c r="F6" s="800"/>
      <c r="G6" s="731"/>
      <c r="H6" s="11"/>
      <c r="I6" s="740"/>
      <c r="K6" s="252"/>
    </row>
    <row r="7" spans="1:12" x14ac:dyDescent="0.35">
      <c r="A7" s="797"/>
      <c r="B7" s="798"/>
      <c r="C7" s="797"/>
      <c r="D7" s="799"/>
      <c r="E7" s="799"/>
      <c r="F7" s="800">
        <f>SUM(D4:D7)-SUM(E4:E7)</f>
        <v>14640</v>
      </c>
      <c r="G7" s="732">
        <v>1527330.44</v>
      </c>
      <c r="H7" s="473"/>
      <c r="I7" s="740"/>
      <c r="K7" s="252"/>
    </row>
    <row r="8" spans="1:12" x14ac:dyDescent="0.35">
      <c r="A8" s="797" t="s">
        <v>16</v>
      </c>
      <c r="B8" s="798">
        <v>44593</v>
      </c>
      <c r="C8" s="797" t="s">
        <v>884</v>
      </c>
      <c r="D8" s="799">
        <v>107568</v>
      </c>
      <c r="E8" s="799"/>
      <c r="F8" s="800"/>
      <c r="G8" s="732"/>
      <c r="H8" s="11"/>
      <c r="I8" s="740"/>
      <c r="K8" s="252"/>
    </row>
    <row r="9" spans="1:12" x14ac:dyDescent="0.35">
      <c r="A9" s="797"/>
      <c r="B9" s="798">
        <v>44593</v>
      </c>
      <c r="C9" s="797" t="s">
        <v>923</v>
      </c>
      <c r="D9" s="799"/>
      <c r="E9" s="799">
        <v>77000</v>
      </c>
      <c r="F9" s="800"/>
      <c r="G9" s="732"/>
      <c r="H9" s="11"/>
      <c r="I9" s="740"/>
      <c r="K9" s="252"/>
    </row>
    <row r="10" spans="1:12" x14ac:dyDescent="0.35">
      <c r="A10" s="797"/>
      <c r="B10" s="798"/>
      <c r="C10" s="797"/>
      <c r="D10" s="799"/>
      <c r="E10" s="799"/>
      <c r="F10" s="800">
        <f>SUM(D8:D10)-SUM(E8:E10)</f>
        <v>30568</v>
      </c>
      <c r="G10" s="732">
        <v>1417723.44</v>
      </c>
      <c r="H10" s="473"/>
      <c r="I10" s="740"/>
      <c r="K10" s="670"/>
    </row>
    <row r="11" spans="1:12" x14ac:dyDescent="0.35">
      <c r="A11" s="797" t="s">
        <v>17</v>
      </c>
      <c r="B11" s="798">
        <v>44621</v>
      </c>
      <c r="C11" s="797" t="s">
        <v>884</v>
      </c>
      <c r="D11" s="799">
        <f>107568</f>
        <v>107568</v>
      </c>
      <c r="E11" s="799"/>
      <c r="F11" s="800"/>
      <c r="G11" s="732"/>
      <c r="H11" s="613"/>
      <c r="I11" s="740"/>
    </row>
    <row r="12" spans="1:12" x14ac:dyDescent="0.35">
      <c r="A12" s="797"/>
      <c r="B12" s="798">
        <v>44628</v>
      </c>
      <c r="C12" s="797" t="s">
        <v>883</v>
      </c>
      <c r="D12" s="799">
        <v>80000</v>
      </c>
      <c r="E12" s="799"/>
      <c r="F12" s="800"/>
      <c r="G12" s="732"/>
      <c r="H12" s="613"/>
      <c r="I12" s="740"/>
    </row>
    <row r="13" spans="1:12" x14ac:dyDescent="0.35">
      <c r="A13" s="797"/>
      <c r="B13" s="798">
        <v>44621</v>
      </c>
      <c r="C13" s="797" t="s">
        <v>923</v>
      </c>
      <c r="D13" s="799"/>
      <c r="E13" s="799">
        <v>116000</v>
      </c>
      <c r="F13" s="800"/>
      <c r="G13" s="732"/>
      <c r="H13" s="613"/>
      <c r="I13" s="740"/>
    </row>
    <row r="14" spans="1:12" x14ac:dyDescent="0.35">
      <c r="A14" s="797"/>
      <c r="B14" s="798"/>
      <c r="C14" s="797"/>
      <c r="D14" s="799"/>
      <c r="E14" s="799"/>
      <c r="F14" s="800">
        <f>SUM(D11:D14)-SUM(E11:E14)</f>
        <v>71568</v>
      </c>
      <c r="G14" s="732">
        <v>1429121.13</v>
      </c>
      <c r="H14" s="473"/>
      <c r="I14" s="740"/>
    </row>
    <row r="15" spans="1:12" x14ac:dyDescent="0.35">
      <c r="A15" s="797" t="s">
        <v>18</v>
      </c>
      <c r="B15" s="798">
        <v>44652</v>
      </c>
      <c r="C15" s="797" t="s">
        <v>884</v>
      </c>
      <c r="D15" s="799">
        <f>107568</f>
        <v>107568</v>
      </c>
      <c r="E15" s="799"/>
      <c r="F15" s="800"/>
      <c r="G15" s="732"/>
      <c r="H15" s="473"/>
      <c r="I15" s="740"/>
    </row>
    <row r="16" spans="1:12" x14ac:dyDescent="0.35">
      <c r="A16" s="797"/>
      <c r="B16" s="798">
        <v>44657</v>
      </c>
      <c r="C16" s="797" t="s">
        <v>883</v>
      </c>
      <c r="D16" s="799">
        <v>80000</v>
      </c>
      <c r="E16" s="799"/>
      <c r="F16" s="800"/>
      <c r="G16" s="732"/>
      <c r="H16" s="473"/>
      <c r="I16" s="740"/>
    </row>
    <row r="17" spans="1:16" x14ac:dyDescent="0.35">
      <c r="A17" s="797"/>
      <c r="B17" s="798">
        <v>44652</v>
      </c>
      <c r="C17" s="797" t="s">
        <v>923</v>
      </c>
      <c r="D17" s="799"/>
      <c r="E17" s="799">
        <v>113000</v>
      </c>
      <c r="F17" s="800"/>
      <c r="G17" s="732"/>
      <c r="H17" s="473"/>
      <c r="I17" s="903"/>
    </row>
    <row r="18" spans="1:16" x14ac:dyDescent="0.35">
      <c r="A18" s="797"/>
      <c r="B18" s="798"/>
      <c r="C18" s="797"/>
      <c r="D18" s="799"/>
      <c r="E18" s="799"/>
      <c r="F18" s="800">
        <f>SUM(D15:D18)-SUM(E15:E18)</f>
        <v>74568</v>
      </c>
      <c r="G18" s="732">
        <v>1517075.57</v>
      </c>
      <c r="H18" s="11"/>
      <c r="I18" s="903"/>
      <c r="N18" s="77"/>
      <c r="O18" s="77"/>
      <c r="P18" s="77"/>
    </row>
    <row r="19" spans="1:16" x14ac:dyDescent="0.35">
      <c r="A19" s="797" t="s">
        <v>20</v>
      </c>
      <c r="B19" s="798">
        <v>44682</v>
      </c>
      <c r="C19" s="797" t="s">
        <v>1076</v>
      </c>
      <c r="D19" s="799">
        <v>119616</v>
      </c>
      <c r="E19" s="799"/>
      <c r="F19" s="800"/>
      <c r="G19" s="732"/>
      <c r="H19" s="473"/>
      <c r="I19" s="903"/>
      <c r="N19" s="77"/>
      <c r="O19" s="77"/>
      <c r="P19" s="77"/>
    </row>
    <row r="20" spans="1:16" x14ac:dyDescent="0.35">
      <c r="A20" s="797"/>
      <c r="B20" s="798">
        <v>44686</v>
      </c>
      <c r="C20" s="797" t="s">
        <v>883</v>
      </c>
      <c r="D20" s="799">
        <v>80000</v>
      </c>
      <c r="E20" s="799"/>
      <c r="F20" s="800"/>
      <c r="G20" s="732"/>
      <c r="H20" s="473"/>
      <c r="I20" s="903"/>
      <c r="N20" s="77"/>
      <c r="O20" s="77"/>
      <c r="P20" s="77"/>
    </row>
    <row r="21" spans="1:16" x14ac:dyDescent="0.35">
      <c r="A21" s="797"/>
      <c r="B21" s="798">
        <v>44682</v>
      </c>
      <c r="C21" s="797" t="s">
        <v>923</v>
      </c>
      <c r="D21" s="799"/>
      <c r="E21" s="799">
        <v>112000</v>
      </c>
      <c r="F21" s="800"/>
      <c r="G21" s="732"/>
      <c r="H21" s="76"/>
      <c r="I21" s="740"/>
      <c r="N21" s="77"/>
      <c r="O21" s="77"/>
      <c r="P21" s="77"/>
    </row>
    <row r="22" spans="1:16" x14ac:dyDescent="0.35">
      <c r="A22" s="797"/>
      <c r="B22" s="798"/>
      <c r="C22" s="797"/>
      <c r="D22" s="799"/>
      <c r="E22" s="799"/>
      <c r="F22" s="800">
        <f>SUM(D19:D22)-SUM(E19:E22)</f>
        <v>87616</v>
      </c>
      <c r="G22" s="732">
        <v>1518013.99</v>
      </c>
      <c r="H22" s="76"/>
      <c r="I22" s="740"/>
    </row>
    <row r="23" spans="1:16" x14ac:dyDescent="0.35">
      <c r="A23" s="797" t="s">
        <v>21</v>
      </c>
      <c r="B23" s="798">
        <v>44713</v>
      </c>
      <c r="C23" s="797" t="s">
        <v>884</v>
      </c>
      <c r="D23" s="799">
        <v>121552</v>
      </c>
      <c r="E23" s="799"/>
      <c r="F23" s="800"/>
      <c r="G23" s="732"/>
      <c r="H23" s="473"/>
      <c r="I23" s="740"/>
    </row>
    <row r="24" spans="1:16" x14ac:dyDescent="0.35">
      <c r="A24" s="797"/>
      <c r="B24" s="798">
        <v>44718</v>
      </c>
      <c r="C24" s="797" t="s">
        <v>883</v>
      </c>
      <c r="D24" s="799">
        <v>80000</v>
      </c>
      <c r="E24" s="799"/>
      <c r="F24" s="800"/>
      <c r="G24" s="732"/>
      <c r="H24" s="473"/>
      <c r="I24" s="740"/>
    </row>
    <row r="25" spans="1:16" x14ac:dyDescent="0.35">
      <c r="A25" s="797"/>
      <c r="B25" s="798">
        <v>44737</v>
      </c>
      <c r="C25" s="797" t="s">
        <v>962</v>
      </c>
      <c r="D25" s="799">
        <v>60776</v>
      </c>
      <c r="E25" s="799"/>
      <c r="F25" s="800"/>
      <c r="G25" s="732"/>
      <c r="H25" s="473"/>
      <c r="I25" s="740"/>
    </row>
    <row r="26" spans="1:16" x14ac:dyDescent="0.35">
      <c r="A26" s="797"/>
      <c r="B26" s="798">
        <v>44713</v>
      </c>
      <c r="C26" s="797" t="s">
        <v>923</v>
      </c>
      <c r="D26" s="799"/>
      <c r="E26" s="799">
        <v>111000</v>
      </c>
      <c r="F26" s="800"/>
      <c r="G26" s="732"/>
      <c r="H26" s="473"/>
      <c r="I26" s="740"/>
      <c r="J26" s="740"/>
      <c r="L26" s="700"/>
    </row>
    <row r="27" spans="1:16" x14ac:dyDescent="0.35">
      <c r="A27" s="797"/>
      <c r="B27" s="798"/>
      <c r="C27" s="797"/>
      <c r="D27" s="799"/>
      <c r="E27" s="799"/>
      <c r="F27" s="800">
        <f>SUM(D23:D27)-SUM(E23:E27)</f>
        <v>151328</v>
      </c>
      <c r="G27" s="732">
        <v>1520625.02</v>
      </c>
      <c r="H27" s="11"/>
      <c r="I27" s="741"/>
      <c r="J27" s="741"/>
      <c r="K27" s="671"/>
      <c r="L27" s="632"/>
      <c r="M27" s="632"/>
    </row>
    <row r="28" spans="1:16" x14ac:dyDescent="0.35">
      <c r="A28" s="797" t="s">
        <v>22</v>
      </c>
      <c r="B28" s="798">
        <v>44744</v>
      </c>
      <c r="C28" s="797" t="s">
        <v>884</v>
      </c>
      <c r="D28" s="799">
        <v>121552</v>
      </c>
      <c r="E28" s="799"/>
      <c r="F28" s="800"/>
      <c r="G28" s="732"/>
      <c r="H28" s="473"/>
      <c r="I28" s="741"/>
      <c r="J28" s="741"/>
      <c r="K28" s="671"/>
      <c r="L28" s="632"/>
      <c r="M28" s="632"/>
    </row>
    <row r="29" spans="1:16" x14ac:dyDescent="0.35">
      <c r="A29" s="797"/>
      <c r="B29" s="798">
        <v>44747</v>
      </c>
      <c r="C29" s="797" t="s">
        <v>883</v>
      </c>
      <c r="D29" s="799">
        <v>80000</v>
      </c>
      <c r="E29" s="799"/>
      <c r="F29" s="800"/>
      <c r="G29" s="732"/>
      <c r="H29" s="473"/>
      <c r="I29" s="741"/>
      <c r="J29" s="741"/>
      <c r="K29" s="671"/>
      <c r="L29" s="632"/>
      <c r="M29" s="632"/>
    </row>
    <row r="30" spans="1:16" x14ac:dyDescent="0.35">
      <c r="A30" s="797"/>
      <c r="B30" s="798">
        <v>44743</v>
      </c>
      <c r="C30" s="797" t="s">
        <v>923</v>
      </c>
      <c r="D30" s="799"/>
      <c r="E30" s="799">
        <v>110000</v>
      </c>
      <c r="F30" s="800"/>
      <c r="G30" s="732"/>
      <c r="H30" s="473"/>
      <c r="I30" s="743"/>
      <c r="J30" s="743"/>
      <c r="K30" s="671"/>
      <c r="L30" s="632"/>
      <c r="M30" s="632"/>
    </row>
    <row r="31" spans="1:16" x14ac:dyDescent="0.35">
      <c r="A31" s="797"/>
      <c r="B31" s="798"/>
      <c r="C31" s="797"/>
      <c r="D31" s="799"/>
      <c r="E31" s="799"/>
      <c r="F31" s="800">
        <f>SUM(D28:D31)-SUM(E28:E31)</f>
        <v>91552</v>
      </c>
      <c r="G31" s="732">
        <v>1519730.87</v>
      </c>
      <c r="H31" s="11"/>
      <c r="I31" s="741"/>
      <c r="J31" s="754"/>
      <c r="K31" s="672"/>
      <c r="L31" s="632"/>
      <c r="M31" s="632"/>
    </row>
    <row r="32" spans="1:16" x14ac:dyDescent="0.35">
      <c r="A32" s="956" t="s">
        <v>23</v>
      </c>
      <c r="B32" s="957">
        <v>44774</v>
      </c>
      <c r="C32" s="956" t="s">
        <v>884</v>
      </c>
      <c r="D32" s="958">
        <f>+D28</f>
        <v>121552</v>
      </c>
      <c r="E32" s="958"/>
      <c r="F32" s="959"/>
      <c r="G32" s="732"/>
      <c r="J32" s="725"/>
      <c r="K32" s="673"/>
      <c r="L32" s="630"/>
      <c r="M32" s="630"/>
    </row>
    <row r="33" spans="1:14" x14ac:dyDescent="0.35">
      <c r="A33" s="956"/>
      <c r="B33" s="957">
        <v>44804</v>
      </c>
      <c r="C33" s="956" t="s">
        <v>883</v>
      </c>
      <c r="D33" s="958">
        <v>80000</v>
      </c>
      <c r="E33" s="958"/>
      <c r="F33" s="959"/>
      <c r="G33" s="732"/>
      <c r="J33" s="725"/>
      <c r="K33" s="673"/>
      <c r="L33" s="630"/>
      <c r="M33" s="630"/>
    </row>
    <row r="34" spans="1:14" x14ac:dyDescent="0.35">
      <c r="A34" s="956"/>
      <c r="B34" s="957"/>
      <c r="C34" s="956" t="s">
        <v>867</v>
      </c>
      <c r="D34" s="958"/>
      <c r="E34" s="958">
        <f>+D32+D33-E35</f>
        <v>92552</v>
      </c>
      <c r="F34" s="959"/>
      <c r="G34" s="732"/>
      <c r="H34" s="11"/>
      <c r="I34" s="740"/>
      <c r="J34" s="746"/>
      <c r="K34" s="674"/>
      <c r="N34" s="910"/>
    </row>
    <row r="35" spans="1:14" x14ac:dyDescent="0.35">
      <c r="A35" s="956"/>
      <c r="B35" s="957">
        <v>44774</v>
      </c>
      <c r="C35" s="956" t="s">
        <v>923</v>
      </c>
      <c r="D35" s="958"/>
      <c r="E35" s="958">
        <v>109000</v>
      </c>
      <c r="F35" s="959"/>
      <c r="G35" s="732"/>
      <c r="H35" s="11"/>
      <c r="I35" s="740"/>
      <c r="J35" s="746"/>
      <c r="K35" s="674"/>
      <c r="M35" s="740"/>
      <c r="N35" s="746"/>
    </row>
    <row r="36" spans="1:14" x14ac:dyDescent="0.35">
      <c r="A36" s="956"/>
      <c r="B36" s="957"/>
      <c r="C36" s="956"/>
      <c r="D36" s="958"/>
      <c r="E36" s="958"/>
      <c r="F36" s="959">
        <f>SUM(D32:D36)-SUM(E32:E36)</f>
        <v>0</v>
      </c>
      <c r="G36" s="732">
        <f>+resume!C17</f>
        <v>1542144.38</v>
      </c>
      <c r="H36" s="11"/>
      <c r="I36" s="740"/>
      <c r="J36" s="746"/>
      <c r="K36" s="674"/>
      <c r="M36" s="740"/>
      <c r="N36" s="746"/>
    </row>
    <row r="37" spans="1:14" x14ac:dyDescent="0.35">
      <c r="A37" s="937" t="s">
        <v>24</v>
      </c>
      <c r="B37" s="938">
        <v>44805</v>
      </c>
      <c r="C37" s="937" t="s">
        <v>884</v>
      </c>
      <c r="D37" s="939">
        <f>+D32</f>
        <v>121552</v>
      </c>
      <c r="E37" s="939"/>
      <c r="F37" s="940"/>
      <c r="G37" s="732"/>
      <c r="H37" s="11"/>
      <c r="I37" s="740"/>
      <c r="J37" s="746"/>
      <c r="K37" s="674"/>
      <c r="M37" s="740"/>
      <c r="N37" s="746"/>
    </row>
    <row r="38" spans="1:14" x14ac:dyDescent="0.35">
      <c r="A38" s="937"/>
      <c r="B38" s="938">
        <v>44834</v>
      </c>
      <c r="C38" s="937" t="s">
        <v>883</v>
      </c>
      <c r="D38" s="939">
        <v>80000</v>
      </c>
      <c r="E38" s="939"/>
      <c r="F38" s="940"/>
      <c r="G38" s="732"/>
      <c r="H38" s="11"/>
      <c r="I38" s="740"/>
      <c r="J38" s="746"/>
      <c r="K38" s="674"/>
      <c r="M38" s="740"/>
      <c r="N38" s="746"/>
    </row>
    <row r="39" spans="1:14" x14ac:dyDescent="0.35">
      <c r="A39" s="937"/>
      <c r="B39" s="938"/>
      <c r="C39" s="937" t="s">
        <v>867</v>
      </c>
      <c r="D39" s="939"/>
      <c r="E39" s="939">
        <f>+D37+D38-E40</f>
        <v>163552</v>
      </c>
      <c r="F39" s="940"/>
      <c r="G39" s="732"/>
      <c r="H39" s="473"/>
      <c r="I39" s="740"/>
      <c r="J39" s="746"/>
      <c r="K39" s="674"/>
    </row>
    <row r="40" spans="1:14" x14ac:dyDescent="0.35">
      <c r="A40" s="937"/>
      <c r="B40" s="938">
        <v>44805</v>
      </c>
      <c r="C40" s="937" t="s">
        <v>923</v>
      </c>
      <c r="D40" s="939"/>
      <c r="E40" s="939">
        <v>38000</v>
      </c>
      <c r="F40" s="940"/>
      <c r="G40" s="732"/>
      <c r="H40" s="473"/>
      <c r="I40" s="740"/>
      <c r="J40" s="746"/>
      <c r="K40" s="674"/>
    </row>
    <row r="41" spans="1:14" x14ac:dyDescent="0.35">
      <c r="A41" s="937"/>
      <c r="B41" s="938"/>
      <c r="C41" s="937"/>
      <c r="D41" s="939"/>
      <c r="E41" s="939"/>
      <c r="F41" s="940">
        <f>SUM(D37:D41)-SUM(E37:E41)</f>
        <v>0</v>
      </c>
      <c r="G41" s="732">
        <f>+resume!C17</f>
        <v>1542144.38</v>
      </c>
      <c r="H41" s="11"/>
      <c r="I41" s="740"/>
      <c r="J41" s="746"/>
      <c r="K41" s="674"/>
    </row>
    <row r="42" spans="1:14" x14ac:dyDescent="0.35">
      <c r="A42" s="937" t="s">
        <v>25</v>
      </c>
      <c r="B42" s="938">
        <v>44835</v>
      </c>
      <c r="C42" s="937" t="s">
        <v>884</v>
      </c>
      <c r="D42" s="939">
        <f>+D37</f>
        <v>121552</v>
      </c>
      <c r="E42" s="939"/>
      <c r="F42" s="940"/>
      <c r="G42" s="732"/>
      <c r="K42" s="674"/>
      <c r="L42" s="700"/>
      <c r="N42" s="910"/>
    </row>
    <row r="43" spans="1:14" x14ac:dyDescent="0.35">
      <c r="A43" s="937"/>
      <c r="B43" s="938"/>
      <c r="C43" s="937" t="s">
        <v>867</v>
      </c>
      <c r="D43" s="939"/>
      <c r="E43" s="939">
        <f>+D42-E44</f>
        <v>85552</v>
      </c>
      <c r="F43" s="940"/>
      <c r="G43" s="732"/>
      <c r="K43" s="674"/>
      <c r="L43" s="700"/>
      <c r="N43" s="910"/>
    </row>
    <row r="44" spans="1:14" x14ac:dyDescent="0.35">
      <c r="A44" s="937"/>
      <c r="B44" s="938">
        <v>44835</v>
      </c>
      <c r="C44" s="937" t="s">
        <v>923</v>
      </c>
      <c r="D44" s="939"/>
      <c r="E44" s="939">
        <v>36000</v>
      </c>
      <c r="F44" s="940"/>
      <c r="G44" s="732"/>
      <c r="H44" s="11"/>
      <c r="I44" s="740"/>
      <c r="J44" s="746"/>
      <c r="K44" s="674"/>
      <c r="L44" s="700"/>
      <c r="M44" s="700"/>
    </row>
    <row r="45" spans="1:14" x14ac:dyDescent="0.35">
      <c r="A45" s="937"/>
      <c r="B45" s="938"/>
      <c r="C45" s="937"/>
      <c r="D45" s="939"/>
      <c r="E45" s="939"/>
      <c r="F45" s="940">
        <f>SUM(D42:D45)-SUM(E42:E45)</f>
        <v>0</v>
      </c>
      <c r="G45" s="732">
        <f>+resume!C17</f>
        <v>1542144.38</v>
      </c>
      <c r="H45" s="473"/>
      <c r="I45" s="740"/>
      <c r="J45" s="746"/>
      <c r="K45" s="674"/>
      <c r="M45" s="700"/>
    </row>
    <row r="46" spans="1:14" x14ac:dyDescent="0.35">
      <c r="A46" s="937" t="s">
        <v>26</v>
      </c>
      <c r="B46" s="938">
        <v>44866</v>
      </c>
      <c r="C46" s="937" t="s">
        <v>884</v>
      </c>
      <c r="D46" s="939">
        <f>+D42</f>
        <v>121552</v>
      </c>
      <c r="E46" s="939"/>
      <c r="F46" s="940"/>
      <c r="G46" s="732"/>
      <c r="H46" s="11"/>
      <c r="I46" s="740"/>
      <c r="J46" s="746"/>
      <c r="K46" s="674"/>
      <c r="L46" s="88"/>
      <c r="M46" s="700"/>
    </row>
    <row r="47" spans="1:14" x14ac:dyDescent="0.35">
      <c r="A47" s="937"/>
      <c r="B47" s="938"/>
      <c r="C47" s="937" t="s">
        <v>867</v>
      </c>
      <c r="D47" s="939"/>
      <c r="E47" s="939">
        <f>+D46-E48</f>
        <v>85552</v>
      </c>
      <c r="F47" s="940"/>
      <c r="G47" s="732"/>
      <c r="H47" s="11"/>
      <c r="I47" s="740"/>
      <c r="J47" s="746"/>
      <c r="K47" s="674"/>
      <c r="L47" s="88"/>
      <c r="M47" s="700"/>
    </row>
    <row r="48" spans="1:14" x14ac:dyDescent="0.35">
      <c r="A48" s="937"/>
      <c r="B48" s="938">
        <v>44866</v>
      </c>
      <c r="C48" s="937" t="s">
        <v>923</v>
      </c>
      <c r="D48" s="939"/>
      <c r="E48" s="939">
        <v>36000</v>
      </c>
      <c r="F48" s="940"/>
      <c r="G48" s="732"/>
      <c r="H48" s="11"/>
      <c r="I48" s="740"/>
      <c r="M48" s="700"/>
    </row>
    <row r="49" spans="1:13" x14ac:dyDescent="0.35">
      <c r="A49" s="937"/>
      <c r="B49" s="938"/>
      <c r="C49" s="937"/>
      <c r="D49" s="939"/>
      <c r="E49" s="939"/>
      <c r="F49" s="940">
        <f>SUM(D46:D49)-SUM(E46:E49)</f>
        <v>0</v>
      </c>
      <c r="G49" s="732">
        <f>+resume!C17</f>
        <v>1542144.38</v>
      </c>
      <c r="H49" s="473"/>
      <c r="I49" s="740"/>
      <c r="J49" s="746"/>
      <c r="K49" s="674"/>
    </row>
    <row r="50" spans="1:13" x14ac:dyDescent="0.35">
      <c r="A50" s="937" t="s">
        <v>27</v>
      </c>
      <c r="B50" s="938">
        <v>44896</v>
      </c>
      <c r="C50" s="937" t="s">
        <v>884</v>
      </c>
      <c r="D50" s="939">
        <f>+D46</f>
        <v>121552</v>
      </c>
      <c r="E50" s="939"/>
      <c r="F50" s="940"/>
      <c r="G50" s="732"/>
      <c r="H50" s="11"/>
      <c r="I50" s="740"/>
      <c r="J50" s="746"/>
      <c r="K50" s="674"/>
    </row>
    <row r="51" spans="1:13" x14ac:dyDescent="0.35">
      <c r="A51" s="937"/>
      <c r="B51" s="938">
        <v>44910</v>
      </c>
      <c r="C51" s="937" t="s">
        <v>956</v>
      </c>
      <c r="D51" s="939">
        <f>+D50/2</f>
        <v>60776</v>
      </c>
      <c r="E51" s="939"/>
      <c r="F51" s="940"/>
      <c r="G51" s="732"/>
      <c r="H51" s="11"/>
      <c r="I51" s="740"/>
    </row>
    <row r="52" spans="1:13" x14ac:dyDescent="0.35">
      <c r="A52" s="937"/>
      <c r="B52" s="938">
        <v>44896</v>
      </c>
      <c r="C52" s="937" t="s">
        <v>867</v>
      </c>
      <c r="D52" s="939"/>
      <c r="E52" s="939">
        <f>+D50+D51-E53</f>
        <v>146328</v>
      </c>
      <c r="F52" s="940"/>
      <c r="G52" s="732"/>
      <c r="H52" s="11"/>
      <c r="I52" s="740"/>
      <c r="M52" s="700"/>
    </row>
    <row r="53" spans="1:13" x14ac:dyDescent="0.35">
      <c r="A53" s="937"/>
      <c r="B53" s="938">
        <v>44896</v>
      </c>
      <c r="C53" s="937" t="s">
        <v>937</v>
      </c>
      <c r="D53" s="939"/>
      <c r="E53" s="939">
        <v>36000</v>
      </c>
      <c r="F53" s="940"/>
      <c r="G53" s="732"/>
      <c r="H53" s="11"/>
      <c r="I53" s="740"/>
      <c r="M53" s="700"/>
    </row>
    <row r="54" spans="1:13" x14ac:dyDescent="0.35">
      <c r="A54" s="937"/>
      <c r="B54" s="938"/>
      <c r="C54" s="937"/>
      <c r="D54" s="939"/>
      <c r="E54" s="939"/>
      <c r="F54" s="940">
        <f>SUM(D50:D54)-SUM(E50:E54)</f>
        <v>0</v>
      </c>
      <c r="G54" s="732">
        <f>+resume!C17</f>
        <v>1542144.38</v>
      </c>
      <c r="H54" s="473"/>
      <c r="I54" s="707"/>
      <c r="J54" s="707"/>
      <c r="K54" s="702"/>
      <c r="L54" s="699"/>
    </row>
    <row r="55" spans="1:13" x14ac:dyDescent="0.35">
      <c r="A55" s="19"/>
      <c r="D55" s="715"/>
      <c r="E55" s="715"/>
      <c r="H55" s="473"/>
      <c r="I55" s="740"/>
    </row>
    <row r="56" spans="1:13" x14ac:dyDescent="0.35">
      <c r="A56" s="19"/>
      <c r="D56" s="715"/>
      <c r="E56" s="715"/>
    </row>
    <row r="57" spans="1:13" x14ac:dyDescent="0.35">
      <c r="A57" s="19"/>
      <c r="D57" s="715"/>
      <c r="E57" s="715"/>
    </row>
    <row r="58" spans="1:13" x14ac:dyDescent="0.35">
      <c r="A58" s="19"/>
      <c r="D58" s="715"/>
      <c r="E58" s="715"/>
    </row>
    <row r="59" spans="1:13" x14ac:dyDescent="0.35">
      <c r="A59" s="19"/>
      <c r="D59" s="715"/>
      <c r="E59" s="715"/>
      <c r="I59" s="745"/>
      <c r="J59" s="745"/>
      <c r="K59" s="675"/>
    </row>
    <row r="60" spans="1:13" x14ac:dyDescent="0.35">
      <c r="A60" s="19"/>
      <c r="D60" s="715"/>
      <c r="E60" s="715"/>
      <c r="I60" s="745"/>
      <c r="J60" s="745">
        <v>1741220.23</v>
      </c>
      <c r="K60" s="675"/>
    </row>
    <row r="61" spans="1:13" x14ac:dyDescent="0.35">
      <c r="A61" s="19"/>
      <c r="D61" s="715"/>
      <c r="E61" s="715"/>
      <c r="I61" s="745" t="s">
        <v>137</v>
      </c>
      <c r="J61" s="745" t="s">
        <v>138</v>
      </c>
      <c r="K61" s="675" t="s">
        <v>139</v>
      </c>
    </row>
    <row r="62" spans="1:13" x14ac:dyDescent="0.35">
      <c r="A62" s="19"/>
      <c r="D62" s="715"/>
      <c r="E62" s="715"/>
      <c r="I62" s="745">
        <f>_ENE22v</f>
        <v>1527330.44</v>
      </c>
      <c r="J62" s="745">
        <f>+I62-J60</f>
        <v>-213889.79</v>
      </c>
      <c r="K62" s="686">
        <f>(+J62*100/J60)/100</f>
        <v>-0.12280000000000001</v>
      </c>
      <c r="L62" s="686">
        <f>(+J62*100/$J$60)/100</f>
        <v>-0.12280000000000001</v>
      </c>
    </row>
    <row r="63" spans="1:13" x14ac:dyDescent="0.35">
      <c r="A63" s="19"/>
      <c r="D63" s="715"/>
      <c r="E63" s="715"/>
      <c r="I63" s="745">
        <f>_FEB22v</f>
        <v>1417723.44</v>
      </c>
      <c r="J63" s="745">
        <f t="shared" ref="J63:J71" si="0">+I63-I62</f>
        <v>-109607</v>
      </c>
      <c r="K63" s="686">
        <f t="shared" ref="K63:K71" si="1">(+J63*100/I62)/100</f>
        <v>-7.1800000000000003E-2</v>
      </c>
      <c r="L63" s="686">
        <f t="shared" ref="L63:L73" si="2">(+J63*100/$J$60)/100</f>
        <v>-6.2899999999999998E-2</v>
      </c>
    </row>
    <row r="64" spans="1:13" x14ac:dyDescent="0.35">
      <c r="A64" s="19"/>
      <c r="D64" s="715"/>
      <c r="E64" s="715"/>
      <c r="I64" s="745">
        <f>_MAR22v</f>
        <v>1429121.13</v>
      </c>
      <c r="J64" s="745">
        <f t="shared" si="0"/>
        <v>11397.69</v>
      </c>
      <c r="K64" s="686">
        <f t="shared" si="1"/>
        <v>8.0000000000000002E-3</v>
      </c>
      <c r="L64" s="686">
        <f t="shared" si="2"/>
        <v>6.4999999999999997E-3</v>
      </c>
    </row>
    <row r="65" spans="1:15" x14ac:dyDescent="0.35">
      <c r="A65" s="19"/>
      <c r="D65" s="715"/>
      <c r="E65" s="715"/>
      <c r="I65" s="745">
        <f>_ABR22v</f>
        <v>1517075.57</v>
      </c>
      <c r="J65" s="745">
        <f t="shared" si="0"/>
        <v>87954.44</v>
      </c>
      <c r="K65" s="686">
        <f t="shared" si="1"/>
        <v>6.1499999999999999E-2</v>
      </c>
      <c r="L65" s="686">
        <f t="shared" si="2"/>
        <v>5.0500000000000003E-2</v>
      </c>
    </row>
    <row r="66" spans="1:15" x14ac:dyDescent="0.35">
      <c r="A66" s="19"/>
      <c r="D66" s="715"/>
      <c r="E66" s="715"/>
      <c r="I66" s="745">
        <f>_MAY22v</f>
        <v>1518013.99</v>
      </c>
      <c r="J66" s="745">
        <f t="shared" si="0"/>
        <v>938.42</v>
      </c>
      <c r="K66" s="686">
        <f t="shared" si="1"/>
        <v>5.9999999999999995E-4</v>
      </c>
      <c r="L66" s="686">
        <f t="shared" si="2"/>
        <v>5.0000000000000001E-4</v>
      </c>
    </row>
    <row r="67" spans="1:15" x14ac:dyDescent="0.35">
      <c r="A67" s="19"/>
      <c r="D67" s="715"/>
      <c r="E67" s="715"/>
      <c r="I67" s="745">
        <f>_JUN22v</f>
        <v>1520625.02</v>
      </c>
      <c r="J67" s="745">
        <f t="shared" si="0"/>
        <v>2611.0300000000002</v>
      </c>
      <c r="K67" s="686">
        <f t="shared" si="1"/>
        <v>1.6999999999999999E-3</v>
      </c>
      <c r="L67" s="686">
        <f t="shared" si="2"/>
        <v>1.5E-3</v>
      </c>
    </row>
    <row r="68" spans="1:15" x14ac:dyDescent="0.35">
      <c r="A68" s="19"/>
      <c r="D68" s="715"/>
      <c r="E68" s="715"/>
      <c r="I68" s="745">
        <f>_JUL22v</f>
        <v>1519730.87</v>
      </c>
      <c r="J68" s="745">
        <f t="shared" si="0"/>
        <v>-894.15</v>
      </c>
      <c r="K68" s="686">
        <f t="shared" si="1"/>
        <v>-5.9999999999999995E-4</v>
      </c>
      <c r="L68" s="686">
        <f t="shared" si="2"/>
        <v>-5.0000000000000001E-4</v>
      </c>
    </row>
    <row r="69" spans="1:15" x14ac:dyDescent="0.35">
      <c r="A69" s="19"/>
      <c r="D69" s="715"/>
      <c r="E69" s="715"/>
      <c r="I69" s="745">
        <f>_AGO22v</f>
        <v>1542144.38</v>
      </c>
      <c r="J69" s="745">
        <f t="shared" si="0"/>
        <v>22413.51</v>
      </c>
      <c r="K69" s="686">
        <f t="shared" si="1"/>
        <v>1.47E-2</v>
      </c>
      <c r="L69" s="686">
        <f t="shared" si="2"/>
        <v>1.29E-2</v>
      </c>
    </row>
    <row r="70" spans="1:15" x14ac:dyDescent="0.35">
      <c r="A70" s="19"/>
      <c r="D70" s="715"/>
      <c r="E70" s="715"/>
      <c r="I70" s="745">
        <f>_SEP22v</f>
        <v>1542144.38</v>
      </c>
      <c r="J70" s="745">
        <f t="shared" si="0"/>
        <v>0</v>
      </c>
      <c r="K70" s="686">
        <f t="shared" si="1"/>
        <v>0</v>
      </c>
      <c r="L70" s="686">
        <f t="shared" si="2"/>
        <v>0</v>
      </c>
    </row>
    <row r="71" spans="1:15" x14ac:dyDescent="0.35">
      <c r="A71" s="19"/>
      <c r="D71" s="715"/>
      <c r="E71" s="715"/>
      <c r="I71" s="745">
        <f>_OCT22v</f>
        <v>1542144.38</v>
      </c>
      <c r="J71" s="745">
        <f t="shared" si="0"/>
        <v>0</v>
      </c>
      <c r="K71" s="686">
        <f t="shared" si="1"/>
        <v>0</v>
      </c>
      <c r="L71" s="686">
        <f t="shared" si="2"/>
        <v>0</v>
      </c>
    </row>
    <row r="72" spans="1:15" x14ac:dyDescent="0.35">
      <c r="A72" s="19"/>
      <c r="D72" s="715"/>
      <c r="E72" s="715"/>
      <c r="I72" s="745">
        <f>_NOV22v</f>
        <v>1542144.38</v>
      </c>
      <c r="J72" s="745">
        <f>+I72-I71</f>
        <v>0</v>
      </c>
      <c r="K72" s="686">
        <f>(+J72*100/I71)/100</f>
        <v>0</v>
      </c>
      <c r="L72" s="686">
        <f t="shared" si="2"/>
        <v>0</v>
      </c>
    </row>
    <row r="73" spans="1:15" x14ac:dyDescent="0.35">
      <c r="A73" s="19"/>
      <c r="D73" s="715"/>
      <c r="E73" s="715"/>
      <c r="I73" s="745">
        <f>_DIC22v</f>
        <v>1542144.38</v>
      </c>
      <c r="J73" s="745">
        <f>+I73-I72</f>
        <v>0</v>
      </c>
      <c r="K73" s="686">
        <f>(+J73*100/I72)/100</f>
        <v>0</v>
      </c>
      <c r="L73" s="686">
        <f t="shared" si="2"/>
        <v>0</v>
      </c>
    </row>
    <row r="74" spans="1:15" x14ac:dyDescent="0.35">
      <c r="A74" s="19"/>
      <c r="D74" s="715"/>
      <c r="E74" s="715"/>
      <c r="I74" s="745"/>
      <c r="J74" s="745">
        <f>SUM(J62:J73)</f>
        <v>-199075.85</v>
      </c>
      <c r="K74" s="686">
        <f>SUM(K62:K73)</f>
        <v>-0.1087</v>
      </c>
      <c r="L74" s="686">
        <f>SUM(L62:L73)</f>
        <v>-0.1143</v>
      </c>
    </row>
    <row r="75" spans="1:15" x14ac:dyDescent="0.35">
      <c r="A75" s="19"/>
      <c r="D75" s="715"/>
      <c r="E75" s="715"/>
      <c r="G75" s="734"/>
      <c r="I75" s="745" t="s">
        <v>871</v>
      </c>
      <c r="J75" s="745">
        <f>SUM(D4:D55)-SUM(E4:E55)</f>
        <v>521840</v>
      </c>
      <c r="K75" s="926">
        <f>(J75*100/$J$60)/100</f>
        <v>0.29970000000000002</v>
      </c>
      <c r="M75" s="700"/>
    </row>
    <row r="76" spans="1:15" x14ac:dyDescent="0.35">
      <c r="A76" s="92"/>
      <c r="F76" s="726"/>
      <c r="G76" s="734"/>
      <c r="I76" s="745" t="s">
        <v>872</v>
      </c>
      <c r="J76" s="745">
        <f>+J74-J75</f>
        <v>-720915.85</v>
      </c>
      <c r="K76" s="926">
        <f>(J76*100/$J$60)/100</f>
        <v>-0.41399999999999998</v>
      </c>
      <c r="L76" s="32"/>
      <c r="M76" s="33"/>
      <c r="N76" s="33"/>
    </row>
    <row r="77" spans="1:15" x14ac:dyDescent="0.35">
      <c r="A77" s="92"/>
      <c r="F77" s="726"/>
      <c r="G77" s="734"/>
      <c r="H77" s="30"/>
      <c r="I77" s="748"/>
      <c r="J77" s="755"/>
      <c r="K77" s="676"/>
      <c r="L77" s="33"/>
      <c r="M77" s="33"/>
      <c r="N77" s="33"/>
    </row>
    <row r="78" spans="1:15" x14ac:dyDescent="0.35">
      <c r="A78" s="92"/>
      <c r="D78" s="715"/>
      <c r="E78" s="715"/>
      <c r="F78" s="726"/>
      <c r="G78" s="735"/>
      <c r="H78" s="34"/>
      <c r="I78" s="748"/>
      <c r="J78" s="740"/>
      <c r="K78" s="676"/>
      <c r="L78" s="33"/>
      <c r="M78" s="33"/>
      <c r="N78" s="33"/>
    </row>
    <row r="79" spans="1:15" x14ac:dyDescent="0.35">
      <c r="A79" s="92"/>
      <c r="F79" s="726"/>
      <c r="G79" s="735"/>
      <c r="H79" s="34"/>
      <c r="I79" s="740"/>
      <c r="J79" s="740"/>
    </row>
    <row r="80" spans="1:15" x14ac:dyDescent="0.35">
      <c r="A80" s="92"/>
      <c r="F80" s="726"/>
      <c r="G80" s="735"/>
      <c r="H80" s="93"/>
      <c r="I80" s="749"/>
      <c r="J80" s="749"/>
      <c r="L80" s="700"/>
      <c r="M80" s="700"/>
      <c r="O80" s="700"/>
    </row>
    <row r="81" spans="1:15" x14ac:dyDescent="0.35">
      <c r="A81" s="92"/>
      <c r="F81" s="726"/>
      <c r="G81" s="735"/>
      <c r="H81" s="93"/>
      <c r="I81" s="749"/>
      <c r="J81" s="749"/>
      <c r="L81" s="700"/>
      <c r="M81" s="700"/>
      <c r="O81" s="700"/>
    </row>
    <row r="82" spans="1:15" x14ac:dyDescent="0.35">
      <c r="A82" s="92"/>
      <c r="F82" s="726"/>
      <c r="G82" s="735"/>
      <c r="H82" s="93"/>
      <c r="I82" s="749"/>
      <c r="J82" s="749"/>
      <c r="L82" s="700"/>
      <c r="M82" s="700"/>
      <c r="O82" s="700"/>
    </row>
    <row r="83" spans="1:15" x14ac:dyDescent="0.35">
      <c r="A83" s="92"/>
      <c r="F83" s="726"/>
      <c r="G83" s="735"/>
      <c r="H83" s="93"/>
      <c r="I83" s="749"/>
      <c r="J83" s="749"/>
      <c r="L83" s="700"/>
      <c r="M83" s="700"/>
      <c r="O83" s="700"/>
    </row>
    <row r="84" spans="1:15" x14ac:dyDescent="0.35">
      <c r="A84" s="92"/>
      <c r="F84" s="726"/>
      <c r="G84" s="735"/>
      <c r="H84" s="93"/>
      <c r="I84" s="749"/>
      <c r="J84" s="749"/>
    </row>
    <row r="85" spans="1:15" x14ac:dyDescent="0.35">
      <c r="A85" s="92"/>
      <c r="F85" s="726"/>
      <c r="G85" s="735"/>
      <c r="H85" s="93"/>
      <c r="I85" s="750"/>
      <c r="J85" s="750"/>
    </row>
    <row r="86" spans="1:15" x14ac:dyDescent="0.35">
      <c r="A86" s="92"/>
      <c r="F86" s="726"/>
      <c r="G86" s="735"/>
      <c r="H86" s="93"/>
      <c r="I86" s="750"/>
      <c r="J86" s="750"/>
    </row>
    <row r="87" spans="1:15" x14ac:dyDescent="0.35">
      <c r="A87" s="92"/>
      <c r="F87" s="726"/>
      <c r="G87" s="735"/>
      <c r="H87" s="93"/>
      <c r="I87" s="750"/>
      <c r="J87" s="750"/>
    </row>
    <row r="88" spans="1:15" x14ac:dyDescent="0.35">
      <c r="A88" s="92"/>
      <c r="F88" s="726"/>
      <c r="G88" s="735"/>
      <c r="H88" s="93"/>
      <c r="I88" s="750"/>
      <c r="J88" s="750"/>
    </row>
    <row r="89" spans="1:15" x14ac:dyDescent="0.35">
      <c r="A89" s="92"/>
      <c r="F89" s="726"/>
      <c r="G89" s="735"/>
      <c r="H89" s="93"/>
      <c r="I89" s="750"/>
      <c r="J89" s="750"/>
    </row>
    <row r="90" spans="1:15" x14ac:dyDescent="0.35">
      <c r="A90" s="92"/>
      <c r="F90" s="726"/>
      <c r="G90" s="735"/>
      <c r="H90" s="93"/>
      <c r="I90" s="750"/>
      <c r="J90" s="750"/>
    </row>
    <row r="91" spans="1:15" x14ac:dyDescent="0.35">
      <c r="A91" s="92"/>
      <c r="F91" s="726"/>
      <c r="G91" s="735"/>
      <c r="H91" s="93"/>
      <c r="I91" s="750"/>
      <c r="J91" s="750"/>
    </row>
    <row r="92" spans="1:15" x14ac:dyDescent="0.35">
      <c r="A92" s="92"/>
      <c r="F92" s="726"/>
      <c r="G92" s="735"/>
      <c r="H92" s="93"/>
      <c r="I92" s="750"/>
      <c r="J92" s="750"/>
    </row>
    <row r="93" spans="1:15" x14ac:dyDescent="0.35">
      <c r="A93" s="92"/>
      <c r="F93" s="726"/>
      <c r="G93" s="735"/>
      <c r="H93" s="93"/>
      <c r="I93" s="750"/>
      <c r="J93" s="750"/>
    </row>
    <row r="94" spans="1:15" x14ac:dyDescent="0.35">
      <c r="A94" s="92"/>
      <c r="F94" s="726"/>
      <c r="G94" s="735"/>
      <c r="H94" s="93"/>
      <c r="I94" s="750"/>
      <c r="J94" s="750"/>
    </row>
    <row r="95" spans="1:15" x14ac:dyDescent="0.35">
      <c r="A95" s="92"/>
      <c r="F95" s="726"/>
      <c r="G95" s="735"/>
      <c r="H95" s="93"/>
      <c r="I95" s="750"/>
      <c r="J95" s="750"/>
    </row>
    <row r="96" spans="1:15" x14ac:dyDescent="0.35">
      <c r="A96" s="92"/>
      <c r="F96" s="726"/>
      <c r="G96" s="735"/>
      <c r="H96" s="93"/>
      <c r="I96" s="750"/>
      <c r="J96" s="750"/>
    </row>
    <row r="97" spans="1:10" x14ac:dyDescent="0.35">
      <c r="A97" s="92"/>
      <c r="F97" s="726"/>
      <c r="G97" s="735"/>
      <c r="H97" s="93"/>
      <c r="I97" s="750"/>
      <c r="J97" s="750"/>
    </row>
    <row r="98" spans="1:10" x14ac:dyDescent="0.35">
      <c r="A98" s="92"/>
      <c r="B98" s="380" t="s">
        <v>32</v>
      </c>
      <c r="C98" s="380" t="s">
        <v>33</v>
      </c>
      <c r="F98" s="726"/>
      <c r="G98" s="735"/>
      <c r="H98" s="93"/>
      <c r="I98" s="750"/>
      <c r="J98" s="750"/>
    </row>
    <row r="99" spans="1:10" x14ac:dyDescent="0.35">
      <c r="A99" s="92"/>
      <c r="B99" s="380">
        <f>SUM(D4:D76)</f>
        <v>2064376</v>
      </c>
      <c r="C99" s="380">
        <f>SUM(E4:E76)</f>
        <v>1542536</v>
      </c>
      <c r="F99" s="726"/>
      <c r="G99" s="735"/>
      <c r="H99" s="93"/>
      <c r="I99" s="750"/>
      <c r="J99" s="750"/>
    </row>
    <row r="100" spans="1:10" x14ac:dyDescent="0.35">
      <c r="A100" s="92"/>
      <c r="B100" s="518">
        <f>+B99-C99</f>
        <v>521840</v>
      </c>
      <c r="F100" s="726"/>
      <c r="G100" s="735"/>
      <c r="H100" s="93"/>
      <c r="I100" s="750"/>
      <c r="J100" s="750"/>
    </row>
    <row r="101" spans="1:10" x14ac:dyDescent="0.35">
      <c r="A101" s="92"/>
      <c r="F101" s="726"/>
      <c r="G101" s="735"/>
      <c r="H101" s="93"/>
      <c r="I101" s="750"/>
      <c r="J101" s="750"/>
    </row>
    <row r="102" spans="1:10" x14ac:dyDescent="0.35">
      <c r="A102" s="92"/>
      <c r="F102" s="726"/>
      <c r="G102" s="735"/>
      <c r="H102" s="93"/>
      <c r="I102" s="750"/>
      <c r="J102" s="750"/>
    </row>
    <row r="103" spans="1:10" x14ac:dyDescent="0.35">
      <c r="A103" s="92"/>
      <c r="F103" s="726"/>
      <c r="G103" s="735"/>
      <c r="H103" s="93"/>
      <c r="I103" s="750"/>
      <c r="J103" s="750"/>
    </row>
    <row r="104" spans="1:10" x14ac:dyDescent="0.35">
      <c r="A104" s="92"/>
      <c r="F104" s="726"/>
      <c r="G104" s="735"/>
      <c r="H104" s="93"/>
      <c r="I104" s="750"/>
      <c r="J104" s="750"/>
    </row>
    <row r="105" spans="1:10" x14ac:dyDescent="0.35">
      <c r="A105" s="92"/>
      <c r="F105" s="726"/>
      <c r="G105" s="735"/>
      <c r="H105" s="93"/>
      <c r="I105" s="750"/>
      <c r="J105" s="750"/>
    </row>
    <row r="106" spans="1:10" x14ac:dyDescent="0.35">
      <c r="A106" s="92"/>
      <c r="F106" s="726"/>
      <c r="G106" s="735"/>
      <c r="H106" s="93"/>
      <c r="I106" s="750"/>
      <c r="J106" s="750"/>
    </row>
    <row r="107" spans="1:10" x14ac:dyDescent="0.35">
      <c r="A107" s="92"/>
      <c r="F107" s="726"/>
      <c r="G107" s="735"/>
      <c r="H107" s="93"/>
      <c r="I107" s="750"/>
      <c r="J107" s="750"/>
    </row>
    <row r="108" spans="1:10" x14ac:dyDescent="0.35">
      <c r="A108" s="92"/>
      <c r="F108" s="726"/>
      <c r="G108" s="735"/>
      <c r="H108" s="93"/>
      <c r="I108" s="750"/>
      <c r="J108" s="750"/>
    </row>
    <row r="109" spans="1:10" x14ac:dyDescent="0.35">
      <c r="A109" s="92"/>
      <c r="F109" s="726"/>
      <c r="G109" s="735"/>
      <c r="H109" s="93"/>
      <c r="I109" s="750"/>
      <c r="J109" s="750"/>
    </row>
    <row r="110" spans="1:10" x14ac:dyDescent="0.35">
      <c r="A110" s="92"/>
      <c r="F110" s="726"/>
      <c r="G110" s="735"/>
      <c r="H110" s="93"/>
      <c r="I110" s="750"/>
      <c r="J110" s="750"/>
    </row>
    <row r="111" spans="1:10" x14ac:dyDescent="0.35">
      <c r="A111" s="92"/>
      <c r="F111" s="726"/>
      <c r="G111" s="735"/>
      <c r="H111" s="93"/>
      <c r="I111" s="750"/>
      <c r="J111" s="750"/>
    </row>
    <row r="112" spans="1:10" x14ac:dyDescent="0.35">
      <c r="A112" s="92"/>
      <c r="F112" s="726"/>
      <c r="G112" s="735"/>
      <c r="H112" s="93"/>
      <c r="I112" s="750"/>
      <c r="J112" s="750"/>
    </row>
    <row r="113" spans="1:10" x14ac:dyDescent="0.35">
      <c r="A113" s="92"/>
      <c r="F113" s="726"/>
      <c r="G113" s="735"/>
      <c r="H113" s="93"/>
      <c r="I113" s="750"/>
      <c r="J113" s="750"/>
    </row>
    <row r="114" spans="1:10" x14ac:dyDescent="0.35">
      <c r="A114" s="92"/>
      <c r="F114" s="726"/>
      <c r="G114" s="735"/>
      <c r="H114" s="93"/>
      <c r="I114" s="750"/>
      <c r="J114" s="750"/>
    </row>
    <row r="115" spans="1:10" x14ac:dyDescent="0.35">
      <c r="A115" s="92"/>
      <c r="F115" s="726"/>
      <c r="G115" s="735"/>
      <c r="H115" s="93"/>
      <c r="I115" s="750"/>
      <c r="J115" s="750"/>
    </row>
    <row r="116" spans="1:10" x14ac:dyDescent="0.35">
      <c r="A116" s="92"/>
      <c r="F116" s="726"/>
      <c r="G116" s="735"/>
      <c r="H116" s="93"/>
      <c r="I116" s="750"/>
      <c r="J116" s="750"/>
    </row>
    <row r="117" spans="1:10" x14ac:dyDescent="0.35">
      <c r="A117" s="92"/>
      <c r="F117" s="726"/>
      <c r="G117" s="735"/>
      <c r="H117" s="93"/>
      <c r="I117" s="750"/>
      <c r="J117" s="750"/>
    </row>
    <row r="118" spans="1:10" x14ac:dyDescent="0.35">
      <c r="A118" s="92"/>
      <c r="F118" s="726"/>
      <c r="G118" s="735"/>
      <c r="H118" s="93"/>
      <c r="I118" s="750"/>
      <c r="J118" s="750"/>
    </row>
    <row r="119" spans="1:10" x14ac:dyDescent="0.35">
      <c r="A119" s="92"/>
      <c r="F119" s="726"/>
      <c r="G119" s="735"/>
      <c r="H119" s="93"/>
      <c r="I119" s="750"/>
      <c r="J119" s="750"/>
    </row>
    <row r="120" spans="1:10" x14ac:dyDescent="0.35">
      <c r="A120" s="92"/>
      <c r="F120" s="726"/>
      <c r="G120" s="735"/>
      <c r="H120" s="93"/>
      <c r="I120" s="750"/>
      <c r="J120" s="750"/>
    </row>
    <row r="121" spans="1:10" x14ac:dyDescent="0.35">
      <c r="A121" s="92"/>
      <c r="F121" s="726"/>
      <c r="G121" s="735"/>
      <c r="H121" s="93"/>
      <c r="I121" s="750"/>
      <c r="J121" s="750"/>
    </row>
    <row r="122" spans="1:10" x14ac:dyDescent="0.35">
      <c r="A122" s="92"/>
      <c r="F122" s="726"/>
      <c r="G122" s="735"/>
      <c r="H122" s="93"/>
      <c r="I122" s="750"/>
      <c r="J122" s="750"/>
    </row>
    <row r="123" spans="1:10" x14ac:dyDescent="0.35">
      <c r="A123" s="92"/>
      <c r="F123" s="726"/>
      <c r="G123" s="735"/>
      <c r="H123" s="93"/>
      <c r="I123" s="750"/>
      <c r="J123" s="750"/>
    </row>
    <row r="124" spans="1:10" x14ac:dyDescent="0.35">
      <c r="A124" s="92"/>
      <c r="F124" s="726"/>
      <c r="G124" s="735"/>
      <c r="H124" s="93"/>
      <c r="I124" s="750"/>
      <c r="J124" s="750"/>
    </row>
    <row r="125" spans="1:10" x14ac:dyDescent="0.35">
      <c r="A125" s="92"/>
      <c r="F125" s="726"/>
      <c r="G125" s="735"/>
      <c r="H125" s="93"/>
      <c r="I125" s="750"/>
      <c r="J125" s="750"/>
    </row>
    <row r="126" spans="1:10" x14ac:dyDescent="0.35">
      <c r="A126" s="92"/>
      <c r="F126" s="726"/>
      <c r="G126" s="735"/>
      <c r="H126" s="93"/>
      <c r="I126" s="750"/>
      <c r="J126" s="750"/>
    </row>
    <row r="127" spans="1:10" x14ac:dyDescent="0.35">
      <c r="A127" s="92"/>
      <c r="F127" s="726"/>
      <c r="G127" s="735"/>
      <c r="H127" s="93"/>
      <c r="I127" s="750"/>
      <c r="J127" s="750"/>
    </row>
    <row r="128" spans="1:10" x14ac:dyDescent="0.35">
      <c r="A128" s="92"/>
      <c r="F128" s="726"/>
      <c r="G128" s="735"/>
      <c r="H128" s="93"/>
      <c r="I128" s="750"/>
      <c r="J128" s="750"/>
    </row>
    <row r="129" spans="1:10" x14ac:dyDescent="0.35">
      <c r="A129" s="92"/>
      <c r="F129" s="726"/>
      <c r="G129" s="735"/>
      <c r="H129" s="93"/>
      <c r="I129" s="750"/>
      <c r="J129" s="750"/>
    </row>
    <row r="130" spans="1:10" x14ac:dyDescent="0.35">
      <c r="A130" s="92"/>
      <c r="F130" s="726"/>
      <c r="G130" s="735"/>
      <c r="H130" s="93"/>
      <c r="I130" s="750"/>
      <c r="J130" s="750"/>
    </row>
    <row r="131" spans="1:10" x14ac:dyDescent="0.35">
      <c r="A131" s="92"/>
      <c r="F131" s="726"/>
      <c r="G131" s="735"/>
      <c r="H131" s="93"/>
      <c r="I131" s="750"/>
      <c r="J131" s="750"/>
    </row>
    <row r="132" spans="1:10" x14ac:dyDescent="0.35">
      <c r="A132" s="92"/>
      <c r="F132" s="726"/>
      <c r="G132" s="735"/>
      <c r="H132" s="93"/>
      <c r="I132" s="750"/>
      <c r="J132" s="750"/>
    </row>
    <row r="133" spans="1:10" x14ac:dyDescent="0.35">
      <c r="A133" s="92"/>
      <c r="F133" s="726"/>
      <c r="G133" s="735"/>
      <c r="H133" s="93"/>
      <c r="I133" s="750"/>
      <c r="J133" s="750"/>
    </row>
    <row r="134" spans="1:10" x14ac:dyDescent="0.35">
      <c r="A134" s="92"/>
      <c r="F134" s="726"/>
      <c r="G134" s="735"/>
      <c r="H134" s="93"/>
      <c r="I134" s="750"/>
      <c r="J134" s="750"/>
    </row>
    <row r="135" spans="1:10" x14ac:dyDescent="0.35">
      <c r="A135" s="92"/>
      <c r="F135" s="726"/>
      <c r="G135" s="735"/>
      <c r="H135" s="93"/>
      <c r="I135" s="750"/>
      <c r="J135" s="750"/>
    </row>
    <row r="136" spans="1:10" x14ac:dyDescent="0.35">
      <c r="A136" s="92"/>
      <c r="F136" s="726"/>
      <c r="G136" s="735"/>
      <c r="H136" s="93"/>
      <c r="I136" s="750"/>
      <c r="J136" s="750"/>
    </row>
    <row r="137" spans="1:10" x14ac:dyDescent="0.35">
      <c r="A137" s="92"/>
      <c r="F137" s="726"/>
      <c r="G137" s="735"/>
      <c r="H137" s="93"/>
      <c r="I137" s="750"/>
      <c r="J137" s="750"/>
    </row>
    <row r="138" spans="1:10" x14ac:dyDescent="0.35">
      <c r="A138" s="92"/>
      <c r="F138" s="726"/>
      <c r="G138" s="735"/>
      <c r="H138" s="93"/>
      <c r="I138" s="750"/>
      <c r="J138" s="750"/>
    </row>
    <row r="139" spans="1:10" x14ac:dyDescent="0.35">
      <c r="A139" s="92"/>
      <c r="F139" s="726"/>
      <c r="G139" s="735"/>
      <c r="H139" s="93"/>
      <c r="I139" s="750"/>
      <c r="J139" s="750"/>
    </row>
    <row r="140" spans="1:10" x14ac:dyDescent="0.35">
      <c r="A140" s="92"/>
      <c r="F140" s="726"/>
      <c r="G140" s="735"/>
      <c r="H140" s="93"/>
      <c r="I140" s="750"/>
      <c r="J140" s="750"/>
    </row>
    <row r="141" spans="1:10" x14ac:dyDescent="0.35">
      <c r="A141" s="92"/>
      <c r="F141" s="726"/>
      <c r="G141" s="735"/>
      <c r="H141" s="93"/>
      <c r="I141" s="750"/>
      <c r="J141" s="750"/>
    </row>
    <row r="142" spans="1:10" x14ac:dyDescent="0.35">
      <c r="A142" s="92"/>
      <c r="F142" s="726"/>
      <c r="G142" s="735"/>
      <c r="H142" s="93"/>
      <c r="I142" s="750"/>
      <c r="J142" s="750"/>
    </row>
    <row r="143" spans="1:10" x14ac:dyDescent="0.35">
      <c r="A143" s="92"/>
      <c r="F143" s="726"/>
      <c r="G143" s="735"/>
      <c r="H143" s="93"/>
      <c r="I143" s="750"/>
      <c r="J143" s="750"/>
    </row>
    <row r="144" spans="1:10" x14ac:dyDescent="0.35">
      <c r="A144" s="92"/>
      <c r="F144" s="726"/>
      <c r="G144" s="735"/>
      <c r="H144" s="93"/>
      <c r="I144" s="750"/>
      <c r="J144" s="750"/>
    </row>
    <row r="145" spans="1:10" x14ac:dyDescent="0.35">
      <c r="A145" s="92"/>
      <c r="F145" s="726"/>
      <c r="G145" s="735"/>
      <c r="H145" s="93"/>
      <c r="I145" s="750"/>
      <c r="J145" s="750"/>
    </row>
    <row r="146" spans="1:10" x14ac:dyDescent="0.35">
      <c r="A146" s="92"/>
      <c r="F146" s="726"/>
      <c r="G146" s="735"/>
      <c r="H146" s="93"/>
      <c r="I146" s="750"/>
      <c r="J146" s="750"/>
    </row>
    <row r="147" spans="1:10" x14ac:dyDescent="0.35">
      <c r="A147" s="92"/>
      <c r="F147" s="726"/>
      <c r="G147" s="735"/>
      <c r="H147" s="93"/>
      <c r="I147" s="750"/>
      <c r="J147" s="750"/>
    </row>
    <row r="148" spans="1:10" x14ac:dyDescent="0.35">
      <c r="A148" s="92"/>
      <c r="F148" s="726"/>
      <c r="G148" s="735"/>
      <c r="H148" s="93"/>
      <c r="I148" s="750"/>
      <c r="J148" s="750"/>
    </row>
    <row r="149" spans="1:10" x14ac:dyDescent="0.35">
      <c r="A149" s="92"/>
      <c r="F149" s="726"/>
      <c r="G149" s="735"/>
      <c r="H149" s="93"/>
      <c r="I149" s="750"/>
      <c r="J149" s="750"/>
    </row>
    <row r="150" spans="1:10" x14ac:dyDescent="0.35">
      <c r="A150" s="92"/>
      <c r="F150" s="726"/>
      <c r="G150" s="735"/>
      <c r="H150" s="93"/>
      <c r="I150" s="750"/>
      <c r="J150" s="750"/>
    </row>
    <row r="151" spans="1:10" x14ac:dyDescent="0.35">
      <c r="A151" s="92"/>
      <c r="F151" s="726"/>
      <c r="G151" s="735"/>
      <c r="H151" s="93"/>
      <c r="I151" s="750"/>
      <c r="J151" s="750"/>
    </row>
    <row r="152" spans="1:10" x14ac:dyDescent="0.35">
      <c r="A152" s="92"/>
      <c r="F152" s="726"/>
      <c r="G152" s="735"/>
      <c r="H152" s="93"/>
      <c r="I152" s="750"/>
      <c r="J152" s="750"/>
    </row>
    <row r="153" spans="1:10" x14ac:dyDescent="0.35">
      <c r="A153" s="92"/>
      <c r="F153" s="726"/>
      <c r="G153" s="735"/>
      <c r="H153" s="93"/>
      <c r="I153" s="750"/>
      <c r="J153" s="750"/>
    </row>
    <row r="154" spans="1:10" x14ac:dyDescent="0.35">
      <c r="A154" s="92"/>
      <c r="F154" s="726"/>
      <c r="G154" s="735"/>
      <c r="H154" s="93"/>
      <c r="I154" s="750"/>
      <c r="J154" s="750"/>
    </row>
    <row r="155" spans="1:10" x14ac:dyDescent="0.35">
      <c r="A155" s="92"/>
      <c r="F155" s="726"/>
      <c r="G155" s="735"/>
      <c r="H155" s="93"/>
      <c r="I155" s="750"/>
      <c r="J155" s="750"/>
    </row>
    <row r="156" spans="1:10" x14ac:dyDescent="0.35">
      <c r="A156" s="92"/>
      <c r="F156" s="726"/>
      <c r="G156" s="735"/>
      <c r="H156" s="93"/>
      <c r="I156" s="750"/>
      <c r="J156" s="750"/>
    </row>
    <row r="157" spans="1:10" x14ac:dyDescent="0.35">
      <c r="A157" s="92"/>
      <c r="F157" s="726"/>
      <c r="G157" s="735"/>
      <c r="H157" s="93"/>
      <c r="I157" s="750"/>
      <c r="J157" s="750"/>
    </row>
    <row r="158" spans="1:10" x14ac:dyDescent="0.35">
      <c r="A158" s="92"/>
      <c r="F158" s="726"/>
      <c r="G158" s="735"/>
      <c r="H158" s="93"/>
      <c r="I158" s="750"/>
      <c r="J158" s="750"/>
    </row>
    <row r="159" spans="1:10" x14ac:dyDescent="0.35">
      <c r="A159" s="92"/>
      <c r="F159" s="726"/>
      <c r="G159" s="735"/>
      <c r="H159" s="93"/>
      <c r="I159" s="750"/>
      <c r="J159" s="750"/>
    </row>
    <row r="160" spans="1:10" x14ac:dyDescent="0.35">
      <c r="A160" s="92"/>
      <c r="F160" s="726"/>
      <c r="G160" s="735"/>
      <c r="H160" s="93"/>
      <c r="I160" s="750"/>
      <c r="J160" s="750"/>
    </row>
    <row r="161" spans="1:10" x14ac:dyDescent="0.35">
      <c r="A161" s="92"/>
      <c r="F161" s="726"/>
      <c r="G161" s="735"/>
      <c r="H161" s="93"/>
      <c r="I161" s="750"/>
      <c r="J161" s="750"/>
    </row>
    <row r="162" spans="1:10" x14ac:dyDescent="0.35">
      <c r="A162" s="92"/>
      <c r="F162" s="726"/>
      <c r="G162" s="735"/>
      <c r="H162" s="93"/>
      <c r="I162" s="750"/>
      <c r="J162" s="750"/>
    </row>
    <row r="163" spans="1:10" x14ac:dyDescent="0.35">
      <c r="A163" s="92"/>
      <c r="F163" s="726"/>
      <c r="G163" s="735"/>
      <c r="H163" s="93"/>
      <c r="I163" s="750"/>
      <c r="J163" s="750"/>
    </row>
    <row r="164" spans="1:10" x14ac:dyDescent="0.35">
      <c r="A164" s="92"/>
      <c r="F164" s="726"/>
      <c r="G164" s="735"/>
      <c r="H164" s="93"/>
      <c r="I164" s="750"/>
      <c r="J164" s="750"/>
    </row>
    <row r="165" spans="1:10" x14ac:dyDescent="0.35">
      <c r="A165" s="92"/>
      <c r="F165" s="726"/>
      <c r="G165" s="735"/>
      <c r="H165" s="93"/>
      <c r="I165" s="750"/>
      <c r="J165" s="750"/>
    </row>
    <row r="166" spans="1:10" x14ac:dyDescent="0.35">
      <c r="A166" s="92"/>
      <c r="F166" s="726"/>
      <c r="G166" s="735"/>
      <c r="H166" s="93"/>
      <c r="I166" s="750"/>
      <c r="J166" s="750"/>
    </row>
    <row r="167" spans="1:10" x14ac:dyDescent="0.35">
      <c r="A167" s="92"/>
      <c r="F167" s="726"/>
      <c r="G167" s="735"/>
      <c r="H167" s="93"/>
      <c r="I167" s="750"/>
      <c r="J167" s="750"/>
    </row>
    <row r="168" spans="1:10" x14ac:dyDescent="0.35">
      <c r="A168" s="92"/>
      <c r="F168" s="726"/>
      <c r="G168" s="735"/>
      <c r="H168" s="93"/>
      <c r="I168" s="750"/>
      <c r="J168" s="750"/>
    </row>
    <row r="169" spans="1:10" x14ac:dyDescent="0.35">
      <c r="A169" s="92"/>
      <c r="F169" s="726"/>
      <c r="G169" s="735"/>
      <c r="H169" s="93"/>
      <c r="I169" s="750"/>
      <c r="J169" s="750"/>
    </row>
    <row r="170" spans="1:10" x14ac:dyDescent="0.35">
      <c r="A170" s="92"/>
      <c r="F170" s="726"/>
      <c r="G170" s="735"/>
      <c r="H170" s="93"/>
      <c r="I170" s="750"/>
      <c r="J170" s="750"/>
    </row>
    <row r="171" spans="1:10" x14ac:dyDescent="0.35">
      <c r="A171" s="92"/>
      <c r="F171" s="726"/>
      <c r="G171" s="735"/>
      <c r="H171" s="93"/>
      <c r="I171" s="750"/>
      <c r="J171" s="750"/>
    </row>
    <row r="172" spans="1:10" x14ac:dyDescent="0.35">
      <c r="A172" s="92"/>
      <c r="F172" s="726"/>
      <c r="G172" s="735"/>
      <c r="H172" s="93"/>
      <c r="I172" s="750"/>
      <c r="J172" s="750"/>
    </row>
    <row r="173" spans="1:10" x14ac:dyDescent="0.35">
      <c r="A173" s="92"/>
      <c r="F173" s="726"/>
      <c r="G173" s="735"/>
      <c r="H173" s="93"/>
      <c r="I173" s="750"/>
      <c r="J173" s="750"/>
    </row>
    <row r="174" spans="1:10" x14ac:dyDescent="0.35">
      <c r="A174" s="92"/>
      <c r="F174" s="726"/>
      <c r="G174" s="735"/>
      <c r="H174" s="93"/>
      <c r="I174" s="750"/>
      <c r="J174" s="750"/>
    </row>
    <row r="175" spans="1:10" x14ac:dyDescent="0.35">
      <c r="A175" s="92"/>
      <c r="F175" s="726"/>
      <c r="G175" s="735"/>
      <c r="H175" s="93"/>
      <c r="I175" s="750"/>
      <c r="J175" s="750"/>
    </row>
    <row r="176" spans="1:10" x14ac:dyDescent="0.35">
      <c r="A176" s="92"/>
      <c r="F176" s="726"/>
      <c r="G176" s="735"/>
      <c r="H176" s="93"/>
      <c r="I176" s="750"/>
      <c r="J176" s="750"/>
    </row>
    <row r="177" spans="1:10" x14ac:dyDescent="0.35">
      <c r="A177" s="92"/>
      <c r="F177" s="726"/>
      <c r="G177" s="735"/>
      <c r="H177" s="93"/>
      <c r="I177" s="750"/>
      <c r="J177" s="750"/>
    </row>
    <row r="178" spans="1:10" x14ac:dyDescent="0.35">
      <c r="A178" s="92"/>
      <c r="F178" s="726"/>
      <c r="G178" s="735"/>
      <c r="H178" s="93"/>
      <c r="I178" s="750"/>
      <c r="J178" s="750"/>
    </row>
    <row r="179" spans="1:10" x14ac:dyDescent="0.35">
      <c r="A179" s="92"/>
      <c r="F179" s="726"/>
      <c r="G179" s="735"/>
      <c r="H179" s="93"/>
      <c r="I179" s="750"/>
      <c r="J179" s="750"/>
    </row>
    <row r="180" spans="1:10" x14ac:dyDescent="0.35">
      <c r="A180" s="92"/>
      <c r="F180" s="726"/>
      <c r="G180" s="735"/>
      <c r="H180" s="93"/>
      <c r="I180" s="750"/>
      <c r="J180" s="750"/>
    </row>
    <row r="181" spans="1:10" x14ac:dyDescent="0.35">
      <c r="A181" s="92"/>
      <c r="F181" s="726"/>
      <c r="G181" s="735"/>
      <c r="H181" s="93"/>
      <c r="I181" s="750"/>
      <c r="J181" s="750"/>
    </row>
    <row r="182" spans="1:10" x14ac:dyDescent="0.35">
      <c r="A182" s="92"/>
      <c r="F182" s="726"/>
      <c r="G182" s="735"/>
      <c r="H182" s="93"/>
      <c r="I182" s="750"/>
      <c r="J182" s="750"/>
    </row>
    <row r="183" spans="1:10" x14ac:dyDescent="0.35">
      <c r="A183" s="92"/>
      <c r="F183" s="726"/>
      <c r="G183" s="735"/>
      <c r="H183" s="93"/>
      <c r="I183" s="750"/>
      <c r="J183" s="750"/>
    </row>
    <row r="184" spans="1:10" x14ac:dyDescent="0.35">
      <c r="A184" s="92"/>
      <c r="F184" s="726"/>
      <c r="G184" s="735"/>
      <c r="H184" s="93"/>
      <c r="I184" s="750"/>
      <c r="J184" s="750"/>
    </row>
    <row r="185" spans="1:10" x14ac:dyDescent="0.35">
      <c r="A185" s="92"/>
      <c r="F185" s="726"/>
      <c r="G185" s="735"/>
      <c r="H185" s="93"/>
      <c r="I185" s="750"/>
      <c r="J185" s="750"/>
    </row>
    <row r="186" spans="1:10" x14ac:dyDescent="0.35">
      <c r="A186" s="92"/>
      <c r="F186" s="726"/>
      <c r="G186" s="735"/>
      <c r="H186" s="93"/>
      <c r="I186" s="750"/>
      <c r="J186" s="750"/>
    </row>
    <row r="187" spans="1:10" x14ac:dyDescent="0.35">
      <c r="A187" s="92"/>
      <c r="F187" s="726"/>
      <c r="G187" s="735"/>
      <c r="H187" s="93"/>
      <c r="I187" s="750"/>
      <c r="J187" s="750"/>
    </row>
    <row r="188" spans="1:10" x14ac:dyDescent="0.35">
      <c r="A188" s="92"/>
      <c r="F188" s="726"/>
      <c r="G188" s="735"/>
      <c r="H188" s="93"/>
      <c r="I188" s="750"/>
      <c r="J188" s="750"/>
    </row>
    <row r="189" spans="1:10" x14ac:dyDescent="0.35">
      <c r="A189" s="92"/>
      <c r="F189" s="726"/>
      <c r="G189" s="735"/>
      <c r="H189" s="93"/>
      <c r="I189" s="750"/>
      <c r="J189" s="750"/>
    </row>
    <row r="190" spans="1:10" x14ac:dyDescent="0.35">
      <c r="A190" s="92"/>
      <c r="F190" s="726"/>
      <c r="G190" s="735"/>
      <c r="H190" s="93"/>
      <c r="I190" s="750"/>
      <c r="J190" s="750"/>
    </row>
    <row r="191" spans="1:10" x14ac:dyDescent="0.35">
      <c r="A191" s="92"/>
      <c r="F191" s="726"/>
      <c r="G191" s="735"/>
      <c r="H191" s="93"/>
      <c r="I191" s="750"/>
      <c r="J191" s="750"/>
    </row>
    <row r="192" spans="1:10" x14ac:dyDescent="0.35">
      <c r="A192" s="92"/>
      <c r="F192" s="726"/>
      <c r="G192" s="735"/>
      <c r="H192" s="93"/>
      <c r="I192" s="750"/>
      <c r="J192" s="750"/>
    </row>
    <row r="193" spans="1:10" x14ac:dyDescent="0.35">
      <c r="A193" s="92"/>
      <c r="F193" s="726"/>
      <c r="G193" s="735"/>
      <c r="H193" s="93"/>
      <c r="I193" s="750"/>
      <c r="J193" s="750"/>
    </row>
    <row r="194" spans="1:10" x14ac:dyDescent="0.35">
      <c r="A194" s="92"/>
      <c r="F194" s="726"/>
      <c r="G194" s="735"/>
      <c r="H194" s="93"/>
      <c r="I194" s="750"/>
      <c r="J194" s="750"/>
    </row>
    <row r="195" spans="1:10" x14ac:dyDescent="0.35">
      <c r="A195" s="92"/>
      <c r="F195" s="726"/>
      <c r="G195" s="735"/>
      <c r="H195" s="93"/>
      <c r="I195" s="750"/>
      <c r="J195" s="750"/>
    </row>
    <row r="196" spans="1:10" x14ac:dyDescent="0.35">
      <c r="A196" s="92"/>
      <c r="F196" s="726"/>
      <c r="G196" s="735"/>
      <c r="H196" s="93"/>
      <c r="I196" s="750"/>
      <c r="J196" s="750"/>
    </row>
    <row r="197" spans="1:10" x14ac:dyDescent="0.35">
      <c r="A197" s="92"/>
      <c r="F197" s="726"/>
      <c r="G197" s="735"/>
      <c r="H197" s="93"/>
      <c r="I197" s="750"/>
      <c r="J197" s="750"/>
    </row>
    <row r="198" spans="1:10" x14ac:dyDescent="0.35">
      <c r="A198" s="92"/>
      <c r="F198" s="726"/>
      <c r="G198" s="735"/>
      <c r="H198" s="93"/>
      <c r="I198" s="750"/>
      <c r="J198" s="750"/>
    </row>
    <row r="199" spans="1:10" x14ac:dyDescent="0.35">
      <c r="A199" s="92"/>
      <c r="F199" s="726"/>
      <c r="G199" s="735"/>
      <c r="H199" s="93"/>
      <c r="I199" s="750"/>
      <c r="J199" s="750"/>
    </row>
    <row r="200" spans="1:10" x14ac:dyDescent="0.35">
      <c r="A200" s="92"/>
      <c r="F200" s="726"/>
      <c r="G200" s="735"/>
      <c r="H200" s="93"/>
      <c r="I200" s="750"/>
      <c r="J200" s="750"/>
    </row>
    <row r="201" spans="1:10" x14ac:dyDescent="0.35">
      <c r="A201" s="92"/>
      <c r="F201" s="726"/>
      <c r="G201" s="735"/>
      <c r="H201" s="93"/>
      <c r="I201" s="750"/>
      <c r="J201" s="750"/>
    </row>
    <row r="202" spans="1:10" x14ac:dyDescent="0.35">
      <c r="A202" s="92"/>
      <c r="F202" s="726"/>
      <c r="G202" s="735"/>
      <c r="H202" s="93"/>
      <c r="I202" s="750"/>
      <c r="J202" s="750"/>
    </row>
    <row r="203" spans="1:10" x14ac:dyDescent="0.35">
      <c r="A203" s="92"/>
      <c r="F203" s="726"/>
      <c r="G203" s="735"/>
      <c r="H203" s="93"/>
      <c r="I203" s="750"/>
      <c r="J203" s="750"/>
    </row>
    <row r="204" spans="1:10" x14ac:dyDescent="0.35">
      <c r="A204" s="92"/>
      <c r="F204" s="726"/>
      <c r="G204" s="735"/>
      <c r="H204" s="93"/>
      <c r="I204" s="750"/>
      <c r="J204" s="750"/>
    </row>
    <row r="205" spans="1:10" x14ac:dyDescent="0.35">
      <c r="A205" s="92"/>
      <c r="F205" s="726"/>
      <c r="G205" s="735"/>
      <c r="H205" s="93"/>
      <c r="I205" s="750"/>
      <c r="J205" s="750"/>
    </row>
    <row r="206" spans="1:10" x14ac:dyDescent="0.35">
      <c r="A206" s="92"/>
      <c r="F206" s="726"/>
      <c r="G206" s="735"/>
      <c r="H206" s="93"/>
      <c r="I206" s="750"/>
      <c r="J206" s="750"/>
    </row>
    <row r="207" spans="1:10" x14ac:dyDescent="0.35">
      <c r="A207" s="92"/>
      <c r="F207" s="726"/>
      <c r="G207" s="735"/>
      <c r="H207" s="93"/>
      <c r="I207" s="750"/>
      <c r="J207" s="750"/>
    </row>
    <row r="208" spans="1:10" x14ac:dyDescent="0.35">
      <c r="A208" s="92"/>
      <c r="F208" s="726"/>
      <c r="G208" s="735"/>
      <c r="H208" s="93"/>
      <c r="I208" s="750"/>
      <c r="J208" s="750"/>
    </row>
    <row r="209" spans="1:10" x14ac:dyDescent="0.35">
      <c r="A209" s="92"/>
      <c r="F209" s="726"/>
      <c r="G209" s="735"/>
      <c r="H209" s="93"/>
      <c r="I209" s="750"/>
      <c r="J209" s="750"/>
    </row>
    <row r="210" spans="1:10" x14ac:dyDescent="0.35">
      <c r="A210" s="92"/>
      <c r="F210" s="726"/>
      <c r="G210" s="735"/>
      <c r="H210" s="93"/>
      <c r="I210" s="750"/>
      <c r="J210" s="750"/>
    </row>
    <row r="211" spans="1:10" x14ac:dyDescent="0.35">
      <c r="A211" s="92"/>
      <c r="F211" s="726"/>
      <c r="G211" s="735"/>
      <c r="H211" s="93"/>
      <c r="I211" s="750"/>
      <c r="J211" s="750"/>
    </row>
    <row r="212" spans="1:10" x14ac:dyDescent="0.35">
      <c r="A212" s="92"/>
      <c r="F212" s="726"/>
      <c r="G212" s="735"/>
      <c r="H212" s="93"/>
      <c r="I212" s="750"/>
      <c r="J212" s="750"/>
    </row>
    <row r="213" spans="1:10" x14ac:dyDescent="0.35">
      <c r="A213" s="92"/>
      <c r="F213" s="726"/>
      <c r="G213" s="735"/>
      <c r="H213" s="93"/>
      <c r="I213" s="750"/>
      <c r="J213" s="750"/>
    </row>
    <row r="214" spans="1:10" x14ac:dyDescent="0.35">
      <c r="A214" s="92"/>
      <c r="F214" s="726"/>
      <c r="G214" s="735"/>
      <c r="H214" s="93"/>
      <c r="I214" s="750"/>
      <c r="J214" s="750"/>
    </row>
    <row r="215" spans="1:10" x14ac:dyDescent="0.35">
      <c r="A215" s="92"/>
      <c r="F215" s="726"/>
      <c r="G215" s="735"/>
      <c r="H215" s="93"/>
      <c r="I215" s="750"/>
      <c r="J215" s="750"/>
    </row>
    <row r="216" spans="1:10" x14ac:dyDescent="0.35">
      <c r="A216" s="92"/>
      <c r="F216" s="726"/>
      <c r="G216" s="735"/>
      <c r="H216" s="93"/>
      <c r="I216" s="750"/>
      <c r="J216" s="750"/>
    </row>
    <row r="217" spans="1:10" x14ac:dyDescent="0.35">
      <c r="A217" s="92"/>
      <c r="F217" s="726"/>
      <c r="G217" s="735"/>
      <c r="H217" s="93"/>
      <c r="I217" s="750"/>
      <c r="J217" s="750"/>
    </row>
    <row r="218" spans="1:10" x14ac:dyDescent="0.35">
      <c r="A218" s="92"/>
      <c r="F218" s="726"/>
      <c r="G218" s="735"/>
      <c r="H218" s="93"/>
      <c r="I218" s="750"/>
      <c r="J218" s="750"/>
    </row>
    <row r="219" spans="1:10" x14ac:dyDescent="0.35">
      <c r="A219" s="92"/>
      <c r="F219" s="726"/>
      <c r="G219" s="735"/>
      <c r="H219" s="93"/>
      <c r="I219" s="750"/>
      <c r="J219" s="750"/>
    </row>
    <row r="220" spans="1:10" x14ac:dyDescent="0.35">
      <c r="A220" s="92"/>
      <c r="F220" s="726"/>
      <c r="G220" s="735"/>
      <c r="H220" s="93"/>
      <c r="I220" s="750"/>
      <c r="J220" s="750"/>
    </row>
    <row r="221" spans="1:10" x14ac:dyDescent="0.35">
      <c r="A221" s="92"/>
      <c r="F221" s="726"/>
      <c r="G221" s="735"/>
      <c r="H221" s="93"/>
      <c r="I221" s="750"/>
      <c r="J221" s="750"/>
    </row>
    <row r="222" spans="1:10" x14ac:dyDescent="0.35">
      <c r="A222" s="92"/>
      <c r="F222" s="726"/>
      <c r="G222" s="735"/>
      <c r="H222" s="93"/>
      <c r="I222" s="750"/>
      <c r="J222" s="750"/>
    </row>
    <row r="223" spans="1:10" x14ac:dyDescent="0.35">
      <c r="A223" s="92"/>
      <c r="F223" s="726"/>
      <c r="G223" s="735"/>
      <c r="H223" s="93"/>
      <c r="I223" s="750"/>
      <c r="J223" s="750"/>
    </row>
    <row r="224" spans="1:10" x14ac:dyDescent="0.35">
      <c r="A224" s="92"/>
      <c r="F224" s="726"/>
      <c r="G224" s="735"/>
      <c r="H224" s="93"/>
      <c r="I224" s="750"/>
      <c r="J224" s="750"/>
    </row>
    <row r="225" spans="1:10" x14ac:dyDescent="0.35">
      <c r="A225" s="92"/>
      <c r="F225" s="726"/>
      <c r="G225" s="735"/>
      <c r="H225" s="93"/>
      <c r="I225" s="750"/>
      <c r="J225" s="750"/>
    </row>
    <row r="226" spans="1:10" x14ac:dyDescent="0.35">
      <c r="A226" s="92"/>
      <c r="F226" s="726"/>
      <c r="G226" s="735"/>
      <c r="H226" s="93"/>
      <c r="I226" s="750"/>
      <c r="J226" s="750"/>
    </row>
    <row r="227" spans="1:10" x14ac:dyDescent="0.35">
      <c r="A227" s="92"/>
      <c r="F227" s="726"/>
      <c r="G227" s="735"/>
      <c r="H227" s="93"/>
      <c r="I227" s="750"/>
      <c r="J227" s="750"/>
    </row>
    <row r="228" spans="1:10" x14ac:dyDescent="0.35">
      <c r="A228" s="92"/>
      <c r="F228" s="726"/>
      <c r="G228" s="735"/>
      <c r="H228" s="93"/>
      <c r="I228" s="750"/>
      <c r="J228" s="750"/>
    </row>
    <row r="229" spans="1:10" x14ac:dyDescent="0.35">
      <c r="A229" s="92"/>
      <c r="F229" s="726"/>
      <c r="G229" s="735"/>
      <c r="H229" s="93"/>
      <c r="I229" s="750"/>
      <c r="J229" s="750"/>
    </row>
    <row r="230" spans="1:10" x14ac:dyDescent="0.35">
      <c r="A230" s="92"/>
      <c r="F230" s="726"/>
      <c r="G230" s="735"/>
      <c r="H230" s="93"/>
      <c r="I230" s="750"/>
      <c r="J230" s="750"/>
    </row>
    <row r="231" spans="1:10" x14ac:dyDescent="0.35">
      <c r="A231" s="92"/>
      <c r="F231" s="726"/>
      <c r="G231" s="735"/>
      <c r="H231" s="93"/>
      <c r="I231" s="750"/>
      <c r="J231" s="750"/>
    </row>
    <row r="232" spans="1:10" x14ac:dyDescent="0.35">
      <c r="A232" s="92"/>
      <c r="F232" s="726"/>
      <c r="G232" s="735"/>
      <c r="H232" s="93"/>
      <c r="I232" s="750"/>
      <c r="J232" s="750"/>
    </row>
    <row r="233" spans="1:10" x14ac:dyDescent="0.35">
      <c r="A233" s="92"/>
      <c r="F233" s="726"/>
      <c r="G233" s="735"/>
      <c r="H233" s="93"/>
      <c r="I233" s="750"/>
      <c r="J233" s="750"/>
    </row>
    <row r="234" spans="1:10" x14ac:dyDescent="0.35">
      <c r="A234" s="92"/>
      <c r="F234" s="726"/>
      <c r="G234" s="735"/>
      <c r="H234" s="93"/>
      <c r="I234" s="750"/>
      <c r="J234" s="750"/>
    </row>
    <row r="235" spans="1:10" x14ac:dyDescent="0.35">
      <c r="A235" s="92"/>
      <c r="F235" s="726"/>
      <c r="G235" s="735"/>
      <c r="H235" s="93"/>
      <c r="I235" s="750"/>
      <c r="J235" s="750"/>
    </row>
    <row r="236" spans="1:10" x14ac:dyDescent="0.35">
      <c r="A236" s="92"/>
      <c r="F236" s="726"/>
      <c r="G236" s="735"/>
      <c r="H236" s="93"/>
      <c r="I236" s="750"/>
      <c r="J236" s="750"/>
    </row>
    <row r="237" spans="1:10" x14ac:dyDescent="0.35">
      <c r="A237" s="92"/>
      <c r="F237" s="726"/>
      <c r="G237" s="735"/>
      <c r="H237" s="93"/>
      <c r="I237" s="750"/>
      <c r="J237" s="750"/>
    </row>
    <row r="238" spans="1:10" x14ac:dyDescent="0.35">
      <c r="A238" s="92"/>
      <c r="F238" s="726"/>
      <c r="G238" s="735"/>
      <c r="H238" s="93"/>
      <c r="I238" s="750"/>
      <c r="J238" s="750"/>
    </row>
    <row r="239" spans="1:10" x14ac:dyDescent="0.35">
      <c r="A239" s="92"/>
      <c r="F239" s="726"/>
      <c r="G239" s="735"/>
      <c r="H239" s="93"/>
      <c r="I239" s="750"/>
      <c r="J239" s="750"/>
    </row>
    <row r="240" spans="1:10" x14ac:dyDescent="0.35">
      <c r="A240" s="92"/>
      <c r="F240" s="726"/>
      <c r="G240" s="735"/>
      <c r="H240" s="93"/>
      <c r="I240" s="750"/>
      <c r="J240" s="750"/>
    </row>
    <row r="241" spans="1:10" x14ac:dyDescent="0.35">
      <c r="A241" s="92"/>
      <c r="F241" s="726"/>
      <c r="G241" s="735"/>
      <c r="H241" s="93"/>
      <c r="I241" s="750"/>
      <c r="J241" s="750"/>
    </row>
    <row r="242" spans="1:10" x14ac:dyDescent="0.35">
      <c r="A242" s="92"/>
      <c r="F242" s="726"/>
      <c r="G242" s="735"/>
      <c r="H242" s="93"/>
      <c r="I242" s="750"/>
      <c r="J242" s="750"/>
    </row>
    <row r="243" spans="1:10" x14ac:dyDescent="0.35">
      <c r="A243" s="92"/>
      <c r="F243" s="726"/>
      <c r="G243" s="735"/>
      <c r="H243" s="93"/>
      <c r="I243" s="750"/>
      <c r="J243" s="750"/>
    </row>
    <row r="244" spans="1:10" x14ac:dyDescent="0.35">
      <c r="A244" s="92"/>
      <c r="F244" s="726"/>
      <c r="G244" s="735"/>
      <c r="H244" s="93"/>
      <c r="I244" s="750"/>
      <c r="J244" s="750"/>
    </row>
    <row r="245" spans="1:10" x14ac:dyDescent="0.35">
      <c r="A245" s="92"/>
      <c r="F245" s="726"/>
      <c r="G245" s="735"/>
      <c r="H245" s="93"/>
      <c r="I245" s="750"/>
      <c r="J245" s="750"/>
    </row>
    <row r="246" spans="1:10" x14ac:dyDescent="0.35">
      <c r="A246" s="92"/>
      <c r="F246" s="726"/>
      <c r="G246" s="735"/>
      <c r="H246" s="93"/>
      <c r="I246" s="750"/>
      <c r="J246" s="750"/>
    </row>
    <row r="247" spans="1:10" x14ac:dyDescent="0.35">
      <c r="A247" s="92"/>
      <c r="F247" s="726"/>
      <c r="G247" s="735"/>
      <c r="H247" s="93"/>
      <c r="I247" s="750"/>
      <c r="J247" s="750"/>
    </row>
    <row r="248" spans="1:10" x14ac:dyDescent="0.35">
      <c r="A248" s="92"/>
      <c r="F248" s="726"/>
      <c r="G248" s="735"/>
      <c r="H248" s="93"/>
      <c r="I248" s="750"/>
      <c r="J248" s="750"/>
    </row>
    <row r="249" spans="1:10" x14ac:dyDescent="0.35">
      <c r="A249" s="92"/>
      <c r="F249" s="726"/>
      <c r="G249" s="735"/>
      <c r="H249" s="93"/>
      <c r="I249" s="750"/>
      <c r="J249" s="750"/>
    </row>
    <row r="250" spans="1:10" x14ac:dyDescent="0.35">
      <c r="A250" s="92"/>
      <c r="F250" s="726"/>
      <c r="G250" s="735"/>
      <c r="H250" s="93"/>
      <c r="I250" s="750"/>
      <c r="J250" s="750"/>
    </row>
    <row r="251" spans="1:10" x14ac:dyDescent="0.35">
      <c r="A251" s="92"/>
      <c r="F251" s="726"/>
      <c r="G251" s="735"/>
      <c r="H251" s="93"/>
      <c r="I251" s="750"/>
      <c r="J251" s="750"/>
    </row>
    <row r="252" spans="1:10" x14ac:dyDescent="0.35">
      <c r="A252" s="92"/>
      <c r="F252" s="726"/>
      <c r="G252" s="735"/>
      <c r="H252" s="93"/>
      <c r="I252" s="750"/>
      <c r="J252" s="750"/>
    </row>
    <row r="253" spans="1:10" x14ac:dyDescent="0.35">
      <c r="A253" s="92"/>
      <c r="F253" s="726"/>
      <c r="G253" s="735"/>
      <c r="H253" s="93"/>
      <c r="I253" s="750"/>
      <c r="J253" s="750"/>
    </row>
    <row r="254" spans="1:10" x14ac:dyDescent="0.35">
      <c r="A254" s="92"/>
      <c r="F254" s="726"/>
      <c r="G254" s="735"/>
      <c r="H254" s="93"/>
      <c r="I254" s="750"/>
      <c r="J254" s="750"/>
    </row>
    <row r="255" spans="1:10" x14ac:dyDescent="0.35">
      <c r="A255" s="92"/>
      <c r="F255" s="726"/>
      <c r="G255" s="735"/>
      <c r="H255" s="93"/>
      <c r="I255" s="750"/>
      <c r="J255" s="750"/>
    </row>
    <row r="256" spans="1:10" x14ac:dyDescent="0.35">
      <c r="A256" s="92"/>
      <c r="F256" s="726"/>
      <c r="G256" s="735"/>
      <c r="H256" s="93"/>
      <c r="I256" s="750"/>
      <c r="J256" s="750"/>
    </row>
    <row r="257" spans="1:10" x14ac:dyDescent="0.35">
      <c r="A257" s="92"/>
      <c r="F257" s="726"/>
      <c r="G257" s="735"/>
      <c r="H257" s="93"/>
      <c r="I257" s="750"/>
      <c r="J257" s="750"/>
    </row>
    <row r="258" spans="1:10" x14ac:dyDescent="0.35">
      <c r="A258" s="92"/>
      <c r="F258" s="726"/>
      <c r="G258" s="735"/>
      <c r="H258" s="93"/>
      <c r="I258" s="750"/>
      <c r="J258" s="750"/>
    </row>
    <row r="259" spans="1:10" x14ac:dyDescent="0.35">
      <c r="A259" s="92"/>
      <c r="F259" s="726"/>
      <c r="G259" s="735"/>
      <c r="H259" s="93"/>
      <c r="I259" s="750"/>
      <c r="J259" s="750"/>
    </row>
    <row r="260" spans="1:10" x14ac:dyDescent="0.35">
      <c r="A260" s="92"/>
      <c r="F260" s="726"/>
      <c r="G260" s="735"/>
      <c r="H260" s="93"/>
      <c r="I260" s="750"/>
      <c r="J260" s="750"/>
    </row>
    <row r="261" spans="1:10" x14ac:dyDescent="0.35">
      <c r="A261" s="92"/>
      <c r="F261" s="726"/>
      <c r="G261" s="735"/>
      <c r="H261" s="93"/>
      <c r="I261" s="750"/>
      <c r="J261" s="750"/>
    </row>
    <row r="262" spans="1:10" x14ac:dyDescent="0.35">
      <c r="A262" s="92"/>
      <c r="F262" s="726"/>
      <c r="G262" s="735"/>
      <c r="H262" s="93"/>
      <c r="I262" s="750"/>
      <c r="J262" s="750"/>
    </row>
    <row r="263" spans="1:10" x14ac:dyDescent="0.35">
      <c r="A263" s="92"/>
      <c r="F263" s="726"/>
      <c r="G263" s="735"/>
      <c r="H263" s="93"/>
      <c r="I263" s="750"/>
      <c r="J263" s="750"/>
    </row>
    <row r="264" spans="1:10" x14ac:dyDescent="0.35">
      <c r="A264" s="92"/>
      <c r="F264" s="726"/>
      <c r="G264" s="735"/>
      <c r="H264" s="93"/>
      <c r="I264" s="750"/>
      <c r="J264" s="750"/>
    </row>
    <row r="265" spans="1:10" x14ac:dyDescent="0.35">
      <c r="A265" s="92"/>
      <c r="F265" s="726"/>
      <c r="G265" s="735"/>
      <c r="H265" s="93"/>
      <c r="I265" s="750"/>
      <c r="J265" s="750"/>
    </row>
    <row r="266" spans="1:10" x14ac:dyDescent="0.35">
      <c r="A266" s="92"/>
      <c r="F266" s="726"/>
      <c r="G266" s="735"/>
      <c r="H266" s="93"/>
      <c r="I266" s="750"/>
      <c r="J266" s="750"/>
    </row>
    <row r="267" spans="1:10" x14ac:dyDescent="0.35">
      <c r="A267" s="92"/>
      <c r="F267" s="726"/>
      <c r="G267" s="735"/>
      <c r="H267" s="93"/>
      <c r="I267" s="750"/>
      <c r="J267" s="750"/>
    </row>
    <row r="268" spans="1:10" x14ac:dyDescent="0.35">
      <c r="A268" s="92"/>
      <c r="F268" s="726"/>
      <c r="G268" s="735"/>
      <c r="H268" s="93"/>
      <c r="I268" s="750"/>
      <c r="J268" s="750"/>
    </row>
    <row r="269" spans="1:10" x14ac:dyDescent="0.35">
      <c r="A269" s="92"/>
      <c r="F269" s="726"/>
      <c r="G269" s="735"/>
      <c r="H269" s="93"/>
      <c r="I269" s="750"/>
      <c r="J269" s="750"/>
    </row>
    <row r="270" spans="1:10" x14ac:dyDescent="0.35">
      <c r="A270" s="92"/>
      <c r="F270" s="726"/>
      <c r="G270" s="735"/>
      <c r="H270" s="93"/>
      <c r="I270" s="750"/>
      <c r="J270" s="750"/>
    </row>
    <row r="271" spans="1:10" x14ac:dyDescent="0.35">
      <c r="A271" s="92"/>
      <c r="F271" s="726"/>
      <c r="G271" s="735"/>
      <c r="H271" s="93"/>
      <c r="I271" s="750"/>
      <c r="J271" s="750"/>
    </row>
    <row r="272" spans="1:10" x14ac:dyDescent="0.35">
      <c r="A272" s="92"/>
      <c r="F272" s="726"/>
      <c r="G272" s="735"/>
      <c r="H272" s="93"/>
      <c r="I272" s="750"/>
      <c r="J272" s="750"/>
    </row>
    <row r="273" spans="1:10" x14ac:dyDescent="0.35">
      <c r="A273" s="92"/>
      <c r="F273" s="726"/>
      <c r="G273" s="735"/>
      <c r="H273" s="93"/>
      <c r="I273" s="750"/>
      <c r="J273" s="750"/>
    </row>
    <row r="274" spans="1:10" x14ac:dyDescent="0.35">
      <c r="A274" s="92"/>
      <c r="F274" s="726"/>
      <c r="G274" s="735"/>
      <c r="H274" s="93"/>
      <c r="I274" s="750"/>
      <c r="J274" s="750"/>
    </row>
    <row r="275" spans="1:10" x14ac:dyDescent="0.35">
      <c r="A275" s="92"/>
      <c r="F275" s="726"/>
      <c r="G275" s="735"/>
      <c r="H275" s="93"/>
      <c r="I275" s="750"/>
      <c r="J275" s="750"/>
    </row>
    <row r="276" spans="1:10" x14ac:dyDescent="0.35">
      <c r="A276" s="92"/>
      <c r="F276" s="726"/>
      <c r="G276" s="735"/>
      <c r="H276" s="93"/>
      <c r="I276" s="750"/>
      <c r="J276" s="750"/>
    </row>
    <row r="277" spans="1:10" x14ac:dyDescent="0.35">
      <c r="A277" s="92"/>
      <c r="F277" s="726"/>
      <c r="G277" s="735"/>
      <c r="H277" s="93"/>
      <c r="I277" s="750"/>
      <c r="J277" s="750"/>
    </row>
    <row r="278" spans="1:10" x14ac:dyDescent="0.35">
      <c r="A278" s="92"/>
      <c r="F278" s="726"/>
      <c r="G278" s="735"/>
      <c r="H278" s="93"/>
      <c r="I278" s="750"/>
      <c r="J278" s="750"/>
    </row>
    <row r="279" spans="1:10" x14ac:dyDescent="0.35">
      <c r="A279" s="92"/>
      <c r="F279" s="726"/>
      <c r="G279" s="735"/>
      <c r="H279" s="93"/>
      <c r="I279" s="750"/>
      <c r="J279" s="750"/>
    </row>
    <row r="280" spans="1:10" x14ac:dyDescent="0.35">
      <c r="A280" s="92"/>
      <c r="F280" s="726"/>
      <c r="G280" s="735"/>
      <c r="H280" s="93"/>
      <c r="I280" s="750"/>
      <c r="J280" s="750"/>
    </row>
    <row r="281" spans="1:10" x14ac:dyDescent="0.35">
      <c r="A281" s="92"/>
      <c r="F281" s="726"/>
      <c r="G281" s="735"/>
      <c r="H281" s="93"/>
      <c r="I281" s="750"/>
      <c r="J281" s="750"/>
    </row>
    <row r="282" spans="1:10" x14ac:dyDescent="0.35">
      <c r="A282" s="92"/>
      <c r="F282" s="726"/>
      <c r="G282" s="735"/>
      <c r="H282" s="93"/>
      <c r="I282" s="750"/>
      <c r="J282" s="750"/>
    </row>
    <row r="283" spans="1:10" x14ac:dyDescent="0.35">
      <c r="A283" s="92"/>
      <c r="F283" s="726"/>
      <c r="G283" s="735"/>
      <c r="H283" s="93"/>
      <c r="I283" s="750"/>
      <c r="J283" s="750"/>
    </row>
    <row r="284" spans="1:10" x14ac:dyDescent="0.35">
      <c r="A284" s="92"/>
      <c r="F284" s="726"/>
      <c r="G284" s="735"/>
      <c r="H284" s="93"/>
      <c r="I284" s="750"/>
      <c r="J284" s="750"/>
    </row>
    <row r="285" spans="1:10" x14ac:dyDescent="0.35">
      <c r="A285" s="92"/>
      <c r="F285" s="726"/>
      <c r="G285" s="735"/>
      <c r="H285" s="93"/>
      <c r="I285" s="750"/>
      <c r="J285" s="750"/>
    </row>
    <row r="286" spans="1:10" x14ac:dyDescent="0.35">
      <c r="A286" s="92"/>
      <c r="F286" s="726"/>
      <c r="G286" s="735"/>
      <c r="H286" s="93"/>
      <c r="I286" s="750"/>
      <c r="J286" s="750"/>
    </row>
    <row r="287" spans="1:10" x14ac:dyDescent="0.35">
      <c r="A287" s="92"/>
      <c r="F287" s="726"/>
      <c r="G287" s="735"/>
      <c r="H287" s="93"/>
      <c r="I287" s="750"/>
      <c r="J287" s="750"/>
    </row>
    <row r="288" spans="1:10" x14ac:dyDescent="0.35">
      <c r="A288" s="92"/>
      <c r="F288" s="726"/>
      <c r="G288" s="735"/>
      <c r="H288" s="93"/>
      <c r="I288" s="750"/>
      <c r="J288" s="750"/>
    </row>
    <row r="289" spans="1:10" x14ac:dyDescent="0.35">
      <c r="A289" s="92"/>
      <c r="F289" s="726"/>
      <c r="G289" s="735"/>
      <c r="H289" s="93"/>
      <c r="I289" s="750"/>
      <c r="J289" s="750"/>
    </row>
    <row r="290" spans="1:10" x14ac:dyDescent="0.35">
      <c r="A290" s="92"/>
      <c r="F290" s="726"/>
      <c r="G290" s="735"/>
      <c r="H290" s="93"/>
      <c r="I290" s="750"/>
      <c r="J290" s="750"/>
    </row>
    <row r="291" spans="1:10" x14ac:dyDescent="0.35">
      <c r="A291" s="92"/>
      <c r="F291" s="726"/>
      <c r="G291" s="735"/>
      <c r="H291" s="93"/>
      <c r="I291" s="750"/>
      <c r="J291" s="750"/>
    </row>
    <row r="292" spans="1:10" x14ac:dyDescent="0.35">
      <c r="A292" s="92"/>
      <c r="F292" s="726"/>
      <c r="G292" s="735"/>
      <c r="H292" s="93"/>
      <c r="I292" s="750"/>
      <c r="J292" s="750"/>
    </row>
    <row r="293" spans="1:10" x14ac:dyDescent="0.35">
      <c r="A293" s="92"/>
      <c r="F293" s="726"/>
      <c r="G293" s="735"/>
      <c r="H293" s="93"/>
      <c r="I293" s="750"/>
      <c r="J293" s="750"/>
    </row>
    <row r="294" spans="1:10" x14ac:dyDescent="0.35">
      <c r="A294" s="92"/>
      <c r="F294" s="726"/>
      <c r="G294" s="735"/>
      <c r="H294" s="93"/>
      <c r="I294" s="750"/>
      <c r="J294" s="750"/>
    </row>
    <row r="295" spans="1:10" x14ac:dyDescent="0.35">
      <c r="A295" s="92"/>
      <c r="F295" s="726"/>
      <c r="G295" s="735"/>
      <c r="H295" s="93"/>
      <c r="I295" s="750"/>
      <c r="J295" s="750"/>
    </row>
    <row r="296" spans="1:10" x14ac:dyDescent="0.35">
      <c r="A296" s="92"/>
      <c r="F296" s="726"/>
      <c r="G296" s="735"/>
      <c r="H296" s="93"/>
      <c r="I296" s="750"/>
      <c r="J296" s="750"/>
    </row>
    <row r="297" spans="1:10" x14ac:dyDescent="0.35">
      <c r="A297" s="92"/>
      <c r="F297" s="726"/>
      <c r="G297" s="735"/>
      <c r="H297" s="93"/>
      <c r="I297" s="750"/>
      <c r="J297" s="750"/>
    </row>
    <row r="298" spans="1:10" x14ac:dyDescent="0.35">
      <c r="A298" s="92"/>
      <c r="F298" s="726"/>
      <c r="G298" s="735"/>
      <c r="H298" s="93"/>
      <c r="I298" s="750"/>
      <c r="J298" s="750"/>
    </row>
    <row r="299" spans="1:10" x14ac:dyDescent="0.35">
      <c r="A299" s="92"/>
      <c r="F299" s="726"/>
      <c r="G299" s="735"/>
      <c r="H299" s="93"/>
      <c r="I299" s="750"/>
      <c r="J299" s="750"/>
    </row>
    <row r="300" spans="1:10" x14ac:dyDescent="0.35">
      <c r="A300" s="92"/>
      <c r="F300" s="726"/>
      <c r="G300" s="735"/>
      <c r="H300" s="93"/>
      <c r="I300" s="750"/>
      <c r="J300" s="750"/>
    </row>
    <row r="301" spans="1:10" x14ac:dyDescent="0.35">
      <c r="A301" s="92"/>
      <c r="F301" s="726"/>
      <c r="G301" s="735"/>
      <c r="H301" s="93"/>
      <c r="I301" s="750"/>
      <c r="J301" s="750"/>
    </row>
    <row r="302" spans="1:10" x14ac:dyDescent="0.35">
      <c r="A302" s="92"/>
      <c r="F302" s="726"/>
      <c r="G302" s="735"/>
      <c r="H302" s="93"/>
      <c r="I302" s="750"/>
      <c r="J302" s="750"/>
    </row>
    <row r="303" spans="1:10" x14ac:dyDescent="0.35">
      <c r="A303" s="92"/>
      <c r="F303" s="726"/>
      <c r="G303" s="735"/>
      <c r="H303" s="93"/>
      <c r="I303" s="750"/>
      <c r="J303" s="750"/>
    </row>
    <row r="304" spans="1:10" x14ac:dyDescent="0.35">
      <c r="A304" s="92"/>
      <c r="F304" s="726"/>
      <c r="G304" s="735"/>
      <c r="H304" s="93"/>
      <c r="I304" s="750"/>
      <c r="J304" s="750"/>
    </row>
    <row r="305" spans="1:10" x14ac:dyDescent="0.35">
      <c r="A305" s="92"/>
      <c r="F305" s="726"/>
      <c r="G305" s="735"/>
      <c r="H305" s="93"/>
      <c r="I305" s="750"/>
      <c r="J305" s="750"/>
    </row>
    <row r="306" spans="1:10" x14ac:dyDescent="0.35">
      <c r="A306" s="92"/>
      <c r="F306" s="726"/>
      <c r="G306" s="735"/>
      <c r="H306" s="93"/>
      <c r="I306" s="750"/>
      <c r="J306" s="750"/>
    </row>
    <row r="307" spans="1:10" x14ac:dyDescent="0.35">
      <c r="A307" s="92"/>
      <c r="F307" s="726"/>
      <c r="G307" s="735"/>
      <c r="H307" s="93"/>
      <c r="I307" s="750"/>
      <c r="J307" s="750"/>
    </row>
    <row r="308" spans="1:10" x14ac:dyDescent="0.35">
      <c r="A308" s="92"/>
      <c r="F308" s="726"/>
      <c r="G308" s="735"/>
      <c r="H308" s="93"/>
      <c r="I308" s="750"/>
      <c r="J308" s="750"/>
    </row>
    <row r="309" spans="1:10" x14ac:dyDescent="0.35">
      <c r="A309" s="92"/>
      <c r="F309" s="726"/>
      <c r="G309" s="735"/>
      <c r="H309" s="93"/>
      <c r="I309" s="750"/>
      <c r="J309" s="750"/>
    </row>
    <row r="310" spans="1:10" x14ac:dyDescent="0.35">
      <c r="A310" s="92"/>
      <c r="F310" s="726"/>
      <c r="G310" s="735"/>
      <c r="H310" s="93"/>
      <c r="I310" s="750"/>
      <c r="J310" s="750"/>
    </row>
    <row r="311" spans="1:10" x14ac:dyDescent="0.35">
      <c r="A311" s="92"/>
      <c r="F311" s="726"/>
      <c r="G311" s="735"/>
      <c r="H311" s="93"/>
      <c r="I311" s="750"/>
      <c r="J311" s="750"/>
    </row>
    <row r="312" spans="1:10" x14ac:dyDescent="0.35">
      <c r="A312" s="92"/>
      <c r="F312" s="726"/>
      <c r="G312" s="735"/>
      <c r="H312" s="93"/>
      <c r="I312" s="750"/>
      <c r="J312" s="750"/>
    </row>
    <row r="313" spans="1:10" x14ac:dyDescent="0.35">
      <c r="A313" s="92"/>
      <c r="F313" s="726"/>
      <c r="G313" s="735"/>
      <c r="H313" s="93"/>
      <c r="I313" s="750"/>
      <c r="J313" s="750"/>
    </row>
    <row r="314" spans="1:10" x14ac:dyDescent="0.35">
      <c r="A314" s="92"/>
      <c r="F314" s="726"/>
      <c r="G314" s="735"/>
      <c r="H314" s="93"/>
      <c r="I314" s="750"/>
      <c r="J314" s="750"/>
    </row>
    <row r="315" spans="1:10" x14ac:dyDescent="0.35">
      <c r="A315" s="92"/>
      <c r="F315" s="726"/>
      <c r="G315" s="735"/>
      <c r="H315" s="93"/>
      <c r="I315" s="750"/>
      <c r="J315" s="750"/>
    </row>
    <row r="316" spans="1:10" x14ac:dyDescent="0.35">
      <c r="A316" s="92"/>
      <c r="F316" s="726"/>
      <c r="G316" s="735"/>
      <c r="H316" s="93"/>
      <c r="I316" s="750"/>
      <c r="J316" s="750"/>
    </row>
    <row r="317" spans="1:10" x14ac:dyDescent="0.35">
      <c r="A317" s="92"/>
      <c r="F317" s="726"/>
      <c r="G317" s="735"/>
      <c r="H317" s="93"/>
      <c r="I317" s="750"/>
      <c r="J317" s="750"/>
    </row>
    <row r="318" spans="1:10" x14ac:dyDescent="0.35">
      <c r="A318" s="92"/>
      <c r="F318" s="726"/>
      <c r="G318" s="735"/>
      <c r="H318" s="93"/>
      <c r="I318" s="750"/>
      <c r="J318" s="750"/>
    </row>
    <row r="319" spans="1:10" x14ac:dyDescent="0.35">
      <c r="A319" s="92"/>
      <c r="F319" s="726"/>
      <c r="G319" s="735"/>
      <c r="H319" s="93"/>
      <c r="I319" s="750"/>
      <c r="J319" s="750"/>
    </row>
    <row r="320" spans="1:10" x14ac:dyDescent="0.35">
      <c r="A320" s="92"/>
      <c r="F320" s="726"/>
      <c r="G320" s="735"/>
      <c r="H320" s="93"/>
      <c r="I320" s="750"/>
      <c r="J320" s="750"/>
    </row>
    <row r="321" spans="1:10" x14ac:dyDescent="0.35">
      <c r="A321" s="92"/>
      <c r="F321" s="726"/>
      <c r="G321" s="735"/>
      <c r="H321" s="93"/>
      <c r="I321" s="750"/>
      <c r="J321" s="750"/>
    </row>
    <row r="322" spans="1:10" x14ac:dyDescent="0.35">
      <c r="A322" s="92"/>
      <c r="F322" s="726"/>
      <c r="G322" s="735"/>
      <c r="H322" s="93"/>
      <c r="I322" s="750"/>
      <c r="J322" s="750"/>
    </row>
    <row r="323" spans="1:10" x14ac:dyDescent="0.35">
      <c r="A323" s="92"/>
      <c r="F323" s="726"/>
      <c r="G323" s="735"/>
      <c r="H323" s="93"/>
      <c r="I323" s="750"/>
      <c r="J323" s="750"/>
    </row>
    <row r="324" spans="1:10" x14ac:dyDescent="0.35">
      <c r="A324" s="92"/>
      <c r="F324" s="726"/>
      <c r="G324" s="735"/>
      <c r="H324" s="93"/>
      <c r="I324" s="750"/>
      <c r="J324" s="750"/>
    </row>
    <row r="325" spans="1:10" x14ac:dyDescent="0.35">
      <c r="A325" s="92"/>
      <c r="F325" s="726"/>
      <c r="G325" s="735"/>
      <c r="H325" s="93"/>
      <c r="I325" s="750"/>
      <c r="J325" s="750"/>
    </row>
    <row r="326" spans="1:10" x14ac:dyDescent="0.35">
      <c r="A326" s="92"/>
      <c r="F326" s="726"/>
      <c r="G326" s="735"/>
      <c r="H326" s="93"/>
      <c r="I326" s="750"/>
      <c r="J326" s="750"/>
    </row>
    <row r="327" spans="1:10" x14ac:dyDescent="0.35">
      <c r="A327" s="92"/>
      <c r="F327" s="726"/>
      <c r="G327" s="735"/>
      <c r="H327" s="93"/>
      <c r="I327" s="750"/>
      <c r="J327" s="750"/>
    </row>
    <row r="328" spans="1:10" x14ac:dyDescent="0.35">
      <c r="A328" s="92"/>
      <c r="F328" s="726"/>
      <c r="G328" s="735"/>
      <c r="H328" s="93"/>
      <c r="I328" s="750"/>
      <c r="J328" s="750"/>
    </row>
    <row r="329" spans="1:10" x14ac:dyDescent="0.35">
      <c r="A329" s="92"/>
      <c r="F329" s="726"/>
      <c r="G329" s="735"/>
      <c r="H329" s="93"/>
      <c r="I329" s="750"/>
      <c r="J329" s="750"/>
    </row>
    <row r="330" spans="1:10" x14ac:dyDescent="0.35">
      <c r="A330" s="92"/>
      <c r="F330" s="726"/>
      <c r="G330" s="735"/>
      <c r="H330" s="93"/>
      <c r="I330" s="750"/>
      <c r="J330" s="750"/>
    </row>
    <row r="331" spans="1:10" x14ac:dyDescent="0.35">
      <c r="A331" s="92"/>
      <c r="F331" s="726"/>
      <c r="G331" s="735"/>
      <c r="H331" s="93"/>
      <c r="I331" s="750"/>
      <c r="J331" s="750"/>
    </row>
    <row r="332" spans="1:10" x14ac:dyDescent="0.35">
      <c r="A332" s="92"/>
      <c r="F332" s="726"/>
      <c r="G332" s="735"/>
      <c r="H332" s="93"/>
      <c r="I332" s="750"/>
      <c r="J332" s="750"/>
    </row>
    <row r="333" spans="1:10" x14ac:dyDescent="0.35">
      <c r="A333" s="92"/>
      <c r="F333" s="726"/>
      <c r="G333" s="735"/>
      <c r="H333" s="93"/>
      <c r="I333" s="750"/>
      <c r="J333" s="750"/>
    </row>
    <row r="334" spans="1:10" x14ac:dyDescent="0.35">
      <c r="A334" s="92"/>
      <c r="F334" s="726"/>
      <c r="G334" s="735"/>
      <c r="H334" s="93"/>
      <c r="I334" s="750"/>
      <c r="J334" s="750"/>
    </row>
    <row r="335" spans="1:10" x14ac:dyDescent="0.35">
      <c r="A335" s="92"/>
      <c r="F335" s="726"/>
      <c r="G335" s="735"/>
      <c r="H335" s="93"/>
      <c r="I335" s="750"/>
      <c r="J335" s="750"/>
    </row>
    <row r="336" spans="1:10" x14ac:dyDescent="0.35">
      <c r="A336" s="92"/>
      <c r="F336" s="726"/>
      <c r="G336" s="735"/>
      <c r="H336" s="93"/>
      <c r="I336" s="750"/>
      <c r="J336" s="750"/>
    </row>
    <row r="337" spans="1:10" x14ac:dyDescent="0.35">
      <c r="A337" s="92"/>
      <c r="F337" s="726"/>
      <c r="G337" s="735"/>
      <c r="H337" s="93"/>
      <c r="I337" s="750"/>
      <c r="J337" s="750"/>
    </row>
    <row r="338" spans="1:10" x14ac:dyDescent="0.35">
      <c r="A338" s="92"/>
      <c r="F338" s="726"/>
      <c r="G338" s="735"/>
      <c r="H338" s="93"/>
      <c r="I338" s="750"/>
      <c r="J338" s="750"/>
    </row>
    <row r="339" spans="1:10" x14ac:dyDescent="0.35">
      <c r="A339" s="92"/>
      <c r="F339" s="726"/>
      <c r="G339" s="735"/>
      <c r="H339" s="93"/>
      <c r="I339" s="750"/>
      <c r="J339" s="750"/>
    </row>
    <row r="340" spans="1:10" x14ac:dyDescent="0.35">
      <c r="A340" s="92"/>
      <c r="F340" s="726"/>
      <c r="G340" s="735"/>
      <c r="H340" s="93"/>
      <c r="I340" s="750"/>
      <c r="J340" s="750"/>
    </row>
    <row r="341" spans="1:10" x14ac:dyDescent="0.35">
      <c r="A341" s="92"/>
      <c r="F341" s="726"/>
      <c r="G341" s="735"/>
      <c r="H341" s="93"/>
      <c r="I341" s="750"/>
      <c r="J341" s="750"/>
    </row>
    <row r="342" spans="1:10" x14ac:dyDescent="0.35">
      <c r="A342" s="92"/>
      <c r="F342" s="726"/>
      <c r="G342" s="735"/>
      <c r="H342" s="93"/>
      <c r="I342" s="750"/>
      <c r="J342" s="750"/>
    </row>
    <row r="343" spans="1:10" x14ac:dyDescent="0.35">
      <c r="A343" s="92"/>
      <c r="F343" s="726"/>
      <c r="G343" s="735"/>
      <c r="H343" s="93"/>
      <c r="I343" s="750"/>
      <c r="J343" s="750"/>
    </row>
    <row r="344" spans="1:10" x14ac:dyDescent="0.35">
      <c r="A344" s="92"/>
      <c r="F344" s="726"/>
      <c r="G344" s="735"/>
      <c r="H344" s="93"/>
      <c r="I344" s="750"/>
      <c r="J344" s="750"/>
    </row>
    <row r="345" spans="1:10" x14ac:dyDescent="0.35">
      <c r="A345" s="92"/>
      <c r="F345" s="726"/>
      <c r="G345" s="735"/>
      <c r="H345" s="93"/>
      <c r="I345" s="750"/>
      <c r="J345" s="750"/>
    </row>
    <row r="346" spans="1:10" x14ac:dyDescent="0.35">
      <c r="A346" s="92"/>
      <c r="F346" s="726"/>
      <c r="G346" s="735"/>
      <c r="H346" s="93"/>
      <c r="I346" s="750"/>
      <c r="J346" s="750"/>
    </row>
    <row r="347" spans="1:10" x14ac:dyDescent="0.35">
      <c r="A347" s="92"/>
      <c r="F347" s="726"/>
      <c r="G347" s="735"/>
      <c r="H347" s="93"/>
      <c r="I347" s="750"/>
      <c r="J347" s="750"/>
    </row>
    <row r="348" spans="1:10" x14ac:dyDescent="0.35">
      <c r="A348" s="92"/>
      <c r="F348" s="726"/>
      <c r="G348" s="735"/>
      <c r="H348" s="93"/>
      <c r="I348" s="750"/>
      <c r="J348" s="750"/>
    </row>
    <row r="349" spans="1:10" x14ac:dyDescent="0.35">
      <c r="A349" s="92"/>
      <c r="F349" s="726"/>
      <c r="G349" s="735"/>
      <c r="H349" s="93"/>
      <c r="I349" s="750"/>
      <c r="J349" s="750"/>
    </row>
    <row r="350" spans="1:10" x14ac:dyDescent="0.35">
      <c r="A350" s="92"/>
      <c r="F350" s="726"/>
      <c r="G350" s="735"/>
      <c r="H350" s="93"/>
      <c r="I350" s="750"/>
      <c r="J350" s="750"/>
    </row>
    <row r="351" spans="1:10" x14ac:dyDescent="0.35">
      <c r="A351" s="92"/>
      <c r="F351" s="726"/>
      <c r="G351" s="735"/>
      <c r="H351" s="93"/>
      <c r="I351" s="750"/>
      <c r="J351" s="750"/>
    </row>
    <row r="352" spans="1:10" x14ac:dyDescent="0.35">
      <c r="A352" s="92"/>
      <c r="F352" s="726"/>
      <c r="G352" s="735"/>
      <c r="H352" s="93"/>
      <c r="I352" s="750"/>
      <c r="J352" s="750"/>
    </row>
    <row r="353" spans="1:10" x14ac:dyDescent="0.35">
      <c r="A353" s="92"/>
      <c r="F353" s="726"/>
      <c r="G353" s="735"/>
      <c r="H353" s="93"/>
      <c r="I353" s="750"/>
      <c r="J353" s="750"/>
    </row>
    <row r="354" spans="1:10" x14ac:dyDescent="0.35">
      <c r="A354" s="92"/>
      <c r="F354" s="726"/>
      <c r="G354" s="735"/>
      <c r="H354" s="93"/>
      <c r="I354" s="750"/>
      <c r="J354" s="750"/>
    </row>
    <row r="355" spans="1:10" x14ac:dyDescent="0.35">
      <c r="A355" s="92"/>
      <c r="F355" s="726"/>
      <c r="G355" s="735"/>
      <c r="H355" s="93"/>
      <c r="I355" s="750"/>
      <c r="J355" s="750"/>
    </row>
    <row r="356" spans="1:10" x14ac:dyDescent="0.35">
      <c r="A356" s="92"/>
      <c r="F356" s="726"/>
      <c r="G356" s="735"/>
      <c r="H356" s="93"/>
      <c r="I356" s="750"/>
      <c r="J356" s="750"/>
    </row>
    <row r="357" spans="1:10" x14ac:dyDescent="0.35">
      <c r="A357" s="92"/>
      <c r="F357" s="726"/>
      <c r="G357" s="735"/>
      <c r="H357" s="93"/>
      <c r="I357" s="750"/>
      <c r="J357" s="750"/>
    </row>
    <row r="358" spans="1:10" x14ac:dyDescent="0.35">
      <c r="A358" s="92"/>
      <c r="F358" s="726"/>
      <c r="G358" s="735"/>
      <c r="H358" s="93"/>
      <c r="I358" s="750"/>
      <c r="J358" s="750"/>
    </row>
    <row r="359" spans="1:10" x14ac:dyDescent="0.35">
      <c r="A359" s="92"/>
      <c r="F359" s="726"/>
      <c r="G359" s="735"/>
      <c r="H359" s="93"/>
      <c r="I359" s="750"/>
      <c r="J359" s="750"/>
    </row>
    <row r="360" spans="1:10" x14ac:dyDescent="0.35">
      <c r="A360" s="92"/>
      <c r="F360" s="726"/>
      <c r="G360" s="735"/>
      <c r="H360" s="93"/>
      <c r="I360" s="750"/>
      <c r="J360" s="750"/>
    </row>
    <row r="361" spans="1:10" x14ac:dyDescent="0.35">
      <c r="A361" s="92"/>
      <c r="F361" s="726"/>
      <c r="G361" s="735"/>
      <c r="H361" s="93"/>
      <c r="I361" s="750"/>
      <c r="J361" s="750"/>
    </row>
    <row r="362" spans="1:10" x14ac:dyDescent="0.35">
      <c r="A362" s="92"/>
      <c r="F362" s="726"/>
      <c r="G362" s="735"/>
      <c r="H362" s="93"/>
      <c r="I362" s="750"/>
      <c r="J362" s="750"/>
    </row>
    <row r="363" spans="1:10" x14ac:dyDescent="0.35">
      <c r="A363" s="92"/>
      <c r="F363" s="726"/>
      <c r="G363" s="735"/>
      <c r="H363" s="93"/>
      <c r="I363" s="750"/>
      <c r="J363" s="750"/>
    </row>
    <row r="364" spans="1:10" x14ac:dyDescent="0.35">
      <c r="A364" s="92"/>
      <c r="F364" s="726"/>
      <c r="G364" s="735"/>
      <c r="H364" s="93"/>
      <c r="I364" s="750"/>
      <c r="J364" s="750"/>
    </row>
    <row r="365" spans="1:10" x14ac:dyDescent="0.35">
      <c r="A365" s="92"/>
      <c r="F365" s="726"/>
      <c r="G365" s="735"/>
      <c r="H365" s="93"/>
      <c r="I365" s="750"/>
      <c r="J365" s="750"/>
    </row>
    <row r="366" spans="1:10" x14ac:dyDescent="0.35">
      <c r="A366" s="92"/>
      <c r="F366" s="726"/>
      <c r="G366" s="735"/>
      <c r="H366" s="93"/>
      <c r="I366" s="750"/>
      <c r="J366" s="750"/>
    </row>
    <row r="367" spans="1:10" x14ac:dyDescent="0.35">
      <c r="A367" s="92"/>
      <c r="F367" s="726"/>
      <c r="G367" s="735"/>
      <c r="H367" s="93"/>
      <c r="I367" s="750"/>
      <c r="J367" s="750"/>
    </row>
    <row r="368" spans="1:10" x14ac:dyDescent="0.35">
      <c r="A368" s="92"/>
      <c r="F368" s="726"/>
      <c r="G368" s="735"/>
      <c r="H368" s="93"/>
      <c r="I368" s="750"/>
      <c r="J368" s="750"/>
    </row>
    <row r="369" spans="1:10" x14ac:dyDescent="0.35">
      <c r="A369" s="92"/>
      <c r="F369" s="726"/>
      <c r="G369" s="735"/>
      <c r="H369" s="93"/>
      <c r="I369" s="750"/>
      <c r="J369" s="750"/>
    </row>
    <row r="370" spans="1:10" x14ac:dyDescent="0.35">
      <c r="A370" s="92"/>
      <c r="F370" s="726"/>
      <c r="G370" s="735"/>
      <c r="H370" s="93"/>
      <c r="I370" s="750"/>
      <c r="J370" s="750"/>
    </row>
    <row r="371" spans="1:10" x14ac:dyDescent="0.35">
      <c r="A371" s="92"/>
      <c r="F371" s="726"/>
      <c r="G371" s="735"/>
      <c r="H371" s="93"/>
      <c r="I371" s="750"/>
      <c r="J371" s="750"/>
    </row>
    <row r="372" spans="1:10" x14ac:dyDescent="0.35">
      <c r="A372" s="92"/>
      <c r="F372" s="726"/>
      <c r="G372" s="735"/>
      <c r="H372" s="93"/>
      <c r="I372" s="750"/>
      <c r="J372" s="750"/>
    </row>
    <row r="373" spans="1:10" x14ac:dyDescent="0.35">
      <c r="A373" s="92"/>
      <c r="F373" s="726"/>
      <c r="G373" s="735"/>
      <c r="H373" s="93"/>
      <c r="I373" s="750"/>
      <c r="J373" s="750"/>
    </row>
    <row r="374" spans="1:10" x14ac:dyDescent="0.35">
      <c r="A374" s="92"/>
      <c r="F374" s="726"/>
      <c r="G374" s="735"/>
      <c r="H374" s="93"/>
      <c r="I374" s="750"/>
      <c r="J374" s="750"/>
    </row>
    <row r="375" spans="1:10" x14ac:dyDescent="0.35">
      <c r="A375" s="92"/>
      <c r="F375" s="726"/>
      <c r="G375" s="735"/>
      <c r="H375" s="93"/>
      <c r="I375" s="750"/>
      <c r="J375" s="750"/>
    </row>
    <row r="376" spans="1:10" x14ac:dyDescent="0.35">
      <c r="A376" s="92"/>
      <c r="F376" s="726"/>
      <c r="G376" s="735"/>
      <c r="H376" s="93"/>
      <c r="I376" s="750"/>
      <c r="J376" s="750"/>
    </row>
    <row r="377" spans="1:10" x14ac:dyDescent="0.35">
      <c r="A377" s="92"/>
      <c r="F377" s="726"/>
      <c r="G377" s="735"/>
      <c r="H377" s="93"/>
      <c r="I377" s="750"/>
      <c r="J377" s="750"/>
    </row>
    <row r="378" spans="1:10" x14ac:dyDescent="0.35">
      <c r="A378" s="92"/>
      <c r="F378" s="726"/>
      <c r="G378" s="735"/>
      <c r="H378" s="93"/>
      <c r="I378" s="750"/>
      <c r="J378" s="750"/>
    </row>
    <row r="379" spans="1:10" x14ac:dyDescent="0.35">
      <c r="A379" s="92"/>
      <c r="F379" s="726"/>
      <c r="G379" s="735"/>
      <c r="H379" s="93"/>
      <c r="I379" s="750"/>
      <c r="J379" s="750"/>
    </row>
    <row r="380" spans="1:10" x14ac:dyDescent="0.35">
      <c r="A380" s="92"/>
      <c r="F380" s="726"/>
      <c r="G380" s="735"/>
      <c r="H380" s="93"/>
      <c r="I380" s="750"/>
      <c r="J380" s="750"/>
    </row>
    <row r="381" spans="1:10" x14ac:dyDescent="0.35">
      <c r="A381" s="92"/>
      <c r="F381" s="726"/>
      <c r="G381" s="735"/>
      <c r="H381" s="93"/>
      <c r="I381" s="750"/>
      <c r="J381" s="750"/>
    </row>
    <row r="382" spans="1:10" x14ac:dyDescent="0.35">
      <c r="A382" s="92"/>
      <c r="F382" s="726"/>
      <c r="G382" s="735"/>
      <c r="H382" s="93"/>
      <c r="I382" s="750"/>
      <c r="J382" s="750"/>
    </row>
    <row r="383" spans="1:10" x14ac:dyDescent="0.35">
      <c r="A383" s="92"/>
      <c r="F383" s="726"/>
      <c r="G383" s="735"/>
      <c r="H383" s="93"/>
      <c r="I383" s="750"/>
      <c r="J383" s="750"/>
    </row>
    <row r="384" spans="1:10" x14ac:dyDescent="0.35">
      <c r="A384" s="92"/>
      <c r="F384" s="726"/>
      <c r="G384" s="735"/>
      <c r="H384" s="93"/>
      <c r="I384" s="750"/>
      <c r="J384" s="750"/>
    </row>
    <row r="385" spans="1:10" x14ac:dyDescent="0.35">
      <c r="A385" s="92"/>
      <c r="F385" s="726"/>
      <c r="G385" s="735"/>
      <c r="H385" s="93"/>
      <c r="I385" s="750"/>
      <c r="J385" s="750"/>
    </row>
    <row r="386" spans="1:10" x14ac:dyDescent="0.35">
      <c r="A386" s="92"/>
      <c r="F386" s="726"/>
      <c r="G386" s="735"/>
      <c r="H386" s="93"/>
      <c r="I386" s="750"/>
      <c r="J386" s="750"/>
    </row>
    <row r="387" spans="1:10" x14ac:dyDescent="0.35">
      <c r="A387" s="92"/>
      <c r="F387" s="726"/>
      <c r="G387" s="735"/>
      <c r="H387" s="93"/>
      <c r="I387" s="750"/>
      <c r="J387" s="750"/>
    </row>
    <row r="388" spans="1:10" x14ac:dyDescent="0.35">
      <c r="A388" s="92"/>
      <c r="F388" s="726"/>
      <c r="G388" s="735"/>
      <c r="H388" s="93"/>
      <c r="I388" s="750"/>
      <c r="J388" s="750"/>
    </row>
    <row r="389" spans="1:10" x14ac:dyDescent="0.35">
      <c r="A389" s="92"/>
      <c r="F389" s="726"/>
      <c r="G389" s="735"/>
      <c r="H389" s="93"/>
      <c r="I389" s="750"/>
      <c r="J389" s="750"/>
    </row>
    <row r="390" spans="1:10" x14ac:dyDescent="0.35">
      <c r="A390" s="92"/>
      <c r="F390" s="726"/>
      <c r="G390" s="735"/>
      <c r="H390" s="93"/>
      <c r="I390" s="750"/>
      <c r="J390" s="750"/>
    </row>
    <row r="391" spans="1:10" x14ac:dyDescent="0.35">
      <c r="A391" s="92"/>
      <c r="F391" s="726"/>
      <c r="G391" s="735"/>
      <c r="H391" s="93"/>
      <c r="I391" s="750"/>
      <c r="J391" s="750"/>
    </row>
    <row r="392" spans="1:10" x14ac:dyDescent="0.35">
      <c r="A392" s="92"/>
      <c r="F392" s="726"/>
      <c r="G392" s="735"/>
      <c r="H392" s="93"/>
      <c r="I392" s="750"/>
      <c r="J392" s="750"/>
    </row>
    <row r="393" spans="1:10" x14ac:dyDescent="0.35">
      <c r="A393" s="92"/>
      <c r="F393" s="726"/>
      <c r="G393" s="735"/>
      <c r="H393" s="93"/>
      <c r="I393" s="750"/>
      <c r="J393" s="750"/>
    </row>
    <row r="394" spans="1:10" x14ac:dyDescent="0.35">
      <c r="A394" s="92"/>
      <c r="F394" s="726"/>
      <c r="G394" s="735"/>
      <c r="H394" s="93"/>
      <c r="I394" s="750"/>
      <c r="J394" s="750"/>
    </row>
    <row r="395" spans="1:10" x14ac:dyDescent="0.35">
      <c r="A395" s="92"/>
      <c r="F395" s="726"/>
      <c r="G395" s="735"/>
      <c r="H395" s="93"/>
      <c r="I395" s="750"/>
      <c r="J395" s="750"/>
    </row>
    <row r="396" spans="1:10" x14ac:dyDescent="0.35">
      <c r="A396" s="92"/>
      <c r="F396" s="726"/>
      <c r="G396" s="735"/>
      <c r="H396" s="93"/>
      <c r="I396" s="750"/>
      <c r="J396" s="750"/>
    </row>
    <row r="397" spans="1:10" x14ac:dyDescent="0.35">
      <c r="A397" s="92"/>
      <c r="F397" s="726"/>
      <c r="G397" s="735"/>
      <c r="H397" s="93"/>
      <c r="I397" s="750"/>
      <c r="J397" s="750"/>
    </row>
    <row r="398" spans="1:10" x14ac:dyDescent="0.35">
      <c r="A398" s="92"/>
      <c r="F398" s="726"/>
      <c r="G398" s="735"/>
      <c r="H398" s="93"/>
      <c r="I398" s="750"/>
      <c r="J398" s="750"/>
    </row>
    <row r="399" spans="1:10" x14ac:dyDescent="0.35">
      <c r="A399" s="92"/>
      <c r="F399" s="726"/>
      <c r="G399" s="735"/>
      <c r="H399" s="93"/>
      <c r="I399" s="750"/>
      <c r="J399" s="750"/>
    </row>
    <row r="400" spans="1:10" x14ac:dyDescent="0.35">
      <c r="A400" s="92"/>
      <c r="F400" s="726"/>
      <c r="G400" s="735"/>
      <c r="H400" s="93"/>
      <c r="I400" s="750"/>
      <c r="J400" s="750"/>
    </row>
    <row r="401" spans="1:10" x14ac:dyDescent="0.35">
      <c r="A401" s="92"/>
      <c r="F401" s="726"/>
      <c r="G401" s="735"/>
      <c r="H401" s="93"/>
      <c r="I401" s="750"/>
      <c r="J401" s="750"/>
    </row>
    <row r="402" spans="1:10" x14ac:dyDescent="0.35">
      <c r="A402" s="92"/>
      <c r="F402" s="726"/>
      <c r="G402" s="735"/>
      <c r="H402" s="93"/>
      <c r="I402" s="750"/>
      <c r="J402" s="750"/>
    </row>
    <row r="403" spans="1:10" x14ac:dyDescent="0.35">
      <c r="A403" s="92"/>
      <c r="F403" s="726"/>
      <c r="G403" s="735"/>
      <c r="H403" s="93"/>
      <c r="I403" s="750"/>
      <c r="J403" s="750"/>
    </row>
    <row r="404" spans="1:10" x14ac:dyDescent="0.35">
      <c r="A404" s="92"/>
      <c r="F404" s="726"/>
      <c r="G404" s="735"/>
      <c r="H404" s="93"/>
      <c r="I404" s="750"/>
      <c r="J404" s="750"/>
    </row>
    <row r="405" spans="1:10" x14ac:dyDescent="0.35">
      <c r="A405" s="92"/>
      <c r="F405" s="726"/>
      <c r="G405" s="735"/>
      <c r="H405" s="93"/>
      <c r="I405" s="750"/>
      <c r="J405" s="750"/>
    </row>
    <row r="406" spans="1:10" x14ac:dyDescent="0.35">
      <c r="A406" s="92"/>
      <c r="F406" s="726"/>
      <c r="G406" s="735"/>
      <c r="H406" s="93"/>
      <c r="I406" s="750"/>
      <c r="J406" s="750"/>
    </row>
    <row r="407" spans="1:10" x14ac:dyDescent="0.35">
      <c r="A407" s="92"/>
      <c r="F407" s="726"/>
      <c r="G407" s="735"/>
      <c r="H407" s="93"/>
      <c r="I407" s="750"/>
      <c r="J407" s="750"/>
    </row>
    <row r="408" spans="1:10" x14ac:dyDescent="0.35">
      <c r="A408" s="92"/>
      <c r="F408" s="726"/>
      <c r="G408" s="735"/>
      <c r="H408" s="93"/>
      <c r="I408" s="750"/>
      <c r="J408" s="750"/>
    </row>
    <row r="409" spans="1:10" x14ac:dyDescent="0.35">
      <c r="A409" s="92"/>
      <c r="F409" s="726"/>
      <c r="G409" s="735"/>
      <c r="H409" s="93"/>
      <c r="I409" s="750"/>
      <c r="J409" s="750"/>
    </row>
    <row r="410" spans="1:10" x14ac:dyDescent="0.35">
      <c r="A410" s="92"/>
      <c r="F410" s="726"/>
      <c r="G410" s="735"/>
      <c r="H410" s="93"/>
      <c r="I410" s="750"/>
      <c r="J410" s="750"/>
    </row>
    <row r="411" spans="1:10" x14ac:dyDescent="0.35">
      <c r="A411" s="92"/>
      <c r="F411" s="726"/>
      <c r="G411" s="735"/>
      <c r="H411" s="93"/>
      <c r="I411" s="750"/>
      <c r="J411" s="750"/>
    </row>
    <row r="412" spans="1:10" x14ac:dyDescent="0.35">
      <c r="A412" s="92"/>
      <c r="F412" s="726"/>
      <c r="G412" s="735"/>
      <c r="H412" s="93"/>
      <c r="I412" s="750"/>
      <c r="J412" s="750"/>
    </row>
    <row r="413" spans="1:10" x14ac:dyDescent="0.35">
      <c r="A413" s="92"/>
      <c r="F413" s="726"/>
      <c r="G413" s="735"/>
      <c r="H413" s="93"/>
      <c r="I413" s="750"/>
      <c r="J413" s="750"/>
    </row>
    <row r="414" spans="1:10" x14ac:dyDescent="0.35">
      <c r="A414" s="92"/>
      <c r="F414" s="726"/>
      <c r="G414" s="735"/>
      <c r="H414" s="93"/>
      <c r="I414" s="750"/>
      <c r="J414" s="750"/>
    </row>
    <row r="415" spans="1:10" x14ac:dyDescent="0.35">
      <c r="A415" s="92"/>
      <c r="F415" s="726"/>
      <c r="G415" s="735"/>
      <c r="H415" s="93"/>
      <c r="I415" s="750"/>
      <c r="J415" s="750"/>
    </row>
    <row r="416" spans="1:10" x14ac:dyDescent="0.35">
      <c r="A416" s="92"/>
      <c r="F416" s="726"/>
      <c r="G416" s="735"/>
      <c r="H416" s="93"/>
      <c r="I416" s="750"/>
      <c r="J416" s="750"/>
    </row>
    <row r="417" spans="1:10" x14ac:dyDescent="0.35">
      <c r="A417" s="92"/>
      <c r="F417" s="726"/>
      <c r="G417" s="735"/>
      <c r="H417" s="93"/>
      <c r="I417" s="750"/>
      <c r="J417" s="750"/>
    </row>
    <row r="418" spans="1:10" x14ac:dyDescent="0.35">
      <c r="A418" s="92"/>
      <c r="F418" s="726"/>
      <c r="G418" s="735"/>
      <c r="H418" s="93"/>
      <c r="I418" s="750"/>
      <c r="J418" s="750"/>
    </row>
    <row r="419" spans="1:10" x14ac:dyDescent="0.35">
      <c r="A419" s="92"/>
      <c r="F419" s="726"/>
      <c r="G419" s="735"/>
      <c r="H419" s="93"/>
      <c r="I419" s="750"/>
      <c r="J419" s="750"/>
    </row>
    <row r="420" spans="1:10" x14ac:dyDescent="0.35">
      <c r="A420" s="92"/>
      <c r="F420" s="726"/>
      <c r="G420" s="735"/>
      <c r="H420" s="93"/>
      <c r="I420" s="750"/>
      <c r="J420" s="750"/>
    </row>
    <row r="421" spans="1:10" x14ac:dyDescent="0.35">
      <c r="A421" s="92"/>
      <c r="F421" s="726"/>
      <c r="G421" s="735"/>
      <c r="H421" s="93"/>
      <c r="I421" s="750"/>
      <c r="J421" s="750"/>
    </row>
    <row r="422" spans="1:10" x14ac:dyDescent="0.35">
      <c r="A422" s="92"/>
      <c r="F422" s="726"/>
      <c r="G422" s="735"/>
      <c r="H422" s="93"/>
      <c r="I422" s="750"/>
      <c r="J422" s="750"/>
    </row>
    <row r="423" spans="1:10" x14ac:dyDescent="0.35">
      <c r="A423" s="92"/>
      <c r="F423" s="726"/>
      <c r="G423" s="735"/>
      <c r="H423" s="93"/>
      <c r="I423" s="750"/>
      <c r="J423" s="750"/>
    </row>
    <row r="424" spans="1:10" x14ac:dyDescent="0.35">
      <c r="A424" s="92"/>
      <c r="F424" s="726"/>
      <c r="G424" s="735"/>
      <c r="H424" s="93"/>
      <c r="I424" s="750"/>
      <c r="J424" s="750"/>
    </row>
    <row r="425" spans="1:10" x14ac:dyDescent="0.35">
      <c r="A425" s="92"/>
      <c r="F425" s="726"/>
      <c r="G425" s="735"/>
      <c r="H425" s="93"/>
      <c r="I425" s="750"/>
      <c r="J425" s="750"/>
    </row>
    <row r="426" spans="1:10" x14ac:dyDescent="0.35">
      <c r="A426" s="92"/>
      <c r="F426" s="726"/>
      <c r="G426" s="735"/>
      <c r="H426" s="93"/>
      <c r="I426" s="750"/>
      <c r="J426" s="750"/>
    </row>
    <row r="427" spans="1:10" x14ac:dyDescent="0.35">
      <c r="A427" s="92"/>
      <c r="F427" s="726"/>
      <c r="G427" s="735"/>
      <c r="H427" s="93"/>
      <c r="I427" s="750"/>
      <c r="J427" s="750"/>
    </row>
    <row r="428" spans="1:10" x14ac:dyDescent="0.35">
      <c r="A428" s="92"/>
      <c r="F428" s="726"/>
      <c r="G428" s="735"/>
      <c r="H428" s="93"/>
      <c r="I428" s="750"/>
      <c r="J428" s="750"/>
    </row>
    <row r="429" spans="1:10" x14ac:dyDescent="0.35">
      <c r="A429" s="92"/>
      <c r="F429" s="726"/>
      <c r="G429" s="735"/>
      <c r="H429" s="93"/>
      <c r="I429" s="750"/>
      <c r="J429" s="750"/>
    </row>
    <row r="430" spans="1:10" x14ac:dyDescent="0.35">
      <c r="A430" s="92"/>
      <c r="F430" s="726"/>
      <c r="G430" s="735"/>
      <c r="H430" s="93"/>
      <c r="I430" s="750"/>
      <c r="J430" s="750"/>
    </row>
    <row r="431" spans="1:10" x14ac:dyDescent="0.35">
      <c r="A431" s="92"/>
      <c r="F431" s="726"/>
      <c r="G431" s="735"/>
      <c r="H431" s="93"/>
      <c r="I431" s="750"/>
      <c r="J431" s="750"/>
    </row>
    <row r="432" spans="1:10" x14ac:dyDescent="0.35">
      <c r="A432" s="92"/>
      <c r="F432" s="726"/>
      <c r="G432" s="735"/>
      <c r="H432" s="93"/>
      <c r="I432" s="750"/>
      <c r="J432" s="750"/>
    </row>
    <row r="433" spans="1:10" x14ac:dyDescent="0.35">
      <c r="A433" s="92"/>
      <c r="F433" s="726"/>
      <c r="G433" s="735"/>
      <c r="H433" s="93"/>
      <c r="I433" s="750"/>
      <c r="J433" s="750"/>
    </row>
    <row r="434" spans="1:10" x14ac:dyDescent="0.35">
      <c r="A434" s="92"/>
      <c r="F434" s="726"/>
      <c r="G434" s="735"/>
      <c r="H434" s="93"/>
      <c r="I434" s="750"/>
      <c r="J434" s="750"/>
    </row>
    <row r="435" spans="1:10" x14ac:dyDescent="0.35">
      <c r="A435" s="92"/>
      <c r="F435" s="726"/>
      <c r="G435" s="735"/>
      <c r="H435" s="93"/>
      <c r="I435" s="750"/>
      <c r="J435" s="750"/>
    </row>
    <row r="436" spans="1:10" x14ac:dyDescent="0.35">
      <c r="A436" s="92"/>
      <c r="F436" s="726"/>
      <c r="G436" s="735"/>
      <c r="H436" s="93"/>
      <c r="I436" s="750"/>
      <c r="J436" s="750"/>
    </row>
    <row r="437" spans="1:10" x14ac:dyDescent="0.35">
      <c r="A437" s="92"/>
      <c r="F437" s="726"/>
      <c r="G437" s="735"/>
      <c r="H437" s="93"/>
      <c r="I437" s="750"/>
      <c r="J437" s="750"/>
    </row>
    <row r="438" spans="1:10" x14ac:dyDescent="0.35">
      <c r="A438" s="92"/>
      <c r="F438" s="726"/>
      <c r="G438" s="735"/>
      <c r="H438" s="93"/>
      <c r="I438" s="750"/>
      <c r="J438" s="750"/>
    </row>
    <row r="439" spans="1:10" x14ac:dyDescent="0.35">
      <c r="A439" s="92"/>
      <c r="F439" s="726"/>
      <c r="G439" s="735"/>
      <c r="H439" s="93"/>
      <c r="I439" s="750"/>
      <c r="J439" s="750"/>
    </row>
    <row r="440" spans="1:10" x14ac:dyDescent="0.35">
      <c r="A440" s="92"/>
      <c r="F440" s="726"/>
      <c r="G440" s="735"/>
      <c r="H440" s="93"/>
      <c r="I440" s="750"/>
      <c r="J440" s="750"/>
    </row>
    <row r="441" spans="1:10" x14ac:dyDescent="0.35">
      <c r="A441" s="92"/>
      <c r="F441" s="726"/>
      <c r="G441" s="735"/>
      <c r="H441" s="93"/>
      <c r="I441" s="750"/>
      <c r="J441" s="750"/>
    </row>
    <row r="442" spans="1:10" x14ac:dyDescent="0.35">
      <c r="A442" s="92"/>
      <c r="F442" s="726"/>
      <c r="G442" s="735"/>
      <c r="H442" s="93"/>
      <c r="I442" s="750"/>
      <c r="J442" s="750"/>
    </row>
    <row r="443" spans="1:10" x14ac:dyDescent="0.35">
      <c r="A443" s="92"/>
      <c r="F443" s="726"/>
      <c r="G443" s="735"/>
      <c r="H443" s="93"/>
      <c r="I443" s="750"/>
      <c r="J443" s="750"/>
    </row>
    <row r="444" spans="1:10" x14ac:dyDescent="0.35">
      <c r="A444" s="92"/>
      <c r="F444" s="726"/>
      <c r="G444" s="735"/>
      <c r="H444" s="93"/>
      <c r="I444" s="750"/>
      <c r="J444" s="750"/>
    </row>
    <row r="445" spans="1:10" x14ac:dyDescent="0.35">
      <c r="A445" s="92"/>
      <c r="F445" s="726"/>
      <c r="G445" s="735"/>
      <c r="H445" s="93"/>
      <c r="I445" s="750"/>
      <c r="J445" s="750"/>
    </row>
    <row r="446" spans="1:10" x14ac:dyDescent="0.35">
      <c r="A446" s="92"/>
      <c r="F446" s="726"/>
      <c r="G446" s="735"/>
      <c r="H446" s="93"/>
      <c r="I446" s="750"/>
      <c r="J446" s="750"/>
    </row>
    <row r="447" spans="1:10" x14ac:dyDescent="0.35">
      <c r="A447" s="92"/>
      <c r="F447" s="726"/>
      <c r="G447" s="735"/>
      <c r="H447" s="93"/>
      <c r="I447" s="750"/>
      <c r="J447" s="750"/>
    </row>
    <row r="448" spans="1:10" x14ac:dyDescent="0.35">
      <c r="A448" s="92"/>
      <c r="F448" s="726"/>
      <c r="G448" s="735"/>
      <c r="H448" s="93"/>
      <c r="I448" s="750"/>
      <c r="J448" s="750"/>
    </row>
    <row r="449" spans="1:10" x14ac:dyDescent="0.35">
      <c r="A449" s="92"/>
      <c r="F449" s="726"/>
      <c r="G449" s="735"/>
      <c r="H449" s="93"/>
      <c r="I449" s="750"/>
      <c r="J449" s="750"/>
    </row>
    <row r="450" spans="1:10" x14ac:dyDescent="0.35">
      <c r="A450" s="92"/>
      <c r="F450" s="726"/>
      <c r="G450" s="735"/>
      <c r="H450" s="93"/>
      <c r="I450" s="750"/>
      <c r="J450" s="750"/>
    </row>
    <row r="451" spans="1:10" x14ac:dyDescent="0.35">
      <c r="A451" s="92"/>
      <c r="F451" s="726"/>
      <c r="G451" s="735"/>
      <c r="H451" s="93"/>
      <c r="I451" s="750"/>
      <c r="J451" s="750"/>
    </row>
    <row r="452" spans="1:10" x14ac:dyDescent="0.35">
      <c r="A452" s="92"/>
      <c r="F452" s="726"/>
      <c r="G452" s="735"/>
      <c r="H452" s="93"/>
      <c r="I452" s="750"/>
      <c r="J452" s="750"/>
    </row>
    <row r="453" spans="1:10" x14ac:dyDescent="0.35">
      <c r="A453" s="92"/>
      <c r="F453" s="726"/>
      <c r="G453" s="735"/>
      <c r="H453" s="93"/>
      <c r="I453" s="750"/>
      <c r="J453" s="750"/>
    </row>
    <row r="454" spans="1:10" x14ac:dyDescent="0.35">
      <c r="A454" s="92"/>
      <c r="F454" s="726"/>
      <c r="G454" s="735"/>
      <c r="H454" s="93"/>
      <c r="I454" s="750"/>
      <c r="J454" s="750"/>
    </row>
    <row r="455" spans="1:10" x14ac:dyDescent="0.35">
      <c r="A455" s="92"/>
      <c r="F455" s="726"/>
      <c r="G455" s="735"/>
      <c r="H455" s="93"/>
      <c r="I455" s="750"/>
      <c r="J455" s="750"/>
    </row>
    <row r="456" spans="1:10" x14ac:dyDescent="0.35">
      <c r="A456" s="92"/>
      <c r="F456" s="726"/>
      <c r="G456" s="735"/>
      <c r="H456" s="93"/>
      <c r="I456" s="750"/>
      <c r="J456" s="750"/>
    </row>
    <row r="457" spans="1:10" x14ac:dyDescent="0.35">
      <c r="A457" s="92"/>
      <c r="F457" s="726"/>
      <c r="G457" s="735"/>
      <c r="H457" s="93"/>
      <c r="I457" s="750"/>
      <c r="J457" s="750"/>
    </row>
    <row r="458" spans="1:10" x14ac:dyDescent="0.35">
      <c r="A458" s="92"/>
      <c r="F458" s="726"/>
      <c r="G458" s="735"/>
      <c r="H458" s="93"/>
      <c r="I458" s="750"/>
      <c r="J458" s="750"/>
    </row>
    <row r="459" spans="1:10" x14ac:dyDescent="0.35">
      <c r="A459" s="92"/>
      <c r="F459" s="726"/>
      <c r="G459" s="735"/>
      <c r="H459" s="93"/>
      <c r="I459" s="750"/>
      <c r="J459" s="750"/>
    </row>
    <row r="460" spans="1:10" x14ac:dyDescent="0.35">
      <c r="A460" s="92"/>
      <c r="F460" s="726"/>
      <c r="G460" s="735"/>
      <c r="H460" s="93"/>
      <c r="I460" s="750"/>
      <c r="J460" s="750"/>
    </row>
    <row r="461" spans="1:10" x14ac:dyDescent="0.35">
      <c r="A461" s="92"/>
      <c r="F461" s="726"/>
      <c r="G461" s="735"/>
      <c r="H461" s="93"/>
      <c r="I461" s="750"/>
      <c r="J461" s="750"/>
    </row>
    <row r="462" spans="1:10" x14ac:dyDescent="0.35">
      <c r="A462" s="92"/>
      <c r="F462" s="726"/>
      <c r="G462" s="735"/>
      <c r="H462" s="93"/>
      <c r="I462" s="750"/>
      <c r="J462" s="750"/>
    </row>
    <row r="463" spans="1:10" x14ac:dyDescent="0.35">
      <c r="A463" s="92"/>
      <c r="F463" s="726"/>
      <c r="G463" s="735"/>
      <c r="H463" s="93"/>
      <c r="I463" s="750"/>
      <c r="J463" s="750"/>
    </row>
    <row r="464" spans="1:10" x14ac:dyDescent="0.35">
      <c r="A464" s="92"/>
      <c r="F464" s="726"/>
      <c r="G464" s="735"/>
      <c r="H464" s="93"/>
      <c r="I464" s="750"/>
      <c r="J464" s="750"/>
    </row>
    <row r="465" spans="1:10" x14ac:dyDescent="0.35">
      <c r="A465" s="92"/>
      <c r="F465" s="726"/>
      <c r="G465" s="735"/>
      <c r="H465" s="93"/>
      <c r="I465" s="750"/>
      <c r="J465" s="750"/>
    </row>
    <row r="466" spans="1:10" x14ac:dyDescent="0.35">
      <c r="A466" s="92"/>
      <c r="F466" s="726"/>
      <c r="G466" s="735"/>
      <c r="H466" s="93"/>
      <c r="I466" s="750"/>
      <c r="J466" s="750"/>
    </row>
    <row r="467" spans="1:10" x14ac:dyDescent="0.35">
      <c r="A467" s="92"/>
      <c r="F467" s="726"/>
      <c r="G467" s="735"/>
      <c r="H467" s="93"/>
      <c r="I467" s="750"/>
      <c r="J467" s="750"/>
    </row>
    <row r="468" spans="1:10" x14ac:dyDescent="0.35">
      <c r="A468" s="92"/>
      <c r="F468" s="726"/>
      <c r="G468" s="735"/>
      <c r="H468" s="93"/>
      <c r="I468" s="750"/>
      <c r="J468" s="750"/>
    </row>
    <row r="469" spans="1:10" x14ac:dyDescent="0.35">
      <c r="A469" s="92"/>
      <c r="F469" s="726"/>
      <c r="G469" s="735"/>
      <c r="H469" s="93"/>
      <c r="I469" s="750"/>
      <c r="J469" s="750"/>
    </row>
    <row r="470" spans="1:10" x14ac:dyDescent="0.35">
      <c r="A470" s="92"/>
      <c r="F470" s="726"/>
      <c r="G470" s="735"/>
      <c r="H470" s="93"/>
      <c r="I470" s="750"/>
      <c r="J470" s="750"/>
    </row>
    <row r="471" spans="1:10" x14ac:dyDescent="0.35">
      <c r="A471" s="92"/>
      <c r="F471" s="726"/>
      <c r="G471" s="735"/>
      <c r="H471" s="93"/>
      <c r="I471" s="750"/>
      <c r="J471" s="750"/>
    </row>
    <row r="472" spans="1:10" x14ac:dyDescent="0.35">
      <c r="A472" s="92"/>
      <c r="F472" s="726"/>
      <c r="G472" s="735"/>
      <c r="H472" s="93"/>
      <c r="I472" s="750"/>
      <c r="J472" s="750"/>
    </row>
    <row r="473" spans="1:10" x14ac:dyDescent="0.35">
      <c r="A473" s="92"/>
      <c r="F473" s="726"/>
      <c r="G473" s="735"/>
      <c r="H473" s="93"/>
      <c r="I473" s="750"/>
      <c r="J473" s="750"/>
    </row>
    <row r="474" spans="1:10" x14ac:dyDescent="0.35">
      <c r="A474" s="92"/>
      <c r="F474" s="726"/>
      <c r="G474" s="735"/>
      <c r="H474" s="93"/>
      <c r="I474" s="750"/>
      <c r="J474" s="750"/>
    </row>
    <row r="475" spans="1:10" x14ac:dyDescent="0.35">
      <c r="A475" s="92"/>
      <c r="F475" s="726"/>
      <c r="G475" s="735"/>
      <c r="H475" s="93"/>
      <c r="I475" s="750"/>
      <c r="J475" s="750"/>
    </row>
    <row r="476" spans="1:10" x14ac:dyDescent="0.35">
      <c r="A476" s="92"/>
      <c r="F476" s="726"/>
      <c r="G476" s="735"/>
      <c r="H476" s="93"/>
      <c r="I476" s="750"/>
      <c r="J476" s="750"/>
    </row>
    <row r="477" spans="1:10" x14ac:dyDescent="0.35">
      <c r="A477" s="92"/>
      <c r="F477" s="726"/>
      <c r="G477" s="735"/>
      <c r="H477" s="93"/>
      <c r="I477" s="750"/>
      <c r="J477" s="750"/>
    </row>
    <row r="478" spans="1:10" x14ac:dyDescent="0.35">
      <c r="A478" s="92"/>
      <c r="F478" s="726"/>
      <c r="G478" s="735"/>
      <c r="H478" s="93"/>
      <c r="I478" s="750"/>
      <c r="J478" s="750"/>
    </row>
    <row r="479" spans="1:10" x14ac:dyDescent="0.35">
      <c r="A479" s="92"/>
      <c r="F479" s="726"/>
      <c r="G479" s="735"/>
      <c r="H479" s="93"/>
      <c r="I479" s="750"/>
      <c r="J479" s="750"/>
    </row>
    <row r="480" spans="1:10" x14ac:dyDescent="0.35">
      <c r="A480" s="92"/>
      <c r="F480" s="726"/>
      <c r="G480" s="735"/>
      <c r="H480" s="93"/>
      <c r="I480" s="750"/>
      <c r="J480" s="750"/>
    </row>
    <row r="481" spans="1:10" x14ac:dyDescent="0.35">
      <c r="A481" s="92"/>
      <c r="F481" s="726"/>
      <c r="G481" s="735"/>
      <c r="H481" s="93"/>
      <c r="I481" s="750"/>
      <c r="J481" s="750"/>
    </row>
    <row r="482" spans="1:10" x14ac:dyDescent="0.35">
      <c r="A482" s="92"/>
      <c r="F482" s="726"/>
      <c r="G482" s="735"/>
      <c r="H482" s="93"/>
      <c r="I482" s="750"/>
      <c r="J482" s="750"/>
    </row>
    <row r="483" spans="1:10" x14ac:dyDescent="0.35">
      <c r="A483" s="92"/>
      <c r="F483" s="726"/>
      <c r="G483" s="735"/>
      <c r="H483" s="93"/>
      <c r="I483" s="750"/>
      <c r="J483" s="750"/>
    </row>
    <row r="484" spans="1:10" x14ac:dyDescent="0.35">
      <c r="A484" s="92"/>
      <c r="F484" s="726"/>
      <c r="G484" s="735"/>
      <c r="H484" s="93"/>
      <c r="I484" s="750"/>
      <c r="J484" s="750"/>
    </row>
    <row r="485" spans="1:10" x14ac:dyDescent="0.35">
      <c r="A485" s="92"/>
      <c r="F485" s="726"/>
      <c r="G485" s="735"/>
      <c r="H485" s="93"/>
      <c r="I485" s="750"/>
      <c r="J485" s="750"/>
    </row>
    <row r="486" spans="1:10" x14ac:dyDescent="0.35">
      <c r="A486" s="92"/>
      <c r="F486" s="726"/>
      <c r="G486" s="735"/>
      <c r="H486" s="93"/>
      <c r="I486" s="750"/>
      <c r="J486" s="750"/>
    </row>
    <row r="487" spans="1:10" x14ac:dyDescent="0.35">
      <c r="A487" s="92"/>
      <c r="F487" s="726"/>
      <c r="G487" s="735"/>
      <c r="H487" s="93"/>
      <c r="I487" s="750"/>
      <c r="J487" s="750"/>
    </row>
    <row r="488" spans="1:10" x14ac:dyDescent="0.35">
      <c r="A488" s="92"/>
      <c r="F488" s="726"/>
      <c r="G488" s="735"/>
      <c r="H488" s="93"/>
      <c r="I488" s="750"/>
      <c r="J488" s="750"/>
    </row>
    <row r="489" spans="1:10" x14ac:dyDescent="0.35">
      <c r="A489" s="92"/>
      <c r="F489" s="726"/>
      <c r="G489" s="735"/>
      <c r="H489" s="93"/>
      <c r="I489" s="750"/>
      <c r="J489" s="750"/>
    </row>
    <row r="490" spans="1:10" x14ac:dyDescent="0.35">
      <c r="A490" s="92"/>
      <c r="F490" s="726"/>
      <c r="G490" s="735"/>
      <c r="H490" s="93"/>
      <c r="I490" s="750"/>
      <c r="J490" s="750"/>
    </row>
    <row r="491" spans="1:10" x14ac:dyDescent="0.35">
      <c r="A491" s="92"/>
      <c r="F491" s="726"/>
      <c r="G491" s="735"/>
      <c r="H491" s="93"/>
      <c r="I491" s="750"/>
      <c r="J491" s="750"/>
    </row>
    <row r="492" spans="1:10" x14ac:dyDescent="0.35">
      <c r="A492" s="92"/>
      <c r="F492" s="726"/>
      <c r="G492" s="735"/>
      <c r="H492" s="93"/>
      <c r="I492" s="750"/>
      <c r="J492" s="750"/>
    </row>
    <row r="493" spans="1:10" x14ac:dyDescent="0.35">
      <c r="A493" s="92"/>
      <c r="F493" s="726"/>
      <c r="G493" s="735"/>
      <c r="H493" s="93"/>
      <c r="I493" s="750"/>
      <c r="J493" s="750"/>
    </row>
    <row r="494" spans="1:10" x14ac:dyDescent="0.35">
      <c r="A494" s="92"/>
      <c r="F494" s="726"/>
      <c r="G494" s="735"/>
      <c r="H494" s="93"/>
      <c r="I494" s="750"/>
      <c r="J494" s="750"/>
    </row>
    <row r="495" spans="1:10" x14ac:dyDescent="0.35">
      <c r="A495" s="92"/>
      <c r="F495" s="726"/>
      <c r="G495" s="735"/>
      <c r="H495" s="93"/>
      <c r="I495" s="750"/>
      <c r="J495" s="750"/>
    </row>
    <row r="496" spans="1:10" x14ac:dyDescent="0.35">
      <c r="A496" s="92"/>
      <c r="F496" s="726"/>
      <c r="G496" s="735"/>
      <c r="H496" s="93"/>
      <c r="I496" s="750"/>
      <c r="J496" s="750"/>
    </row>
    <row r="497" spans="1:10" x14ac:dyDescent="0.35">
      <c r="A497" s="92"/>
      <c r="F497" s="726"/>
      <c r="G497" s="735"/>
      <c r="H497" s="93"/>
      <c r="I497" s="750"/>
      <c r="J497" s="750"/>
    </row>
    <row r="498" spans="1:10" x14ac:dyDescent="0.35">
      <c r="A498" s="92"/>
      <c r="F498" s="726"/>
      <c r="G498" s="735"/>
      <c r="H498" s="93"/>
      <c r="I498" s="750"/>
      <c r="J498" s="750"/>
    </row>
    <row r="499" spans="1:10" x14ac:dyDescent="0.35">
      <c r="A499" s="92"/>
      <c r="F499" s="726"/>
      <c r="G499" s="735"/>
      <c r="H499" s="93"/>
      <c r="I499" s="750"/>
      <c r="J499" s="750"/>
    </row>
    <row r="500" spans="1:10" x14ac:dyDescent="0.35">
      <c r="A500" s="92"/>
      <c r="F500" s="726"/>
      <c r="G500" s="735"/>
      <c r="H500" s="93"/>
      <c r="I500" s="750"/>
      <c r="J500" s="750"/>
    </row>
    <row r="501" spans="1:10" x14ac:dyDescent="0.35">
      <c r="A501" s="92"/>
      <c r="F501" s="726"/>
      <c r="G501" s="735"/>
      <c r="H501" s="93"/>
      <c r="I501" s="750"/>
      <c r="J501" s="750"/>
    </row>
    <row r="502" spans="1:10" x14ac:dyDescent="0.35">
      <c r="A502" s="92"/>
      <c r="F502" s="726"/>
      <c r="G502" s="735"/>
      <c r="H502" s="93"/>
      <c r="I502" s="750"/>
      <c r="J502" s="750"/>
    </row>
    <row r="503" spans="1:10" x14ac:dyDescent="0.35">
      <c r="A503" s="92"/>
      <c r="F503" s="726"/>
      <c r="G503" s="735"/>
      <c r="H503" s="93"/>
      <c r="I503" s="750"/>
      <c r="J503" s="750"/>
    </row>
    <row r="504" spans="1:10" x14ac:dyDescent="0.35">
      <c r="A504" s="92"/>
      <c r="F504" s="726"/>
      <c r="G504" s="735"/>
      <c r="H504" s="93"/>
      <c r="I504" s="750"/>
      <c r="J504" s="750"/>
    </row>
    <row r="505" spans="1:10" x14ac:dyDescent="0.35">
      <c r="A505" s="92"/>
      <c r="F505" s="726"/>
      <c r="G505" s="735"/>
      <c r="H505" s="93"/>
      <c r="I505" s="750"/>
      <c r="J505" s="750"/>
    </row>
    <row r="506" spans="1:10" x14ac:dyDescent="0.35">
      <c r="A506" s="92"/>
      <c r="F506" s="726"/>
      <c r="G506" s="735"/>
      <c r="H506" s="93"/>
      <c r="I506" s="750"/>
      <c r="J506" s="750"/>
    </row>
    <row r="507" spans="1:10" x14ac:dyDescent="0.35">
      <c r="A507" s="92"/>
      <c r="F507" s="726"/>
      <c r="G507" s="735"/>
      <c r="H507" s="93"/>
      <c r="I507" s="750"/>
      <c r="J507" s="750"/>
    </row>
    <row r="508" spans="1:10" x14ac:dyDescent="0.35">
      <c r="A508" s="92"/>
      <c r="F508" s="726"/>
      <c r="G508" s="735"/>
      <c r="H508" s="93"/>
      <c r="I508" s="750"/>
      <c r="J508" s="750"/>
    </row>
    <row r="509" spans="1:10" x14ac:dyDescent="0.35">
      <c r="A509" s="92"/>
      <c r="F509" s="726"/>
      <c r="G509" s="735"/>
      <c r="H509" s="93"/>
      <c r="I509" s="750"/>
      <c r="J509" s="750"/>
    </row>
    <row r="510" spans="1:10" x14ac:dyDescent="0.35">
      <c r="A510" s="92"/>
      <c r="F510" s="726"/>
      <c r="G510" s="735"/>
      <c r="H510" s="93"/>
      <c r="I510" s="750"/>
      <c r="J510" s="750"/>
    </row>
    <row r="511" spans="1:10" x14ac:dyDescent="0.35">
      <c r="A511" s="92"/>
      <c r="F511" s="726"/>
      <c r="G511" s="735"/>
      <c r="H511" s="93"/>
      <c r="I511" s="750"/>
      <c r="J511" s="750"/>
    </row>
    <row r="512" spans="1:10" x14ac:dyDescent="0.35">
      <c r="A512" s="92"/>
      <c r="F512" s="726"/>
      <c r="G512" s="735"/>
      <c r="H512" s="93"/>
      <c r="I512" s="750"/>
      <c r="J512" s="750"/>
    </row>
    <row r="513" spans="1:10" x14ac:dyDescent="0.35">
      <c r="A513" s="92"/>
      <c r="F513" s="726"/>
      <c r="G513" s="735"/>
      <c r="H513" s="93"/>
      <c r="I513" s="750"/>
      <c r="J513" s="750"/>
    </row>
    <row r="514" spans="1:10" x14ac:dyDescent="0.35">
      <c r="A514" s="92"/>
      <c r="F514" s="726"/>
      <c r="G514" s="735"/>
      <c r="H514" s="93"/>
      <c r="I514" s="750"/>
      <c r="J514" s="750"/>
    </row>
    <row r="515" spans="1:10" x14ac:dyDescent="0.35">
      <c r="A515" s="92"/>
      <c r="F515" s="726"/>
      <c r="G515" s="735"/>
      <c r="H515" s="93"/>
      <c r="I515" s="750"/>
      <c r="J515" s="750"/>
    </row>
    <row r="516" spans="1:10" x14ac:dyDescent="0.35">
      <c r="A516" s="92"/>
      <c r="F516" s="726"/>
      <c r="G516" s="735"/>
      <c r="H516" s="93"/>
      <c r="I516" s="750"/>
      <c r="J516" s="750"/>
    </row>
    <row r="517" spans="1:10" x14ac:dyDescent="0.35">
      <c r="A517" s="92"/>
      <c r="F517" s="726"/>
      <c r="G517" s="735"/>
      <c r="H517" s="93"/>
      <c r="I517" s="750"/>
      <c r="J517" s="750"/>
    </row>
    <row r="518" spans="1:10" x14ac:dyDescent="0.35">
      <c r="A518" s="92"/>
      <c r="F518" s="726"/>
      <c r="G518" s="735"/>
      <c r="H518" s="93"/>
      <c r="I518" s="750"/>
      <c r="J518" s="750"/>
    </row>
    <row r="519" spans="1:10" x14ac:dyDescent="0.35">
      <c r="A519" s="92"/>
      <c r="F519" s="726"/>
      <c r="G519" s="735"/>
      <c r="H519" s="93"/>
      <c r="I519" s="750"/>
      <c r="J519" s="750"/>
    </row>
    <row r="520" spans="1:10" x14ac:dyDescent="0.35">
      <c r="A520" s="92"/>
      <c r="F520" s="726"/>
      <c r="G520" s="735"/>
      <c r="H520" s="93"/>
      <c r="I520" s="750"/>
      <c r="J520" s="750"/>
    </row>
    <row r="521" spans="1:10" x14ac:dyDescent="0.35">
      <c r="A521" s="92"/>
      <c r="F521" s="726"/>
      <c r="G521" s="735"/>
      <c r="H521" s="93"/>
      <c r="I521" s="750"/>
      <c r="J521" s="750"/>
    </row>
    <row r="522" spans="1:10" x14ac:dyDescent="0.35">
      <c r="A522" s="92"/>
      <c r="F522" s="726"/>
      <c r="G522" s="735"/>
      <c r="H522" s="93"/>
      <c r="I522" s="750"/>
      <c r="J522" s="750"/>
    </row>
    <row r="523" spans="1:10" x14ac:dyDescent="0.35">
      <c r="A523" s="92"/>
      <c r="F523" s="726"/>
      <c r="G523" s="735"/>
      <c r="H523" s="93"/>
      <c r="I523" s="750"/>
      <c r="J523" s="750"/>
    </row>
    <row r="524" spans="1:10" x14ac:dyDescent="0.35">
      <c r="A524" s="92"/>
      <c r="F524" s="726"/>
      <c r="G524" s="735"/>
      <c r="H524" s="93"/>
      <c r="I524" s="750"/>
      <c r="J524" s="750"/>
    </row>
    <row r="525" spans="1:10" x14ac:dyDescent="0.35">
      <c r="A525" s="92"/>
      <c r="F525" s="726"/>
      <c r="G525" s="735"/>
      <c r="H525" s="93"/>
      <c r="I525" s="750"/>
      <c r="J525" s="750"/>
    </row>
    <row r="526" spans="1:10" x14ac:dyDescent="0.35">
      <c r="A526" s="92"/>
      <c r="F526" s="726"/>
      <c r="G526" s="735"/>
      <c r="H526" s="93"/>
      <c r="I526" s="750"/>
      <c r="J526" s="750"/>
    </row>
    <row r="527" spans="1:10" x14ac:dyDescent="0.35">
      <c r="A527" s="92"/>
      <c r="F527" s="726"/>
      <c r="G527" s="735"/>
      <c r="H527" s="93"/>
      <c r="I527" s="750"/>
      <c r="J527" s="750"/>
    </row>
    <row r="528" spans="1:10" x14ac:dyDescent="0.35">
      <c r="A528" s="92"/>
      <c r="F528" s="726"/>
      <c r="G528" s="735"/>
      <c r="H528" s="93"/>
      <c r="I528" s="750"/>
      <c r="J528" s="750"/>
    </row>
    <row r="529" spans="1:10" x14ac:dyDescent="0.35">
      <c r="A529" s="92"/>
      <c r="F529" s="726"/>
      <c r="G529" s="735"/>
      <c r="H529" s="93"/>
      <c r="I529" s="750"/>
      <c r="J529" s="750"/>
    </row>
    <row r="530" spans="1:10" x14ac:dyDescent="0.35">
      <c r="A530" s="92"/>
      <c r="F530" s="726"/>
      <c r="G530" s="735"/>
      <c r="H530" s="93"/>
      <c r="I530" s="750"/>
      <c r="J530" s="750"/>
    </row>
    <row r="531" spans="1:10" x14ac:dyDescent="0.35">
      <c r="A531" s="92"/>
      <c r="F531" s="726"/>
      <c r="G531" s="735"/>
      <c r="H531" s="93"/>
      <c r="I531" s="750"/>
      <c r="J531" s="750"/>
    </row>
    <row r="532" spans="1:10" x14ac:dyDescent="0.35">
      <c r="A532" s="92"/>
      <c r="F532" s="726"/>
      <c r="G532" s="735"/>
      <c r="H532" s="93"/>
      <c r="I532" s="750"/>
      <c r="J532" s="750"/>
    </row>
    <row r="533" spans="1:10" x14ac:dyDescent="0.35">
      <c r="A533" s="92"/>
      <c r="F533" s="726"/>
      <c r="G533" s="735"/>
      <c r="H533" s="93"/>
      <c r="I533" s="750"/>
      <c r="J533" s="750"/>
    </row>
    <row r="534" spans="1:10" x14ac:dyDescent="0.35">
      <c r="A534" s="92"/>
      <c r="F534" s="726"/>
      <c r="G534" s="735"/>
      <c r="H534" s="93"/>
      <c r="I534" s="750"/>
      <c r="J534" s="750"/>
    </row>
    <row r="535" spans="1:10" x14ac:dyDescent="0.35">
      <c r="A535" s="92"/>
      <c r="F535" s="726"/>
      <c r="G535" s="735"/>
      <c r="H535" s="93"/>
      <c r="I535" s="750"/>
      <c r="J535" s="750"/>
    </row>
    <row r="536" spans="1:10" x14ac:dyDescent="0.35">
      <c r="A536" s="92"/>
      <c r="F536" s="726"/>
      <c r="G536" s="735"/>
      <c r="H536" s="93"/>
      <c r="I536" s="750"/>
      <c r="J536" s="750"/>
    </row>
    <row r="537" spans="1:10" x14ac:dyDescent="0.35">
      <c r="A537" s="92"/>
      <c r="F537" s="726"/>
      <c r="G537" s="735"/>
      <c r="H537" s="93"/>
      <c r="I537" s="750"/>
      <c r="J537" s="750"/>
    </row>
    <row r="538" spans="1:10" x14ac:dyDescent="0.35">
      <c r="A538" s="92"/>
      <c r="F538" s="726"/>
      <c r="G538" s="735"/>
      <c r="H538" s="93"/>
      <c r="I538" s="750"/>
      <c r="J538" s="750"/>
    </row>
    <row r="539" spans="1:10" x14ac:dyDescent="0.35">
      <c r="A539" s="92"/>
      <c r="F539" s="726"/>
      <c r="G539" s="735"/>
      <c r="H539" s="93"/>
      <c r="I539" s="750"/>
      <c r="J539" s="750"/>
    </row>
    <row r="540" spans="1:10" x14ac:dyDescent="0.35">
      <c r="A540" s="92"/>
      <c r="F540" s="726"/>
      <c r="G540" s="735"/>
      <c r="H540" s="93"/>
      <c r="I540" s="750"/>
      <c r="J540" s="750"/>
    </row>
    <row r="541" spans="1:10" x14ac:dyDescent="0.35">
      <c r="A541" s="92"/>
      <c r="F541" s="726"/>
      <c r="G541" s="735"/>
      <c r="H541" s="93"/>
      <c r="I541" s="750"/>
      <c r="J541" s="750"/>
    </row>
    <row r="542" spans="1:10" x14ac:dyDescent="0.35">
      <c r="A542" s="92"/>
      <c r="F542" s="726"/>
      <c r="G542" s="735"/>
      <c r="H542" s="93"/>
      <c r="I542" s="750"/>
      <c r="J542" s="750"/>
    </row>
    <row r="543" spans="1:10" x14ac:dyDescent="0.35">
      <c r="A543" s="92"/>
      <c r="F543" s="726"/>
      <c r="G543" s="735"/>
      <c r="H543" s="93"/>
      <c r="I543" s="750"/>
      <c r="J543" s="750"/>
    </row>
    <row r="544" spans="1:10" x14ac:dyDescent="0.35">
      <c r="A544" s="92"/>
      <c r="F544" s="726"/>
      <c r="G544" s="735"/>
      <c r="H544" s="93"/>
      <c r="I544" s="750"/>
      <c r="J544" s="750"/>
    </row>
    <row r="545" spans="1:10" x14ac:dyDescent="0.35">
      <c r="A545" s="92"/>
      <c r="F545" s="726"/>
      <c r="G545" s="735"/>
      <c r="H545" s="93"/>
      <c r="I545" s="750"/>
      <c r="J545" s="750"/>
    </row>
    <row r="546" spans="1:10" x14ac:dyDescent="0.35">
      <c r="A546" s="92"/>
      <c r="F546" s="726"/>
      <c r="G546" s="735"/>
      <c r="H546" s="93"/>
      <c r="I546" s="750"/>
      <c r="J546" s="750"/>
    </row>
    <row r="547" spans="1:10" x14ac:dyDescent="0.35">
      <c r="A547" s="92"/>
      <c r="F547" s="726"/>
      <c r="G547" s="735"/>
      <c r="H547" s="93"/>
      <c r="I547" s="750"/>
      <c r="J547" s="750"/>
    </row>
    <row r="548" spans="1:10" x14ac:dyDescent="0.35">
      <c r="A548" s="92"/>
      <c r="F548" s="726"/>
      <c r="G548" s="735"/>
      <c r="H548" s="93"/>
      <c r="I548" s="750"/>
      <c r="J548" s="750"/>
    </row>
    <row r="549" spans="1:10" x14ac:dyDescent="0.35">
      <c r="A549" s="92"/>
      <c r="F549" s="726"/>
      <c r="G549" s="735"/>
      <c r="H549" s="93"/>
      <c r="I549" s="750"/>
      <c r="J549" s="750"/>
    </row>
    <row r="550" spans="1:10" x14ac:dyDescent="0.35">
      <c r="A550" s="92"/>
      <c r="F550" s="726"/>
      <c r="G550" s="735"/>
      <c r="H550" s="93"/>
      <c r="I550" s="750"/>
      <c r="J550" s="750"/>
    </row>
    <row r="551" spans="1:10" x14ac:dyDescent="0.35">
      <c r="A551" s="92"/>
      <c r="F551" s="726"/>
      <c r="G551" s="735"/>
      <c r="H551" s="93"/>
      <c r="I551" s="750"/>
      <c r="J551" s="750"/>
    </row>
    <row r="552" spans="1:10" x14ac:dyDescent="0.35">
      <c r="A552" s="92"/>
      <c r="F552" s="726"/>
      <c r="G552" s="735"/>
      <c r="H552" s="93"/>
      <c r="I552" s="750"/>
      <c r="J552" s="750"/>
    </row>
    <row r="553" spans="1:10" x14ac:dyDescent="0.35">
      <c r="A553" s="92"/>
      <c r="F553" s="726"/>
      <c r="G553" s="735"/>
      <c r="H553" s="93"/>
      <c r="I553" s="750"/>
      <c r="J553" s="750"/>
    </row>
    <row r="554" spans="1:10" x14ac:dyDescent="0.35">
      <c r="A554" s="92"/>
      <c r="F554" s="726"/>
      <c r="G554" s="735"/>
      <c r="H554" s="93"/>
      <c r="I554" s="750"/>
      <c r="J554" s="750"/>
    </row>
    <row r="555" spans="1:10" x14ac:dyDescent="0.35">
      <c r="A555" s="92"/>
      <c r="F555" s="726"/>
      <c r="G555" s="735"/>
      <c r="H555" s="93"/>
      <c r="I555" s="750"/>
      <c r="J555" s="750"/>
    </row>
    <row r="556" spans="1:10" x14ac:dyDescent="0.35">
      <c r="A556" s="92"/>
      <c r="F556" s="726"/>
      <c r="G556" s="735"/>
      <c r="H556" s="93"/>
      <c r="I556" s="750"/>
      <c r="J556" s="750"/>
    </row>
    <row r="557" spans="1:10" x14ac:dyDescent="0.35">
      <c r="A557" s="92"/>
      <c r="F557" s="726"/>
      <c r="G557" s="735"/>
      <c r="H557" s="93"/>
      <c r="I557" s="750"/>
      <c r="J557" s="750"/>
    </row>
    <row r="558" spans="1:10" x14ac:dyDescent="0.35">
      <c r="A558" s="92"/>
      <c r="F558" s="726"/>
      <c r="G558" s="735"/>
      <c r="H558" s="93"/>
      <c r="I558" s="750"/>
      <c r="J558" s="750"/>
    </row>
    <row r="559" spans="1:10" x14ac:dyDescent="0.35">
      <c r="A559" s="92"/>
      <c r="F559" s="726"/>
      <c r="G559" s="735"/>
      <c r="H559" s="93"/>
      <c r="I559" s="750"/>
      <c r="J559" s="750"/>
    </row>
    <row r="560" spans="1:10" x14ac:dyDescent="0.35">
      <c r="A560" s="92"/>
      <c r="F560" s="726"/>
      <c r="G560" s="735"/>
      <c r="H560" s="93"/>
      <c r="I560" s="750"/>
      <c r="J560" s="750"/>
    </row>
    <row r="561" spans="1:10" x14ac:dyDescent="0.35">
      <c r="A561" s="92"/>
      <c r="F561" s="726"/>
      <c r="G561" s="735"/>
      <c r="H561" s="93"/>
      <c r="I561" s="750"/>
      <c r="J561" s="750"/>
    </row>
    <row r="562" spans="1:10" x14ac:dyDescent="0.35">
      <c r="A562" s="92"/>
      <c r="F562" s="726"/>
      <c r="G562" s="735"/>
      <c r="H562" s="93"/>
      <c r="I562" s="750"/>
      <c r="J562" s="750"/>
    </row>
    <row r="563" spans="1:10" x14ac:dyDescent="0.35">
      <c r="A563" s="92"/>
      <c r="F563" s="726"/>
      <c r="G563" s="735"/>
      <c r="H563" s="93"/>
      <c r="I563" s="750"/>
      <c r="J563" s="750"/>
    </row>
    <row r="564" spans="1:10" x14ac:dyDescent="0.35">
      <c r="A564" s="92"/>
      <c r="F564" s="726"/>
      <c r="G564" s="735"/>
      <c r="H564" s="93"/>
      <c r="I564" s="750"/>
      <c r="J564" s="750"/>
    </row>
    <row r="565" spans="1:10" x14ac:dyDescent="0.35">
      <c r="A565" s="92"/>
      <c r="F565" s="726"/>
      <c r="G565" s="735"/>
      <c r="H565" s="93"/>
      <c r="I565" s="750"/>
      <c r="J565" s="750"/>
    </row>
    <row r="566" spans="1:10" x14ac:dyDescent="0.35">
      <c r="A566" s="92"/>
      <c r="F566" s="726"/>
      <c r="G566" s="735"/>
      <c r="H566" s="93"/>
      <c r="I566" s="750"/>
      <c r="J566" s="750"/>
    </row>
    <row r="567" spans="1:10" x14ac:dyDescent="0.35">
      <c r="A567" s="92"/>
      <c r="F567" s="726"/>
      <c r="G567" s="735"/>
      <c r="H567" s="93"/>
      <c r="I567" s="750"/>
      <c r="J567" s="750"/>
    </row>
    <row r="568" spans="1:10" x14ac:dyDescent="0.35">
      <c r="A568" s="92"/>
      <c r="F568" s="726"/>
      <c r="G568" s="735"/>
      <c r="H568" s="93"/>
      <c r="I568" s="750"/>
      <c r="J568" s="750"/>
    </row>
    <row r="569" spans="1:10" x14ac:dyDescent="0.35">
      <c r="A569" s="92"/>
      <c r="F569" s="726"/>
      <c r="G569" s="735"/>
      <c r="H569" s="93"/>
      <c r="I569" s="750"/>
      <c r="J569" s="750"/>
    </row>
    <row r="570" spans="1:10" x14ac:dyDescent="0.35">
      <c r="A570" s="92"/>
      <c r="F570" s="726"/>
      <c r="G570" s="735"/>
      <c r="H570" s="93"/>
      <c r="I570" s="750"/>
      <c r="J570" s="750"/>
    </row>
    <row r="571" spans="1:10" x14ac:dyDescent="0.35">
      <c r="A571" s="92"/>
      <c r="F571" s="726"/>
      <c r="G571" s="735"/>
      <c r="H571" s="93"/>
      <c r="I571" s="750"/>
      <c r="J571" s="750"/>
    </row>
    <row r="572" spans="1:10" x14ac:dyDescent="0.35">
      <c r="A572" s="92"/>
      <c r="F572" s="726"/>
      <c r="G572" s="735"/>
      <c r="H572" s="93"/>
      <c r="I572" s="750"/>
      <c r="J572" s="750"/>
    </row>
    <row r="573" spans="1:10" x14ac:dyDescent="0.35">
      <c r="A573" s="92"/>
      <c r="F573" s="726"/>
      <c r="G573" s="735"/>
      <c r="H573" s="93"/>
      <c r="I573" s="750"/>
      <c r="J573" s="750"/>
    </row>
    <row r="574" spans="1:10" x14ac:dyDescent="0.35">
      <c r="A574" s="92"/>
      <c r="F574" s="726"/>
      <c r="G574" s="735"/>
      <c r="H574" s="93"/>
      <c r="I574" s="750"/>
      <c r="J574" s="750"/>
    </row>
    <row r="575" spans="1:10" x14ac:dyDescent="0.35">
      <c r="A575" s="92"/>
      <c r="F575" s="726"/>
      <c r="G575" s="735"/>
      <c r="H575" s="93"/>
      <c r="I575" s="750"/>
      <c r="J575" s="750"/>
    </row>
    <row r="576" spans="1:10" x14ac:dyDescent="0.35">
      <c r="A576" s="92"/>
      <c r="F576" s="726"/>
      <c r="G576" s="735"/>
      <c r="H576" s="93"/>
      <c r="I576" s="750"/>
      <c r="J576" s="750"/>
    </row>
    <row r="577" spans="1:10" x14ac:dyDescent="0.35">
      <c r="A577" s="92"/>
      <c r="F577" s="726"/>
      <c r="G577" s="735"/>
      <c r="H577" s="93"/>
      <c r="I577" s="750"/>
      <c r="J577" s="750"/>
    </row>
    <row r="578" spans="1:10" x14ac:dyDescent="0.35">
      <c r="A578" s="92"/>
      <c r="F578" s="726"/>
      <c r="G578" s="735"/>
      <c r="H578" s="93"/>
      <c r="I578" s="750"/>
      <c r="J578" s="750"/>
    </row>
    <row r="579" spans="1:10" x14ac:dyDescent="0.35">
      <c r="A579" s="92"/>
      <c r="F579" s="726"/>
      <c r="G579" s="735"/>
      <c r="H579" s="93"/>
      <c r="I579" s="750"/>
      <c r="J579" s="750"/>
    </row>
    <row r="580" spans="1:10" x14ac:dyDescent="0.35">
      <c r="A580" s="92"/>
      <c r="F580" s="726"/>
      <c r="G580" s="735"/>
      <c r="H580" s="93"/>
      <c r="I580" s="750"/>
      <c r="J580" s="750"/>
    </row>
    <row r="581" spans="1:10" x14ac:dyDescent="0.35">
      <c r="A581" s="92"/>
      <c r="F581" s="726"/>
      <c r="G581" s="735"/>
      <c r="H581" s="93"/>
      <c r="I581" s="750"/>
      <c r="J581" s="750"/>
    </row>
    <row r="582" spans="1:10" x14ac:dyDescent="0.35">
      <c r="A582" s="92"/>
      <c r="F582" s="726"/>
      <c r="G582" s="735"/>
      <c r="H582" s="93"/>
      <c r="I582" s="750"/>
      <c r="J582" s="750"/>
    </row>
    <row r="583" spans="1:10" x14ac:dyDescent="0.35">
      <c r="A583" s="92"/>
      <c r="F583" s="726"/>
      <c r="G583" s="735"/>
      <c r="H583" s="93"/>
      <c r="I583" s="750"/>
      <c r="J583" s="750"/>
    </row>
    <row r="584" spans="1:10" x14ac:dyDescent="0.35">
      <c r="A584" s="92"/>
      <c r="F584" s="726"/>
      <c r="G584" s="735"/>
      <c r="H584" s="93"/>
      <c r="I584" s="750"/>
      <c r="J584" s="750"/>
    </row>
    <row r="585" spans="1:10" x14ac:dyDescent="0.35">
      <c r="A585" s="92"/>
      <c r="F585" s="726"/>
      <c r="G585" s="735"/>
      <c r="H585" s="93"/>
      <c r="I585" s="750"/>
      <c r="J585" s="750"/>
    </row>
    <row r="586" spans="1:10" x14ac:dyDescent="0.35">
      <c r="A586" s="92"/>
      <c r="F586" s="726"/>
      <c r="G586" s="735"/>
      <c r="H586" s="93"/>
      <c r="I586" s="750"/>
      <c r="J586" s="750"/>
    </row>
    <row r="587" spans="1:10" x14ac:dyDescent="0.35">
      <c r="A587" s="92"/>
      <c r="F587" s="726"/>
      <c r="G587" s="735"/>
      <c r="H587" s="93"/>
      <c r="I587" s="750"/>
      <c r="J587" s="750"/>
    </row>
    <row r="588" spans="1:10" x14ac:dyDescent="0.35">
      <c r="A588" s="92"/>
      <c r="F588" s="726"/>
      <c r="G588" s="735"/>
      <c r="H588" s="93"/>
      <c r="I588" s="750"/>
      <c r="J588" s="750"/>
    </row>
    <row r="589" spans="1:10" x14ac:dyDescent="0.35">
      <c r="A589" s="92"/>
      <c r="F589" s="726"/>
      <c r="G589" s="735"/>
      <c r="H589" s="93"/>
      <c r="I589" s="750"/>
      <c r="J589" s="750"/>
    </row>
    <row r="590" spans="1:10" x14ac:dyDescent="0.35">
      <c r="A590" s="92"/>
      <c r="F590" s="726"/>
      <c r="G590" s="735"/>
      <c r="H590" s="93"/>
      <c r="I590" s="750"/>
      <c r="J590" s="750"/>
    </row>
    <row r="591" spans="1:10" x14ac:dyDescent="0.35">
      <c r="A591" s="92"/>
      <c r="F591" s="726"/>
      <c r="G591" s="735"/>
      <c r="H591" s="93"/>
      <c r="I591" s="750"/>
      <c r="J591" s="750"/>
    </row>
    <row r="592" spans="1:10" x14ac:dyDescent="0.35">
      <c r="A592" s="92"/>
      <c r="F592" s="726"/>
      <c r="G592" s="735"/>
      <c r="H592" s="93"/>
      <c r="I592" s="750"/>
      <c r="J592" s="750"/>
    </row>
    <row r="593" spans="1:10" x14ac:dyDescent="0.35">
      <c r="A593" s="92"/>
      <c r="F593" s="726"/>
      <c r="G593" s="735"/>
      <c r="H593" s="93"/>
      <c r="I593" s="750"/>
      <c r="J593" s="750"/>
    </row>
    <row r="594" spans="1:10" x14ac:dyDescent="0.35">
      <c r="A594" s="92"/>
      <c r="F594" s="726"/>
      <c r="G594" s="735"/>
      <c r="H594" s="93"/>
      <c r="I594" s="750"/>
      <c r="J594" s="750"/>
    </row>
    <row r="595" spans="1:10" x14ac:dyDescent="0.35">
      <c r="A595" s="92"/>
      <c r="F595" s="726"/>
      <c r="G595" s="735"/>
      <c r="H595" s="93"/>
      <c r="I595" s="750"/>
      <c r="J595" s="750"/>
    </row>
    <row r="596" spans="1:10" x14ac:dyDescent="0.35">
      <c r="A596" s="92"/>
      <c r="F596" s="726"/>
      <c r="G596" s="735"/>
      <c r="H596" s="93"/>
      <c r="I596" s="750"/>
      <c r="J596" s="750"/>
    </row>
    <row r="597" spans="1:10" x14ac:dyDescent="0.35">
      <c r="A597" s="92"/>
      <c r="F597" s="726"/>
      <c r="G597" s="735"/>
      <c r="H597" s="93"/>
      <c r="I597" s="750"/>
      <c r="J597" s="750"/>
    </row>
    <row r="598" spans="1:10" x14ac:dyDescent="0.35">
      <c r="A598" s="92"/>
      <c r="F598" s="726"/>
      <c r="G598" s="735"/>
      <c r="H598" s="93"/>
      <c r="I598" s="750"/>
      <c r="J598" s="750"/>
    </row>
    <row r="599" spans="1:10" x14ac:dyDescent="0.35">
      <c r="A599" s="92"/>
      <c r="F599" s="726"/>
      <c r="G599" s="735"/>
      <c r="H599" s="93"/>
      <c r="I599" s="750"/>
      <c r="J599" s="750"/>
    </row>
    <row r="600" spans="1:10" x14ac:dyDescent="0.35">
      <c r="A600" s="92"/>
      <c r="F600" s="726"/>
      <c r="G600" s="735"/>
      <c r="H600" s="93"/>
      <c r="I600" s="750"/>
      <c r="J600" s="750"/>
    </row>
    <row r="601" spans="1:10" x14ac:dyDescent="0.35">
      <c r="A601" s="92"/>
      <c r="F601" s="726"/>
      <c r="G601" s="735"/>
      <c r="H601" s="93"/>
      <c r="I601" s="750"/>
      <c r="J601" s="750"/>
    </row>
    <row r="602" spans="1:10" x14ac:dyDescent="0.35">
      <c r="A602" s="92"/>
      <c r="F602" s="726"/>
      <c r="G602" s="735"/>
      <c r="H602" s="93"/>
      <c r="I602" s="750"/>
      <c r="J602" s="750"/>
    </row>
    <row r="603" spans="1:10" x14ac:dyDescent="0.35">
      <c r="A603" s="92"/>
      <c r="F603" s="726"/>
      <c r="G603" s="735"/>
      <c r="H603" s="93"/>
      <c r="I603" s="750"/>
      <c r="J603" s="750"/>
    </row>
    <row r="604" spans="1:10" x14ac:dyDescent="0.35">
      <c r="A604" s="92"/>
      <c r="F604" s="726"/>
      <c r="G604" s="735"/>
      <c r="H604" s="93"/>
      <c r="I604" s="750"/>
      <c r="J604" s="750"/>
    </row>
    <row r="605" spans="1:10" x14ac:dyDescent="0.35">
      <c r="A605" s="92"/>
      <c r="F605" s="726"/>
      <c r="G605" s="735"/>
      <c r="H605" s="93"/>
      <c r="I605" s="750"/>
      <c r="J605" s="750"/>
    </row>
    <row r="606" spans="1:10" x14ac:dyDescent="0.35">
      <c r="A606" s="92"/>
      <c r="F606" s="726"/>
      <c r="G606" s="735"/>
      <c r="H606" s="93"/>
      <c r="I606" s="750"/>
      <c r="J606" s="750"/>
    </row>
    <row r="607" spans="1:10" x14ac:dyDescent="0.35">
      <c r="A607" s="92"/>
      <c r="F607" s="726"/>
      <c r="G607" s="735"/>
      <c r="H607" s="93"/>
      <c r="I607" s="750"/>
      <c r="J607" s="750"/>
    </row>
    <row r="608" spans="1:10" x14ac:dyDescent="0.35">
      <c r="A608" s="92"/>
      <c r="F608" s="726"/>
      <c r="G608" s="735"/>
      <c r="H608" s="93"/>
      <c r="I608" s="750"/>
      <c r="J608" s="750"/>
    </row>
    <row r="609" spans="1:10" x14ac:dyDescent="0.35">
      <c r="A609" s="92"/>
      <c r="F609" s="726"/>
      <c r="G609" s="735"/>
      <c r="H609" s="93"/>
      <c r="I609" s="750"/>
      <c r="J609" s="750"/>
    </row>
    <row r="610" spans="1:10" x14ac:dyDescent="0.35">
      <c r="A610" s="92"/>
      <c r="F610" s="726"/>
      <c r="G610" s="735"/>
      <c r="H610" s="93"/>
      <c r="I610" s="750"/>
      <c r="J610" s="750"/>
    </row>
    <row r="611" spans="1:10" x14ac:dyDescent="0.35">
      <c r="A611" s="92"/>
      <c r="F611" s="726"/>
      <c r="G611" s="735"/>
      <c r="H611" s="93"/>
      <c r="I611" s="750"/>
      <c r="J611" s="750"/>
    </row>
    <row r="612" spans="1:10" x14ac:dyDescent="0.35">
      <c r="A612" s="92"/>
      <c r="F612" s="726"/>
      <c r="G612" s="735"/>
      <c r="H612" s="93"/>
      <c r="I612" s="750"/>
      <c r="J612" s="750"/>
    </row>
    <row r="613" spans="1:10" x14ac:dyDescent="0.35">
      <c r="A613" s="92"/>
      <c r="F613" s="726"/>
      <c r="G613" s="735"/>
      <c r="H613" s="93"/>
      <c r="I613" s="750"/>
      <c r="J613" s="750"/>
    </row>
    <row r="614" spans="1:10" x14ac:dyDescent="0.35">
      <c r="A614" s="92"/>
      <c r="F614" s="726"/>
      <c r="G614" s="735"/>
      <c r="H614" s="93"/>
      <c r="I614" s="750"/>
      <c r="J614" s="750"/>
    </row>
    <row r="615" spans="1:10" x14ac:dyDescent="0.35">
      <c r="A615" s="92"/>
      <c r="F615" s="726"/>
      <c r="G615" s="735"/>
      <c r="H615" s="93"/>
      <c r="I615" s="750"/>
      <c r="J615" s="750"/>
    </row>
    <row r="616" spans="1:10" x14ac:dyDescent="0.35">
      <c r="A616" s="92"/>
      <c r="F616" s="726"/>
      <c r="G616" s="735"/>
      <c r="H616" s="93"/>
      <c r="I616" s="750"/>
      <c r="J616" s="750"/>
    </row>
    <row r="617" spans="1:10" x14ac:dyDescent="0.35">
      <c r="A617" s="92"/>
      <c r="F617" s="726"/>
      <c r="G617" s="735"/>
      <c r="H617" s="93"/>
      <c r="I617" s="750"/>
      <c r="J617" s="750"/>
    </row>
    <row r="618" spans="1:10" x14ac:dyDescent="0.35">
      <c r="A618" s="92"/>
      <c r="F618" s="726"/>
      <c r="G618" s="735"/>
      <c r="H618" s="93"/>
      <c r="I618" s="750"/>
      <c r="J618" s="750"/>
    </row>
    <row r="619" spans="1:10" x14ac:dyDescent="0.35">
      <c r="A619" s="92"/>
      <c r="F619" s="726"/>
      <c r="G619" s="735"/>
      <c r="H619" s="93"/>
      <c r="I619" s="750"/>
      <c r="J619" s="750"/>
    </row>
    <row r="620" spans="1:10" x14ac:dyDescent="0.35">
      <c r="A620" s="92"/>
      <c r="F620" s="726"/>
      <c r="G620" s="735"/>
      <c r="H620" s="93"/>
      <c r="I620" s="750"/>
      <c r="J620" s="750"/>
    </row>
    <row r="621" spans="1:10" x14ac:dyDescent="0.35">
      <c r="A621" s="92"/>
      <c r="F621" s="726"/>
      <c r="G621" s="735"/>
      <c r="H621" s="93"/>
      <c r="I621" s="750"/>
      <c r="J621" s="750"/>
    </row>
    <row r="622" spans="1:10" x14ac:dyDescent="0.35">
      <c r="A622" s="92"/>
      <c r="F622" s="726"/>
      <c r="G622" s="735"/>
      <c r="H622" s="93"/>
      <c r="I622" s="750"/>
      <c r="J622" s="750"/>
    </row>
    <row r="623" spans="1:10" x14ac:dyDescent="0.35">
      <c r="A623" s="92"/>
      <c r="F623" s="726"/>
      <c r="G623" s="735"/>
      <c r="H623" s="93"/>
      <c r="I623" s="750"/>
      <c r="J623" s="750"/>
    </row>
    <row r="624" spans="1:10" x14ac:dyDescent="0.35">
      <c r="A624" s="92"/>
      <c r="F624" s="726"/>
      <c r="G624" s="735"/>
      <c r="H624" s="93"/>
      <c r="I624" s="750"/>
      <c r="J624" s="750"/>
    </row>
    <row r="625" spans="1:10" x14ac:dyDescent="0.35">
      <c r="A625" s="92"/>
      <c r="F625" s="726"/>
      <c r="G625" s="735"/>
      <c r="H625" s="93"/>
      <c r="I625" s="750"/>
      <c r="J625" s="750"/>
    </row>
    <row r="626" spans="1:10" x14ac:dyDescent="0.35">
      <c r="A626" s="92"/>
      <c r="F626" s="726"/>
      <c r="G626" s="735"/>
      <c r="H626" s="93"/>
      <c r="I626" s="750"/>
      <c r="J626" s="750"/>
    </row>
    <row r="627" spans="1:10" x14ac:dyDescent="0.35">
      <c r="A627" s="92"/>
      <c r="F627" s="726"/>
      <c r="G627" s="735"/>
      <c r="H627" s="93"/>
      <c r="I627" s="750"/>
      <c r="J627" s="750"/>
    </row>
    <row r="628" spans="1:10" x14ac:dyDescent="0.35">
      <c r="A628" s="92"/>
      <c r="F628" s="726"/>
      <c r="G628" s="735"/>
      <c r="H628" s="93"/>
      <c r="I628" s="750"/>
      <c r="J628" s="750"/>
    </row>
    <row r="629" spans="1:10" x14ac:dyDescent="0.35">
      <c r="A629" s="92"/>
      <c r="F629" s="726"/>
      <c r="G629" s="735"/>
      <c r="H629" s="93"/>
      <c r="I629" s="750"/>
      <c r="J629" s="750"/>
    </row>
    <row r="630" spans="1:10" x14ac:dyDescent="0.35">
      <c r="A630" s="92"/>
      <c r="F630" s="726"/>
      <c r="G630" s="735"/>
      <c r="H630" s="93"/>
      <c r="I630" s="750"/>
      <c r="J630" s="750"/>
    </row>
    <row r="631" spans="1:10" x14ac:dyDescent="0.35">
      <c r="A631" s="92"/>
      <c r="F631" s="726"/>
      <c r="G631" s="735"/>
      <c r="H631" s="93"/>
      <c r="I631" s="750"/>
      <c r="J631" s="750"/>
    </row>
    <row r="632" spans="1:10" x14ac:dyDescent="0.35">
      <c r="A632" s="92"/>
      <c r="F632" s="726"/>
      <c r="G632" s="735"/>
      <c r="H632" s="93"/>
      <c r="I632" s="750"/>
      <c r="J632" s="750"/>
    </row>
    <row r="633" spans="1:10" x14ac:dyDescent="0.35">
      <c r="A633" s="92"/>
      <c r="F633" s="726"/>
      <c r="G633" s="735"/>
      <c r="H633" s="93"/>
      <c r="I633" s="750"/>
      <c r="J633" s="750"/>
    </row>
    <row r="634" spans="1:10" x14ac:dyDescent="0.35">
      <c r="A634" s="92"/>
      <c r="F634" s="726"/>
      <c r="G634" s="735"/>
      <c r="H634" s="93"/>
      <c r="I634" s="750"/>
      <c r="J634" s="750"/>
    </row>
    <row r="635" spans="1:10" x14ac:dyDescent="0.35">
      <c r="A635" s="92"/>
      <c r="F635" s="726"/>
      <c r="G635" s="735"/>
      <c r="H635" s="93"/>
      <c r="I635" s="750"/>
      <c r="J635" s="750"/>
    </row>
    <row r="636" spans="1:10" x14ac:dyDescent="0.35">
      <c r="A636" s="92"/>
      <c r="F636" s="726"/>
      <c r="G636" s="735"/>
      <c r="H636" s="93"/>
      <c r="I636" s="750"/>
      <c r="J636" s="750"/>
    </row>
    <row r="637" spans="1:10" x14ac:dyDescent="0.35">
      <c r="A637" s="92"/>
      <c r="F637" s="726"/>
      <c r="G637" s="735"/>
      <c r="H637" s="93"/>
      <c r="I637" s="750"/>
      <c r="J637" s="750"/>
    </row>
    <row r="638" spans="1:10" x14ac:dyDescent="0.35">
      <c r="A638" s="92"/>
      <c r="F638" s="726"/>
      <c r="G638" s="735"/>
      <c r="H638" s="93"/>
      <c r="I638" s="750"/>
      <c r="J638" s="750"/>
    </row>
    <row r="639" spans="1:10" x14ac:dyDescent="0.35">
      <c r="A639" s="92"/>
      <c r="F639" s="726"/>
      <c r="G639" s="735"/>
      <c r="H639" s="93"/>
      <c r="I639" s="750"/>
      <c r="J639" s="750"/>
    </row>
    <row r="640" spans="1:10" x14ac:dyDescent="0.35">
      <c r="A640" s="92"/>
      <c r="F640" s="726"/>
      <c r="G640" s="735"/>
      <c r="H640" s="93"/>
      <c r="I640" s="750"/>
      <c r="J640" s="750"/>
    </row>
    <row r="641" spans="1:10" x14ac:dyDescent="0.35">
      <c r="A641" s="92"/>
      <c r="F641" s="726"/>
      <c r="G641" s="735"/>
      <c r="H641" s="93"/>
      <c r="I641" s="750"/>
      <c r="J641" s="750"/>
    </row>
    <row r="642" spans="1:10" x14ac:dyDescent="0.35">
      <c r="A642" s="92"/>
      <c r="F642" s="726"/>
      <c r="G642" s="735"/>
      <c r="H642" s="93"/>
      <c r="I642" s="750"/>
      <c r="J642" s="750"/>
    </row>
    <row r="643" spans="1:10" x14ac:dyDescent="0.35">
      <c r="A643" s="92"/>
      <c r="F643" s="726"/>
      <c r="G643" s="735"/>
      <c r="H643" s="93"/>
      <c r="I643" s="750"/>
      <c r="J643" s="750"/>
    </row>
    <row r="644" spans="1:10" x14ac:dyDescent="0.35">
      <c r="A644" s="92"/>
      <c r="F644" s="726"/>
      <c r="G644" s="735"/>
      <c r="H644" s="93"/>
      <c r="I644" s="750"/>
      <c r="J644" s="750"/>
    </row>
    <row r="645" spans="1:10" x14ac:dyDescent="0.35">
      <c r="A645" s="92"/>
      <c r="F645" s="726"/>
      <c r="G645" s="735"/>
      <c r="H645" s="93"/>
      <c r="I645" s="750"/>
      <c r="J645" s="750"/>
    </row>
    <row r="646" spans="1:10" x14ac:dyDescent="0.35">
      <c r="A646" s="92"/>
      <c r="F646" s="726"/>
      <c r="G646" s="735"/>
      <c r="H646" s="93"/>
      <c r="I646" s="750"/>
      <c r="J646" s="750"/>
    </row>
    <row r="647" spans="1:10" x14ac:dyDescent="0.35">
      <c r="A647" s="92"/>
      <c r="F647" s="726"/>
      <c r="G647" s="735"/>
      <c r="H647" s="93"/>
      <c r="I647" s="750"/>
      <c r="J647" s="750"/>
    </row>
    <row r="648" spans="1:10" x14ac:dyDescent="0.35">
      <c r="A648" s="92"/>
      <c r="F648" s="726"/>
      <c r="G648" s="735"/>
      <c r="H648" s="93"/>
      <c r="I648" s="750"/>
      <c r="J648" s="750"/>
    </row>
    <row r="649" spans="1:10" x14ac:dyDescent="0.35">
      <c r="A649" s="92"/>
      <c r="F649" s="726"/>
      <c r="G649" s="735"/>
      <c r="H649" s="93"/>
      <c r="I649" s="750"/>
      <c r="J649" s="750"/>
    </row>
    <row r="650" spans="1:10" x14ac:dyDescent="0.35">
      <c r="A650" s="92"/>
      <c r="F650" s="726"/>
      <c r="G650" s="735"/>
      <c r="H650" s="93"/>
      <c r="I650" s="750"/>
      <c r="J650" s="750"/>
    </row>
    <row r="651" spans="1:10" x14ac:dyDescent="0.35">
      <c r="A651" s="92"/>
      <c r="F651" s="726"/>
      <c r="G651" s="735"/>
      <c r="H651" s="93"/>
      <c r="I651" s="750"/>
      <c r="J651" s="750"/>
    </row>
    <row r="652" spans="1:10" x14ac:dyDescent="0.35">
      <c r="A652" s="92"/>
      <c r="F652" s="726"/>
      <c r="G652" s="735"/>
      <c r="H652" s="93"/>
      <c r="I652" s="750"/>
      <c r="J652" s="750"/>
    </row>
    <row r="653" spans="1:10" x14ac:dyDescent="0.35">
      <c r="A653" s="92"/>
      <c r="F653" s="726"/>
      <c r="G653" s="735"/>
      <c r="H653" s="93"/>
      <c r="I653" s="750"/>
      <c r="J653" s="750"/>
    </row>
    <row r="654" spans="1:10" x14ac:dyDescent="0.35">
      <c r="A654" s="92"/>
      <c r="F654" s="726"/>
      <c r="G654" s="735"/>
      <c r="H654" s="93"/>
      <c r="I654" s="750"/>
      <c r="J654" s="750"/>
    </row>
    <row r="655" spans="1:10" x14ac:dyDescent="0.35">
      <c r="A655" s="92"/>
      <c r="F655" s="726"/>
      <c r="G655" s="735"/>
      <c r="H655" s="93"/>
      <c r="I655" s="750"/>
      <c r="J655" s="750"/>
    </row>
    <row r="656" spans="1:10" x14ac:dyDescent="0.35">
      <c r="A656" s="92"/>
      <c r="F656" s="726"/>
      <c r="G656" s="735"/>
      <c r="H656" s="93"/>
      <c r="I656" s="750"/>
      <c r="J656" s="750"/>
    </row>
    <row r="657" spans="1:10" x14ac:dyDescent="0.35">
      <c r="A657" s="92"/>
      <c r="F657" s="726"/>
      <c r="G657" s="735"/>
      <c r="H657" s="93"/>
      <c r="I657" s="750"/>
      <c r="J657" s="750"/>
    </row>
    <row r="658" spans="1:10" x14ac:dyDescent="0.35">
      <c r="A658" s="92"/>
      <c r="F658" s="726"/>
      <c r="G658" s="735"/>
      <c r="H658" s="93"/>
      <c r="I658" s="750"/>
      <c r="J658" s="750"/>
    </row>
    <row r="659" spans="1:10" x14ac:dyDescent="0.35">
      <c r="A659" s="92"/>
      <c r="F659" s="726"/>
      <c r="G659" s="735"/>
      <c r="H659" s="93"/>
      <c r="I659" s="750"/>
      <c r="J659" s="750"/>
    </row>
    <row r="660" spans="1:10" x14ac:dyDescent="0.35">
      <c r="A660" s="92"/>
      <c r="F660" s="726"/>
      <c r="G660" s="735"/>
      <c r="H660" s="93"/>
      <c r="I660" s="750"/>
      <c r="J660" s="750"/>
    </row>
    <row r="661" spans="1:10" x14ac:dyDescent="0.35">
      <c r="A661" s="92"/>
      <c r="F661" s="726"/>
      <c r="G661" s="735"/>
      <c r="H661" s="93"/>
      <c r="I661" s="750"/>
      <c r="J661" s="750"/>
    </row>
    <row r="662" spans="1:10" x14ac:dyDescent="0.35">
      <c r="A662" s="92"/>
      <c r="F662" s="726"/>
      <c r="G662" s="735"/>
      <c r="H662" s="93"/>
      <c r="I662" s="750"/>
      <c r="J662" s="750"/>
    </row>
    <row r="663" spans="1:10" x14ac:dyDescent="0.35">
      <c r="A663" s="92"/>
      <c r="F663" s="726"/>
      <c r="G663" s="735"/>
      <c r="H663" s="93"/>
      <c r="I663" s="750"/>
      <c r="J663" s="750"/>
    </row>
    <row r="664" spans="1:10" x14ac:dyDescent="0.35">
      <c r="A664" s="92"/>
      <c r="F664" s="726"/>
      <c r="G664" s="735"/>
      <c r="H664" s="93"/>
      <c r="I664" s="750"/>
      <c r="J664" s="750"/>
    </row>
    <row r="665" spans="1:10" x14ac:dyDescent="0.35">
      <c r="A665" s="92"/>
      <c r="F665" s="726"/>
      <c r="G665" s="735"/>
      <c r="H665" s="93"/>
      <c r="I665" s="750"/>
      <c r="J665" s="750"/>
    </row>
    <row r="666" spans="1:10" x14ac:dyDescent="0.35">
      <c r="A666" s="92"/>
      <c r="F666" s="726"/>
      <c r="G666" s="735"/>
      <c r="H666" s="93"/>
      <c r="I666" s="750"/>
      <c r="J666" s="750"/>
    </row>
    <row r="667" spans="1:10" x14ac:dyDescent="0.35">
      <c r="A667" s="92"/>
      <c r="F667" s="726"/>
      <c r="G667" s="735"/>
      <c r="H667" s="93"/>
      <c r="I667" s="750"/>
      <c r="J667" s="750"/>
    </row>
    <row r="668" spans="1:10" x14ac:dyDescent="0.35">
      <c r="A668" s="92"/>
      <c r="F668" s="726"/>
      <c r="G668" s="735"/>
      <c r="H668" s="93"/>
      <c r="I668" s="750"/>
      <c r="J668" s="750"/>
    </row>
    <row r="669" spans="1:10" x14ac:dyDescent="0.35">
      <c r="A669" s="92"/>
      <c r="F669" s="726"/>
      <c r="G669" s="735"/>
      <c r="H669" s="93"/>
      <c r="I669" s="750"/>
      <c r="J669" s="750"/>
    </row>
    <row r="670" spans="1:10" x14ac:dyDescent="0.35">
      <c r="A670" s="92"/>
      <c r="F670" s="726"/>
      <c r="G670" s="735"/>
      <c r="H670" s="93"/>
      <c r="I670" s="750"/>
      <c r="J670" s="750"/>
    </row>
    <row r="671" spans="1:10" x14ac:dyDescent="0.35">
      <c r="A671" s="92"/>
      <c r="F671" s="726"/>
      <c r="G671" s="735"/>
      <c r="H671" s="93"/>
      <c r="I671" s="750"/>
      <c r="J671" s="750"/>
    </row>
    <row r="672" spans="1:10" x14ac:dyDescent="0.35">
      <c r="A672" s="92"/>
      <c r="F672" s="726"/>
      <c r="G672" s="735"/>
      <c r="H672" s="93"/>
      <c r="I672" s="750"/>
      <c r="J672" s="750"/>
    </row>
    <row r="673" spans="1:10" x14ac:dyDescent="0.35">
      <c r="A673" s="92"/>
      <c r="F673" s="726"/>
      <c r="G673" s="735"/>
      <c r="H673" s="93"/>
      <c r="I673" s="750"/>
      <c r="J673" s="750"/>
    </row>
    <row r="674" spans="1:10" x14ac:dyDescent="0.35">
      <c r="A674" s="92"/>
      <c r="F674" s="726"/>
      <c r="G674" s="735"/>
      <c r="H674" s="93"/>
      <c r="I674" s="750"/>
      <c r="J674" s="750"/>
    </row>
    <row r="675" spans="1:10" x14ac:dyDescent="0.35">
      <c r="A675" s="92"/>
      <c r="F675" s="726"/>
      <c r="G675" s="735"/>
      <c r="H675" s="93"/>
      <c r="I675" s="750"/>
      <c r="J675" s="750"/>
    </row>
    <row r="676" spans="1:10" x14ac:dyDescent="0.35">
      <c r="A676" s="92"/>
      <c r="F676" s="726"/>
      <c r="G676" s="735"/>
      <c r="H676" s="93"/>
      <c r="I676" s="750"/>
      <c r="J676" s="750"/>
    </row>
    <row r="677" spans="1:10" x14ac:dyDescent="0.35">
      <c r="A677" s="92"/>
      <c r="F677" s="726"/>
      <c r="G677" s="735"/>
      <c r="H677" s="93"/>
      <c r="I677" s="750"/>
      <c r="J677" s="750"/>
    </row>
    <row r="678" spans="1:10" x14ac:dyDescent="0.35">
      <c r="A678" s="92"/>
      <c r="F678" s="726"/>
      <c r="G678" s="735"/>
      <c r="H678" s="93"/>
      <c r="I678" s="750"/>
      <c r="J678" s="750"/>
    </row>
    <row r="679" spans="1:10" x14ac:dyDescent="0.35">
      <c r="A679" s="92"/>
      <c r="F679" s="726"/>
      <c r="G679" s="735"/>
      <c r="H679" s="93"/>
      <c r="I679" s="750"/>
      <c r="J679" s="750"/>
    </row>
    <row r="680" spans="1:10" x14ac:dyDescent="0.35">
      <c r="A680" s="92"/>
      <c r="F680" s="726"/>
      <c r="G680" s="735"/>
      <c r="H680" s="93"/>
      <c r="I680" s="750"/>
      <c r="J680" s="750"/>
    </row>
    <row r="681" spans="1:10" x14ac:dyDescent="0.35">
      <c r="A681" s="92"/>
      <c r="F681" s="726"/>
      <c r="G681" s="735"/>
      <c r="H681" s="93"/>
      <c r="I681" s="750"/>
      <c r="J681" s="750"/>
    </row>
    <row r="682" spans="1:10" x14ac:dyDescent="0.35">
      <c r="A682" s="92"/>
      <c r="F682" s="726"/>
      <c r="G682" s="735"/>
      <c r="H682" s="93"/>
      <c r="I682" s="750"/>
      <c r="J682" s="750"/>
    </row>
    <row r="683" spans="1:10" x14ac:dyDescent="0.35">
      <c r="A683" s="92"/>
      <c r="F683" s="726"/>
      <c r="G683" s="735"/>
      <c r="H683" s="93"/>
      <c r="I683" s="750"/>
      <c r="J683" s="750"/>
    </row>
    <row r="684" spans="1:10" x14ac:dyDescent="0.35">
      <c r="A684" s="92"/>
      <c r="F684" s="726"/>
      <c r="G684" s="735"/>
      <c r="H684" s="93"/>
      <c r="I684" s="750"/>
      <c r="J684" s="750"/>
    </row>
    <row r="685" spans="1:10" x14ac:dyDescent="0.35">
      <c r="A685" s="92"/>
      <c r="F685" s="726"/>
      <c r="G685" s="735"/>
      <c r="H685" s="93"/>
      <c r="I685" s="750"/>
      <c r="J685" s="750"/>
    </row>
    <row r="686" spans="1:10" x14ac:dyDescent="0.35">
      <c r="A686" s="92"/>
      <c r="F686" s="726"/>
      <c r="G686" s="735"/>
      <c r="H686" s="93"/>
      <c r="I686" s="750"/>
      <c r="J686" s="750"/>
    </row>
    <row r="687" spans="1:10" x14ac:dyDescent="0.35">
      <c r="A687" s="92"/>
      <c r="F687" s="726"/>
      <c r="G687" s="735"/>
      <c r="H687" s="93"/>
      <c r="I687" s="750"/>
      <c r="J687" s="750"/>
    </row>
    <row r="688" spans="1:10" x14ac:dyDescent="0.35">
      <c r="A688" s="92"/>
      <c r="F688" s="726"/>
      <c r="G688" s="735"/>
      <c r="H688" s="93"/>
      <c r="I688" s="750"/>
      <c r="J688" s="750"/>
    </row>
    <row r="689" spans="1:10" x14ac:dyDescent="0.35">
      <c r="A689" s="92"/>
      <c r="F689" s="726"/>
      <c r="G689" s="735"/>
      <c r="H689" s="93"/>
      <c r="I689" s="750"/>
      <c r="J689" s="750"/>
    </row>
    <row r="690" spans="1:10" x14ac:dyDescent="0.35">
      <c r="A690" s="92"/>
      <c r="F690" s="726"/>
      <c r="G690" s="735"/>
      <c r="H690" s="93"/>
      <c r="I690" s="750"/>
      <c r="J690" s="750"/>
    </row>
    <row r="691" spans="1:10" x14ac:dyDescent="0.35">
      <c r="A691" s="92"/>
      <c r="F691" s="726"/>
      <c r="G691" s="735"/>
      <c r="H691" s="93"/>
      <c r="I691" s="750"/>
      <c r="J691" s="750"/>
    </row>
    <row r="692" spans="1:10" x14ac:dyDescent="0.35">
      <c r="A692" s="92"/>
      <c r="F692" s="726"/>
      <c r="G692" s="735"/>
      <c r="H692" s="93"/>
      <c r="I692" s="750"/>
      <c r="J692" s="750"/>
    </row>
    <row r="693" spans="1:10" x14ac:dyDescent="0.35">
      <c r="A693" s="92"/>
      <c r="F693" s="726"/>
      <c r="G693" s="735"/>
      <c r="H693" s="93"/>
      <c r="I693" s="750"/>
      <c r="J693" s="750"/>
    </row>
    <row r="694" spans="1:10" x14ac:dyDescent="0.35">
      <c r="A694" s="92"/>
      <c r="F694" s="726"/>
      <c r="G694" s="735"/>
      <c r="H694" s="93"/>
      <c r="I694" s="750"/>
      <c r="J694" s="750"/>
    </row>
    <row r="695" spans="1:10" x14ac:dyDescent="0.35">
      <c r="A695" s="92"/>
      <c r="F695" s="726"/>
      <c r="G695" s="735"/>
      <c r="H695" s="93"/>
      <c r="I695" s="750"/>
      <c r="J695" s="750"/>
    </row>
    <row r="696" spans="1:10" x14ac:dyDescent="0.35">
      <c r="A696" s="92"/>
      <c r="F696" s="726"/>
      <c r="G696" s="735"/>
      <c r="H696" s="93"/>
      <c r="I696" s="750"/>
      <c r="J696" s="750"/>
    </row>
    <row r="697" spans="1:10" x14ac:dyDescent="0.35">
      <c r="A697" s="92"/>
      <c r="F697" s="726"/>
      <c r="G697" s="735"/>
      <c r="H697" s="93"/>
      <c r="I697" s="750"/>
      <c r="J697" s="750"/>
    </row>
    <row r="698" spans="1:10" x14ac:dyDescent="0.35">
      <c r="A698" s="92"/>
      <c r="F698" s="726"/>
      <c r="G698" s="735"/>
      <c r="H698" s="93"/>
      <c r="I698" s="750"/>
      <c r="J698" s="750"/>
    </row>
    <row r="699" spans="1:10" x14ac:dyDescent="0.35">
      <c r="A699" s="92"/>
      <c r="F699" s="726"/>
      <c r="G699" s="735"/>
      <c r="H699" s="93"/>
      <c r="I699" s="750"/>
      <c r="J699" s="750"/>
    </row>
    <row r="700" spans="1:10" x14ac:dyDescent="0.35">
      <c r="A700" s="92"/>
      <c r="F700" s="726"/>
      <c r="G700" s="735"/>
      <c r="H700" s="93"/>
      <c r="I700" s="750"/>
      <c r="J700" s="750"/>
    </row>
    <row r="701" spans="1:10" x14ac:dyDescent="0.35">
      <c r="A701" s="92"/>
      <c r="F701" s="726"/>
      <c r="G701" s="735"/>
      <c r="H701" s="93"/>
      <c r="I701" s="750"/>
      <c r="J701" s="750"/>
    </row>
    <row r="702" spans="1:10" x14ac:dyDescent="0.35">
      <c r="A702" s="92"/>
      <c r="F702" s="726"/>
      <c r="G702" s="735"/>
      <c r="H702" s="93"/>
      <c r="I702" s="750"/>
      <c r="J702" s="750"/>
    </row>
    <row r="703" spans="1:10" x14ac:dyDescent="0.35">
      <c r="A703" s="92"/>
      <c r="F703" s="726"/>
      <c r="G703" s="735"/>
      <c r="H703" s="93"/>
      <c r="I703" s="750"/>
      <c r="J703" s="750"/>
    </row>
    <row r="704" spans="1:10" x14ac:dyDescent="0.35">
      <c r="A704" s="92"/>
      <c r="F704" s="726"/>
      <c r="G704" s="735"/>
      <c r="H704" s="93"/>
      <c r="I704" s="750"/>
      <c r="J704" s="750"/>
    </row>
    <row r="705" spans="1:10" x14ac:dyDescent="0.35">
      <c r="A705" s="92"/>
      <c r="F705" s="726"/>
      <c r="G705" s="735"/>
      <c r="H705" s="93"/>
      <c r="I705" s="750"/>
      <c r="J705" s="750"/>
    </row>
    <row r="706" spans="1:10" x14ac:dyDescent="0.35">
      <c r="A706" s="92"/>
      <c r="F706" s="726"/>
      <c r="G706" s="735"/>
      <c r="H706" s="93"/>
      <c r="I706" s="750"/>
      <c r="J706" s="750"/>
    </row>
    <row r="707" spans="1:10" x14ac:dyDescent="0.35">
      <c r="A707" s="92"/>
      <c r="F707" s="726"/>
      <c r="G707" s="735"/>
      <c r="H707" s="93"/>
      <c r="I707" s="750"/>
      <c r="J707" s="750"/>
    </row>
    <row r="708" spans="1:10" x14ac:dyDescent="0.35">
      <c r="A708" s="92"/>
      <c r="F708" s="726"/>
      <c r="G708" s="735"/>
      <c r="H708" s="93"/>
      <c r="I708" s="750"/>
      <c r="J708" s="750"/>
    </row>
    <row r="709" spans="1:10" x14ac:dyDescent="0.35">
      <c r="A709" s="92"/>
      <c r="F709" s="726"/>
      <c r="G709" s="735"/>
      <c r="H709" s="93"/>
      <c r="I709" s="750"/>
      <c r="J709" s="750"/>
    </row>
    <row r="710" spans="1:10" x14ac:dyDescent="0.35">
      <c r="A710" s="92"/>
      <c r="F710" s="726"/>
      <c r="G710" s="735"/>
      <c r="H710" s="93"/>
      <c r="I710" s="750"/>
      <c r="J710" s="750"/>
    </row>
    <row r="711" spans="1:10" x14ac:dyDescent="0.35">
      <c r="A711" s="92"/>
      <c r="F711" s="726"/>
      <c r="G711" s="735"/>
      <c r="H711" s="93"/>
      <c r="I711" s="750"/>
      <c r="J711" s="750"/>
    </row>
    <row r="712" spans="1:10" x14ac:dyDescent="0.35">
      <c r="A712" s="92"/>
      <c r="F712" s="726"/>
      <c r="G712" s="735"/>
      <c r="H712" s="93"/>
      <c r="I712" s="750"/>
      <c r="J712" s="750"/>
    </row>
    <row r="713" spans="1:10" x14ac:dyDescent="0.35">
      <c r="A713" s="92"/>
      <c r="F713" s="726"/>
      <c r="G713" s="735"/>
      <c r="H713" s="93"/>
      <c r="I713" s="750"/>
      <c r="J713" s="750"/>
    </row>
    <row r="714" spans="1:10" x14ac:dyDescent="0.35">
      <c r="A714" s="92"/>
      <c r="F714" s="726"/>
      <c r="G714" s="735"/>
      <c r="H714" s="93"/>
      <c r="I714" s="750"/>
      <c r="J714" s="750"/>
    </row>
    <row r="715" spans="1:10" x14ac:dyDescent="0.35">
      <c r="A715" s="92"/>
      <c r="F715" s="726"/>
      <c r="G715" s="735"/>
      <c r="H715" s="93"/>
      <c r="I715" s="750"/>
      <c r="J715" s="750"/>
    </row>
    <row r="716" spans="1:10" x14ac:dyDescent="0.35">
      <c r="A716" s="92"/>
      <c r="F716" s="726"/>
      <c r="G716" s="735"/>
      <c r="H716" s="93"/>
      <c r="I716" s="750"/>
      <c r="J716" s="750"/>
    </row>
    <row r="717" spans="1:10" x14ac:dyDescent="0.35">
      <c r="A717" s="92"/>
      <c r="F717" s="726"/>
      <c r="G717" s="735"/>
      <c r="H717" s="93"/>
      <c r="I717" s="750"/>
      <c r="J717" s="750"/>
    </row>
    <row r="718" spans="1:10" x14ac:dyDescent="0.35">
      <c r="A718" s="92"/>
      <c r="F718" s="726"/>
      <c r="G718" s="735"/>
      <c r="H718" s="93"/>
      <c r="I718" s="750"/>
      <c r="J718" s="750"/>
    </row>
    <row r="719" spans="1:10" x14ac:dyDescent="0.35">
      <c r="A719" s="92"/>
      <c r="F719" s="726"/>
      <c r="G719" s="735"/>
      <c r="H719" s="93"/>
      <c r="I719" s="750"/>
      <c r="J719" s="750"/>
    </row>
    <row r="720" spans="1:10" x14ac:dyDescent="0.35">
      <c r="A720" s="92"/>
      <c r="F720" s="726"/>
      <c r="G720" s="735"/>
      <c r="H720" s="93"/>
      <c r="I720" s="750"/>
      <c r="J720" s="750"/>
    </row>
    <row r="721" spans="1:10" x14ac:dyDescent="0.35">
      <c r="A721" s="92"/>
      <c r="F721" s="726"/>
      <c r="G721" s="735"/>
      <c r="H721" s="93"/>
      <c r="I721" s="750"/>
      <c r="J721" s="750"/>
    </row>
    <row r="722" spans="1:10" x14ac:dyDescent="0.35">
      <c r="A722" s="92"/>
      <c r="F722" s="726"/>
      <c r="G722" s="735"/>
      <c r="H722" s="93"/>
      <c r="I722" s="750"/>
      <c r="J722" s="750"/>
    </row>
    <row r="723" spans="1:10" x14ac:dyDescent="0.35">
      <c r="A723" s="92"/>
      <c r="F723" s="726"/>
      <c r="G723" s="735"/>
      <c r="H723" s="93"/>
      <c r="I723" s="750"/>
      <c r="J723" s="750"/>
    </row>
    <row r="724" spans="1:10" x14ac:dyDescent="0.35">
      <c r="A724" s="92"/>
      <c r="F724" s="726"/>
      <c r="G724" s="735"/>
      <c r="H724" s="93"/>
      <c r="I724" s="750"/>
      <c r="J724" s="750"/>
    </row>
    <row r="725" spans="1:10" x14ac:dyDescent="0.35">
      <c r="A725" s="92"/>
      <c r="F725" s="726"/>
      <c r="G725" s="735"/>
      <c r="H725" s="93"/>
      <c r="I725" s="750"/>
      <c r="J725" s="750"/>
    </row>
    <row r="726" spans="1:10" x14ac:dyDescent="0.35">
      <c r="A726" s="92"/>
      <c r="F726" s="726"/>
      <c r="G726" s="735"/>
      <c r="H726" s="93"/>
      <c r="I726" s="750"/>
      <c r="J726" s="750"/>
    </row>
    <row r="727" spans="1:10" x14ac:dyDescent="0.35">
      <c r="A727" s="92"/>
      <c r="F727" s="726"/>
      <c r="G727" s="735"/>
      <c r="H727" s="93"/>
      <c r="I727" s="750"/>
      <c r="J727" s="750"/>
    </row>
    <row r="728" spans="1:10" x14ac:dyDescent="0.35">
      <c r="A728" s="92"/>
      <c r="F728" s="726"/>
      <c r="G728" s="735"/>
      <c r="H728" s="93"/>
      <c r="I728" s="750"/>
      <c r="J728" s="750"/>
    </row>
    <row r="729" spans="1:10" x14ac:dyDescent="0.35">
      <c r="A729" s="92"/>
      <c r="F729" s="726"/>
      <c r="G729" s="735"/>
      <c r="H729" s="93"/>
      <c r="I729" s="750"/>
      <c r="J729" s="750"/>
    </row>
    <row r="730" spans="1:10" x14ac:dyDescent="0.35">
      <c r="A730" s="92"/>
      <c r="F730" s="726"/>
      <c r="G730" s="735"/>
      <c r="H730" s="93"/>
      <c r="I730" s="750"/>
      <c r="J730" s="750"/>
    </row>
    <row r="731" spans="1:10" x14ac:dyDescent="0.35">
      <c r="A731" s="92"/>
      <c r="F731" s="726"/>
      <c r="G731" s="735"/>
      <c r="H731" s="93"/>
      <c r="I731" s="750"/>
      <c r="J731" s="750"/>
    </row>
    <row r="732" spans="1:10" x14ac:dyDescent="0.35">
      <c r="A732" s="92"/>
      <c r="F732" s="726"/>
      <c r="G732" s="735"/>
      <c r="H732" s="93"/>
      <c r="I732" s="750"/>
      <c r="J732" s="750"/>
    </row>
    <row r="733" spans="1:10" x14ac:dyDescent="0.35">
      <c r="A733" s="92"/>
      <c r="F733" s="726"/>
      <c r="G733" s="735"/>
      <c r="H733" s="93"/>
      <c r="I733" s="750"/>
      <c r="J733" s="750"/>
    </row>
    <row r="734" spans="1:10" x14ac:dyDescent="0.35">
      <c r="A734" s="92"/>
      <c r="F734" s="726"/>
      <c r="G734" s="735"/>
      <c r="H734" s="93"/>
      <c r="I734" s="750"/>
      <c r="J734" s="750"/>
    </row>
    <row r="735" spans="1:10" x14ac:dyDescent="0.35">
      <c r="A735" s="92"/>
      <c r="F735" s="726"/>
      <c r="G735" s="735"/>
      <c r="H735" s="93"/>
      <c r="I735" s="750"/>
      <c r="J735" s="750"/>
    </row>
    <row r="736" spans="1:10" x14ac:dyDescent="0.35">
      <c r="A736" s="92"/>
      <c r="F736" s="726"/>
      <c r="G736" s="735"/>
      <c r="H736" s="93"/>
      <c r="I736" s="750"/>
      <c r="J736" s="750"/>
    </row>
    <row r="737" spans="1:10" x14ac:dyDescent="0.35">
      <c r="A737" s="92"/>
      <c r="F737" s="726"/>
      <c r="G737" s="735"/>
      <c r="H737" s="93"/>
      <c r="I737" s="750"/>
      <c r="J737" s="750"/>
    </row>
    <row r="738" spans="1:10" x14ac:dyDescent="0.35">
      <c r="A738" s="92"/>
      <c r="F738" s="726"/>
      <c r="G738" s="735"/>
      <c r="H738" s="93"/>
      <c r="I738" s="750"/>
      <c r="J738" s="750"/>
    </row>
    <row r="739" spans="1:10" x14ac:dyDescent="0.35">
      <c r="A739" s="92"/>
      <c r="F739" s="726"/>
      <c r="G739" s="735"/>
      <c r="H739" s="93"/>
      <c r="I739" s="750"/>
      <c r="J739" s="750"/>
    </row>
    <row r="740" spans="1:10" x14ac:dyDescent="0.35">
      <c r="A740" s="92"/>
      <c r="F740" s="726"/>
      <c r="G740" s="735"/>
      <c r="H740" s="93"/>
      <c r="I740" s="750"/>
      <c r="J740" s="750"/>
    </row>
    <row r="741" spans="1:10" x14ac:dyDescent="0.35">
      <c r="A741" s="92"/>
      <c r="F741" s="726"/>
      <c r="G741" s="735"/>
      <c r="H741" s="93"/>
      <c r="I741" s="750"/>
      <c r="J741" s="750"/>
    </row>
    <row r="742" spans="1:10" x14ac:dyDescent="0.35">
      <c r="A742" s="92"/>
      <c r="F742" s="726"/>
      <c r="G742" s="735"/>
      <c r="H742" s="93"/>
      <c r="I742" s="750"/>
      <c r="J742" s="750"/>
    </row>
    <row r="743" spans="1:10" x14ac:dyDescent="0.35">
      <c r="A743" s="92"/>
      <c r="F743" s="726"/>
      <c r="G743" s="735"/>
      <c r="H743" s="93"/>
      <c r="I743" s="750"/>
      <c r="J743" s="750"/>
    </row>
    <row r="744" spans="1:10" x14ac:dyDescent="0.35">
      <c r="A744" s="92"/>
      <c r="F744" s="726"/>
      <c r="G744" s="735"/>
      <c r="H744" s="93"/>
      <c r="I744" s="750"/>
      <c r="J744" s="750"/>
    </row>
    <row r="745" spans="1:10" x14ac:dyDescent="0.35">
      <c r="A745" s="92"/>
      <c r="F745" s="726"/>
      <c r="G745" s="735"/>
      <c r="H745" s="93"/>
      <c r="I745" s="750"/>
      <c r="J745" s="750"/>
    </row>
    <row r="746" spans="1:10" x14ac:dyDescent="0.35">
      <c r="A746" s="92"/>
      <c r="F746" s="726"/>
      <c r="G746" s="735"/>
      <c r="H746" s="93"/>
      <c r="I746" s="750"/>
      <c r="J746" s="750"/>
    </row>
    <row r="747" spans="1:10" x14ac:dyDescent="0.35">
      <c r="A747" s="92"/>
      <c r="F747" s="726"/>
      <c r="G747" s="735"/>
      <c r="H747" s="93"/>
      <c r="I747" s="750"/>
      <c r="J747" s="750"/>
    </row>
    <row r="748" spans="1:10" x14ac:dyDescent="0.35">
      <c r="A748" s="92"/>
      <c r="F748" s="726"/>
      <c r="G748" s="735"/>
      <c r="H748" s="93"/>
      <c r="I748" s="750"/>
      <c r="J748" s="750"/>
    </row>
    <row r="749" spans="1:10" x14ac:dyDescent="0.35">
      <c r="A749" s="92"/>
      <c r="F749" s="726"/>
      <c r="G749" s="735"/>
      <c r="H749" s="93"/>
      <c r="I749" s="750"/>
      <c r="J749" s="750"/>
    </row>
    <row r="750" spans="1:10" x14ac:dyDescent="0.35">
      <c r="A750" s="92"/>
      <c r="F750" s="726"/>
      <c r="G750" s="735"/>
      <c r="H750" s="93"/>
      <c r="I750" s="750"/>
      <c r="J750" s="750"/>
    </row>
    <row r="751" spans="1:10" x14ac:dyDescent="0.35">
      <c r="A751" s="92"/>
      <c r="F751" s="726"/>
      <c r="G751" s="735"/>
      <c r="H751" s="93"/>
      <c r="I751" s="750"/>
      <c r="J751" s="750"/>
    </row>
    <row r="752" spans="1:10" x14ac:dyDescent="0.35">
      <c r="A752" s="92"/>
      <c r="F752" s="726"/>
      <c r="G752" s="735"/>
      <c r="H752" s="93"/>
      <c r="I752" s="750"/>
      <c r="J752" s="750"/>
    </row>
    <row r="753" spans="1:10" x14ac:dyDescent="0.35">
      <c r="A753" s="92"/>
      <c r="F753" s="726"/>
      <c r="G753" s="735"/>
      <c r="H753" s="93"/>
      <c r="I753" s="750"/>
      <c r="J753" s="750"/>
    </row>
    <row r="754" spans="1:10" x14ac:dyDescent="0.35">
      <c r="A754" s="92"/>
      <c r="F754" s="726"/>
      <c r="G754" s="735"/>
      <c r="H754" s="93"/>
      <c r="I754" s="750"/>
      <c r="J754" s="750"/>
    </row>
    <row r="755" spans="1:10" x14ac:dyDescent="0.35">
      <c r="A755" s="92"/>
      <c r="F755" s="726"/>
      <c r="G755" s="735"/>
      <c r="H755" s="93"/>
      <c r="I755" s="750"/>
      <c r="J755" s="750"/>
    </row>
    <row r="756" spans="1:10" x14ac:dyDescent="0.35">
      <c r="A756" s="92"/>
      <c r="F756" s="726"/>
      <c r="G756" s="735"/>
      <c r="H756" s="93"/>
      <c r="I756" s="750"/>
      <c r="J756" s="750"/>
    </row>
    <row r="757" spans="1:10" x14ac:dyDescent="0.35">
      <c r="A757" s="92"/>
      <c r="F757" s="726"/>
      <c r="G757" s="735"/>
      <c r="H757" s="93"/>
      <c r="I757" s="750"/>
      <c r="J757" s="750"/>
    </row>
    <row r="758" spans="1:10" x14ac:dyDescent="0.35">
      <c r="A758" s="92"/>
      <c r="F758" s="726"/>
      <c r="G758" s="735"/>
      <c r="H758" s="93"/>
      <c r="I758" s="750"/>
      <c r="J758" s="750"/>
    </row>
    <row r="759" spans="1:10" x14ac:dyDescent="0.35">
      <c r="A759" s="92"/>
      <c r="F759" s="726"/>
      <c r="G759" s="735"/>
      <c r="H759" s="93"/>
      <c r="I759" s="750"/>
      <c r="J759" s="750"/>
    </row>
    <row r="760" spans="1:10" x14ac:dyDescent="0.35">
      <c r="A760" s="92"/>
      <c r="F760" s="726"/>
      <c r="G760" s="735"/>
      <c r="H760" s="93"/>
      <c r="I760" s="750"/>
      <c r="J760" s="750"/>
    </row>
    <row r="761" spans="1:10" x14ac:dyDescent="0.35">
      <c r="A761" s="92"/>
      <c r="F761" s="726"/>
      <c r="G761" s="735"/>
      <c r="H761" s="93"/>
      <c r="I761" s="750"/>
      <c r="J761" s="750"/>
    </row>
    <row r="762" spans="1:10" x14ac:dyDescent="0.35">
      <c r="A762" s="92"/>
      <c r="F762" s="726"/>
      <c r="G762" s="735"/>
      <c r="H762" s="93"/>
      <c r="I762" s="750"/>
      <c r="J762" s="750"/>
    </row>
    <row r="763" spans="1:10" x14ac:dyDescent="0.35">
      <c r="A763" s="92"/>
      <c r="F763" s="726"/>
      <c r="G763" s="735"/>
      <c r="H763" s="93"/>
      <c r="I763" s="750"/>
      <c r="J763" s="750"/>
    </row>
    <row r="764" spans="1:10" x14ac:dyDescent="0.35">
      <c r="A764" s="92"/>
      <c r="F764" s="726"/>
      <c r="G764" s="735"/>
      <c r="H764" s="93"/>
      <c r="I764" s="750"/>
      <c r="J764" s="750"/>
    </row>
    <row r="765" spans="1:10" x14ac:dyDescent="0.35">
      <c r="A765" s="92"/>
      <c r="F765" s="726"/>
      <c r="G765" s="735"/>
      <c r="H765" s="93"/>
      <c r="I765" s="750"/>
      <c r="J765" s="750"/>
    </row>
    <row r="766" spans="1:10" x14ac:dyDescent="0.35">
      <c r="A766" s="92"/>
      <c r="F766" s="726"/>
      <c r="G766" s="735"/>
      <c r="H766" s="93"/>
      <c r="I766" s="750"/>
      <c r="J766" s="750"/>
    </row>
    <row r="767" spans="1:10" x14ac:dyDescent="0.35">
      <c r="A767" s="92"/>
      <c r="F767" s="726"/>
      <c r="G767" s="735"/>
      <c r="H767" s="93"/>
      <c r="I767" s="750"/>
      <c r="J767" s="750"/>
    </row>
    <row r="768" spans="1:10" x14ac:dyDescent="0.35">
      <c r="A768" s="92"/>
      <c r="F768" s="726"/>
      <c r="G768" s="735"/>
      <c r="H768" s="93"/>
      <c r="I768" s="750"/>
      <c r="J768" s="750"/>
    </row>
    <row r="769" spans="1:10" x14ac:dyDescent="0.35">
      <c r="A769" s="92"/>
      <c r="F769" s="726"/>
      <c r="G769" s="735"/>
      <c r="H769" s="93"/>
      <c r="I769" s="750"/>
      <c r="J769" s="750"/>
    </row>
    <row r="770" spans="1:10" x14ac:dyDescent="0.35">
      <c r="A770" s="92"/>
      <c r="F770" s="726"/>
      <c r="G770" s="735"/>
      <c r="H770" s="93"/>
      <c r="I770" s="750"/>
      <c r="J770" s="750"/>
    </row>
    <row r="771" spans="1:10" x14ac:dyDescent="0.35">
      <c r="A771" s="92"/>
      <c r="F771" s="726"/>
      <c r="G771" s="735"/>
      <c r="H771" s="93"/>
      <c r="I771" s="750"/>
      <c r="J771" s="750"/>
    </row>
    <row r="772" spans="1:10" x14ac:dyDescent="0.35">
      <c r="A772" s="92"/>
      <c r="F772" s="726"/>
      <c r="G772" s="735"/>
      <c r="H772" s="93"/>
      <c r="I772" s="750"/>
      <c r="J772" s="750"/>
    </row>
    <row r="773" spans="1:10" x14ac:dyDescent="0.35">
      <c r="A773" s="92"/>
      <c r="F773" s="726"/>
      <c r="G773" s="735"/>
      <c r="H773" s="93"/>
      <c r="I773" s="750"/>
      <c r="J773" s="750"/>
    </row>
    <row r="774" spans="1:10" x14ac:dyDescent="0.35">
      <c r="A774" s="92"/>
      <c r="F774" s="726"/>
      <c r="G774" s="735"/>
      <c r="H774" s="93"/>
      <c r="I774" s="750"/>
      <c r="J774" s="750"/>
    </row>
    <row r="775" spans="1:10" x14ac:dyDescent="0.35">
      <c r="A775" s="92"/>
      <c r="F775" s="726"/>
      <c r="G775" s="735"/>
      <c r="H775" s="93"/>
      <c r="I775" s="750"/>
      <c r="J775" s="750"/>
    </row>
    <row r="776" spans="1:10" x14ac:dyDescent="0.35">
      <c r="A776" s="92"/>
      <c r="F776" s="726"/>
      <c r="G776" s="735"/>
      <c r="H776" s="93"/>
      <c r="I776" s="750"/>
      <c r="J776" s="750"/>
    </row>
    <row r="777" spans="1:10" x14ac:dyDescent="0.35">
      <c r="A777" s="92"/>
      <c r="F777" s="726"/>
      <c r="G777" s="735"/>
      <c r="H777" s="93"/>
      <c r="I777" s="750"/>
      <c r="J777" s="750"/>
    </row>
    <row r="778" spans="1:10" x14ac:dyDescent="0.35">
      <c r="A778" s="92"/>
      <c r="F778" s="726"/>
      <c r="G778" s="735"/>
      <c r="H778" s="93"/>
      <c r="I778" s="750"/>
      <c r="J778" s="750"/>
    </row>
    <row r="779" spans="1:10" x14ac:dyDescent="0.35">
      <c r="A779" s="92"/>
      <c r="F779" s="726"/>
      <c r="G779" s="735"/>
      <c r="H779" s="93"/>
      <c r="I779" s="750"/>
      <c r="J779" s="750"/>
    </row>
    <row r="780" spans="1:10" x14ac:dyDescent="0.35">
      <c r="A780" s="92"/>
      <c r="F780" s="726"/>
      <c r="G780" s="735"/>
      <c r="H780" s="93"/>
      <c r="I780" s="750"/>
      <c r="J780" s="750"/>
    </row>
    <row r="781" spans="1:10" x14ac:dyDescent="0.35">
      <c r="A781" s="92"/>
      <c r="F781" s="726"/>
      <c r="G781" s="735"/>
      <c r="H781" s="93"/>
      <c r="I781" s="750"/>
      <c r="J781" s="750"/>
    </row>
    <row r="782" spans="1:10" x14ac:dyDescent="0.35">
      <c r="A782" s="92"/>
      <c r="F782" s="726"/>
      <c r="G782" s="735"/>
      <c r="H782" s="93"/>
      <c r="I782" s="750"/>
      <c r="J782" s="750"/>
    </row>
    <row r="783" spans="1:10" x14ac:dyDescent="0.35">
      <c r="A783" s="92"/>
      <c r="F783" s="726"/>
      <c r="G783" s="735"/>
      <c r="H783" s="93"/>
      <c r="I783" s="750"/>
      <c r="J783" s="750"/>
    </row>
    <row r="784" spans="1:10" x14ac:dyDescent="0.35">
      <c r="A784" s="92"/>
      <c r="F784" s="726"/>
      <c r="G784" s="735"/>
      <c r="H784" s="93"/>
      <c r="I784" s="750"/>
      <c r="J784" s="750"/>
    </row>
    <row r="785" spans="1:10" x14ac:dyDescent="0.35">
      <c r="A785" s="92"/>
      <c r="F785" s="726"/>
      <c r="G785" s="735"/>
      <c r="H785" s="93"/>
      <c r="I785" s="750"/>
      <c r="J785" s="750"/>
    </row>
    <row r="786" spans="1:10" x14ac:dyDescent="0.35">
      <c r="A786" s="92"/>
      <c r="F786" s="726"/>
      <c r="G786" s="735"/>
      <c r="H786" s="93"/>
      <c r="I786" s="750"/>
      <c r="J786" s="750"/>
    </row>
    <row r="787" spans="1:10" x14ac:dyDescent="0.35">
      <c r="A787" s="92"/>
      <c r="F787" s="726"/>
      <c r="G787" s="735"/>
      <c r="H787" s="93"/>
      <c r="I787" s="750"/>
      <c r="J787" s="750"/>
    </row>
    <row r="788" spans="1:10" x14ac:dyDescent="0.35">
      <c r="A788" s="92"/>
      <c r="F788" s="726"/>
      <c r="G788" s="735"/>
      <c r="H788" s="93"/>
      <c r="I788" s="750"/>
      <c r="J788" s="750"/>
    </row>
    <row r="789" spans="1:10" x14ac:dyDescent="0.35">
      <c r="A789" s="92"/>
      <c r="F789" s="726"/>
      <c r="G789" s="735"/>
      <c r="H789" s="93"/>
      <c r="I789" s="750"/>
      <c r="J789" s="750"/>
    </row>
    <row r="790" spans="1:10" x14ac:dyDescent="0.35">
      <c r="A790" s="92"/>
      <c r="F790" s="726"/>
      <c r="G790" s="735"/>
      <c r="H790" s="93"/>
      <c r="I790" s="750"/>
      <c r="J790" s="750"/>
    </row>
    <row r="791" spans="1:10" x14ac:dyDescent="0.35">
      <c r="A791" s="92"/>
      <c r="F791" s="726"/>
      <c r="G791" s="735"/>
      <c r="H791" s="93"/>
      <c r="I791" s="750"/>
      <c r="J791" s="750"/>
    </row>
    <row r="792" spans="1:10" x14ac:dyDescent="0.35">
      <c r="A792" s="92"/>
      <c r="F792" s="726"/>
      <c r="G792" s="735"/>
      <c r="H792" s="93"/>
      <c r="I792" s="750"/>
      <c r="J792" s="750"/>
    </row>
    <row r="793" spans="1:10" x14ac:dyDescent="0.35">
      <c r="A793" s="92"/>
      <c r="F793" s="726"/>
      <c r="G793" s="735"/>
      <c r="H793" s="93"/>
      <c r="I793" s="750"/>
      <c r="J793" s="750"/>
    </row>
    <row r="794" spans="1:10" x14ac:dyDescent="0.35">
      <c r="A794" s="92"/>
      <c r="F794" s="726"/>
      <c r="G794" s="735"/>
      <c r="H794" s="93"/>
      <c r="I794" s="750"/>
      <c r="J794" s="750"/>
    </row>
    <row r="795" spans="1:10" x14ac:dyDescent="0.35">
      <c r="A795" s="92"/>
      <c r="F795" s="726"/>
      <c r="G795" s="735"/>
      <c r="H795" s="93"/>
      <c r="I795" s="750"/>
      <c r="J795" s="750"/>
    </row>
    <row r="796" spans="1:10" x14ac:dyDescent="0.35">
      <c r="A796" s="92"/>
      <c r="F796" s="726"/>
      <c r="G796" s="735"/>
      <c r="H796" s="93"/>
      <c r="I796" s="750"/>
      <c r="J796" s="750"/>
    </row>
    <row r="797" spans="1:10" x14ac:dyDescent="0.35">
      <c r="A797" s="92"/>
      <c r="F797" s="726"/>
      <c r="G797" s="735"/>
      <c r="H797" s="93"/>
      <c r="I797" s="750"/>
      <c r="J797" s="750"/>
    </row>
    <row r="798" spans="1:10" x14ac:dyDescent="0.35">
      <c r="A798" s="92"/>
      <c r="F798" s="726"/>
      <c r="G798" s="735"/>
      <c r="H798" s="93"/>
      <c r="I798" s="750"/>
      <c r="J798" s="750"/>
    </row>
    <row r="799" spans="1:10" x14ac:dyDescent="0.35">
      <c r="A799" s="92"/>
      <c r="F799" s="726"/>
      <c r="G799" s="735"/>
      <c r="H799" s="93"/>
      <c r="I799" s="750"/>
      <c r="J799" s="750"/>
    </row>
    <row r="800" spans="1:10" x14ac:dyDescent="0.35">
      <c r="A800" s="92"/>
      <c r="F800" s="726"/>
      <c r="G800" s="735"/>
      <c r="H800" s="93"/>
      <c r="I800" s="750"/>
      <c r="J800" s="750"/>
    </row>
    <row r="801" spans="1:10" x14ac:dyDescent="0.35">
      <c r="A801" s="92"/>
      <c r="F801" s="726"/>
      <c r="G801" s="735"/>
      <c r="H801" s="93"/>
      <c r="I801" s="750"/>
      <c r="J801" s="750"/>
    </row>
    <row r="802" spans="1:10" x14ac:dyDescent="0.35">
      <c r="A802" s="92"/>
      <c r="F802" s="726"/>
      <c r="G802" s="735"/>
      <c r="H802" s="93"/>
      <c r="I802" s="750"/>
      <c r="J802" s="750"/>
    </row>
    <row r="803" spans="1:10" x14ac:dyDescent="0.35">
      <c r="A803" s="92"/>
      <c r="F803" s="726"/>
      <c r="G803" s="735"/>
      <c r="H803" s="93"/>
      <c r="I803" s="750"/>
      <c r="J803" s="750"/>
    </row>
    <row r="804" spans="1:10" x14ac:dyDescent="0.35">
      <c r="A804" s="92"/>
      <c r="F804" s="726"/>
      <c r="G804" s="735"/>
      <c r="H804" s="93"/>
      <c r="I804" s="750"/>
      <c r="J804" s="750"/>
    </row>
    <row r="805" spans="1:10" x14ac:dyDescent="0.35">
      <c r="A805" s="92"/>
      <c r="F805" s="726"/>
      <c r="G805" s="735"/>
      <c r="H805" s="93"/>
      <c r="I805" s="750"/>
      <c r="J805" s="750"/>
    </row>
    <row r="806" spans="1:10" x14ac:dyDescent="0.35">
      <c r="A806" s="92"/>
      <c r="F806" s="726"/>
      <c r="G806" s="735"/>
      <c r="H806" s="93"/>
      <c r="I806" s="750"/>
      <c r="J806" s="750"/>
    </row>
    <row r="807" spans="1:10" x14ac:dyDescent="0.35">
      <c r="A807" s="92"/>
      <c r="F807" s="726"/>
      <c r="G807" s="735"/>
      <c r="H807" s="93"/>
      <c r="I807" s="750"/>
      <c r="J807" s="750"/>
    </row>
    <row r="808" spans="1:10" x14ac:dyDescent="0.35">
      <c r="A808" s="92"/>
      <c r="F808" s="726"/>
      <c r="G808" s="735"/>
      <c r="H808" s="93"/>
      <c r="I808" s="750"/>
      <c r="J808" s="750"/>
    </row>
    <row r="809" spans="1:10" x14ac:dyDescent="0.35">
      <c r="A809" s="92"/>
      <c r="F809" s="726"/>
      <c r="G809" s="735"/>
      <c r="H809" s="93"/>
      <c r="I809" s="750"/>
      <c r="J809" s="750"/>
    </row>
    <row r="810" spans="1:10" x14ac:dyDescent="0.35">
      <c r="A810" s="92"/>
      <c r="F810" s="726"/>
      <c r="G810" s="735"/>
      <c r="H810" s="93"/>
      <c r="I810" s="750"/>
      <c r="J810" s="750"/>
    </row>
    <row r="811" spans="1:10" x14ac:dyDescent="0.35">
      <c r="A811" s="92"/>
      <c r="F811" s="726"/>
      <c r="G811" s="735"/>
      <c r="H811" s="93"/>
      <c r="I811" s="750"/>
      <c r="J811" s="750"/>
    </row>
    <row r="812" spans="1:10" x14ac:dyDescent="0.35">
      <c r="A812" s="92"/>
      <c r="F812" s="726"/>
      <c r="G812" s="735"/>
      <c r="H812" s="93"/>
      <c r="I812" s="750"/>
      <c r="J812" s="750"/>
    </row>
    <row r="813" spans="1:10" x14ac:dyDescent="0.35">
      <c r="A813" s="92"/>
      <c r="F813" s="726"/>
      <c r="G813" s="735"/>
      <c r="H813" s="93"/>
      <c r="I813" s="750"/>
      <c r="J813" s="750"/>
    </row>
    <row r="814" spans="1:10" x14ac:dyDescent="0.35">
      <c r="A814" s="92"/>
      <c r="F814" s="726"/>
      <c r="G814" s="735"/>
      <c r="H814" s="93"/>
      <c r="I814" s="750"/>
      <c r="J814" s="750"/>
    </row>
    <row r="815" spans="1:10" x14ac:dyDescent="0.35">
      <c r="A815" s="92"/>
      <c r="F815" s="726"/>
      <c r="G815" s="735"/>
      <c r="H815" s="93"/>
      <c r="I815" s="750"/>
      <c r="J815" s="750"/>
    </row>
    <row r="816" spans="1:10" x14ac:dyDescent="0.35">
      <c r="A816" s="92"/>
      <c r="F816" s="726"/>
      <c r="G816" s="735"/>
      <c r="H816" s="93"/>
      <c r="I816" s="750"/>
      <c r="J816" s="750"/>
    </row>
    <row r="817" spans="1:10" x14ac:dyDescent="0.35">
      <c r="A817" s="92"/>
      <c r="F817" s="726"/>
      <c r="G817" s="735"/>
      <c r="H817" s="93"/>
      <c r="I817" s="750"/>
      <c r="J817" s="750"/>
    </row>
    <row r="818" spans="1:10" x14ac:dyDescent="0.35">
      <c r="A818" s="92"/>
      <c r="F818" s="726"/>
      <c r="G818" s="735"/>
      <c r="H818" s="93"/>
      <c r="I818" s="750"/>
      <c r="J818" s="750"/>
    </row>
    <row r="819" spans="1:10" x14ac:dyDescent="0.35">
      <c r="A819" s="92"/>
      <c r="F819" s="726"/>
      <c r="G819" s="735"/>
      <c r="H819" s="93"/>
      <c r="I819" s="750"/>
      <c r="J819" s="750"/>
    </row>
    <row r="820" spans="1:10" x14ac:dyDescent="0.35">
      <c r="A820" s="92"/>
      <c r="F820" s="726"/>
      <c r="G820" s="735"/>
      <c r="H820" s="93"/>
      <c r="I820" s="750"/>
      <c r="J820" s="750"/>
    </row>
    <row r="821" spans="1:10" x14ac:dyDescent="0.35">
      <c r="A821" s="92"/>
      <c r="F821" s="726"/>
      <c r="G821" s="735"/>
      <c r="H821" s="93"/>
      <c r="I821" s="750"/>
      <c r="J821" s="750"/>
    </row>
    <row r="822" spans="1:10" x14ac:dyDescent="0.35">
      <c r="A822" s="92"/>
      <c r="F822" s="726"/>
      <c r="G822" s="735"/>
      <c r="H822" s="93"/>
      <c r="I822" s="750"/>
      <c r="J822" s="750"/>
    </row>
    <row r="823" spans="1:10" x14ac:dyDescent="0.35">
      <c r="A823" s="92"/>
      <c r="F823" s="726"/>
      <c r="G823" s="735"/>
      <c r="H823" s="93"/>
      <c r="I823" s="750"/>
      <c r="J823" s="750"/>
    </row>
    <row r="824" spans="1:10" x14ac:dyDescent="0.35">
      <c r="A824" s="92"/>
      <c r="F824" s="726"/>
      <c r="G824" s="735"/>
      <c r="H824" s="93"/>
      <c r="I824" s="750"/>
      <c r="J824" s="750"/>
    </row>
    <row r="825" spans="1:10" x14ac:dyDescent="0.35">
      <c r="A825" s="92"/>
      <c r="F825" s="726"/>
      <c r="G825" s="735"/>
      <c r="H825" s="93"/>
      <c r="I825" s="750"/>
      <c r="J825" s="750"/>
    </row>
    <row r="826" spans="1:10" x14ac:dyDescent="0.35">
      <c r="A826" s="92"/>
      <c r="F826" s="726"/>
      <c r="G826" s="735"/>
      <c r="H826" s="93"/>
      <c r="I826" s="750"/>
      <c r="J826" s="750"/>
    </row>
    <row r="827" spans="1:10" x14ac:dyDescent="0.35">
      <c r="A827" s="92"/>
      <c r="F827" s="726"/>
      <c r="G827" s="735"/>
      <c r="H827" s="93"/>
      <c r="I827" s="750"/>
      <c r="J827" s="750"/>
    </row>
    <row r="828" spans="1:10" x14ac:dyDescent="0.35">
      <c r="A828" s="92"/>
      <c r="F828" s="726"/>
      <c r="G828" s="735"/>
      <c r="H828" s="93"/>
      <c r="I828" s="750"/>
      <c r="J828" s="750"/>
    </row>
    <row r="829" spans="1:10" x14ac:dyDescent="0.35">
      <c r="A829" s="92"/>
      <c r="F829" s="726"/>
      <c r="G829" s="735"/>
      <c r="H829" s="93"/>
      <c r="I829" s="750"/>
      <c r="J829" s="750"/>
    </row>
    <row r="830" spans="1:10" x14ac:dyDescent="0.35">
      <c r="A830" s="92"/>
      <c r="F830" s="726"/>
      <c r="G830" s="735"/>
      <c r="H830" s="93"/>
      <c r="I830" s="750"/>
      <c r="J830" s="750"/>
    </row>
    <row r="831" spans="1:10" x14ac:dyDescent="0.35">
      <c r="A831" s="92"/>
      <c r="F831" s="726"/>
      <c r="G831" s="735"/>
      <c r="H831" s="93"/>
      <c r="I831" s="750"/>
      <c r="J831" s="750"/>
    </row>
    <row r="832" spans="1:10" x14ac:dyDescent="0.35">
      <c r="A832" s="92"/>
      <c r="F832" s="726"/>
      <c r="G832" s="735"/>
      <c r="H832" s="93"/>
      <c r="I832" s="750"/>
      <c r="J832" s="750"/>
    </row>
    <row r="833" spans="1:10" x14ac:dyDescent="0.35">
      <c r="A833" s="92"/>
      <c r="F833" s="726"/>
      <c r="G833" s="735"/>
      <c r="H833" s="93"/>
      <c r="I833" s="750"/>
      <c r="J833" s="750"/>
    </row>
    <row r="834" spans="1:10" x14ac:dyDescent="0.35">
      <c r="A834" s="92"/>
      <c r="F834" s="726"/>
      <c r="G834" s="735"/>
      <c r="H834" s="93"/>
      <c r="I834" s="750"/>
      <c r="J834" s="750"/>
    </row>
    <row r="835" spans="1:10" x14ac:dyDescent="0.35">
      <c r="A835" s="92"/>
      <c r="F835" s="726"/>
      <c r="G835" s="735"/>
      <c r="H835" s="93"/>
      <c r="I835" s="750"/>
      <c r="J835" s="750"/>
    </row>
    <row r="836" spans="1:10" x14ac:dyDescent="0.35">
      <c r="A836" s="92"/>
      <c r="F836" s="726"/>
      <c r="G836" s="735"/>
      <c r="H836" s="93"/>
      <c r="I836" s="750"/>
      <c r="J836" s="750"/>
    </row>
    <row r="837" spans="1:10" x14ac:dyDescent="0.35">
      <c r="A837" s="92"/>
      <c r="F837" s="726"/>
      <c r="G837" s="735"/>
      <c r="H837" s="93"/>
      <c r="I837" s="750"/>
      <c r="J837" s="750"/>
    </row>
    <row r="838" spans="1:10" x14ac:dyDescent="0.35">
      <c r="A838" s="92"/>
      <c r="F838" s="726"/>
      <c r="G838" s="735"/>
      <c r="H838" s="93"/>
      <c r="I838" s="750"/>
      <c r="J838" s="750"/>
    </row>
    <row r="839" spans="1:10" x14ac:dyDescent="0.35">
      <c r="A839" s="92"/>
      <c r="F839" s="726"/>
      <c r="G839" s="735"/>
      <c r="H839" s="93"/>
      <c r="I839" s="750"/>
      <c r="J839" s="750"/>
    </row>
    <row r="840" spans="1:10" x14ac:dyDescent="0.35">
      <c r="A840" s="92"/>
      <c r="F840" s="726"/>
      <c r="G840" s="735"/>
      <c r="H840" s="93"/>
      <c r="I840" s="750"/>
      <c r="J840" s="750"/>
    </row>
    <row r="841" spans="1:10" x14ac:dyDescent="0.35">
      <c r="A841" s="92"/>
      <c r="F841" s="726"/>
      <c r="G841" s="735"/>
      <c r="H841" s="93"/>
      <c r="I841" s="750"/>
      <c r="J841" s="750"/>
    </row>
    <row r="842" spans="1:10" x14ac:dyDescent="0.35">
      <c r="A842" s="92"/>
      <c r="F842" s="726"/>
      <c r="G842" s="735"/>
      <c r="H842" s="93"/>
      <c r="I842" s="750"/>
      <c r="J842" s="750"/>
    </row>
    <row r="843" spans="1:10" x14ac:dyDescent="0.35">
      <c r="A843" s="92"/>
      <c r="F843" s="726"/>
      <c r="G843" s="735"/>
      <c r="H843" s="93"/>
      <c r="I843" s="750"/>
      <c r="J843" s="750"/>
    </row>
    <row r="844" spans="1:10" x14ac:dyDescent="0.35">
      <c r="A844" s="92"/>
      <c r="F844" s="726"/>
      <c r="G844" s="735"/>
      <c r="H844" s="93"/>
      <c r="I844" s="750"/>
      <c r="J844" s="750"/>
    </row>
    <row r="845" spans="1:10" x14ac:dyDescent="0.35">
      <c r="A845" s="92"/>
      <c r="F845" s="726"/>
      <c r="G845" s="735"/>
      <c r="H845" s="93"/>
      <c r="I845" s="750"/>
      <c r="J845" s="750"/>
    </row>
    <row r="846" spans="1:10" x14ac:dyDescent="0.35">
      <c r="A846" s="92"/>
      <c r="F846" s="726"/>
      <c r="G846" s="735"/>
      <c r="H846" s="93"/>
      <c r="I846" s="750"/>
      <c r="J846" s="750"/>
    </row>
    <row r="847" spans="1:10" x14ac:dyDescent="0.35">
      <c r="A847" s="92"/>
      <c r="F847" s="726"/>
      <c r="G847" s="735"/>
      <c r="H847" s="93"/>
      <c r="I847" s="750"/>
      <c r="J847" s="750"/>
    </row>
    <row r="848" spans="1:10" x14ac:dyDescent="0.35">
      <c r="A848" s="92"/>
      <c r="F848" s="726"/>
      <c r="G848" s="735"/>
      <c r="H848" s="93"/>
      <c r="I848" s="750"/>
      <c r="J848" s="750"/>
    </row>
    <row r="849" spans="1:10" x14ac:dyDescent="0.35">
      <c r="A849" s="92"/>
      <c r="F849" s="726"/>
      <c r="G849" s="735"/>
      <c r="H849" s="93"/>
      <c r="I849" s="750"/>
      <c r="J849" s="750"/>
    </row>
    <row r="850" spans="1:10" x14ac:dyDescent="0.35">
      <c r="A850" s="92"/>
      <c r="F850" s="726"/>
      <c r="G850" s="735"/>
      <c r="H850" s="93"/>
      <c r="I850" s="750"/>
      <c r="J850" s="750"/>
    </row>
    <row r="851" spans="1:10" x14ac:dyDescent="0.35">
      <c r="A851" s="92"/>
      <c r="F851" s="726"/>
      <c r="G851" s="735"/>
      <c r="H851" s="93"/>
      <c r="I851" s="750"/>
      <c r="J851" s="750"/>
    </row>
    <row r="852" spans="1:10" x14ac:dyDescent="0.35">
      <c r="A852" s="92"/>
      <c r="F852" s="726"/>
      <c r="G852" s="735"/>
      <c r="H852" s="93"/>
      <c r="I852" s="750"/>
      <c r="J852" s="750"/>
    </row>
    <row r="853" spans="1:10" x14ac:dyDescent="0.35">
      <c r="A853" s="92"/>
      <c r="F853" s="726"/>
      <c r="G853" s="735"/>
      <c r="H853" s="93"/>
      <c r="I853" s="750"/>
      <c r="J853" s="750"/>
    </row>
    <row r="854" spans="1:10" x14ac:dyDescent="0.35">
      <c r="A854" s="92"/>
      <c r="F854" s="726"/>
      <c r="G854" s="735"/>
      <c r="H854" s="93"/>
      <c r="I854" s="750"/>
      <c r="J854" s="750"/>
    </row>
    <row r="855" spans="1:10" x14ac:dyDescent="0.35">
      <c r="A855" s="92"/>
      <c r="F855" s="726"/>
      <c r="G855" s="735"/>
      <c r="H855" s="93"/>
      <c r="I855" s="750"/>
      <c r="J855" s="750"/>
    </row>
    <row r="856" spans="1:10" x14ac:dyDescent="0.35">
      <c r="A856" s="92"/>
      <c r="F856" s="726"/>
      <c r="G856" s="735"/>
      <c r="H856" s="93"/>
      <c r="I856" s="750"/>
      <c r="J856" s="750"/>
    </row>
    <row r="857" spans="1:10" x14ac:dyDescent="0.35">
      <c r="A857" s="92"/>
      <c r="F857" s="726"/>
      <c r="G857" s="735"/>
      <c r="H857" s="93"/>
      <c r="I857" s="750"/>
      <c r="J857" s="750"/>
    </row>
    <row r="858" spans="1:10" x14ac:dyDescent="0.35">
      <c r="A858" s="92"/>
      <c r="F858" s="726"/>
      <c r="G858" s="735"/>
      <c r="H858" s="93"/>
      <c r="I858" s="750"/>
      <c r="J858" s="750"/>
    </row>
    <row r="859" spans="1:10" x14ac:dyDescent="0.35">
      <c r="A859" s="92"/>
      <c r="F859" s="726"/>
      <c r="G859" s="735"/>
      <c r="H859" s="93"/>
      <c r="I859" s="750"/>
      <c r="J859" s="750"/>
    </row>
    <row r="860" spans="1:10" x14ac:dyDescent="0.35">
      <c r="A860" s="92"/>
      <c r="F860" s="726"/>
      <c r="G860" s="735"/>
      <c r="H860" s="93"/>
      <c r="I860" s="750"/>
      <c r="J860" s="750"/>
    </row>
    <row r="861" spans="1:10" x14ac:dyDescent="0.35">
      <c r="A861" s="92"/>
      <c r="F861" s="726"/>
      <c r="G861" s="735"/>
      <c r="H861" s="93"/>
      <c r="I861" s="750"/>
      <c r="J861" s="750"/>
    </row>
    <row r="862" spans="1:10" x14ac:dyDescent="0.35">
      <c r="A862" s="92"/>
      <c r="F862" s="726"/>
      <c r="G862" s="735"/>
      <c r="H862" s="93"/>
      <c r="I862" s="750"/>
      <c r="J862" s="750"/>
    </row>
    <row r="863" spans="1:10" x14ac:dyDescent="0.35">
      <c r="A863" s="92"/>
      <c r="F863" s="726"/>
      <c r="G863" s="735"/>
      <c r="H863" s="93"/>
      <c r="I863" s="750"/>
      <c r="J863" s="750"/>
    </row>
    <row r="864" spans="1:10" x14ac:dyDescent="0.35">
      <c r="A864" s="92"/>
      <c r="F864" s="726"/>
      <c r="G864" s="735"/>
      <c r="H864" s="93"/>
      <c r="I864" s="750"/>
      <c r="J864" s="750"/>
    </row>
    <row r="865" spans="1:10" x14ac:dyDescent="0.35">
      <c r="A865" s="92"/>
      <c r="F865" s="726"/>
      <c r="G865" s="735"/>
      <c r="H865" s="93"/>
      <c r="I865" s="750"/>
      <c r="J865" s="750"/>
    </row>
    <row r="866" spans="1:10" x14ac:dyDescent="0.35">
      <c r="A866" s="92"/>
      <c r="F866" s="726"/>
      <c r="G866" s="735"/>
      <c r="H866" s="93"/>
      <c r="I866" s="750"/>
      <c r="J866" s="750"/>
    </row>
    <row r="867" spans="1:10" x14ac:dyDescent="0.35">
      <c r="A867" s="92"/>
      <c r="F867" s="726"/>
      <c r="G867" s="735"/>
      <c r="H867" s="93"/>
      <c r="I867" s="750"/>
      <c r="J867" s="750"/>
    </row>
    <row r="868" spans="1:10" x14ac:dyDescent="0.35">
      <c r="A868" s="92"/>
      <c r="F868" s="726"/>
      <c r="G868" s="735"/>
      <c r="H868" s="93"/>
      <c r="I868" s="750"/>
      <c r="J868" s="750"/>
    </row>
    <row r="869" spans="1:10" x14ac:dyDescent="0.35">
      <c r="A869" s="92"/>
      <c r="F869" s="726"/>
      <c r="G869" s="735"/>
      <c r="H869" s="93"/>
      <c r="I869" s="750"/>
      <c r="J869" s="750"/>
    </row>
    <row r="870" spans="1:10" x14ac:dyDescent="0.35">
      <c r="A870" s="92"/>
      <c r="F870" s="726"/>
      <c r="G870" s="735"/>
      <c r="H870" s="93"/>
      <c r="I870" s="750"/>
      <c r="J870" s="750"/>
    </row>
    <row r="871" spans="1:10" x14ac:dyDescent="0.35">
      <c r="A871" s="92"/>
      <c r="F871" s="726"/>
      <c r="G871" s="735"/>
      <c r="H871" s="93"/>
      <c r="I871" s="750"/>
      <c r="J871" s="750"/>
    </row>
    <row r="872" spans="1:10" x14ac:dyDescent="0.35">
      <c r="A872" s="92"/>
      <c r="F872" s="726"/>
      <c r="G872" s="735"/>
      <c r="H872" s="93"/>
      <c r="I872" s="750"/>
      <c r="J872" s="750"/>
    </row>
    <row r="873" spans="1:10" x14ac:dyDescent="0.35">
      <c r="A873" s="92"/>
      <c r="F873" s="726"/>
      <c r="G873" s="735"/>
      <c r="H873" s="93"/>
      <c r="I873" s="750"/>
      <c r="J873" s="750"/>
    </row>
    <row r="874" spans="1:10" x14ac:dyDescent="0.35">
      <c r="A874" s="92"/>
      <c r="F874" s="726"/>
      <c r="G874" s="735"/>
      <c r="H874" s="93"/>
      <c r="I874" s="750"/>
      <c r="J874" s="750"/>
    </row>
    <row r="875" spans="1:10" x14ac:dyDescent="0.35">
      <c r="A875" s="92"/>
      <c r="F875" s="726"/>
      <c r="G875" s="735"/>
      <c r="H875" s="93"/>
      <c r="I875" s="750"/>
      <c r="J875" s="750"/>
    </row>
    <row r="876" spans="1:10" x14ac:dyDescent="0.35">
      <c r="A876" s="92"/>
      <c r="F876" s="726"/>
      <c r="G876" s="735"/>
      <c r="H876" s="93"/>
      <c r="I876" s="750"/>
      <c r="J876" s="750"/>
    </row>
    <row r="877" spans="1:10" x14ac:dyDescent="0.35">
      <c r="A877" s="92"/>
      <c r="F877" s="726"/>
      <c r="G877" s="735"/>
      <c r="H877" s="93"/>
      <c r="I877" s="750"/>
      <c r="J877" s="750"/>
    </row>
    <row r="878" spans="1:10" x14ac:dyDescent="0.35">
      <c r="A878" s="92"/>
      <c r="F878" s="726"/>
      <c r="G878" s="735"/>
      <c r="H878" s="93"/>
      <c r="I878" s="750"/>
      <c r="J878" s="750"/>
    </row>
    <row r="879" spans="1:10" x14ac:dyDescent="0.35">
      <c r="A879" s="92"/>
      <c r="F879" s="726"/>
      <c r="G879" s="735"/>
      <c r="H879" s="93"/>
      <c r="I879" s="750"/>
      <c r="J879" s="750"/>
    </row>
    <row r="880" spans="1:10" x14ac:dyDescent="0.35">
      <c r="A880" s="92"/>
      <c r="F880" s="726"/>
      <c r="G880" s="735"/>
      <c r="H880" s="93"/>
      <c r="I880" s="750"/>
      <c r="J880" s="750"/>
    </row>
    <row r="881" spans="1:10" x14ac:dyDescent="0.35">
      <c r="A881" s="92"/>
      <c r="F881" s="726"/>
      <c r="G881" s="735"/>
      <c r="H881" s="93"/>
      <c r="I881" s="750"/>
      <c r="J881" s="750"/>
    </row>
    <row r="882" spans="1:10" x14ac:dyDescent="0.35">
      <c r="A882" s="92"/>
      <c r="F882" s="726"/>
      <c r="G882" s="735"/>
      <c r="H882" s="93"/>
      <c r="I882" s="750"/>
      <c r="J882" s="750"/>
    </row>
    <row r="883" spans="1:10" x14ac:dyDescent="0.35">
      <c r="A883" s="92"/>
      <c r="F883" s="726"/>
      <c r="G883" s="735"/>
      <c r="H883" s="93"/>
      <c r="I883" s="750"/>
      <c r="J883" s="750"/>
    </row>
    <row r="884" spans="1:10" x14ac:dyDescent="0.35">
      <c r="A884" s="92"/>
      <c r="F884" s="726"/>
      <c r="G884" s="735"/>
      <c r="H884" s="93"/>
      <c r="I884" s="750"/>
      <c r="J884" s="750"/>
    </row>
    <row r="885" spans="1:10" x14ac:dyDescent="0.35">
      <c r="A885" s="92"/>
      <c r="F885" s="726"/>
      <c r="G885" s="735"/>
      <c r="H885" s="93"/>
      <c r="I885" s="750"/>
      <c r="J885" s="750"/>
    </row>
    <row r="886" spans="1:10" x14ac:dyDescent="0.35">
      <c r="A886" s="92"/>
      <c r="F886" s="726"/>
      <c r="G886" s="735"/>
      <c r="H886" s="93"/>
      <c r="I886" s="750"/>
      <c r="J886" s="750"/>
    </row>
    <row r="887" spans="1:10" x14ac:dyDescent="0.35">
      <c r="A887" s="92"/>
      <c r="F887" s="726"/>
      <c r="G887" s="735"/>
      <c r="H887" s="93"/>
      <c r="I887" s="750"/>
      <c r="J887" s="750"/>
    </row>
    <row r="888" spans="1:10" x14ac:dyDescent="0.35">
      <c r="A888" s="92"/>
      <c r="F888" s="726"/>
      <c r="G888" s="735"/>
      <c r="H888" s="93"/>
      <c r="I888" s="750"/>
      <c r="J888" s="750"/>
    </row>
    <row r="889" spans="1:10" x14ac:dyDescent="0.35">
      <c r="A889" s="92"/>
      <c r="F889" s="726"/>
      <c r="G889" s="735"/>
      <c r="H889" s="93"/>
      <c r="I889" s="750"/>
      <c r="J889" s="750"/>
    </row>
    <row r="890" spans="1:10" x14ac:dyDescent="0.35">
      <c r="A890" s="92"/>
      <c r="F890" s="726"/>
      <c r="G890" s="735"/>
      <c r="H890" s="93"/>
      <c r="I890" s="750"/>
      <c r="J890" s="750"/>
    </row>
    <row r="891" spans="1:10" x14ac:dyDescent="0.35">
      <c r="A891" s="92"/>
      <c r="F891" s="726"/>
      <c r="G891" s="735"/>
      <c r="H891" s="93"/>
      <c r="I891" s="750"/>
      <c r="J891" s="750"/>
    </row>
    <row r="892" spans="1:10" x14ac:dyDescent="0.35">
      <c r="A892" s="92"/>
      <c r="F892" s="726"/>
      <c r="G892" s="735"/>
      <c r="H892" s="93"/>
      <c r="I892" s="750"/>
      <c r="J892" s="750"/>
    </row>
    <row r="893" spans="1:10" x14ac:dyDescent="0.35">
      <c r="A893" s="92"/>
      <c r="F893" s="726"/>
      <c r="G893" s="735"/>
      <c r="H893" s="93"/>
      <c r="I893" s="750"/>
      <c r="J893" s="750"/>
    </row>
    <row r="894" spans="1:10" x14ac:dyDescent="0.35">
      <c r="A894" s="92"/>
      <c r="F894" s="726"/>
      <c r="G894" s="735"/>
      <c r="H894" s="93"/>
      <c r="I894" s="750"/>
      <c r="J894" s="750"/>
    </row>
    <row r="895" spans="1:10" x14ac:dyDescent="0.35">
      <c r="A895" s="92"/>
      <c r="F895" s="726"/>
      <c r="G895" s="735"/>
      <c r="H895" s="93"/>
      <c r="I895" s="750"/>
      <c r="J895" s="750"/>
    </row>
    <row r="896" spans="1:10" x14ac:dyDescent="0.35">
      <c r="A896" s="92"/>
      <c r="F896" s="726"/>
      <c r="G896" s="735"/>
      <c r="H896" s="93"/>
      <c r="I896" s="750"/>
      <c r="J896" s="750"/>
    </row>
    <row r="897" spans="1:10" x14ac:dyDescent="0.35">
      <c r="A897" s="92"/>
      <c r="F897" s="726"/>
      <c r="G897" s="735"/>
      <c r="H897" s="93"/>
      <c r="I897" s="750"/>
      <c r="J897" s="750"/>
    </row>
    <row r="898" spans="1:10" x14ac:dyDescent="0.35">
      <c r="A898" s="92"/>
      <c r="F898" s="726"/>
      <c r="G898" s="735"/>
      <c r="H898" s="93"/>
      <c r="I898" s="750"/>
      <c r="J898" s="750"/>
    </row>
    <row r="899" spans="1:10" x14ac:dyDescent="0.35">
      <c r="A899" s="92"/>
      <c r="F899" s="726"/>
      <c r="G899" s="735"/>
      <c r="H899" s="93"/>
      <c r="I899" s="750"/>
      <c r="J899" s="750"/>
    </row>
    <row r="900" spans="1:10" x14ac:dyDescent="0.35">
      <c r="A900" s="92"/>
      <c r="F900" s="726"/>
      <c r="G900" s="735"/>
      <c r="H900" s="93"/>
      <c r="I900" s="750"/>
      <c r="J900" s="750"/>
    </row>
    <row r="901" spans="1:10" x14ac:dyDescent="0.35">
      <c r="A901" s="92"/>
      <c r="F901" s="726"/>
      <c r="G901" s="735"/>
      <c r="H901" s="93"/>
      <c r="I901" s="750"/>
      <c r="J901" s="750"/>
    </row>
    <row r="902" spans="1:10" x14ac:dyDescent="0.35">
      <c r="A902" s="92"/>
      <c r="F902" s="726"/>
      <c r="G902" s="735"/>
      <c r="H902" s="93"/>
      <c r="I902" s="750"/>
      <c r="J902" s="750"/>
    </row>
    <row r="903" spans="1:10" x14ac:dyDescent="0.35">
      <c r="A903" s="92"/>
      <c r="F903" s="726"/>
      <c r="G903" s="735"/>
      <c r="H903" s="93"/>
      <c r="I903" s="750"/>
      <c r="J903" s="750"/>
    </row>
    <row r="904" spans="1:10" x14ac:dyDescent="0.35">
      <c r="A904" s="92"/>
      <c r="F904" s="726"/>
      <c r="G904" s="735"/>
      <c r="H904" s="93"/>
      <c r="I904" s="750"/>
      <c r="J904" s="750"/>
    </row>
    <row r="905" spans="1:10" x14ac:dyDescent="0.35">
      <c r="A905" s="92"/>
      <c r="F905" s="726"/>
      <c r="G905" s="735"/>
      <c r="H905" s="93"/>
      <c r="I905" s="750"/>
      <c r="J905" s="750"/>
    </row>
    <row r="906" spans="1:10" x14ac:dyDescent="0.35">
      <c r="A906" s="92"/>
      <c r="F906" s="726"/>
      <c r="G906" s="735"/>
      <c r="H906" s="93"/>
      <c r="I906" s="750"/>
      <c r="J906" s="750"/>
    </row>
    <row r="907" spans="1:10" x14ac:dyDescent="0.35">
      <c r="A907" s="92"/>
      <c r="F907" s="726"/>
      <c r="G907" s="735"/>
      <c r="H907" s="93"/>
      <c r="I907" s="750"/>
      <c r="J907" s="750"/>
    </row>
    <row r="908" spans="1:10" x14ac:dyDescent="0.35">
      <c r="A908" s="92"/>
      <c r="F908" s="726"/>
      <c r="G908" s="735"/>
      <c r="H908" s="93"/>
      <c r="I908" s="750"/>
      <c r="J908" s="750"/>
    </row>
    <row r="909" spans="1:10" x14ac:dyDescent="0.35">
      <c r="A909" s="92"/>
      <c r="F909" s="726"/>
      <c r="G909" s="735"/>
      <c r="H909" s="93"/>
      <c r="I909" s="750"/>
      <c r="J909" s="750"/>
    </row>
    <row r="910" spans="1:10" x14ac:dyDescent="0.35">
      <c r="A910" s="92"/>
      <c r="F910" s="726"/>
      <c r="G910" s="735"/>
      <c r="H910" s="93"/>
      <c r="I910" s="750"/>
      <c r="J910" s="750"/>
    </row>
    <row r="911" spans="1:10" x14ac:dyDescent="0.35">
      <c r="A911" s="92"/>
      <c r="F911" s="726"/>
      <c r="G911" s="735"/>
      <c r="H911" s="93"/>
      <c r="I911" s="750"/>
      <c r="J911" s="750"/>
    </row>
    <row r="912" spans="1:10" x14ac:dyDescent="0.35">
      <c r="A912" s="92"/>
      <c r="F912" s="726"/>
      <c r="G912" s="735"/>
      <c r="H912" s="93"/>
      <c r="I912" s="750"/>
      <c r="J912" s="750"/>
    </row>
    <row r="913" spans="1:10" x14ac:dyDescent="0.35">
      <c r="A913" s="92"/>
      <c r="F913" s="726"/>
      <c r="G913" s="735"/>
      <c r="H913" s="93"/>
      <c r="I913" s="750"/>
      <c r="J913" s="750"/>
    </row>
    <row r="914" spans="1:10" x14ac:dyDescent="0.35">
      <c r="A914" s="92"/>
      <c r="F914" s="726"/>
      <c r="G914" s="735"/>
      <c r="H914" s="93"/>
      <c r="I914" s="750"/>
      <c r="J914" s="750"/>
    </row>
    <row r="915" spans="1:10" x14ac:dyDescent="0.35">
      <c r="A915" s="92"/>
      <c r="F915" s="726"/>
      <c r="G915" s="735"/>
      <c r="H915" s="93"/>
      <c r="I915" s="750"/>
      <c r="J915" s="750"/>
    </row>
    <row r="916" spans="1:10" x14ac:dyDescent="0.35">
      <c r="A916" s="92"/>
      <c r="F916" s="726"/>
      <c r="G916" s="735"/>
      <c r="H916" s="93"/>
      <c r="I916" s="750"/>
      <c r="J916" s="750"/>
    </row>
    <row r="917" spans="1:10" x14ac:dyDescent="0.35">
      <c r="A917" s="92"/>
      <c r="F917" s="726"/>
      <c r="G917" s="735"/>
      <c r="H917" s="93"/>
      <c r="I917" s="750"/>
      <c r="J917" s="750"/>
    </row>
    <row r="918" spans="1:10" x14ac:dyDescent="0.35">
      <c r="A918" s="92"/>
      <c r="F918" s="726"/>
      <c r="G918" s="735"/>
      <c r="H918" s="93"/>
      <c r="I918" s="750"/>
      <c r="J918" s="750"/>
    </row>
    <row r="919" spans="1:10" x14ac:dyDescent="0.35">
      <c r="A919" s="92"/>
      <c r="F919" s="726"/>
      <c r="G919" s="735"/>
      <c r="H919" s="93"/>
      <c r="I919" s="750"/>
      <c r="J919" s="750"/>
    </row>
    <row r="920" spans="1:10" x14ac:dyDescent="0.35">
      <c r="A920" s="92"/>
      <c r="F920" s="726"/>
      <c r="G920" s="735"/>
      <c r="H920" s="93"/>
      <c r="I920" s="750"/>
      <c r="J920" s="750"/>
    </row>
    <row r="921" spans="1:10" x14ac:dyDescent="0.35">
      <c r="A921" s="92"/>
      <c r="F921" s="726"/>
      <c r="G921" s="735"/>
      <c r="H921" s="93"/>
      <c r="I921" s="750"/>
      <c r="J921" s="750"/>
    </row>
    <row r="922" spans="1:10" x14ac:dyDescent="0.35">
      <c r="A922" s="92"/>
      <c r="F922" s="726"/>
      <c r="G922" s="735"/>
      <c r="H922" s="93"/>
      <c r="I922" s="750"/>
      <c r="J922" s="750"/>
    </row>
    <row r="923" spans="1:10" x14ac:dyDescent="0.35">
      <c r="A923" s="92"/>
      <c r="F923" s="726"/>
      <c r="G923" s="735"/>
      <c r="H923" s="93"/>
      <c r="I923" s="750"/>
      <c r="J923" s="750"/>
    </row>
    <row r="924" spans="1:10" x14ac:dyDescent="0.35">
      <c r="A924" s="92"/>
      <c r="F924" s="726"/>
      <c r="G924" s="735"/>
      <c r="H924" s="93"/>
      <c r="I924" s="750"/>
      <c r="J924" s="750"/>
    </row>
    <row r="925" spans="1:10" x14ac:dyDescent="0.35">
      <c r="A925" s="92"/>
      <c r="F925" s="726"/>
      <c r="G925" s="735"/>
      <c r="H925" s="93"/>
      <c r="I925" s="750"/>
      <c r="J925" s="750"/>
    </row>
    <row r="926" spans="1:10" x14ac:dyDescent="0.35">
      <c r="A926" s="92"/>
      <c r="F926" s="726"/>
      <c r="G926" s="735"/>
      <c r="H926" s="93"/>
      <c r="I926" s="750"/>
      <c r="J926" s="750"/>
    </row>
    <row r="927" spans="1:10" x14ac:dyDescent="0.35">
      <c r="A927" s="92"/>
      <c r="F927" s="726"/>
      <c r="G927" s="735"/>
      <c r="H927" s="93"/>
      <c r="I927" s="750"/>
      <c r="J927" s="750"/>
    </row>
    <row r="928" spans="1:10" x14ac:dyDescent="0.35">
      <c r="A928" s="92"/>
      <c r="F928" s="726"/>
      <c r="G928" s="735"/>
      <c r="H928" s="93"/>
      <c r="I928" s="750"/>
      <c r="J928" s="750"/>
    </row>
    <row r="929" spans="1:10" x14ac:dyDescent="0.35">
      <c r="A929" s="92"/>
      <c r="F929" s="726"/>
      <c r="G929" s="735"/>
      <c r="H929" s="93"/>
      <c r="I929" s="750"/>
      <c r="J929" s="750"/>
    </row>
    <row r="930" spans="1:10" x14ac:dyDescent="0.35">
      <c r="A930" s="92"/>
      <c r="F930" s="726"/>
      <c r="G930" s="735"/>
      <c r="H930" s="93"/>
      <c r="I930" s="750"/>
      <c r="J930" s="750"/>
    </row>
    <row r="931" spans="1:10" x14ac:dyDescent="0.35">
      <c r="A931" s="92"/>
      <c r="F931" s="726"/>
      <c r="G931" s="735"/>
      <c r="H931" s="93"/>
      <c r="I931" s="750"/>
      <c r="J931" s="750"/>
    </row>
    <row r="932" spans="1:10" x14ac:dyDescent="0.35">
      <c r="A932" s="92"/>
      <c r="F932" s="726"/>
      <c r="G932" s="735"/>
      <c r="H932" s="93"/>
      <c r="I932" s="750"/>
      <c r="J932" s="750"/>
    </row>
    <row r="933" spans="1:10" x14ac:dyDescent="0.35">
      <c r="A933" s="92"/>
      <c r="F933" s="726"/>
      <c r="G933" s="735"/>
      <c r="H933" s="93"/>
      <c r="I933" s="750"/>
      <c r="J933" s="750"/>
    </row>
    <row r="934" spans="1:10" x14ac:dyDescent="0.35">
      <c r="A934" s="92"/>
      <c r="F934" s="726"/>
      <c r="G934" s="735"/>
      <c r="H934" s="93"/>
      <c r="I934" s="750"/>
      <c r="J934" s="750"/>
    </row>
    <row r="935" spans="1:10" x14ac:dyDescent="0.35">
      <c r="A935" s="92"/>
      <c r="F935" s="726"/>
      <c r="G935" s="735"/>
      <c r="H935" s="93"/>
      <c r="I935" s="750"/>
      <c r="J935" s="750"/>
    </row>
    <row r="936" spans="1:10" x14ac:dyDescent="0.35">
      <c r="A936" s="92"/>
      <c r="F936" s="726"/>
      <c r="G936" s="735"/>
      <c r="H936" s="93"/>
      <c r="I936" s="750"/>
      <c r="J936" s="750"/>
    </row>
    <row r="937" spans="1:10" x14ac:dyDescent="0.35">
      <c r="A937" s="92"/>
      <c r="F937" s="726"/>
      <c r="G937" s="735"/>
      <c r="H937" s="93"/>
      <c r="I937" s="750"/>
      <c r="J937" s="750"/>
    </row>
    <row r="938" spans="1:10" x14ac:dyDescent="0.35">
      <c r="A938" s="92"/>
      <c r="F938" s="726"/>
      <c r="G938" s="735"/>
      <c r="H938" s="93"/>
      <c r="I938" s="750"/>
      <c r="J938" s="750"/>
    </row>
    <row r="939" spans="1:10" x14ac:dyDescent="0.35">
      <c r="A939" s="92"/>
      <c r="F939" s="726"/>
      <c r="G939" s="735"/>
      <c r="H939" s="93"/>
      <c r="I939" s="750"/>
      <c r="J939" s="750"/>
    </row>
    <row r="940" spans="1:10" x14ac:dyDescent="0.35">
      <c r="A940" s="92"/>
      <c r="F940" s="726"/>
      <c r="G940" s="735"/>
      <c r="H940" s="93"/>
      <c r="I940" s="750"/>
      <c r="J940" s="750"/>
    </row>
    <row r="941" spans="1:10" x14ac:dyDescent="0.35">
      <c r="A941" s="92"/>
      <c r="F941" s="726"/>
      <c r="G941" s="735"/>
      <c r="H941" s="93"/>
      <c r="I941" s="750"/>
      <c r="J941" s="750"/>
    </row>
    <row r="942" spans="1:10" x14ac:dyDescent="0.35">
      <c r="A942" s="92"/>
      <c r="F942" s="726"/>
      <c r="G942" s="735"/>
      <c r="H942" s="93"/>
      <c r="I942" s="750"/>
      <c r="J942" s="750"/>
    </row>
    <row r="943" spans="1:10" x14ac:dyDescent="0.35">
      <c r="A943" s="92"/>
      <c r="F943" s="726"/>
      <c r="G943" s="735"/>
      <c r="H943" s="93"/>
      <c r="I943" s="750"/>
      <c r="J943" s="750"/>
    </row>
    <row r="944" spans="1:10" x14ac:dyDescent="0.35">
      <c r="A944" s="92"/>
      <c r="F944" s="726"/>
      <c r="G944" s="735"/>
      <c r="H944" s="93"/>
      <c r="I944" s="750"/>
      <c r="J944" s="750"/>
    </row>
    <row r="945" spans="1:10" x14ac:dyDescent="0.35">
      <c r="A945" s="92"/>
      <c r="F945" s="726"/>
      <c r="G945" s="735"/>
      <c r="H945" s="93"/>
      <c r="I945" s="750"/>
      <c r="J945" s="750"/>
    </row>
    <row r="946" spans="1:10" x14ac:dyDescent="0.35">
      <c r="A946" s="92"/>
      <c r="F946" s="726"/>
      <c r="G946" s="735"/>
      <c r="H946" s="93"/>
      <c r="I946" s="750"/>
      <c r="J946" s="750"/>
    </row>
    <row r="947" spans="1:10" x14ac:dyDescent="0.35">
      <c r="A947" s="92"/>
      <c r="F947" s="726"/>
      <c r="G947" s="735"/>
      <c r="H947" s="93"/>
      <c r="I947" s="750"/>
      <c r="J947" s="750"/>
    </row>
    <row r="948" spans="1:10" x14ac:dyDescent="0.35">
      <c r="A948" s="92"/>
      <c r="F948" s="726"/>
      <c r="G948" s="735"/>
      <c r="H948" s="93"/>
      <c r="I948" s="750"/>
      <c r="J948" s="750"/>
    </row>
    <row r="949" spans="1:10" x14ac:dyDescent="0.35">
      <c r="A949" s="92"/>
      <c r="F949" s="726"/>
      <c r="G949" s="735"/>
      <c r="H949" s="93"/>
      <c r="I949" s="750"/>
      <c r="J949" s="750"/>
    </row>
    <row r="950" spans="1:10" x14ac:dyDescent="0.35">
      <c r="A950" s="92"/>
      <c r="F950" s="726"/>
      <c r="G950" s="735"/>
      <c r="H950" s="93"/>
      <c r="I950" s="750"/>
      <c r="J950" s="750"/>
    </row>
    <row r="951" spans="1:10" x14ac:dyDescent="0.35">
      <c r="A951" s="92"/>
      <c r="F951" s="726"/>
      <c r="G951" s="735"/>
      <c r="H951" s="93"/>
      <c r="I951" s="750"/>
      <c r="J951" s="750"/>
    </row>
    <row r="952" spans="1:10" x14ac:dyDescent="0.35">
      <c r="A952" s="92"/>
      <c r="F952" s="726"/>
      <c r="G952" s="735"/>
      <c r="H952" s="93"/>
      <c r="I952" s="750"/>
      <c r="J952" s="750"/>
    </row>
    <row r="953" spans="1:10" x14ac:dyDescent="0.35">
      <c r="A953" s="92"/>
      <c r="F953" s="726"/>
      <c r="G953" s="735"/>
      <c r="H953" s="93"/>
      <c r="I953" s="750"/>
      <c r="J953" s="750"/>
    </row>
    <row r="954" spans="1:10" x14ac:dyDescent="0.35">
      <c r="A954" s="92"/>
      <c r="F954" s="726"/>
      <c r="G954" s="735"/>
      <c r="H954" s="93"/>
      <c r="I954" s="750"/>
      <c r="J954" s="750"/>
    </row>
    <row r="955" spans="1:10" x14ac:dyDescent="0.35">
      <c r="A955" s="92"/>
      <c r="F955" s="726"/>
      <c r="G955" s="735"/>
      <c r="H955" s="93"/>
      <c r="I955" s="750"/>
      <c r="J955" s="750"/>
    </row>
    <row r="956" spans="1:10" x14ac:dyDescent="0.35">
      <c r="A956" s="92"/>
      <c r="F956" s="726"/>
      <c r="G956" s="735"/>
      <c r="H956" s="93"/>
      <c r="I956" s="750"/>
      <c r="J956" s="750"/>
    </row>
    <row r="957" spans="1:10" x14ac:dyDescent="0.35">
      <c r="A957" s="92"/>
      <c r="F957" s="726"/>
      <c r="G957" s="735"/>
      <c r="H957" s="93"/>
      <c r="I957" s="750"/>
      <c r="J957" s="750"/>
    </row>
    <row r="958" spans="1:10" x14ac:dyDescent="0.35">
      <c r="A958" s="92"/>
      <c r="F958" s="726"/>
      <c r="G958" s="735"/>
      <c r="H958" s="93"/>
      <c r="I958" s="750"/>
      <c r="J958" s="750"/>
    </row>
    <row r="959" spans="1:10" x14ac:dyDescent="0.35">
      <c r="A959" s="92"/>
      <c r="F959" s="726"/>
      <c r="G959" s="735"/>
      <c r="H959" s="93"/>
      <c r="I959" s="750"/>
      <c r="J959" s="750"/>
    </row>
    <row r="960" spans="1:10" x14ac:dyDescent="0.35">
      <c r="A960" s="92"/>
      <c r="F960" s="726"/>
      <c r="G960" s="735"/>
      <c r="H960" s="93"/>
      <c r="I960" s="750"/>
      <c r="J960" s="750"/>
    </row>
    <row r="961" spans="1:10" x14ac:dyDescent="0.35">
      <c r="A961" s="92"/>
      <c r="F961" s="726"/>
      <c r="G961" s="735"/>
      <c r="H961" s="93"/>
      <c r="I961" s="750"/>
      <c r="J961" s="750"/>
    </row>
    <row r="962" spans="1:10" x14ac:dyDescent="0.35">
      <c r="A962" s="92"/>
      <c r="F962" s="726"/>
      <c r="G962" s="735"/>
      <c r="H962" s="93"/>
      <c r="I962" s="750"/>
      <c r="J962" s="750"/>
    </row>
    <row r="963" spans="1:10" x14ac:dyDescent="0.35">
      <c r="A963" s="92"/>
      <c r="F963" s="726"/>
      <c r="G963" s="735"/>
      <c r="H963" s="93"/>
      <c r="I963" s="750"/>
      <c r="J963" s="750"/>
    </row>
    <row r="964" spans="1:10" x14ac:dyDescent="0.35">
      <c r="A964" s="92"/>
      <c r="F964" s="726"/>
      <c r="G964" s="735"/>
      <c r="H964" s="93"/>
      <c r="I964" s="750"/>
      <c r="J964" s="750"/>
    </row>
    <row r="965" spans="1:10" x14ac:dyDescent="0.35">
      <c r="A965" s="92"/>
      <c r="F965" s="726"/>
      <c r="G965" s="735"/>
      <c r="H965" s="93"/>
      <c r="I965" s="750"/>
      <c r="J965" s="750"/>
    </row>
    <row r="966" spans="1:10" x14ac:dyDescent="0.35">
      <c r="A966" s="92"/>
      <c r="F966" s="726"/>
      <c r="G966" s="735"/>
      <c r="H966" s="93"/>
      <c r="I966" s="750"/>
      <c r="J966" s="750"/>
    </row>
    <row r="967" spans="1:10" x14ac:dyDescent="0.35">
      <c r="A967" s="92"/>
      <c r="F967" s="726"/>
      <c r="G967" s="735"/>
      <c r="H967" s="93"/>
      <c r="I967" s="750"/>
      <c r="J967" s="750"/>
    </row>
    <row r="968" spans="1:10" x14ac:dyDescent="0.35">
      <c r="A968" s="92"/>
      <c r="F968" s="726"/>
      <c r="G968" s="735"/>
      <c r="H968" s="93"/>
      <c r="I968" s="750"/>
      <c r="J968" s="750"/>
    </row>
    <row r="969" spans="1:10" x14ac:dyDescent="0.35">
      <c r="A969" s="92"/>
      <c r="F969" s="726"/>
      <c r="G969" s="735"/>
      <c r="H969" s="93"/>
      <c r="I969" s="750"/>
      <c r="J969" s="750"/>
    </row>
    <row r="970" spans="1:10" x14ac:dyDescent="0.35">
      <c r="A970" s="92"/>
      <c r="F970" s="726"/>
      <c r="G970" s="735"/>
      <c r="H970" s="93"/>
      <c r="I970" s="750"/>
      <c r="J970" s="750"/>
    </row>
    <row r="971" spans="1:10" x14ac:dyDescent="0.35">
      <c r="A971" s="92"/>
      <c r="F971" s="726"/>
      <c r="G971" s="735"/>
      <c r="H971" s="93"/>
      <c r="I971" s="750"/>
      <c r="J971" s="750"/>
    </row>
    <row r="972" spans="1:10" x14ac:dyDescent="0.35">
      <c r="A972" s="92"/>
      <c r="F972" s="726"/>
      <c r="G972" s="735"/>
      <c r="H972" s="93"/>
      <c r="I972" s="750"/>
      <c r="J972" s="750"/>
    </row>
    <row r="973" spans="1:10" x14ac:dyDescent="0.35">
      <c r="A973" s="92"/>
      <c r="F973" s="726"/>
      <c r="G973" s="735"/>
      <c r="H973" s="93"/>
      <c r="I973" s="750"/>
      <c r="J973" s="750"/>
    </row>
    <row r="974" spans="1:10" x14ac:dyDescent="0.35">
      <c r="A974" s="92"/>
      <c r="F974" s="726"/>
      <c r="G974" s="735"/>
      <c r="H974" s="93"/>
      <c r="I974" s="750"/>
      <c r="J974" s="750"/>
    </row>
    <row r="975" spans="1:10" x14ac:dyDescent="0.35">
      <c r="A975" s="92"/>
      <c r="F975" s="726"/>
      <c r="G975" s="735"/>
      <c r="H975" s="93"/>
      <c r="I975" s="750"/>
      <c r="J975" s="750"/>
    </row>
    <row r="976" spans="1:10" x14ac:dyDescent="0.35">
      <c r="A976" s="92"/>
      <c r="F976" s="726"/>
      <c r="G976" s="735"/>
      <c r="H976" s="93"/>
      <c r="I976" s="750"/>
      <c r="J976" s="750"/>
    </row>
    <row r="977" spans="1:10" x14ac:dyDescent="0.35">
      <c r="A977" s="92"/>
      <c r="F977" s="726"/>
      <c r="G977" s="735"/>
      <c r="H977" s="93"/>
      <c r="I977" s="750"/>
      <c r="J977" s="750"/>
    </row>
    <row r="978" spans="1:10" x14ac:dyDescent="0.35">
      <c r="A978" s="92"/>
      <c r="F978" s="726"/>
      <c r="G978" s="735"/>
      <c r="H978" s="93"/>
      <c r="I978" s="750"/>
      <c r="J978" s="750"/>
    </row>
    <row r="979" spans="1:10" x14ac:dyDescent="0.35">
      <c r="A979" s="92"/>
      <c r="F979" s="726"/>
      <c r="G979" s="735"/>
      <c r="H979" s="93"/>
      <c r="I979" s="750"/>
      <c r="J979" s="750"/>
    </row>
    <row r="980" spans="1:10" x14ac:dyDescent="0.35">
      <c r="A980" s="92"/>
      <c r="F980" s="726"/>
      <c r="G980" s="735"/>
      <c r="H980" s="93"/>
      <c r="I980" s="750"/>
      <c r="J980" s="750"/>
    </row>
    <row r="981" spans="1:10" x14ac:dyDescent="0.35">
      <c r="A981" s="92"/>
      <c r="F981" s="726"/>
      <c r="G981" s="735"/>
      <c r="H981" s="93"/>
      <c r="I981" s="750"/>
      <c r="J981" s="750"/>
    </row>
    <row r="982" spans="1:10" x14ac:dyDescent="0.35">
      <c r="A982" s="92"/>
      <c r="F982" s="726"/>
      <c r="G982" s="735"/>
      <c r="H982" s="93"/>
      <c r="I982" s="750"/>
      <c r="J982" s="750"/>
    </row>
    <row r="983" spans="1:10" x14ac:dyDescent="0.35">
      <c r="A983" s="92"/>
      <c r="F983" s="726"/>
      <c r="G983" s="735"/>
      <c r="H983" s="93"/>
      <c r="I983" s="750"/>
      <c r="J983" s="750"/>
    </row>
    <row r="984" spans="1:10" x14ac:dyDescent="0.35">
      <c r="A984" s="92"/>
      <c r="F984" s="726"/>
      <c r="G984" s="735"/>
      <c r="H984" s="93"/>
      <c r="I984" s="750"/>
      <c r="J984" s="750"/>
    </row>
    <row r="985" spans="1:10" x14ac:dyDescent="0.35">
      <c r="A985" s="92"/>
      <c r="F985" s="726"/>
      <c r="G985" s="735"/>
      <c r="H985" s="93"/>
      <c r="I985" s="750"/>
      <c r="J985" s="750"/>
    </row>
    <row r="986" spans="1:10" x14ac:dyDescent="0.35">
      <c r="A986" s="92"/>
      <c r="F986" s="726"/>
      <c r="G986" s="735"/>
      <c r="H986" s="93"/>
      <c r="I986" s="750"/>
      <c r="J986" s="750"/>
    </row>
    <row r="987" spans="1:10" x14ac:dyDescent="0.35">
      <c r="A987" s="92"/>
      <c r="F987" s="726"/>
      <c r="G987" s="735"/>
      <c r="H987" s="93"/>
      <c r="I987" s="750"/>
      <c r="J987" s="750"/>
    </row>
    <row r="988" spans="1:10" x14ac:dyDescent="0.35">
      <c r="A988" s="92"/>
      <c r="F988" s="726"/>
      <c r="G988" s="735"/>
      <c r="H988" s="93"/>
      <c r="I988" s="750"/>
      <c r="J988" s="750"/>
    </row>
    <row r="989" spans="1:10" x14ac:dyDescent="0.35">
      <c r="A989" s="92"/>
      <c r="F989" s="726"/>
      <c r="G989" s="735"/>
      <c r="H989" s="93"/>
      <c r="I989" s="750"/>
      <c r="J989" s="750"/>
    </row>
    <row r="990" spans="1:10" x14ac:dyDescent="0.35">
      <c r="A990" s="92"/>
      <c r="F990" s="726"/>
      <c r="G990" s="735"/>
      <c r="H990" s="93"/>
      <c r="I990" s="750"/>
      <c r="J990" s="750"/>
    </row>
    <row r="991" spans="1:10" x14ac:dyDescent="0.35">
      <c r="A991" s="92"/>
      <c r="F991" s="726"/>
      <c r="G991" s="735"/>
      <c r="H991" s="93"/>
      <c r="I991" s="750"/>
      <c r="J991" s="750"/>
    </row>
    <row r="992" spans="1:10" x14ac:dyDescent="0.35">
      <c r="A992" s="92"/>
      <c r="F992" s="726"/>
      <c r="G992" s="735"/>
      <c r="H992" s="93"/>
      <c r="I992" s="750"/>
      <c r="J992" s="750"/>
    </row>
    <row r="993" spans="1:10" x14ac:dyDescent="0.35">
      <c r="A993" s="92"/>
      <c r="F993" s="726"/>
      <c r="G993" s="735"/>
      <c r="H993" s="93"/>
      <c r="I993" s="750"/>
      <c r="J993" s="750"/>
    </row>
    <row r="994" spans="1:10" x14ac:dyDescent="0.35">
      <c r="A994" s="92"/>
      <c r="F994" s="726"/>
      <c r="G994" s="735"/>
      <c r="H994" s="93"/>
      <c r="I994" s="750"/>
      <c r="J994" s="750"/>
    </row>
    <row r="995" spans="1:10" x14ac:dyDescent="0.35">
      <c r="A995" s="92"/>
      <c r="F995" s="726"/>
      <c r="G995" s="735"/>
      <c r="H995" s="93"/>
      <c r="I995" s="750"/>
      <c r="J995" s="750"/>
    </row>
    <row r="996" spans="1:10" x14ac:dyDescent="0.35">
      <c r="A996" s="92"/>
      <c r="F996" s="726"/>
      <c r="G996" s="735"/>
      <c r="H996" s="93"/>
      <c r="I996" s="750"/>
      <c r="J996" s="750"/>
    </row>
    <row r="997" spans="1:10" x14ac:dyDescent="0.35">
      <c r="A997" s="92"/>
      <c r="F997" s="726"/>
      <c r="G997" s="735"/>
      <c r="H997" s="93"/>
      <c r="I997" s="750"/>
      <c r="J997" s="750"/>
    </row>
    <row r="998" spans="1:10" x14ac:dyDescent="0.35">
      <c r="A998" s="92"/>
      <c r="F998" s="726"/>
      <c r="G998" s="735"/>
      <c r="H998" s="93"/>
      <c r="I998" s="750"/>
      <c r="J998" s="750"/>
    </row>
    <row r="999" spans="1:10" x14ac:dyDescent="0.35">
      <c r="A999" s="92"/>
      <c r="F999" s="726"/>
      <c r="G999" s="735"/>
      <c r="H999" s="93"/>
      <c r="I999" s="750"/>
      <c r="J999" s="750"/>
    </row>
    <row r="1000" spans="1:10" x14ac:dyDescent="0.35">
      <c r="A1000" s="92"/>
      <c r="F1000" s="726"/>
      <c r="G1000" s="735"/>
      <c r="H1000" s="93"/>
      <c r="I1000" s="750"/>
      <c r="J1000" s="750"/>
    </row>
    <row r="1001" spans="1:10" x14ac:dyDescent="0.35">
      <c r="A1001" s="92"/>
      <c r="F1001" s="726"/>
      <c r="G1001" s="735"/>
      <c r="H1001" s="93"/>
      <c r="I1001" s="750"/>
      <c r="J1001" s="750"/>
    </row>
    <row r="1002" spans="1:10" x14ac:dyDescent="0.35">
      <c r="A1002" s="92"/>
      <c r="F1002" s="726"/>
      <c r="G1002" s="735"/>
      <c r="H1002" s="93"/>
      <c r="I1002" s="750"/>
      <c r="J1002" s="750"/>
    </row>
    <row r="1003" spans="1:10" x14ac:dyDescent="0.35">
      <c r="A1003" s="92"/>
      <c r="F1003" s="726"/>
      <c r="G1003" s="735"/>
      <c r="H1003" s="93"/>
      <c r="I1003" s="750"/>
      <c r="J1003" s="750"/>
    </row>
    <row r="1004" spans="1:10" x14ac:dyDescent="0.35">
      <c r="A1004" s="92"/>
      <c r="F1004" s="726"/>
      <c r="G1004" s="735"/>
      <c r="H1004" s="93"/>
      <c r="I1004" s="750"/>
      <c r="J1004" s="750"/>
    </row>
    <row r="1005" spans="1:10" x14ac:dyDescent="0.35">
      <c r="A1005" s="92"/>
      <c r="F1005" s="726"/>
      <c r="G1005" s="735"/>
      <c r="H1005" s="93"/>
      <c r="I1005" s="750"/>
      <c r="J1005" s="750"/>
    </row>
    <row r="1006" spans="1:10" x14ac:dyDescent="0.35">
      <c r="A1006" s="92"/>
      <c r="F1006" s="726"/>
      <c r="G1006" s="735"/>
      <c r="H1006" s="93"/>
      <c r="I1006" s="750"/>
      <c r="J1006" s="750"/>
    </row>
    <row r="1007" spans="1:10" x14ac:dyDescent="0.35">
      <c r="A1007" s="92"/>
      <c r="F1007" s="726"/>
      <c r="G1007" s="735"/>
      <c r="H1007" s="93"/>
      <c r="I1007" s="750"/>
      <c r="J1007" s="750"/>
    </row>
    <row r="1008" spans="1:10" x14ac:dyDescent="0.35">
      <c r="A1008" s="92"/>
      <c r="F1008" s="726"/>
      <c r="G1008" s="735"/>
      <c r="H1008" s="93"/>
      <c r="I1008" s="750"/>
      <c r="J1008" s="750"/>
    </row>
    <row r="1009" spans="1:10" x14ac:dyDescent="0.35">
      <c r="A1009" s="92"/>
      <c r="F1009" s="726"/>
      <c r="G1009" s="735"/>
      <c r="H1009" s="93"/>
      <c r="I1009" s="750"/>
      <c r="J1009" s="750"/>
    </row>
    <row r="1010" spans="1:10" x14ac:dyDescent="0.35">
      <c r="A1010" s="92"/>
      <c r="F1010" s="726"/>
      <c r="G1010" s="735"/>
      <c r="H1010" s="93"/>
      <c r="I1010" s="750"/>
      <c r="J1010" s="750"/>
    </row>
    <row r="1011" spans="1:10" x14ac:dyDescent="0.35">
      <c r="A1011" s="92"/>
      <c r="F1011" s="726"/>
      <c r="G1011" s="735"/>
      <c r="H1011" s="93"/>
      <c r="I1011" s="750"/>
      <c r="J1011" s="750"/>
    </row>
    <row r="1012" spans="1:10" x14ac:dyDescent="0.35">
      <c r="A1012" s="92"/>
      <c r="F1012" s="726"/>
      <c r="G1012" s="735"/>
      <c r="H1012" s="93"/>
      <c r="I1012" s="750"/>
      <c r="J1012" s="750"/>
    </row>
    <row r="1013" spans="1:10" x14ac:dyDescent="0.35">
      <c r="A1013" s="92"/>
      <c r="F1013" s="726"/>
      <c r="G1013" s="735"/>
      <c r="H1013" s="93"/>
      <c r="I1013" s="750"/>
      <c r="J1013" s="750"/>
    </row>
    <row r="1014" spans="1:10" x14ac:dyDescent="0.35">
      <c r="A1014" s="92"/>
      <c r="F1014" s="726"/>
      <c r="G1014" s="735"/>
      <c r="H1014" s="93"/>
      <c r="I1014" s="750"/>
      <c r="J1014" s="750"/>
    </row>
    <row r="1015" spans="1:10" x14ac:dyDescent="0.35">
      <c r="A1015" s="92"/>
      <c r="F1015" s="726"/>
      <c r="G1015" s="735"/>
      <c r="H1015" s="93"/>
      <c r="I1015" s="750"/>
      <c r="J1015" s="750"/>
    </row>
    <row r="1016" spans="1:10" x14ac:dyDescent="0.35">
      <c r="A1016" s="92"/>
      <c r="F1016" s="726"/>
      <c r="G1016" s="735"/>
      <c r="H1016" s="93"/>
      <c r="I1016" s="750"/>
      <c r="J1016" s="750"/>
    </row>
    <row r="1017" spans="1:10" x14ac:dyDescent="0.35">
      <c r="A1017" s="92"/>
      <c r="F1017" s="726"/>
      <c r="G1017" s="735"/>
      <c r="H1017" s="93"/>
      <c r="I1017" s="750"/>
      <c r="J1017" s="750"/>
    </row>
    <row r="1018" spans="1:10" x14ac:dyDescent="0.35">
      <c r="A1018" s="92"/>
      <c r="F1018" s="726"/>
      <c r="G1018" s="735"/>
      <c r="H1018" s="93"/>
      <c r="I1018" s="750"/>
      <c r="J1018" s="750"/>
    </row>
    <row r="1019" spans="1:10" x14ac:dyDescent="0.35">
      <c r="A1019" s="92"/>
      <c r="F1019" s="726"/>
      <c r="G1019" s="735"/>
      <c r="H1019" s="93"/>
      <c r="I1019" s="750"/>
      <c r="J1019" s="750"/>
    </row>
    <row r="1020" spans="1:10" x14ac:dyDescent="0.35">
      <c r="A1020" s="92"/>
      <c r="F1020" s="726"/>
      <c r="G1020" s="735"/>
      <c r="H1020" s="93"/>
      <c r="I1020" s="750"/>
      <c r="J1020" s="750"/>
    </row>
    <row r="1021" spans="1:10" x14ac:dyDescent="0.35">
      <c r="A1021" s="92"/>
      <c r="F1021" s="726"/>
      <c r="G1021" s="735"/>
      <c r="H1021" s="93"/>
      <c r="I1021" s="750"/>
      <c r="J1021" s="750"/>
    </row>
    <row r="1022" spans="1:10" x14ac:dyDescent="0.35">
      <c r="A1022" s="92"/>
      <c r="F1022" s="726"/>
      <c r="G1022" s="735"/>
      <c r="H1022" s="93"/>
      <c r="I1022" s="750"/>
      <c r="J1022" s="750"/>
    </row>
    <row r="1023" spans="1:10" x14ac:dyDescent="0.35">
      <c r="A1023" s="92"/>
      <c r="F1023" s="726"/>
      <c r="G1023" s="735"/>
      <c r="H1023" s="93"/>
      <c r="I1023" s="750"/>
      <c r="J1023" s="750"/>
    </row>
    <row r="1024" spans="1:10" x14ac:dyDescent="0.35">
      <c r="A1024" s="92"/>
      <c r="F1024" s="726"/>
      <c r="G1024" s="735"/>
      <c r="H1024" s="93"/>
      <c r="I1024" s="750"/>
      <c r="J1024" s="750"/>
    </row>
    <row r="1025" spans="1:10" x14ac:dyDescent="0.35">
      <c r="A1025" s="92"/>
      <c r="F1025" s="726"/>
      <c r="G1025" s="735"/>
      <c r="H1025" s="93"/>
      <c r="I1025" s="750"/>
      <c r="J1025" s="750"/>
    </row>
    <row r="1026" spans="1:10" x14ac:dyDescent="0.35">
      <c r="A1026" s="92"/>
      <c r="F1026" s="726"/>
      <c r="G1026" s="735"/>
      <c r="H1026" s="93"/>
      <c r="I1026" s="750"/>
      <c r="J1026" s="750"/>
    </row>
    <row r="1027" spans="1:10" x14ac:dyDescent="0.35">
      <c r="A1027" s="92"/>
      <c r="F1027" s="726"/>
      <c r="G1027" s="735"/>
      <c r="H1027" s="93"/>
      <c r="I1027" s="750"/>
      <c r="J1027" s="750"/>
    </row>
    <row r="1028" spans="1:10" x14ac:dyDescent="0.35">
      <c r="A1028" s="92"/>
      <c r="F1028" s="726"/>
      <c r="G1028" s="735"/>
      <c r="H1028" s="93"/>
      <c r="I1028" s="750"/>
      <c r="J1028" s="750"/>
    </row>
    <row r="1029" spans="1:10" x14ac:dyDescent="0.35">
      <c r="A1029" s="92"/>
      <c r="F1029" s="726"/>
      <c r="G1029" s="735"/>
      <c r="H1029" s="93"/>
      <c r="I1029" s="750"/>
      <c r="J1029" s="750"/>
    </row>
    <row r="1030" spans="1:10" x14ac:dyDescent="0.35">
      <c r="A1030" s="92"/>
      <c r="F1030" s="726"/>
      <c r="G1030" s="735"/>
      <c r="H1030" s="93"/>
      <c r="I1030" s="750"/>
      <c r="J1030" s="750"/>
    </row>
    <row r="1031" spans="1:10" x14ac:dyDescent="0.35">
      <c r="A1031" s="92"/>
      <c r="F1031" s="726"/>
      <c r="G1031" s="735"/>
      <c r="H1031" s="93"/>
      <c r="I1031" s="750"/>
      <c r="J1031" s="750"/>
    </row>
    <row r="1032" spans="1:10" x14ac:dyDescent="0.35">
      <c r="A1032" s="92"/>
      <c r="F1032" s="726"/>
      <c r="G1032" s="735"/>
      <c r="H1032" s="93"/>
      <c r="I1032" s="750"/>
      <c r="J1032" s="750"/>
    </row>
    <row r="1033" spans="1:10" x14ac:dyDescent="0.35">
      <c r="A1033" s="92"/>
      <c r="F1033" s="726"/>
      <c r="G1033" s="735"/>
      <c r="H1033" s="93"/>
      <c r="I1033" s="750"/>
      <c r="J1033" s="750"/>
    </row>
    <row r="1034" spans="1:10" x14ac:dyDescent="0.35">
      <c r="A1034" s="92"/>
      <c r="F1034" s="726"/>
      <c r="G1034" s="735"/>
      <c r="H1034" s="93"/>
      <c r="I1034" s="750"/>
      <c r="J1034" s="750"/>
    </row>
    <row r="1035" spans="1:10" x14ac:dyDescent="0.35">
      <c r="A1035" s="92"/>
      <c r="F1035" s="726"/>
      <c r="G1035" s="735"/>
      <c r="H1035" s="93"/>
      <c r="I1035" s="750"/>
      <c r="J1035" s="750"/>
    </row>
    <row r="1036" spans="1:10" x14ac:dyDescent="0.35">
      <c r="A1036" s="92"/>
      <c r="F1036" s="726"/>
      <c r="G1036" s="735"/>
      <c r="H1036" s="93"/>
      <c r="I1036" s="750"/>
      <c r="J1036" s="750"/>
    </row>
    <row r="1037" spans="1:10" x14ac:dyDescent="0.35">
      <c r="A1037" s="92"/>
      <c r="F1037" s="726"/>
      <c r="G1037" s="735"/>
      <c r="H1037" s="93"/>
      <c r="I1037" s="750"/>
      <c r="J1037" s="750"/>
    </row>
    <row r="1038" spans="1:10" x14ac:dyDescent="0.35">
      <c r="A1038" s="92"/>
      <c r="F1038" s="726"/>
      <c r="G1038" s="735"/>
      <c r="H1038" s="93"/>
      <c r="I1038" s="750"/>
      <c r="J1038" s="750"/>
    </row>
    <row r="1039" spans="1:10" x14ac:dyDescent="0.35">
      <c r="A1039" s="92"/>
      <c r="F1039" s="726"/>
      <c r="G1039" s="735"/>
      <c r="H1039" s="93"/>
      <c r="I1039" s="750"/>
      <c r="J1039" s="750"/>
    </row>
    <row r="1040" spans="1:10" x14ac:dyDescent="0.35">
      <c r="A1040" s="92"/>
      <c r="F1040" s="726"/>
      <c r="G1040" s="735"/>
      <c r="H1040" s="93"/>
      <c r="I1040" s="750"/>
      <c r="J1040" s="750"/>
    </row>
    <row r="1041" spans="1:10" x14ac:dyDescent="0.35">
      <c r="A1041" s="92"/>
      <c r="F1041" s="726"/>
      <c r="G1041" s="735"/>
      <c r="H1041" s="93"/>
      <c r="I1041" s="750"/>
      <c r="J1041" s="750"/>
    </row>
    <row r="1042" spans="1:10" x14ac:dyDescent="0.35">
      <c r="A1042" s="92"/>
      <c r="F1042" s="726"/>
      <c r="G1042" s="735"/>
      <c r="H1042" s="93"/>
      <c r="I1042" s="750"/>
      <c r="J1042" s="750"/>
    </row>
    <row r="1043" spans="1:10" x14ac:dyDescent="0.35">
      <c r="A1043" s="92"/>
      <c r="F1043" s="726"/>
      <c r="G1043" s="735"/>
      <c r="H1043" s="93"/>
      <c r="I1043" s="750"/>
      <c r="J1043" s="750"/>
    </row>
    <row r="1044" spans="1:10" x14ac:dyDescent="0.35">
      <c r="A1044" s="92"/>
      <c r="F1044" s="726"/>
      <c r="G1044" s="735"/>
      <c r="H1044" s="93"/>
      <c r="I1044" s="750"/>
      <c r="J1044" s="750"/>
    </row>
    <row r="1045" spans="1:10" x14ac:dyDescent="0.35">
      <c r="A1045" s="92"/>
      <c r="F1045" s="726"/>
      <c r="G1045" s="735"/>
      <c r="H1045" s="93"/>
      <c r="I1045" s="750"/>
      <c r="J1045" s="750"/>
    </row>
    <row r="1046" spans="1:10" x14ac:dyDescent="0.35">
      <c r="A1046" s="92"/>
      <c r="F1046" s="726"/>
      <c r="G1046" s="735"/>
      <c r="H1046" s="93"/>
      <c r="I1046" s="750"/>
      <c r="J1046" s="750"/>
    </row>
    <row r="1047" spans="1:10" x14ac:dyDescent="0.35">
      <c r="A1047" s="92"/>
      <c r="F1047" s="726"/>
      <c r="G1047" s="735"/>
      <c r="H1047" s="93"/>
      <c r="I1047" s="750"/>
      <c r="J1047" s="750"/>
    </row>
    <row r="1048" spans="1:10" x14ac:dyDescent="0.35">
      <c r="A1048" s="92"/>
      <c r="F1048" s="726"/>
      <c r="G1048" s="735"/>
      <c r="H1048" s="93"/>
      <c r="I1048" s="750"/>
      <c r="J1048" s="750"/>
    </row>
    <row r="1049" spans="1:10" x14ac:dyDescent="0.35">
      <c r="A1049" s="92"/>
      <c r="F1049" s="726"/>
      <c r="G1049" s="735"/>
      <c r="H1049" s="93"/>
      <c r="I1049" s="750"/>
      <c r="J1049" s="750"/>
    </row>
    <row r="1050" spans="1:10" x14ac:dyDescent="0.35">
      <c r="A1050" s="92"/>
      <c r="F1050" s="726"/>
      <c r="G1050" s="735"/>
      <c r="H1050" s="93"/>
      <c r="I1050" s="750"/>
      <c r="J1050" s="750"/>
    </row>
    <row r="1051" spans="1:10" x14ac:dyDescent="0.35">
      <c r="A1051" s="92"/>
      <c r="F1051" s="726"/>
      <c r="G1051" s="735"/>
      <c r="H1051" s="93"/>
      <c r="I1051" s="750"/>
      <c r="J1051" s="750"/>
    </row>
    <row r="1052" spans="1:10" x14ac:dyDescent="0.35">
      <c r="A1052" s="92"/>
      <c r="F1052" s="726"/>
      <c r="G1052" s="735"/>
      <c r="H1052" s="93"/>
      <c r="I1052" s="750"/>
      <c r="J1052" s="750"/>
    </row>
    <row r="1053" spans="1:10" x14ac:dyDescent="0.35">
      <c r="A1053" s="92"/>
      <c r="F1053" s="726"/>
      <c r="G1053" s="735"/>
      <c r="H1053" s="93"/>
      <c r="I1053" s="750"/>
      <c r="J1053" s="750"/>
    </row>
    <row r="1054" spans="1:10" x14ac:dyDescent="0.35">
      <c r="A1054" s="92"/>
      <c r="F1054" s="726"/>
      <c r="G1054" s="735"/>
      <c r="H1054" s="93"/>
      <c r="I1054" s="750"/>
      <c r="J1054" s="750"/>
    </row>
    <row r="1055" spans="1:10" x14ac:dyDescent="0.35">
      <c r="A1055" s="92"/>
      <c r="F1055" s="726"/>
      <c r="G1055" s="735"/>
      <c r="H1055" s="93"/>
      <c r="I1055" s="750"/>
      <c r="J1055" s="750"/>
    </row>
    <row r="1056" spans="1:10" x14ac:dyDescent="0.35">
      <c r="A1056" s="92"/>
      <c r="F1056" s="726"/>
      <c r="G1056" s="735"/>
      <c r="H1056" s="93"/>
      <c r="I1056" s="750"/>
      <c r="J1056" s="750"/>
    </row>
    <row r="1057" spans="1:10" x14ac:dyDescent="0.35">
      <c r="A1057" s="92"/>
      <c r="F1057" s="726"/>
      <c r="G1057" s="735"/>
      <c r="H1057" s="93"/>
      <c r="I1057" s="750"/>
      <c r="J1057" s="750"/>
    </row>
    <row r="1058" spans="1:10" x14ac:dyDescent="0.35">
      <c r="A1058" s="92"/>
      <c r="F1058" s="726"/>
      <c r="G1058" s="735"/>
      <c r="H1058" s="93"/>
      <c r="I1058" s="750"/>
      <c r="J1058" s="750"/>
    </row>
    <row r="1059" spans="1:10" x14ac:dyDescent="0.35">
      <c r="A1059" s="92"/>
      <c r="F1059" s="726"/>
      <c r="G1059" s="735"/>
      <c r="H1059" s="93"/>
      <c r="I1059" s="750"/>
      <c r="J1059" s="750"/>
    </row>
    <row r="1060" spans="1:10" x14ac:dyDescent="0.35">
      <c r="A1060" s="92"/>
      <c r="F1060" s="726"/>
      <c r="G1060" s="735"/>
      <c r="H1060" s="93"/>
      <c r="I1060" s="750"/>
      <c r="J1060" s="750"/>
    </row>
    <row r="1061" spans="1:10" x14ac:dyDescent="0.35">
      <c r="A1061" s="92"/>
      <c r="F1061" s="726"/>
      <c r="G1061" s="735"/>
      <c r="H1061" s="93"/>
      <c r="I1061" s="750"/>
      <c r="J1061" s="750"/>
    </row>
    <row r="1062" spans="1:10" x14ac:dyDescent="0.35">
      <c r="A1062" s="92"/>
      <c r="F1062" s="726"/>
      <c r="G1062" s="735"/>
      <c r="H1062" s="93"/>
      <c r="I1062" s="750"/>
      <c r="J1062" s="750"/>
    </row>
    <row r="1063" spans="1:10" x14ac:dyDescent="0.35">
      <c r="A1063" s="92"/>
      <c r="F1063" s="726"/>
      <c r="G1063" s="735"/>
      <c r="H1063" s="93"/>
      <c r="I1063" s="750"/>
      <c r="J1063" s="750"/>
    </row>
    <row r="1064" spans="1:10" x14ac:dyDescent="0.35">
      <c r="A1064" s="92"/>
      <c r="F1064" s="726"/>
      <c r="G1064" s="735"/>
      <c r="H1064" s="93"/>
      <c r="I1064" s="750"/>
      <c r="J1064" s="750"/>
    </row>
    <row r="1065" spans="1:10" x14ac:dyDescent="0.35">
      <c r="A1065" s="92"/>
      <c r="F1065" s="726"/>
      <c r="G1065" s="735"/>
      <c r="H1065" s="93"/>
      <c r="I1065" s="750"/>
      <c r="J1065" s="750"/>
    </row>
    <row r="1066" spans="1:10" x14ac:dyDescent="0.35">
      <c r="A1066" s="92"/>
      <c r="F1066" s="726"/>
      <c r="G1066" s="735"/>
      <c r="H1066" s="93"/>
      <c r="I1066" s="750"/>
      <c r="J1066" s="750"/>
    </row>
    <row r="1067" spans="1:10" x14ac:dyDescent="0.35">
      <c r="A1067" s="92"/>
      <c r="F1067" s="726"/>
      <c r="G1067" s="735"/>
      <c r="H1067" s="93"/>
      <c r="I1067" s="750"/>
      <c r="J1067" s="750"/>
    </row>
    <row r="1068" spans="1:10" x14ac:dyDescent="0.35">
      <c r="A1068" s="92"/>
      <c r="F1068" s="726"/>
      <c r="G1068" s="735"/>
      <c r="H1068" s="93"/>
      <c r="I1068" s="750"/>
      <c r="J1068" s="750"/>
    </row>
    <row r="1069" spans="1:10" x14ac:dyDescent="0.35">
      <c r="A1069" s="92"/>
      <c r="F1069" s="726"/>
      <c r="G1069" s="735"/>
      <c r="H1069" s="93"/>
      <c r="I1069" s="750"/>
      <c r="J1069" s="750"/>
    </row>
    <row r="1070" spans="1:10" x14ac:dyDescent="0.35">
      <c r="A1070" s="92"/>
      <c r="F1070" s="726"/>
      <c r="G1070" s="735"/>
      <c r="H1070" s="93"/>
      <c r="I1070" s="750"/>
      <c r="J1070" s="750"/>
    </row>
    <row r="1071" spans="1:10" x14ac:dyDescent="0.35">
      <c r="A1071" s="92"/>
      <c r="F1071" s="726"/>
      <c r="G1071" s="735"/>
      <c r="H1071" s="93"/>
      <c r="I1071" s="750"/>
      <c r="J1071" s="750"/>
    </row>
    <row r="1072" spans="1:10" x14ac:dyDescent="0.35">
      <c r="A1072" s="92"/>
      <c r="F1072" s="726"/>
      <c r="G1072" s="735"/>
      <c r="H1072" s="93"/>
      <c r="I1072" s="750"/>
      <c r="J1072" s="750"/>
    </row>
    <row r="1073" spans="1:10" x14ac:dyDescent="0.35">
      <c r="A1073" s="92"/>
      <c r="F1073" s="726"/>
      <c r="G1073" s="735"/>
      <c r="H1073" s="93"/>
      <c r="I1073" s="750"/>
      <c r="J1073" s="750"/>
    </row>
    <row r="1074" spans="1:10" x14ac:dyDescent="0.35">
      <c r="A1074" s="92"/>
      <c r="F1074" s="726"/>
      <c r="G1074" s="735"/>
      <c r="H1074" s="93"/>
      <c r="I1074" s="750"/>
      <c r="J1074" s="750"/>
    </row>
    <row r="1075" spans="1:10" x14ac:dyDescent="0.35">
      <c r="A1075" s="92"/>
      <c r="F1075" s="726"/>
      <c r="G1075" s="735"/>
      <c r="H1075" s="93"/>
      <c r="I1075" s="750"/>
      <c r="J1075" s="750"/>
    </row>
    <row r="1076" spans="1:10" x14ac:dyDescent="0.35">
      <c r="A1076" s="92"/>
      <c r="F1076" s="726"/>
      <c r="G1076" s="735"/>
      <c r="H1076" s="93"/>
      <c r="I1076" s="750"/>
      <c r="J1076" s="750"/>
    </row>
    <row r="1077" spans="1:10" x14ac:dyDescent="0.35">
      <c r="A1077" s="92"/>
      <c r="F1077" s="726"/>
      <c r="G1077" s="735"/>
      <c r="H1077" s="93"/>
      <c r="I1077" s="750"/>
      <c r="J1077" s="750"/>
    </row>
    <row r="1078" spans="1:10" x14ac:dyDescent="0.35">
      <c r="A1078" s="92"/>
      <c r="F1078" s="726"/>
      <c r="G1078" s="735"/>
      <c r="H1078" s="93"/>
      <c r="I1078" s="750"/>
      <c r="J1078" s="750"/>
    </row>
    <row r="1079" spans="1:10" x14ac:dyDescent="0.35">
      <c r="A1079" s="92"/>
      <c r="F1079" s="726"/>
      <c r="G1079" s="735"/>
      <c r="H1079" s="93"/>
      <c r="I1079" s="750"/>
      <c r="J1079" s="750"/>
    </row>
    <row r="1080" spans="1:10" x14ac:dyDescent="0.35">
      <c r="A1080" s="92"/>
      <c r="F1080" s="726"/>
      <c r="G1080" s="735"/>
      <c r="H1080" s="93"/>
      <c r="I1080" s="750"/>
      <c r="J1080" s="750"/>
    </row>
    <row r="1081" spans="1:10" x14ac:dyDescent="0.35">
      <c r="A1081" s="92"/>
      <c r="F1081" s="726"/>
      <c r="G1081" s="735"/>
      <c r="H1081" s="93"/>
      <c r="I1081" s="750"/>
      <c r="J1081" s="750"/>
    </row>
    <row r="1082" spans="1:10" x14ac:dyDescent="0.35">
      <c r="A1082" s="92"/>
      <c r="F1082" s="726"/>
      <c r="G1082" s="735"/>
      <c r="H1082" s="93"/>
      <c r="I1082" s="750"/>
      <c r="J1082" s="750"/>
    </row>
    <row r="1083" spans="1:10" x14ac:dyDescent="0.35">
      <c r="A1083" s="92"/>
      <c r="F1083" s="726"/>
      <c r="G1083" s="735"/>
      <c r="H1083" s="93"/>
      <c r="I1083" s="750"/>
      <c r="J1083" s="750"/>
    </row>
    <row r="1084" spans="1:10" x14ac:dyDescent="0.35">
      <c r="A1084" s="92"/>
      <c r="F1084" s="726"/>
      <c r="G1084" s="735"/>
      <c r="H1084" s="93"/>
      <c r="I1084" s="750"/>
      <c r="J1084" s="750"/>
    </row>
    <row r="1085" spans="1:10" x14ac:dyDescent="0.35">
      <c r="A1085" s="92"/>
      <c r="F1085" s="726"/>
      <c r="G1085" s="735"/>
      <c r="H1085" s="93"/>
      <c r="I1085" s="750"/>
      <c r="J1085" s="750"/>
    </row>
    <row r="1086" spans="1:10" x14ac:dyDescent="0.35">
      <c r="A1086" s="92"/>
      <c r="F1086" s="726"/>
      <c r="G1086" s="735"/>
      <c r="H1086" s="93"/>
      <c r="I1086" s="750"/>
      <c r="J1086" s="750"/>
    </row>
    <row r="1087" spans="1:10" x14ac:dyDescent="0.35">
      <c r="A1087" s="92"/>
      <c r="F1087" s="726"/>
      <c r="G1087" s="735"/>
      <c r="H1087" s="93"/>
      <c r="I1087" s="750"/>
      <c r="J1087" s="750"/>
    </row>
    <row r="1088" spans="1:10" x14ac:dyDescent="0.35">
      <c r="A1088" s="92"/>
      <c r="F1088" s="726"/>
      <c r="G1088" s="735"/>
      <c r="H1088" s="93"/>
      <c r="I1088" s="750"/>
      <c r="J1088" s="750"/>
    </row>
    <row r="1089" spans="1:10" x14ac:dyDescent="0.35">
      <c r="A1089" s="92"/>
      <c r="F1089" s="726"/>
      <c r="G1089" s="735"/>
      <c r="H1089" s="93"/>
      <c r="I1089" s="750"/>
      <c r="J1089" s="750"/>
    </row>
    <row r="1090" spans="1:10" x14ac:dyDescent="0.35">
      <c r="A1090" s="92"/>
      <c r="F1090" s="726"/>
      <c r="G1090" s="735"/>
      <c r="H1090" s="93"/>
      <c r="I1090" s="750"/>
      <c r="J1090" s="750"/>
    </row>
    <row r="1091" spans="1:10" x14ac:dyDescent="0.35">
      <c r="A1091" s="92"/>
      <c r="F1091" s="726"/>
      <c r="G1091" s="735"/>
      <c r="H1091" s="93"/>
      <c r="I1091" s="750"/>
      <c r="J1091" s="750"/>
    </row>
    <row r="1092" spans="1:10" x14ac:dyDescent="0.35">
      <c r="A1092" s="92"/>
      <c r="F1092" s="726"/>
      <c r="G1092" s="735"/>
      <c r="H1092" s="93"/>
      <c r="I1092" s="750"/>
      <c r="J1092" s="750"/>
    </row>
    <row r="1093" spans="1:10" x14ac:dyDescent="0.35">
      <c r="A1093" s="92"/>
      <c r="F1093" s="726"/>
      <c r="G1093" s="735"/>
      <c r="H1093" s="93"/>
      <c r="I1093" s="750"/>
      <c r="J1093" s="750"/>
    </row>
    <row r="1094" spans="1:10" x14ac:dyDescent="0.35">
      <c r="A1094" s="92"/>
      <c r="F1094" s="726"/>
      <c r="G1094" s="735"/>
      <c r="H1094" s="93"/>
      <c r="I1094" s="750"/>
      <c r="J1094" s="750"/>
    </row>
    <row r="1095" spans="1:10" x14ac:dyDescent="0.35">
      <c r="A1095" s="92"/>
      <c r="F1095" s="726"/>
      <c r="G1095" s="735"/>
      <c r="H1095" s="93"/>
      <c r="I1095" s="750"/>
      <c r="J1095" s="750"/>
    </row>
    <row r="1096" spans="1:10" x14ac:dyDescent="0.35">
      <c r="A1096" s="92"/>
      <c r="F1096" s="726"/>
      <c r="G1096" s="735"/>
      <c r="H1096" s="93"/>
      <c r="I1096" s="750"/>
      <c r="J1096" s="750"/>
    </row>
    <row r="1097" spans="1:10" x14ac:dyDescent="0.35">
      <c r="A1097" s="92"/>
      <c r="F1097" s="726"/>
      <c r="G1097" s="735"/>
      <c r="H1097" s="93"/>
      <c r="I1097" s="750"/>
      <c r="J1097" s="750"/>
    </row>
    <row r="1098" spans="1:10" x14ac:dyDescent="0.35">
      <c r="A1098" s="92"/>
      <c r="F1098" s="726"/>
      <c r="G1098" s="735"/>
      <c r="H1098" s="93"/>
      <c r="I1098" s="750"/>
      <c r="J1098" s="750"/>
    </row>
    <row r="1099" spans="1:10" x14ac:dyDescent="0.35">
      <c r="A1099" s="92"/>
      <c r="F1099" s="726"/>
      <c r="G1099" s="735"/>
      <c r="H1099" s="93"/>
      <c r="I1099" s="750"/>
      <c r="J1099" s="750"/>
    </row>
    <row r="1100" spans="1:10" x14ac:dyDescent="0.35">
      <c r="A1100" s="92"/>
      <c r="F1100" s="726"/>
      <c r="G1100" s="735"/>
      <c r="H1100" s="93"/>
      <c r="I1100" s="750"/>
      <c r="J1100" s="750"/>
    </row>
    <row r="1101" spans="1:10" x14ac:dyDescent="0.35">
      <c r="A1101" s="92"/>
      <c r="F1101" s="726"/>
      <c r="G1101" s="735"/>
      <c r="H1101" s="93"/>
      <c r="I1101" s="750"/>
      <c r="J1101" s="750"/>
    </row>
    <row r="1102" spans="1:10" x14ac:dyDescent="0.35">
      <c r="A1102" s="92"/>
      <c r="F1102" s="726"/>
      <c r="G1102" s="735"/>
      <c r="H1102" s="93"/>
      <c r="I1102" s="750"/>
      <c r="J1102" s="750"/>
    </row>
    <row r="1103" spans="1:10" x14ac:dyDescent="0.35">
      <c r="A1103" s="92"/>
      <c r="F1103" s="726"/>
      <c r="G1103" s="735"/>
      <c r="H1103" s="93"/>
      <c r="I1103" s="750"/>
      <c r="J1103" s="750"/>
    </row>
    <row r="1104" spans="1:10" x14ac:dyDescent="0.35">
      <c r="A1104" s="92"/>
      <c r="F1104" s="726"/>
      <c r="G1104" s="735"/>
      <c r="H1104" s="93"/>
      <c r="I1104" s="750"/>
      <c r="J1104" s="750"/>
    </row>
    <row r="1105" spans="1:10" x14ac:dyDescent="0.35">
      <c r="A1105" s="92"/>
      <c r="F1105" s="726"/>
      <c r="G1105" s="735"/>
      <c r="H1105" s="93"/>
      <c r="I1105" s="750"/>
      <c r="J1105" s="750"/>
    </row>
    <row r="1106" spans="1:10" x14ac:dyDescent="0.35">
      <c r="A1106" s="92"/>
      <c r="F1106" s="726"/>
      <c r="G1106" s="735"/>
      <c r="H1106" s="93"/>
      <c r="I1106" s="750"/>
      <c r="J1106" s="750"/>
    </row>
    <row r="1107" spans="1:10" x14ac:dyDescent="0.35">
      <c r="A1107" s="92"/>
      <c r="F1107" s="726"/>
      <c r="G1107" s="735"/>
      <c r="H1107" s="93"/>
      <c r="I1107" s="750"/>
      <c r="J1107" s="750"/>
    </row>
    <row r="1108" spans="1:10" x14ac:dyDescent="0.35">
      <c r="A1108" s="92"/>
      <c r="F1108" s="726"/>
      <c r="G1108" s="735"/>
      <c r="H1108" s="93"/>
      <c r="I1108" s="750"/>
      <c r="J1108" s="750"/>
    </row>
    <row r="1109" spans="1:10" x14ac:dyDescent="0.35">
      <c r="A1109" s="92"/>
      <c r="F1109" s="726"/>
      <c r="G1109" s="735"/>
      <c r="H1109" s="93"/>
      <c r="I1109" s="750"/>
      <c r="J1109" s="750"/>
    </row>
    <row r="1110" spans="1:10" x14ac:dyDescent="0.35">
      <c r="A1110" s="92"/>
      <c r="F1110" s="726"/>
      <c r="G1110" s="735"/>
      <c r="H1110" s="93"/>
      <c r="I1110" s="750"/>
      <c r="J1110" s="750"/>
    </row>
    <row r="1111" spans="1:10" x14ac:dyDescent="0.35">
      <c r="A1111" s="92"/>
      <c r="F1111" s="726"/>
      <c r="G1111" s="735"/>
      <c r="H1111" s="93"/>
      <c r="I1111" s="750"/>
      <c r="J1111" s="750"/>
    </row>
    <row r="1112" spans="1:10" x14ac:dyDescent="0.35">
      <c r="A1112" s="92"/>
      <c r="F1112" s="726"/>
      <c r="G1112" s="735"/>
      <c r="H1112" s="93"/>
      <c r="I1112" s="750"/>
      <c r="J1112" s="750"/>
    </row>
    <row r="1113" spans="1:10" x14ac:dyDescent="0.35">
      <c r="A1113" s="92"/>
      <c r="F1113" s="726"/>
      <c r="G1113" s="735"/>
      <c r="H1113" s="93"/>
      <c r="I1113" s="750"/>
      <c r="J1113" s="750"/>
    </row>
    <row r="1114" spans="1:10" x14ac:dyDescent="0.35">
      <c r="A1114" s="92"/>
      <c r="F1114" s="726"/>
      <c r="G1114" s="735"/>
      <c r="H1114" s="93"/>
      <c r="I1114" s="750"/>
      <c r="J1114" s="750"/>
    </row>
    <row r="1115" spans="1:10" x14ac:dyDescent="0.35">
      <c r="A1115" s="92"/>
      <c r="F1115" s="726"/>
      <c r="G1115" s="735"/>
      <c r="H1115" s="93"/>
      <c r="I1115" s="750"/>
      <c r="J1115" s="750"/>
    </row>
    <row r="1116" spans="1:10" x14ac:dyDescent="0.35">
      <c r="A1116" s="92"/>
      <c r="F1116" s="726"/>
      <c r="G1116" s="735"/>
      <c r="H1116" s="93"/>
      <c r="I1116" s="750"/>
      <c r="J1116" s="750"/>
    </row>
    <row r="1117" spans="1:10" x14ac:dyDescent="0.35">
      <c r="A1117" s="92"/>
      <c r="F1117" s="726"/>
      <c r="G1117" s="735"/>
      <c r="H1117" s="93"/>
      <c r="I1117" s="750"/>
      <c r="J1117" s="750"/>
    </row>
    <row r="1118" spans="1:10" x14ac:dyDescent="0.35">
      <c r="A1118" s="92"/>
      <c r="F1118" s="726"/>
      <c r="G1118" s="735"/>
      <c r="H1118" s="93"/>
      <c r="I1118" s="750"/>
      <c r="J1118" s="750"/>
    </row>
    <row r="1119" spans="1:10" x14ac:dyDescent="0.35">
      <c r="A1119" s="92"/>
      <c r="F1119" s="726"/>
      <c r="G1119" s="735"/>
      <c r="H1119" s="93"/>
      <c r="I1119" s="750"/>
      <c r="J1119" s="750"/>
    </row>
    <row r="1120" spans="1:10" x14ac:dyDescent="0.35">
      <c r="A1120" s="92"/>
      <c r="F1120" s="726"/>
      <c r="G1120" s="735"/>
      <c r="H1120" s="93"/>
      <c r="I1120" s="750"/>
      <c r="J1120" s="750"/>
    </row>
    <row r="1121" spans="1:10" x14ac:dyDescent="0.35">
      <c r="A1121" s="92"/>
      <c r="F1121" s="726"/>
      <c r="G1121" s="735"/>
      <c r="H1121" s="93"/>
      <c r="I1121" s="750"/>
      <c r="J1121" s="750"/>
    </row>
    <row r="1122" spans="1:10" x14ac:dyDescent="0.35">
      <c r="A1122" s="92"/>
      <c r="F1122" s="726"/>
      <c r="G1122" s="735"/>
      <c r="H1122" s="93"/>
      <c r="I1122" s="750"/>
      <c r="J1122" s="750"/>
    </row>
    <row r="1123" spans="1:10" x14ac:dyDescent="0.35">
      <c r="A1123" s="92"/>
      <c r="F1123" s="726"/>
      <c r="G1123" s="735"/>
      <c r="H1123" s="93"/>
      <c r="I1123" s="750"/>
      <c r="J1123" s="750"/>
    </row>
    <row r="1124" spans="1:10" x14ac:dyDescent="0.35">
      <c r="A1124" s="92"/>
      <c r="F1124" s="726"/>
      <c r="G1124" s="735"/>
      <c r="H1124" s="93"/>
      <c r="I1124" s="750"/>
      <c r="J1124" s="750"/>
    </row>
    <row r="1125" spans="1:10" x14ac:dyDescent="0.35">
      <c r="A1125" s="92"/>
      <c r="F1125" s="726"/>
      <c r="G1125" s="735"/>
      <c r="H1125" s="93"/>
      <c r="I1125" s="750"/>
      <c r="J1125" s="750"/>
    </row>
    <row r="1126" spans="1:10" x14ac:dyDescent="0.35">
      <c r="A1126" s="92"/>
      <c r="F1126" s="726"/>
      <c r="G1126" s="735"/>
      <c r="H1126" s="93"/>
      <c r="I1126" s="750"/>
      <c r="J1126" s="750"/>
    </row>
    <row r="1127" spans="1:10" x14ac:dyDescent="0.35">
      <c r="A1127" s="92"/>
      <c r="F1127" s="726"/>
      <c r="G1127" s="735"/>
      <c r="H1127" s="93"/>
      <c r="I1127" s="750"/>
      <c r="J1127" s="750"/>
    </row>
    <row r="1128" spans="1:10" x14ac:dyDescent="0.35">
      <c r="A1128" s="92"/>
      <c r="F1128" s="726"/>
      <c r="G1128" s="735"/>
      <c r="H1128" s="93"/>
      <c r="I1128" s="750"/>
      <c r="J1128" s="750"/>
    </row>
    <row r="1129" spans="1:10" x14ac:dyDescent="0.35">
      <c r="A1129" s="92"/>
      <c r="F1129" s="726"/>
      <c r="G1129" s="735"/>
      <c r="H1129" s="93"/>
      <c r="I1129" s="750"/>
      <c r="J1129" s="750"/>
    </row>
    <row r="1130" spans="1:10" x14ac:dyDescent="0.35">
      <c r="A1130" s="92"/>
      <c r="F1130" s="726"/>
      <c r="G1130" s="735"/>
      <c r="H1130" s="93"/>
      <c r="I1130" s="750"/>
      <c r="J1130" s="750"/>
    </row>
    <row r="1131" spans="1:10" x14ac:dyDescent="0.35">
      <c r="A1131" s="92"/>
      <c r="F1131" s="726"/>
      <c r="G1131" s="735"/>
      <c r="H1131" s="93"/>
      <c r="I1131" s="750"/>
      <c r="J1131" s="750"/>
    </row>
    <row r="1132" spans="1:10" x14ac:dyDescent="0.35">
      <c r="A1132" s="92"/>
      <c r="F1132" s="726"/>
      <c r="G1132" s="735"/>
      <c r="H1132" s="93"/>
      <c r="I1132" s="750"/>
      <c r="J1132" s="750"/>
    </row>
    <row r="1133" spans="1:10" x14ac:dyDescent="0.35">
      <c r="A1133" s="92"/>
      <c r="F1133" s="726"/>
      <c r="G1133" s="735"/>
      <c r="H1133" s="93"/>
      <c r="I1133" s="750"/>
      <c r="J1133" s="750"/>
    </row>
    <row r="1134" spans="1:10" x14ac:dyDescent="0.35">
      <c r="A1134" s="92"/>
      <c r="F1134" s="726"/>
      <c r="G1134" s="735"/>
      <c r="H1134" s="93"/>
      <c r="I1134" s="750"/>
      <c r="J1134" s="750"/>
    </row>
    <row r="1135" spans="1:10" x14ac:dyDescent="0.35">
      <c r="A1135" s="92"/>
      <c r="F1135" s="726"/>
      <c r="G1135" s="735"/>
      <c r="H1135" s="93"/>
      <c r="I1135" s="750"/>
      <c r="J1135" s="750"/>
    </row>
    <row r="1136" spans="1:10" x14ac:dyDescent="0.35">
      <c r="A1136" s="92"/>
      <c r="F1136" s="726"/>
      <c r="G1136" s="735"/>
      <c r="H1136" s="93"/>
      <c r="I1136" s="750"/>
      <c r="J1136" s="750"/>
    </row>
    <row r="1137" spans="1:10" x14ac:dyDescent="0.35">
      <c r="A1137" s="92"/>
      <c r="F1137" s="726"/>
      <c r="G1137" s="735"/>
      <c r="H1137" s="93"/>
      <c r="I1137" s="750"/>
      <c r="J1137" s="750"/>
    </row>
    <row r="1138" spans="1:10" x14ac:dyDescent="0.35">
      <c r="A1138" s="92"/>
      <c r="F1138" s="726"/>
      <c r="G1138" s="735"/>
      <c r="H1138" s="93"/>
      <c r="I1138" s="750"/>
      <c r="J1138" s="750"/>
    </row>
    <row r="1139" spans="1:10" x14ac:dyDescent="0.35">
      <c r="A1139" s="92"/>
      <c r="F1139" s="726"/>
      <c r="G1139" s="735"/>
      <c r="H1139" s="93"/>
      <c r="I1139" s="750"/>
      <c r="J1139" s="750"/>
    </row>
    <row r="1140" spans="1:10" x14ac:dyDescent="0.35">
      <c r="A1140" s="92"/>
      <c r="F1140" s="726"/>
      <c r="G1140" s="735"/>
      <c r="H1140" s="93"/>
      <c r="I1140" s="750"/>
      <c r="J1140" s="750"/>
    </row>
    <row r="1141" spans="1:10" x14ac:dyDescent="0.35">
      <c r="A1141" s="92"/>
      <c r="F1141" s="726"/>
      <c r="G1141" s="735"/>
      <c r="H1141" s="93"/>
      <c r="I1141" s="750"/>
      <c r="J1141" s="750"/>
    </row>
    <row r="1142" spans="1:10" x14ac:dyDescent="0.35">
      <c r="A1142" s="92"/>
      <c r="F1142" s="726"/>
      <c r="G1142" s="735"/>
      <c r="H1142" s="93"/>
      <c r="I1142" s="750"/>
      <c r="J1142" s="750"/>
    </row>
    <row r="1143" spans="1:10" x14ac:dyDescent="0.35">
      <c r="A1143" s="92"/>
      <c r="F1143" s="726"/>
      <c r="G1143" s="735"/>
      <c r="H1143" s="93"/>
      <c r="I1143" s="750"/>
      <c r="J1143" s="750"/>
    </row>
    <row r="1144" spans="1:10" x14ac:dyDescent="0.35">
      <c r="A1144" s="92"/>
      <c r="F1144" s="726"/>
      <c r="G1144" s="735"/>
      <c r="H1144" s="93"/>
      <c r="I1144" s="750"/>
      <c r="J1144" s="750"/>
    </row>
    <row r="1145" spans="1:10" x14ac:dyDescent="0.35">
      <c r="A1145" s="92"/>
      <c r="F1145" s="726"/>
      <c r="G1145" s="735"/>
      <c r="H1145" s="93"/>
      <c r="I1145" s="750"/>
      <c r="J1145" s="750"/>
    </row>
    <row r="1146" spans="1:10" x14ac:dyDescent="0.35">
      <c r="A1146" s="92"/>
      <c r="F1146" s="726"/>
      <c r="G1146" s="735"/>
      <c r="H1146" s="93"/>
      <c r="I1146" s="750"/>
      <c r="J1146" s="750"/>
    </row>
    <row r="1147" spans="1:10" x14ac:dyDescent="0.35">
      <c r="A1147" s="92"/>
      <c r="F1147" s="726"/>
      <c r="G1147" s="735"/>
      <c r="H1147" s="93"/>
      <c r="I1147" s="750"/>
      <c r="J1147" s="750"/>
    </row>
    <row r="1148" spans="1:10" x14ac:dyDescent="0.35">
      <c r="A1148" s="92"/>
      <c r="F1148" s="726"/>
      <c r="G1148" s="735"/>
      <c r="H1148" s="93"/>
      <c r="I1148" s="750"/>
      <c r="J1148" s="750"/>
    </row>
    <row r="1149" spans="1:10" x14ac:dyDescent="0.35">
      <c r="A1149" s="92"/>
      <c r="F1149" s="726"/>
      <c r="G1149" s="735"/>
      <c r="H1149" s="93"/>
      <c r="I1149" s="750"/>
      <c r="J1149" s="750"/>
    </row>
    <row r="1150" spans="1:10" x14ac:dyDescent="0.35">
      <c r="A1150" s="92"/>
      <c r="F1150" s="726"/>
      <c r="G1150" s="735"/>
      <c r="H1150" s="93"/>
      <c r="I1150" s="750"/>
      <c r="J1150" s="750"/>
    </row>
    <row r="1151" spans="1:10" x14ac:dyDescent="0.35">
      <c r="A1151" s="92"/>
      <c r="F1151" s="726"/>
      <c r="G1151" s="735"/>
      <c r="H1151" s="93"/>
      <c r="I1151" s="750"/>
      <c r="J1151" s="750"/>
    </row>
    <row r="1152" spans="1:10" x14ac:dyDescent="0.35">
      <c r="A1152" s="92"/>
      <c r="F1152" s="726"/>
      <c r="G1152" s="735"/>
      <c r="H1152" s="93"/>
      <c r="I1152" s="750"/>
      <c r="J1152" s="750"/>
    </row>
    <row r="1153" spans="1:10" x14ac:dyDescent="0.35">
      <c r="A1153" s="92"/>
      <c r="F1153" s="726"/>
      <c r="G1153" s="735"/>
      <c r="H1153" s="93"/>
      <c r="I1153" s="750"/>
      <c r="J1153" s="750"/>
    </row>
    <row r="1154" spans="1:10" x14ac:dyDescent="0.35">
      <c r="A1154" s="92"/>
      <c r="F1154" s="726"/>
      <c r="G1154" s="735"/>
      <c r="H1154" s="93"/>
      <c r="I1154" s="750"/>
      <c r="J1154" s="750"/>
    </row>
    <row r="1155" spans="1:10" x14ac:dyDescent="0.35">
      <c r="A1155" s="92"/>
      <c r="F1155" s="726"/>
      <c r="G1155" s="735"/>
      <c r="H1155" s="93"/>
      <c r="I1155" s="750"/>
      <c r="J1155" s="750"/>
    </row>
    <row r="1156" spans="1:10" x14ac:dyDescent="0.35">
      <c r="A1156" s="92"/>
      <c r="F1156" s="726"/>
      <c r="G1156" s="735"/>
      <c r="H1156" s="93"/>
      <c r="I1156" s="750"/>
      <c r="J1156" s="750"/>
    </row>
    <row r="1157" spans="1:10" x14ac:dyDescent="0.35">
      <c r="A1157" s="92"/>
      <c r="F1157" s="726"/>
      <c r="G1157" s="735"/>
      <c r="H1157" s="93"/>
      <c r="I1157" s="750"/>
      <c r="J1157" s="750"/>
    </row>
    <row r="1158" spans="1:10" x14ac:dyDescent="0.35">
      <c r="A1158" s="92"/>
      <c r="F1158" s="726"/>
      <c r="G1158" s="735"/>
      <c r="H1158" s="93"/>
      <c r="I1158" s="750"/>
      <c r="J1158" s="750"/>
    </row>
    <row r="1159" spans="1:10" x14ac:dyDescent="0.35">
      <c r="A1159" s="92"/>
      <c r="F1159" s="726"/>
      <c r="G1159" s="735"/>
      <c r="H1159" s="93"/>
      <c r="I1159" s="750"/>
      <c r="J1159" s="750"/>
    </row>
    <row r="1160" spans="1:10" x14ac:dyDescent="0.35">
      <c r="A1160" s="92"/>
      <c r="F1160" s="726"/>
      <c r="G1160" s="735"/>
      <c r="H1160" s="93"/>
      <c r="I1160" s="750"/>
      <c r="J1160" s="750"/>
    </row>
    <row r="1161" spans="1:10" x14ac:dyDescent="0.35">
      <c r="A1161" s="92"/>
      <c r="F1161" s="726"/>
      <c r="G1161" s="735"/>
      <c r="H1161" s="93"/>
      <c r="I1161" s="750"/>
      <c r="J1161" s="750"/>
    </row>
    <row r="1162" spans="1:10" x14ac:dyDescent="0.35">
      <c r="A1162" s="92"/>
      <c r="F1162" s="726"/>
      <c r="G1162" s="735"/>
      <c r="H1162" s="93"/>
      <c r="I1162" s="750"/>
      <c r="J1162" s="750"/>
    </row>
    <row r="1163" spans="1:10" x14ac:dyDescent="0.35">
      <c r="A1163" s="92"/>
      <c r="F1163" s="726"/>
      <c r="G1163" s="735"/>
      <c r="H1163" s="93"/>
      <c r="I1163" s="750"/>
      <c r="J1163" s="750"/>
    </row>
    <row r="1164" spans="1:10" x14ac:dyDescent="0.35">
      <c r="A1164" s="92"/>
      <c r="F1164" s="726"/>
      <c r="G1164" s="735"/>
      <c r="H1164" s="93"/>
      <c r="I1164" s="750"/>
      <c r="J1164" s="750"/>
    </row>
    <row r="1165" spans="1:10" x14ac:dyDescent="0.35">
      <c r="A1165" s="92"/>
      <c r="F1165" s="726"/>
      <c r="G1165" s="735"/>
      <c r="H1165" s="93"/>
      <c r="I1165" s="750"/>
      <c r="J1165" s="750"/>
    </row>
    <row r="1166" spans="1:10" x14ac:dyDescent="0.35">
      <c r="A1166" s="92"/>
      <c r="F1166" s="726"/>
      <c r="G1166" s="735"/>
      <c r="H1166" s="93"/>
      <c r="I1166" s="750"/>
      <c r="J1166" s="750"/>
    </row>
    <row r="1167" spans="1:10" x14ac:dyDescent="0.35">
      <c r="A1167" s="92"/>
      <c r="F1167" s="726"/>
      <c r="G1167" s="735"/>
      <c r="H1167" s="93"/>
      <c r="I1167" s="750"/>
      <c r="J1167" s="750"/>
    </row>
    <row r="1168" spans="1:10" x14ac:dyDescent="0.35">
      <c r="A1168" s="92"/>
      <c r="F1168" s="726"/>
      <c r="G1168" s="735"/>
      <c r="H1168" s="93"/>
      <c r="I1168" s="750"/>
      <c r="J1168" s="750"/>
    </row>
    <row r="1169" spans="1:10" x14ac:dyDescent="0.35">
      <c r="A1169" s="92"/>
      <c r="F1169" s="726"/>
      <c r="G1169" s="735"/>
      <c r="H1169" s="93"/>
      <c r="I1169" s="750"/>
      <c r="J1169" s="750"/>
    </row>
    <row r="1170" spans="1:10" x14ac:dyDescent="0.35">
      <c r="A1170" s="92"/>
      <c r="F1170" s="726"/>
      <c r="G1170" s="735"/>
      <c r="H1170" s="93"/>
      <c r="I1170" s="750"/>
      <c r="J1170" s="750"/>
    </row>
    <row r="1171" spans="1:10" x14ac:dyDescent="0.35">
      <c r="A1171" s="92"/>
      <c r="F1171" s="726"/>
      <c r="G1171" s="735"/>
      <c r="H1171" s="93"/>
      <c r="I1171" s="750"/>
      <c r="J1171" s="750"/>
    </row>
    <row r="1172" spans="1:10" x14ac:dyDescent="0.35">
      <c r="A1172" s="92"/>
      <c r="F1172" s="726"/>
      <c r="G1172" s="735"/>
      <c r="H1172" s="93"/>
      <c r="I1172" s="750"/>
      <c r="J1172" s="750"/>
    </row>
    <row r="1173" spans="1:10" x14ac:dyDescent="0.35">
      <c r="A1173" s="92"/>
      <c r="F1173" s="726"/>
      <c r="G1173" s="735"/>
      <c r="H1173" s="93"/>
      <c r="I1173" s="750"/>
      <c r="J1173" s="750"/>
    </row>
    <row r="1174" spans="1:10" x14ac:dyDescent="0.35">
      <c r="A1174" s="92"/>
      <c r="F1174" s="726"/>
      <c r="G1174" s="735"/>
      <c r="H1174" s="93"/>
      <c r="I1174" s="750"/>
      <c r="J1174" s="750"/>
    </row>
    <row r="1175" spans="1:10" x14ac:dyDescent="0.35">
      <c r="A1175" s="92"/>
      <c r="F1175" s="726"/>
      <c r="G1175" s="735"/>
      <c r="H1175" s="93"/>
      <c r="I1175" s="750"/>
      <c r="J1175" s="750"/>
    </row>
    <row r="1176" spans="1:10" x14ac:dyDescent="0.35">
      <c r="A1176" s="92"/>
      <c r="F1176" s="726"/>
      <c r="G1176" s="735"/>
      <c r="H1176" s="93"/>
      <c r="I1176" s="750"/>
      <c r="J1176" s="750"/>
    </row>
    <row r="1177" spans="1:10" x14ac:dyDescent="0.35">
      <c r="A1177" s="92"/>
      <c r="F1177" s="726"/>
      <c r="G1177" s="735"/>
      <c r="H1177" s="93"/>
      <c r="I1177" s="750"/>
      <c r="J1177" s="750"/>
    </row>
    <row r="1178" spans="1:10" x14ac:dyDescent="0.35">
      <c r="A1178" s="92"/>
      <c r="F1178" s="726"/>
      <c r="G1178" s="735"/>
      <c r="H1178" s="93"/>
      <c r="I1178" s="750"/>
      <c r="J1178" s="750"/>
    </row>
    <row r="1179" spans="1:10" x14ac:dyDescent="0.35">
      <c r="A1179" s="92"/>
      <c r="F1179" s="726"/>
      <c r="G1179" s="735"/>
      <c r="H1179" s="93"/>
      <c r="I1179" s="750"/>
      <c r="J1179" s="750"/>
    </row>
    <row r="1180" spans="1:10" x14ac:dyDescent="0.35">
      <c r="A1180" s="92"/>
      <c r="F1180" s="726"/>
      <c r="G1180" s="735"/>
      <c r="H1180" s="93"/>
      <c r="I1180" s="750"/>
      <c r="J1180" s="750"/>
    </row>
    <row r="1181" spans="1:10" x14ac:dyDescent="0.35">
      <c r="A1181" s="92"/>
      <c r="F1181" s="726"/>
      <c r="G1181" s="735"/>
      <c r="H1181" s="93"/>
      <c r="I1181" s="750"/>
      <c r="J1181" s="750"/>
    </row>
    <row r="1182" spans="1:10" x14ac:dyDescent="0.35">
      <c r="A1182" s="92"/>
      <c r="F1182" s="726"/>
      <c r="G1182" s="735"/>
      <c r="H1182" s="93"/>
      <c r="I1182" s="750"/>
      <c r="J1182" s="750"/>
    </row>
    <row r="1183" spans="1:10" x14ac:dyDescent="0.35">
      <c r="A1183" s="92"/>
      <c r="F1183" s="726"/>
      <c r="G1183" s="735"/>
      <c r="H1183" s="93"/>
      <c r="I1183" s="750"/>
      <c r="J1183" s="750"/>
    </row>
    <row r="1184" spans="1:10" x14ac:dyDescent="0.35">
      <c r="A1184" s="92"/>
      <c r="F1184" s="726"/>
      <c r="G1184" s="735"/>
      <c r="H1184" s="93"/>
      <c r="I1184" s="750"/>
      <c r="J1184" s="750"/>
    </row>
    <row r="1185" spans="1:10" x14ac:dyDescent="0.35">
      <c r="A1185" s="92"/>
      <c r="F1185" s="726"/>
      <c r="G1185" s="735"/>
      <c r="H1185" s="93"/>
      <c r="I1185" s="750"/>
      <c r="J1185" s="750"/>
    </row>
    <row r="1186" spans="1:10" x14ac:dyDescent="0.35">
      <c r="A1186" s="92"/>
      <c r="F1186" s="726"/>
      <c r="G1186" s="735"/>
      <c r="H1186" s="93"/>
      <c r="I1186" s="750"/>
      <c r="J1186" s="750"/>
    </row>
    <row r="1187" spans="1:10" x14ac:dyDescent="0.35">
      <c r="A1187" s="92"/>
      <c r="F1187" s="726"/>
      <c r="G1187" s="735"/>
      <c r="H1187" s="93"/>
      <c r="I1187" s="750"/>
      <c r="J1187" s="750"/>
    </row>
    <row r="1188" spans="1:10" x14ac:dyDescent="0.35">
      <c r="A1188" s="92"/>
      <c r="F1188" s="726"/>
      <c r="G1188" s="735"/>
      <c r="H1188" s="93"/>
      <c r="I1188" s="750"/>
      <c r="J1188" s="750"/>
    </row>
    <row r="1189" spans="1:10" x14ac:dyDescent="0.35">
      <c r="A1189" s="92"/>
      <c r="F1189" s="726"/>
      <c r="G1189" s="735"/>
      <c r="H1189" s="93"/>
      <c r="I1189" s="750"/>
      <c r="J1189" s="750"/>
    </row>
    <row r="1190" spans="1:10" x14ac:dyDescent="0.35">
      <c r="A1190" s="92"/>
      <c r="F1190" s="726"/>
      <c r="G1190" s="735"/>
      <c r="H1190" s="93"/>
      <c r="I1190" s="750"/>
      <c r="J1190" s="750"/>
    </row>
    <row r="1191" spans="1:10" x14ac:dyDescent="0.35">
      <c r="A1191" s="92"/>
      <c r="F1191" s="726"/>
      <c r="G1191" s="735"/>
      <c r="H1191" s="93"/>
      <c r="I1191" s="750"/>
      <c r="J1191" s="750"/>
    </row>
    <row r="1192" spans="1:10" x14ac:dyDescent="0.35">
      <c r="A1192" s="92"/>
      <c r="F1192" s="726"/>
      <c r="G1192" s="735"/>
      <c r="H1192" s="93"/>
      <c r="I1192" s="750"/>
      <c r="J1192" s="750"/>
    </row>
    <row r="1193" spans="1:10" x14ac:dyDescent="0.35">
      <c r="A1193" s="92"/>
      <c r="F1193" s="726"/>
      <c r="G1193" s="735"/>
      <c r="H1193" s="93"/>
      <c r="I1193" s="750"/>
      <c r="J1193" s="750"/>
    </row>
    <row r="1194" spans="1:10" x14ac:dyDescent="0.35">
      <c r="A1194" s="92"/>
      <c r="F1194" s="726"/>
      <c r="G1194" s="735"/>
      <c r="H1194" s="93"/>
      <c r="I1194" s="750"/>
      <c r="J1194" s="750"/>
    </row>
    <row r="1195" spans="1:10" x14ac:dyDescent="0.35">
      <c r="A1195" s="92"/>
      <c r="F1195" s="726"/>
      <c r="G1195" s="735"/>
      <c r="H1195" s="93"/>
      <c r="I1195" s="750"/>
      <c r="J1195" s="750"/>
    </row>
    <row r="1196" spans="1:10" x14ac:dyDescent="0.35">
      <c r="A1196" s="92"/>
      <c r="F1196" s="726"/>
      <c r="G1196" s="735"/>
      <c r="H1196" s="93"/>
      <c r="I1196" s="750"/>
      <c r="J1196" s="750"/>
    </row>
    <row r="1197" spans="1:10" x14ac:dyDescent="0.35">
      <c r="A1197" s="92"/>
      <c r="F1197" s="726"/>
      <c r="G1197" s="735"/>
      <c r="H1197" s="93"/>
      <c r="I1197" s="750"/>
      <c r="J1197" s="750"/>
    </row>
    <row r="1198" spans="1:10" x14ac:dyDescent="0.35">
      <c r="A1198" s="92"/>
      <c r="F1198" s="726"/>
      <c r="G1198" s="735"/>
      <c r="H1198" s="93"/>
      <c r="I1198" s="750"/>
      <c r="J1198" s="750"/>
    </row>
    <row r="1199" spans="1:10" x14ac:dyDescent="0.35">
      <c r="A1199" s="92"/>
      <c r="F1199" s="726"/>
      <c r="G1199" s="735"/>
      <c r="H1199" s="93"/>
      <c r="I1199" s="750"/>
      <c r="J1199" s="750"/>
    </row>
    <row r="1200" spans="1:10" x14ac:dyDescent="0.35">
      <c r="A1200" s="92"/>
      <c r="F1200" s="726"/>
      <c r="G1200" s="735"/>
      <c r="H1200" s="93"/>
      <c r="I1200" s="750"/>
      <c r="J1200" s="750"/>
    </row>
    <row r="1201" spans="1:10" x14ac:dyDescent="0.35">
      <c r="A1201" s="92"/>
      <c r="F1201" s="726"/>
      <c r="G1201" s="735"/>
      <c r="H1201" s="93"/>
      <c r="I1201" s="750"/>
      <c r="J1201" s="750"/>
    </row>
    <row r="1202" spans="1:10" x14ac:dyDescent="0.35">
      <c r="A1202" s="92"/>
      <c r="F1202" s="726"/>
      <c r="G1202" s="735"/>
      <c r="H1202" s="93"/>
      <c r="I1202" s="750"/>
      <c r="J1202" s="750"/>
    </row>
    <row r="1203" spans="1:10" x14ac:dyDescent="0.35">
      <c r="A1203" s="92"/>
      <c r="F1203" s="726"/>
      <c r="G1203" s="735"/>
      <c r="H1203" s="93"/>
      <c r="I1203" s="750"/>
      <c r="J1203" s="750"/>
    </row>
    <row r="1204" spans="1:10" x14ac:dyDescent="0.35">
      <c r="A1204" s="92"/>
      <c r="F1204" s="726"/>
      <c r="G1204" s="735"/>
      <c r="H1204" s="93"/>
      <c r="I1204" s="750"/>
      <c r="J1204" s="750"/>
    </row>
    <row r="1205" spans="1:10" x14ac:dyDescent="0.35">
      <c r="A1205" s="92"/>
      <c r="F1205" s="726"/>
      <c r="G1205" s="735"/>
      <c r="H1205" s="93"/>
      <c r="I1205" s="750"/>
      <c r="J1205" s="750"/>
    </row>
    <row r="1206" spans="1:10" x14ac:dyDescent="0.35">
      <c r="A1206" s="92"/>
      <c r="F1206" s="726"/>
      <c r="G1206" s="735"/>
      <c r="H1206" s="93"/>
      <c r="I1206" s="750"/>
      <c r="J1206" s="750"/>
    </row>
    <row r="1207" spans="1:10" x14ac:dyDescent="0.35">
      <c r="A1207" s="92"/>
      <c r="F1207" s="726"/>
      <c r="G1207" s="735"/>
      <c r="H1207" s="93"/>
      <c r="I1207" s="750"/>
      <c r="J1207" s="750"/>
    </row>
    <row r="1208" spans="1:10" x14ac:dyDescent="0.35">
      <c r="A1208" s="92"/>
      <c r="F1208" s="726"/>
      <c r="G1208" s="735"/>
      <c r="H1208" s="93"/>
      <c r="I1208" s="750"/>
      <c r="J1208" s="750"/>
    </row>
    <row r="1209" spans="1:10" x14ac:dyDescent="0.35">
      <c r="A1209" s="92"/>
      <c r="F1209" s="726"/>
      <c r="G1209" s="735"/>
      <c r="H1209" s="93"/>
      <c r="I1209" s="750"/>
      <c r="J1209" s="750"/>
    </row>
    <row r="1210" spans="1:10" x14ac:dyDescent="0.35">
      <c r="A1210" s="92"/>
      <c r="F1210" s="726"/>
      <c r="G1210" s="735"/>
      <c r="H1210" s="93"/>
      <c r="I1210" s="750"/>
      <c r="J1210" s="750"/>
    </row>
    <row r="1211" spans="1:10" x14ac:dyDescent="0.35">
      <c r="A1211" s="92"/>
      <c r="F1211" s="726"/>
      <c r="G1211" s="735"/>
      <c r="H1211" s="93"/>
      <c r="I1211" s="750"/>
      <c r="J1211" s="750"/>
    </row>
    <row r="1212" spans="1:10" x14ac:dyDescent="0.35">
      <c r="A1212" s="92"/>
      <c r="F1212" s="726"/>
      <c r="G1212" s="735"/>
      <c r="H1212" s="93"/>
      <c r="I1212" s="750"/>
      <c r="J1212" s="750"/>
    </row>
    <row r="1213" spans="1:10" x14ac:dyDescent="0.35">
      <c r="A1213" s="92"/>
      <c r="F1213" s="726"/>
      <c r="G1213" s="735"/>
      <c r="H1213" s="93"/>
      <c r="I1213" s="750"/>
      <c r="J1213" s="750"/>
    </row>
    <row r="1214" spans="1:10" x14ac:dyDescent="0.35">
      <c r="A1214" s="92"/>
      <c r="F1214" s="726"/>
      <c r="G1214" s="735"/>
      <c r="H1214" s="93"/>
      <c r="I1214" s="750"/>
      <c r="J1214" s="750"/>
    </row>
    <row r="1215" spans="1:10" x14ac:dyDescent="0.35">
      <c r="A1215" s="92"/>
      <c r="F1215" s="726"/>
      <c r="G1215" s="735"/>
      <c r="H1215" s="93"/>
      <c r="I1215" s="750"/>
      <c r="J1215" s="750"/>
    </row>
    <row r="1216" spans="1:10" x14ac:dyDescent="0.35">
      <c r="A1216" s="92"/>
      <c r="F1216" s="726"/>
      <c r="G1216" s="735"/>
      <c r="H1216" s="93"/>
      <c r="I1216" s="750"/>
      <c r="J1216" s="750"/>
    </row>
    <row r="1217" spans="1:10" x14ac:dyDescent="0.35">
      <c r="A1217" s="92"/>
      <c r="F1217" s="726"/>
      <c r="G1217" s="735"/>
      <c r="H1217" s="93"/>
      <c r="I1217" s="750"/>
      <c r="J1217" s="750"/>
    </row>
    <row r="1218" spans="1:10" x14ac:dyDescent="0.35">
      <c r="A1218" s="92"/>
      <c r="F1218" s="726"/>
      <c r="G1218" s="735"/>
      <c r="H1218" s="93"/>
      <c r="I1218" s="750"/>
      <c r="J1218" s="750"/>
    </row>
    <row r="1219" spans="1:10" x14ac:dyDescent="0.35">
      <c r="A1219" s="92"/>
      <c r="F1219" s="726"/>
      <c r="G1219" s="735"/>
      <c r="H1219" s="93"/>
      <c r="I1219" s="750"/>
      <c r="J1219" s="750"/>
    </row>
    <row r="1220" spans="1:10" x14ac:dyDescent="0.35">
      <c r="A1220" s="92"/>
      <c r="F1220" s="726"/>
      <c r="G1220" s="735"/>
      <c r="H1220" s="93"/>
      <c r="I1220" s="750"/>
      <c r="J1220" s="750"/>
    </row>
    <row r="1221" spans="1:10" x14ac:dyDescent="0.35">
      <c r="A1221" s="92"/>
      <c r="F1221" s="726"/>
      <c r="G1221" s="735"/>
      <c r="H1221" s="93"/>
      <c r="I1221" s="750"/>
      <c r="J1221" s="750"/>
    </row>
    <row r="1222" spans="1:10" x14ac:dyDescent="0.35">
      <c r="A1222" s="92"/>
      <c r="F1222" s="726"/>
      <c r="G1222" s="735"/>
      <c r="H1222" s="93"/>
      <c r="I1222" s="750"/>
      <c r="J1222" s="750"/>
    </row>
    <row r="1223" spans="1:10" x14ac:dyDescent="0.35">
      <c r="A1223" s="92"/>
      <c r="F1223" s="726"/>
      <c r="G1223" s="735"/>
      <c r="H1223" s="93"/>
      <c r="I1223" s="750"/>
      <c r="J1223" s="750"/>
    </row>
    <row r="1224" spans="1:10" x14ac:dyDescent="0.35">
      <c r="A1224" s="92"/>
      <c r="F1224" s="726"/>
      <c r="G1224" s="735"/>
      <c r="H1224" s="93"/>
      <c r="I1224" s="750"/>
      <c r="J1224" s="750"/>
    </row>
    <row r="1225" spans="1:10" x14ac:dyDescent="0.35">
      <c r="A1225" s="92"/>
      <c r="F1225" s="726"/>
      <c r="G1225" s="735"/>
      <c r="H1225" s="93"/>
      <c r="I1225" s="750"/>
      <c r="J1225" s="750"/>
    </row>
    <row r="1226" spans="1:10" x14ac:dyDescent="0.35">
      <c r="A1226" s="92"/>
      <c r="F1226" s="726"/>
      <c r="G1226" s="735"/>
      <c r="H1226" s="93"/>
      <c r="I1226" s="750"/>
      <c r="J1226" s="750"/>
    </row>
    <row r="1227" spans="1:10" x14ac:dyDescent="0.35">
      <c r="A1227" s="92"/>
      <c r="F1227" s="726"/>
      <c r="G1227" s="735"/>
      <c r="H1227" s="93"/>
      <c r="I1227" s="750"/>
      <c r="J1227" s="750"/>
    </row>
    <row r="1228" spans="1:10" x14ac:dyDescent="0.35">
      <c r="A1228" s="92"/>
      <c r="F1228" s="726"/>
      <c r="G1228" s="735"/>
      <c r="H1228" s="93"/>
      <c r="I1228" s="750"/>
      <c r="J1228" s="750"/>
    </row>
    <row r="1229" spans="1:10" x14ac:dyDescent="0.35">
      <c r="A1229" s="92"/>
      <c r="F1229" s="726"/>
      <c r="G1229" s="735"/>
      <c r="H1229" s="93"/>
      <c r="I1229" s="750"/>
      <c r="J1229" s="750"/>
    </row>
    <row r="1230" spans="1:10" x14ac:dyDescent="0.35">
      <c r="A1230" s="92"/>
      <c r="F1230" s="726"/>
      <c r="G1230" s="735"/>
      <c r="H1230" s="93"/>
      <c r="I1230" s="750"/>
      <c r="J1230" s="750"/>
    </row>
    <row r="1231" spans="1:10" x14ac:dyDescent="0.35">
      <c r="A1231" s="92"/>
      <c r="F1231" s="726"/>
      <c r="G1231" s="735"/>
      <c r="H1231" s="93"/>
      <c r="I1231" s="750"/>
      <c r="J1231" s="750"/>
    </row>
    <row r="1232" spans="1:10" x14ac:dyDescent="0.35">
      <c r="A1232" s="92"/>
      <c r="F1232" s="726"/>
      <c r="G1232" s="735"/>
      <c r="H1232" s="93"/>
      <c r="I1232" s="750"/>
      <c r="J1232" s="750"/>
    </row>
    <row r="1233" spans="1:10" x14ac:dyDescent="0.35">
      <c r="A1233" s="92"/>
      <c r="F1233" s="726"/>
      <c r="G1233" s="735"/>
      <c r="H1233" s="93"/>
      <c r="I1233" s="750"/>
      <c r="J1233" s="750"/>
    </row>
    <row r="1234" spans="1:10" x14ac:dyDescent="0.35">
      <c r="A1234" s="92"/>
      <c r="F1234" s="726"/>
      <c r="G1234" s="735"/>
      <c r="H1234" s="93"/>
      <c r="I1234" s="750"/>
      <c r="J1234" s="750"/>
    </row>
    <row r="1235" spans="1:10" x14ac:dyDescent="0.35">
      <c r="A1235" s="92"/>
      <c r="F1235" s="726"/>
      <c r="G1235" s="735"/>
      <c r="H1235" s="93"/>
      <c r="I1235" s="750"/>
      <c r="J1235" s="750"/>
    </row>
    <row r="1236" spans="1:10" x14ac:dyDescent="0.35">
      <c r="A1236" s="92"/>
      <c r="F1236" s="726"/>
      <c r="G1236" s="735"/>
      <c r="H1236" s="93"/>
      <c r="I1236" s="750"/>
      <c r="J1236" s="750"/>
    </row>
    <row r="1237" spans="1:10" x14ac:dyDescent="0.35">
      <c r="A1237" s="92"/>
      <c r="F1237" s="726"/>
      <c r="G1237" s="735"/>
      <c r="H1237" s="93"/>
      <c r="I1237" s="750"/>
      <c r="J1237" s="750"/>
    </row>
    <row r="1238" spans="1:10" x14ac:dyDescent="0.35">
      <c r="A1238" s="92"/>
      <c r="F1238" s="726"/>
      <c r="G1238" s="735"/>
      <c r="H1238" s="93"/>
      <c r="I1238" s="750"/>
      <c r="J1238" s="750"/>
    </row>
    <row r="1239" spans="1:10" x14ac:dyDescent="0.35">
      <c r="A1239" s="92"/>
      <c r="F1239" s="726"/>
      <c r="G1239" s="735"/>
      <c r="H1239" s="93"/>
      <c r="I1239" s="750"/>
      <c r="J1239" s="750"/>
    </row>
    <row r="1240" spans="1:10" x14ac:dyDescent="0.35">
      <c r="A1240" s="92"/>
      <c r="F1240" s="726"/>
      <c r="G1240" s="735"/>
      <c r="H1240" s="93"/>
      <c r="I1240" s="750"/>
      <c r="J1240" s="750"/>
    </row>
    <row r="1241" spans="1:10" x14ac:dyDescent="0.35">
      <c r="A1241" s="92"/>
      <c r="F1241" s="726"/>
      <c r="G1241" s="735"/>
      <c r="H1241" s="93"/>
      <c r="I1241" s="750"/>
      <c r="J1241" s="750"/>
    </row>
    <row r="1242" spans="1:10" x14ac:dyDescent="0.35">
      <c r="A1242" s="92"/>
      <c r="F1242" s="726"/>
      <c r="G1242" s="735"/>
      <c r="H1242" s="93"/>
      <c r="I1242" s="750"/>
      <c r="J1242" s="750"/>
    </row>
    <row r="1243" spans="1:10" x14ac:dyDescent="0.35">
      <c r="A1243" s="92"/>
      <c r="F1243" s="726"/>
      <c r="G1243" s="735"/>
      <c r="H1243" s="93"/>
      <c r="I1243" s="750"/>
      <c r="J1243" s="750"/>
    </row>
    <row r="1244" spans="1:10" x14ac:dyDescent="0.35">
      <c r="A1244" s="92"/>
      <c r="F1244" s="726"/>
      <c r="G1244" s="735"/>
      <c r="H1244" s="93"/>
      <c r="I1244" s="750"/>
      <c r="J1244" s="750"/>
    </row>
    <row r="1245" spans="1:10" x14ac:dyDescent="0.35">
      <c r="A1245" s="92"/>
      <c r="F1245" s="726"/>
      <c r="G1245" s="735"/>
      <c r="H1245" s="93"/>
      <c r="I1245" s="750"/>
      <c r="J1245" s="750"/>
    </row>
    <row r="1246" spans="1:10" x14ac:dyDescent="0.35">
      <c r="A1246" s="92"/>
      <c r="F1246" s="726"/>
      <c r="G1246" s="735"/>
      <c r="H1246" s="93"/>
      <c r="I1246" s="750"/>
      <c r="J1246" s="750"/>
    </row>
    <row r="1247" spans="1:10" x14ac:dyDescent="0.35">
      <c r="A1247" s="92"/>
      <c r="F1247" s="726"/>
      <c r="G1247" s="735"/>
      <c r="H1247" s="93"/>
      <c r="I1247" s="750"/>
      <c r="J1247" s="750"/>
    </row>
    <row r="1248" spans="1:10" x14ac:dyDescent="0.35">
      <c r="A1248" s="92"/>
      <c r="F1248" s="726"/>
      <c r="G1248" s="735"/>
      <c r="H1248" s="93"/>
      <c r="I1248" s="750"/>
      <c r="J1248" s="750"/>
    </row>
    <row r="1249" spans="1:10" x14ac:dyDescent="0.35">
      <c r="A1249" s="92"/>
      <c r="F1249" s="726"/>
      <c r="G1249" s="735"/>
      <c r="H1249" s="93"/>
      <c r="I1249" s="750"/>
      <c r="J1249" s="750"/>
    </row>
    <row r="1250" spans="1:10" x14ac:dyDescent="0.35">
      <c r="A1250" s="92"/>
      <c r="F1250" s="726"/>
      <c r="G1250" s="735"/>
      <c r="H1250" s="93"/>
      <c r="I1250" s="750"/>
      <c r="J1250" s="750"/>
    </row>
    <row r="1251" spans="1:10" x14ac:dyDescent="0.35">
      <c r="A1251" s="92"/>
      <c r="F1251" s="726"/>
      <c r="G1251" s="735"/>
      <c r="H1251" s="93"/>
      <c r="I1251" s="750"/>
      <c r="J1251" s="750"/>
    </row>
    <row r="1252" spans="1:10" x14ac:dyDescent="0.35">
      <c r="A1252" s="92"/>
      <c r="F1252" s="726"/>
      <c r="G1252" s="735"/>
      <c r="H1252" s="93"/>
      <c r="I1252" s="750"/>
      <c r="J1252" s="750"/>
    </row>
    <row r="1253" spans="1:10" x14ac:dyDescent="0.35">
      <c r="A1253" s="92"/>
      <c r="F1253" s="726"/>
      <c r="G1253" s="735"/>
      <c r="H1253" s="93"/>
      <c r="I1253" s="750"/>
      <c r="J1253" s="750"/>
    </row>
    <row r="1254" spans="1:10" x14ac:dyDescent="0.35">
      <c r="A1254" s="92"/>
      <c r="F1254" s="726"/>
      <c r="G1254" s="735"/>
      <c r="H1254" s="93"/>
      <c r="I1254" s="750"/>
      <c r="J1254" s="750"/>
    </row>
    <row r="1255" spans="1:10" x14ac:dyDescent="0.35">
      <c r="A1255" s="92"/>
      <c r="F1255" s="726"/>
      <c r="G1255" s="735"/>
      <c r="H1255" s="93"/>
      <c r="I1255" s="750"/>
      <c r="J1255" s="750"/>
    </row>
    <row r="1256" spans="1:10" x14ac:dyDescent="0.35">
      <c r="A1256" s="92"/>
      <c r="F1256" s="726"/>
      <c r="G1256" s="735"/>
      <c r="H1256" s="93"/>
      <c r="I1256" s="750"/>
      <c r="J1256" s="750"/>
    </row>
    <row r="1257" spans="1:10" x14ac:dyDescent="0.35">
      <c r="A1257" s="92"/>
      <c r="F1257" s="726"/>
      <c r="G1257" s="735"/>
      <c r="H1257" s="93"/>
      <c r="I1257" s="750"/>
      <c r="J1257" s="750"/>
    </row>
    <row r="1258" spans="1:10" x14ac:dyDescent="0.35">
      <c r="A1258" s="92"/>
      <c r="F1258" s="726"/>
      <c r="G1258" s="735"/>
      <c r="H1258" s="93"/>
      <c r="I1258" s="750"/>
      <c r="J1258" s="750"/>
    </row>
    <row r="1259" spans="1:10" x14ac:dyDescent="0.35">
      <c r="A1259" s="92"/>
      <c r="F1259" s="726"/>
      <c r="G1259" s="735"/>
      <c r="H1259" s="93"/>
      <c r="I1259" s="750"/>
      <c r="J1259" s="750"/>
    </row>
    <row r="1260" spans="1:10" x14ac:dyDescent="0.35">
      <c r="A1260" s="92"/>
      <c r="F1260" s="726"/>
      <c r="G1260" s="735"/>
      <c r="H1260" s="93"/>
      <c r="I1260" s="750"/>
      <c r="J1260" s="750"/>
    </row>
    <row r="1261" spans="1:10" x14ac:dyDescent="0.35">
      <c r="A1261" s="92"/>
      <c r="F1261" s="726"/>
      <c r="G1261" s="735"/>
      <c r="H1261" s="93"/>
      <c r="I1261" s="750"/>
      <c r="J1261" s="750"/>
    </row>
    <row r="1262" spans="1:10" x14ac:dyDescent="0.35">
      <c r="A1262" s="92"/>
      <c r="F1262" s="726"/>
      <c r="G1262" s="735"/>
      <c r="H1262" s="93"/>
      <c r="I1262" s="750"/>
      <c r="J1262" s="750"/>
    </row>
    <row r="1263" spans="1:10" x14ac:dyDescent="0.35">
      <c r="A1263" s="92"/>
      <c r="F1263" s="726"/>
      <c r="G1263" s="735"/>
      <c r="H1263" s="93"/>
      <c r="I1263" s="750"/>
      <c r="J1263" s="750"/>
    </row>
    <row r="1264" spans="1:10" x14ac:dyDescent="0.35">
      <c r="A1264" s="92"/>
      <c r="F1264" s="726"/>
      <c r="G1264" s="735"/>
      <c r="H1264" s="93"/>
      <c r="I1264" s="750"/>
      <c r="J1264" s="750"/>
    </row>
    <row r="1265" spans="1:10" x14ac:dyDescent="0.35">
      <c r="A1265" s="92"/>
      <c r="F1265" s="726"/>
      <c r="G1265" s="735"/>
      <c r="H1265" s="93"/>
      <c r="I1265" s="750"/>
      <c r="J1265" s="750"/>
    </row>
    <row r="1266" spans="1:10" x14ac:dyDescent="0.35">
      <c r="A1266" s="92"/>
      <c r="F1266" s="726"/>
      <c r="G1266" s="735"/>
      <c r="H1266" s="93"/>
      <c r="I1266" s="750"/>
      <c r="J1266" s="750"/>
    </row>
    <row r="1267" spans="1:10" x14ac:dyDescent="0.35">
      <c r="A1267" s="92"/>
      <c r="F1267" s="726"/>
      <c r="G1267" s="735"/>
      <c r="H1267" s="93"/>
      <c r="I1267" s="750"/>
      <c r="J1267" s="750"/>
    </row>
    <row r="1268" spans="1:10" x14ac:dyDescent="0.35">
      <c r="A1268" s="92"/>
      <c r="F1268" s="726"/>
      <c r="G1268" s="735"/>
      <c r="H1268" s="93"/>
      <c r="I1268" s="750"/>
      <c r="J1268" s="750"/>
    </row>
    <row r="1269" spans="1:10" x14ac:dyDescent="0.35">
      <c r="A1269" s="92"/>
      <c r="F1269" s="726"/>
      <c r="G1269" s="735"/>
      <c r="H1269" s="93"/>
      <c r="I1269" s="750"/>
      <c r="J1269" s="750"/>
    </row>
    <row r="1270" spans="1:10" x14ac:dyDescent="0.35">
      <c r="A1270" s="92"/>
      <c r="F1270" s="726"/>
      <c r="G1270" s="735"/>
      <c r="H1270" s="93"/>
      <c r="I1270" s="750"/>
      <c r="J1270" s="750"/>
    </row>
    <row r="1271" spans="1:10" x14ac:dyDescent="0.35">
      <c r="A1271" s="92"/>
      <c r="F1271" s="726"/>
      <c r="G1271" s="735"/>
      <c r="H1271" s="93"/>
      <c r="I1271" s="750"/>
      <c r="J1271" s="750"/>
    </row>
    <row r="1272" spans="1:10" x14ac:dyDescent="0.35">
      <c r="A1272" s="92"/>
      <c r="F1272" s="726"/>
      <c r="G1272" s="735"/>
      <c r="H1272" s="93"/>
      <c r="I1272" s="750"/>
      <c r="J1272" s="750"/>
    </row>
    <row r="1273" spans="1:10" x14ac:dyDescent="0.35">
      <c r="A1273" s="92"/>
      <c r="F1273" s="726"/>
      <c r="G1273" s="735"/>
      <c r="H1273" s="93"/>
      <c r="I1273" s="750"/>
      <c r="J1273" s="750"/>
    </row>
    <row r="1274" spans="1:10" x14ac:dyDescent="0.35">
      <c r="A1274" s="92"/>
      <c r="F1274" s="726"/>
      <c r="G1274" s="735"/>
      <c r="H1274" s="93"/>
      <c r="I1274" s="750"/>
      <c r="J1274" s="750"/>
    </row>
    <row r="1275" spans="1:10" x14ac:dyDescent="0.35">
      <c r="A1275" s="92"/>
      <c r="F1275" s="726"/>
      <c r="G1275" s="735"/>
      <c r="H1275" s="93"/>
      <c r="I1275" s="750"/>
      <c r="J1275" s="750"/>
    </row>
    <row r="1276" spans="1:10" x14ac:dyDescent="0.35">
      <c r="A1276" s="92"/>
      <c r="F1276" s="726"/>
      <c r="G1276" s="735"/>
      <c r="H1276" s="93"/>
      <c r="I1276" s="750"/>
      <c r="J1276" s="750"/>
    </row>
    <row r="1277" spans="1:10" x14ac:dyDescent="0.35">
      <c r="A1277" s="92"/>
      <c r="F1277" s="726"/>
      <c r="G1277" s="735"/>
      <c r="H1277" s="93"/>
      <c r="I1277" s="750"/>
      <c r="J1277" s="750"/>
    </row>
    <row r="1278" spans="1:10" x14ac:dyDescent="0.35">
      <c r="A1278" s="92"/>
      <c r="F1278" s="726"/>
      <c r="G1278" s="735"/>
      <c r="H1278" s="93"/>
      <c r="I1278" s="750"/>
      <c r="J1278" s="750"/>
    </row>
    <row r="1279" spans="1:10" x14ac:dyDescent="0.35">
      <c r="A1279" s="92"/>
      <c r="F1279" s="726"/>
      <c r="G1279" s="735"/>
      <c r="H1279" s="93"/>
      <c r="I1279" s="750"/>
      <c r="J1279" s="750"/>
    </row>
    <row r="1280" spans="1:10" x14ac:dyDescent="0.35">
      <c r="A1280" s="92"/>
      <c r="F1280" s="726"/>
      <c r="G1280" s="735"/>
      <c r="H1280" s="93"/>
      <c r="I1280" s="750"/>
      <c r="J1280" s="750"/>
    </row>
    <row r="1281" spans="1:10" x14ac:dyDescent="0.35">
      <c r="A1281" s="92"/>
      <c r="F1281" s="726"/>
      <c r="G1281" s="735"/>
      <c r="H1281" s="93"/>
      <c r="I1281" s="750"/>
      <c r="J1281" s="750"/>
    </row>
    <row r="1282" spans="1:10" x14ac:dyDescent="0.35">
      <c r="A1282" s="92"/>
      <c r="F1282" s="726"/>
      <c r="G1282" s="735"/>
      <c r="H1282" s="93"/>
      <c r="I1282" s="750"/>
      <c r="J1282" s="750"/>
    </row>
    <row r="1283" spans="1:10" x14ac:dyDescent="0.35">
      <c r="A1283" s="92"/>
      <c r="F1283" s="726"/>
      <c r="G1283" s="735"/>
      <c r="H1283" s="93"/>
      <c r="I1283" s="750"/>
      <c r="J1283" s="750"/>
    </row>
    <row r="1284" spans="1:10" x14ac:dyDescent="0.35">
      <c r="A1284" s="92"/>
      <c r="F1284" s="726"/>
      <c r="G1284" s="735"/>
      <c r="H1284" s="93"/>
      <c r="I1284" s="750"/>
      <c r="J1284" s="750"/>
    </row>
    <row r="1285" spans="1:10" x14ac:dyDescent="0.35">
      <c r="A1285" s="92"/>
      <c r="F1285" s="726"/>
      <c r="G1285" s="735"/>
      <c r="H1285" s="93"/>
      <c r="I1285" s="750"/>
      <c r="J1285" s="750"/>
    </row>
    <row r="1286" spans="1:10" x14ac:dyDescent="0.35">
      <c r="A1286" s="92"/>
      <c r="F1286" s="726"/>
      <c r="G1286" s="735"/>
      <c r="H1286" s="93"/>
      <c r="I1286" s="750"/>
      <c r="J1286" s="750"/>
    </row>
    <row r="1287" spans="1:10" x14ac:dyDescent="0.35">
      <c r="A1287" s="92"/>
      <c r="F1287" s="726"/>
      <c r="G1287" s="735"/>
      <c r="H1287" s="93"/>
      <c r="I1287" s="750"/>
      <c r="J1287" s="750"/>
    </row>
    <row r="1288" spans="1:10" x14ac:dyDescent="0.35">
      <c r="A1288" s="92"/>
      <c r="F1288" s="726"/>
      <c r="G1288" s="735"/>
      <c r="H1288" s="93"/>
      <c r="I1288" s="750"/>
      <c r="J1288" s="750"/>
    </row>
    <row r="1289" spans="1:10" x14ac:dyDescent="0.35">
      <c r="A1289" s="92"/>
      <c r="F1289" s="726"/>
      <c r="G1289" s="735"/>
      <c r="H1289" s="93"/>
      <c r="I1289" s="750"/>
      <c r="J1289" s="750"/>
    </row>
    <row r="1290" spans="1:10" x14ac:dyDescent="0.35">
      <c r="A1290" s="92"/>
      <c r="F1290" s="726"/>
      <c r="G1290" s="735"/>
      <c r="H1290" s="93"/>
      <c r="I1290" s="750"/>
      <c r="J1290" s="750"/>
    </row>
    <row r="1291" spans="1:10" x14ac:dyDescent="0.35">
      <c r="A1291" s="92"/>
      <c r="F1291" s="726"/>
      <c r="G1291" s="735"/>
      <c r="H1291" s="93"/>
      <c r="I1291" s="750"/>
      <c r="J1291" s="750"/>
    </row>
    <row r="1292" spans="1:10" x14ac:dyDescent="0.35">
      <c r="A1292" s="92"/>
      <c r="F1292" s="726"/>
      <c r="G1292" s="735"/>
      <c r="H1292" s="93"/>
      <c r="I1292" s="750"/>
      <c r="J1292" s="750"/>
    </row>
    <row r="1293" spans="1:10" x14ac:dyDescent="0.35">
      <c r="A1293" s="92"/>
      <c r="F1293" s="726"/>
      <c r="G1293" s="735"/>
      <c r="H1293" s="93"/>
      <c r="I1293" s="750"/>
      <c r="J1293" s="750"/>
    </row>
    <row r="1294" spans="1:10" x14ac:dyDescent="0.35">
      <c r="A1294" s="92"/>
      <c r="F1294" s="726"/>
      <c r="G1294" s="735"/>
      <c r="H1294" s="93"/>
      <c r="I1294" s="750"/>
      <c r="J1294" s="750"/>
    </row>
    <row r="1295" spans="1:10" x14ac:dyDescent="0.35">
      <c r="A1295" s="92"/>
      <c r="F1295" s="726"/>
      <c r="G1295" s="735"/>
      <c r="H1295" s="93"/>
      <c r="I1295" s="750"/>
      <c r="J1295" s="750"/>
    </row>
    <row r="1296" spans="1:10" x14ac:dyDescent="0.35">
      <c r="A1296" s="92"/>
      <c r="F1296" s="726"/>
      <c r="G1296" s="735"/>
      <c r="H1296" s="93"/>
      <c r="I1296" s="750"/>
      <c r="J1296" s="750"/>
    </row>
    <row r="1297" spans="1:10" x14ac:dyDescent="0.35">
      <c r="A1297" s="92"/>
      <c r="F1297" s="726"/>
      <c r="G1297" s="735"/>
      <c r="H1297" s="93"/>
      <c r="I1297" s="750"/>
      <c r="J1297" s="750"/>
    </row>
    <row r="1298" spans="1:10" x14ac:dyDescent="0.35">
      <c r="A1298" s="92"/>
      <c r="F1298" s="726"/>
      <c r="G1298" s="735"/>
      <c r="H1298" s="93"/>
      <c r="I1298" s="750"/>
      <c r="J1298" s="750"/>
    </row>
    <row r="1299" spans="1:10" x14ac:dyDescent="0.35">
      <c r="A1299" s="92"/>
      <c r="F1299" s="726"/>
      <c r="G1299" s="735"/>
      <c r="H1299" s="93"/>
      <c r="I1299" s="750"/>
      <c r="J1299" s="750"/>
    </row>
    <row r="1300" spans="1:10" x14ac:dyDescent="0.35">
      <c r="A1300" s="92"/>
      <c r="F1300" s="726"/>
      <c r="G1300" s="735"/>
      <c r="H1300" s="93"/>
      <c r="I1300" s="750"/>
      <c r="J1300" s="750"/>
    </row>
    <row r="1301" spans="1:10" x14ac:dyDescent="0.35">
      <c r="A1301" s="92"/>
      <c r="F1301" s="726"/>
      <c r="G1301" s="735"/>
      <c r="H1301" s="93"/>
      <c r="I1301" s="750"/>
      <c r="J1301" s="750"/>
    </row>
    <row r="1302" spans="1:10" x14ac:dyDescent="0.35">
      <c r="A1302" s="92"/>
      <c r="F1302" s="726"/>
      <c r="G1302" s="735"/>
      <c r="H1302" s="93"/>
      <c r="I1302" s="750"/>
      <c r="J1302" s="750"/>
    </row>
    <row r="1303" spans="1:10" x14ac:dyDescent="0.35">
      <c r="A1303" s="92"/>
      <c r="F1303" s="726"/>
      <c r="G1303" s="735"/>
      <c r="H1303" s="93"/>
      <c r="I1303" s="750"/>
      <c r="J1303" s="750"/>
    </row>
    <row r="1304" spans="1:10" x14ac:dyDescent="0.35">
      <c r="A1304" s="92"/>
      <c r="F1304" s="726"/>
      <c r="G1304" s="735"/>
      <c r="H1304" s="93"/>
      <c r="I1304" s="750"/>
      <c r="J1304" s="750"/>
    </row>
    <row r="1305" spans="1:10" x14ac:dyDescent="0.35">
      <c r="A1305" s="92"/>
      <c r="F1305" s="726"/>
      <c r="G1305" s="735"/>
      <c r="H1305" s="93"/>
      <c r="I1305" s="750"/>
      <c r="J1305" s="750"/>
    </row>
    <row r="1306" spans="1:10" x14ac:dyDescent="0.35">
      <c r="A1306" s="92"/>
      <c r="F1306" s="726"/>
      <c r="G1306" s="735"/>
      <c r="H1306" s="93"/>
      <c r="I1306" s="750"/>
      <c r="J1306" s="750"/>
    </row>
    <row r="1307" spans="1:10" x14ac:dyDescent="0.35">
      <c r="A1307" s="92"/>
      <c r="F1307" s="726"/>
      <c r="G1307" s="735"/>
      <c r="H1307" s="93"/>
      <c r="I1307" s="750"/>
      <c r="J1307" s="750"/>
    </row>
    <row r="1308" spans="1:10" x14ac:dyDescent="0.35">
      <c r="A1308" s="92"/>
      <c r="F1308" s="726"/>
      <c r="G1308" s="735"/>
      <c r="H1308" s="93"/>
      <c r="I1308" s="750"/>
      <c r="J1308" s="750"/>
    </row>
    <row r="1309" spans="1:10" x14ac:dyDescent="0.35">
      <c r="A1309" s="92"/>
      <c r="F1309" s="726"/>
      <c r="G1309" s="735"/>
      <c r="H1309" s="93"/>
      <c r="I1309" s="750"/>
      <c r="J1309" s="750"/>
    </row>
    <row r="1310" spans="1:10" x14ac:dyDescent="0.35">
      <c r="A1310" s="92"/>
      <c r="F1310" s="726"/>
      <c r="G1310" s="735"/>
      <c r="H1310" s="93"/>
      <c r="I1310" s="750"/>
      <c r="J1310" s="750"/>
    </row>
    <row r="1311" spans="1:10" x14ac:dyDescent="0.35">
      <c r="A1311" s="92"/>
      <c r="F1311" s="726"/>
      <c r="G1311" s="735"/>
      <c r="H1311" s="93"/>
      <c r="I1311" s="750"/>
      <c r="J1311" s="750"/>
    </row>
    <row r="1312" spans="1:10" x14ac:dyDescent="0.35">
      <c r="A1312" s="92"/>
      <c r="F1312" s="726"/>
      <c r="G1312" s="735"/>
      <c r="H1312" s="93"/>
      <c r="I1312" s="750"/>
      <c r="J1312" s="750"/>
    </row>
    <row r="1313" spans="1:10" x14ac:dyDescent="0.35">
      <c r="A1313" s="92"/>
      <c r="F1313" s="726"/>
      <c r="G1313" s="735"/>
      <c r="H1313" s="93"/>
      <c r="I1313" s="750"/>
      <c r="J1313" s="750"/>
    </row>
    <row r="1314" spans="1:10" x14ac:dyDescent="0.35">
      <c r="A1314" s="92"/>
      <c r="F1314" s="726"/>
      <c r="G1314" s="735"/>
      <c r="H1314" s="93"/>
      <c r="I1314" s="750"/>
      <c r="J1314" s="750"/>
    </row>
    <row r="1315" spans="1:10" x14ac:dyDescent="0.35">
      <c r="A1315" s="92"/>
      <c r="F1315" s="726"/>
      <c r="G1315" s="735"/>
      <c r="H1315" s="93"/>
      <c r="I1315" s="750"/>
      <c r="J1315" s="750"/>
    </row>
    <row r="1316" spans="1:10" x14ac:dyDescent="0.35">
      <c r="A1316" s="92"/>
      <c r="F1316" s="726"/>
      <c r="G1316" s="735"/>
      <c r="H1316" s="93"/>
      <c r="I1316" s="750"/>
      <c r="J1316" s="750"/>
    </row>
    <row r="1317" spans="1:10" x14ac:dyDescent="0.35">
      <c r="A1317" s="92"/>
      <c r="F1317" s="726"/>
      <c r="G1317" s="735"/>
      <c r="H1317" s="93"/>
      <c r="I1317" s="750"/>
      <c r="J1317" s="750"/>
    </row>
    <row r="1318" spans="1:10" x14ac:dyDescent="0.35">
      <c r="A1318" s="92"/>
      <c r="F1318" s="726"/>
      <c r="G1318" s="735"/>
      <c r="H1318" s="93"/>
      <c r="I1318" s="750"/>
      <c r="J1318" s="750"/>
    </row>
    <row r="1319" spans="1:10" x14ac:dyDescent="0.35">
      <c r="A1319" s="92"/>
      <c r="F1319" s="726"/>
      <c r="G1319" s="735"/>
      <c r="H1319" s="93"/>
      <c r="I1319" s="750"/>
      <c r="J1319" s="750"/>
    </row>
    <row r="1320" spans="1:10" x14ac:dyDescent="0.35">
      <c r="A1320" s="92"/>
      <c r="F1320" s="726"/>
      <c r="G1320" s="735"/>
      <c r="H1320" s="93"/>
      <c r="I1320" s="750"/>
      <c r="J1320" s="750"/>
    </row>
    <row r="1321" spans="1:10" x14ac:dyDescent="0.35">
      <c r="A1321" s="92"/>
      <c r="F1321" s="726"/>
      <c r="G1321" s="735"/>
      <c r="H1321" s="93"/>
      <c r="I1321" s="750"/>
      <c r="J1321" s="750"/>
    </row>
    <row r="1322" spans="1:10" x14ac:dyDescent="0.35">
      <c r="A1322" s="92"/>
      <c r="F1322" s="726"/>
      <c r="G1322" s="735"/>
      <c r="H1322" s="93"/>
      <c r="I1322" s="750"/>
      <c r="J1322" s="750"/>
    </row>
    <row r="1323" spans="1:10" x14ac:dyDescent="0.35">
      <c r="A1323" s="92"/>
      <c r="F1323" s="726"/>
      <c r="G1323" s="735"/>
      <c r="H1323" s="93"/>
      <c r="I1323" s="750"/>
      <c r="J1323" s="750"/>
    </row>
    <row r="1324" spans="1:10" x14ac:dyDescent="0.35">
      <c r="A1324" s="92"/>
      <c r="F1324" s="726"/>
      <c r="G1324" s="735"/>
      <c r="H1324" s="93"/>
      <c r="I1324" s="750"/>
      <c r="J1324" s="750"/>
    </row>
    <row r="1325" spans="1:10" x14ac:dyDescent="0.35">
      <c r="A1325" s="92"/>
      <c r="F1325" s="726"/>
      <c r="G1325" s="735"/>
      <c r="H1325" s="93"/>
      <c r="I1325" s="750"/>
      <c r="J1325" s="750"/>
    </row>
    <row r="1326" spans="1:10" x14ac:dyDescent="0.35">
      <c r="A1326" s="92"/>
      <c r="F1326" s="726"/>
      <c r="G1326" s="735"/>
      <c r="H1326" s="93"/>
      <c r="I1326" s="750"/>
      <c r="J1326" s="750"/>
    </row>
    <row r="1327" spans="1:10" x14ac:dyDescent="0.35">
      <c r="A1327" s="92"/>
      <c r="F1327" s="726"/>
      <c r="G1327" s="735"/>
      <c r="H1327" s="93"/>
      <c r="I1327" s="750"/>
      <c r="J1327" s="750"/>
    </row>
    <row r="1328" spans="1:10" x14ac:dyDescent="0.35">
      <c r="A1328" s="92"/>
      <c r="F1328" s="726"/>
      <c r="G1328" s="735"/>
      <c r="H1328" s="93"/>
      <c r="I1328" s="750"/>
      <c r="J1328" s="750"/>
    </row>
    <row r="1329" spans="1:10" x14ac:dyDescent="0.35">
      <c r="A1329" s="92"/>
      <c r="F1329" s="726"/>
      <c r="G1329" s="735"/>
      <c r="H1329" s="93"/>
      <c r="I1329" s="750"/>
      <c r="J1329" s="750"/>
    </row>
    <row r="1330" spans="1:10" x14ac:dyDescent="0.35">
      <c r="A1330" s="92"/>
      <c r="F1330" s="726"/>
      <c r="G1330" s="735"/>
      <c r="H1330" s="93"/>
      <c r="I1330" s="750"/>
      <c r="J1330" s="750"/>
    </row>
    <row r="1331" spans="1:10" x14ac:dyDescent="0.35">
      <c r="A1331" s="92"/>
      <c r="F1331" s="726"/>
      <c r="G1331" s="735"/>
      <c r="H1331" s="93"/>
      <c r="I1331" s="750"/>
      <c r="J1331" s="750"/>
    </row>
    <row r="1332" spans="1:10" x14ac:dyDescent="0.35">
      <c r="A1332" s="92"/>
      <c r="F1332" s="726"/>
      <c r="G1332" s="735"/>
      <c r="H1332" s="93"/>
      <c r="I1332" s="750"/>
      <c r="J1332" s="750"/>
    </row>
    <row r="1333" spans="1:10" x14ac:dyDescent="0.35">
      <c r="A1333" s="92"/>
      <c r="F1333" s="726"/>
      <c r="G1333" s="735"/>
      <c r="H1333" s="93"/>
      <c r="I1333" s="750"/>
      <c r="J1333" s="750"/>
    </row>
    <row r="1334" spans="1:10" x14ac:dyDescent="0.35">
      <c r="A1334" s="92"/>
      <c r="F1334" s="726"/>
      <c r="G1334" s="735"/>
      <c r="H1334" s="93"/>
      <c r="I1334" s="750"/>
      <c r="J1334" s="750"/>
    </row>
    <row r="1335" spans="1:10" x14ac:dyDescent="0.35">
      <c r="A1335" s="92"/>
      <c r="F1335" s="726"/>
      <c r="G1335" s="735"/>
      <c r="H1335" s="93"/>
      <c r="I1335" s="750"/>
      <c r="J1335" s="750"/>
    </row>
    <row r="1336" spans="1:10" x14ac:dyDescent="0.35">
      <c r="A1336" s="92"/>
      <c r="F1336" s="726"/>
      <c r="G1336" s="735"/>
      <c r="H1336" s="93"/>
      <c r="I1336" s="750"/>
      <c r="J1336" s="750"/>
    </row>
    <row r="1337" spans="1:10" x14ac:dyDescent="0.35">
      <c r="A1337" s="92"/>
      <c r="F1337" s="726"/>
      <c r="G1337" s="735"/>
      <c r="H1337" s="93"/>
      <c r="I1337" s="750"/>
      <c r="J1337" s="750"/>
    </row>
    <row r="1338" spans="1:10" x14ac:dyDescent="0.35">
      <c r="A1338" s="92"/>
      <c r="F1338" s="726"/>
      <c r="G1338" s="735"/>
      <c r="H1338" s="93"/>
      <c r="I1338" s="750"/>
      <c r="J1338" s="750"/>
    </row>
    <row r="1339" spans="1:10" x14ac:dyDescent="0.35">
      <c r="A1339" s="92"/>
      <c r="F1339" s="726"/>
      <c r="G1339" s="735"/>
      <c r="H1339" s="93"/>
      <c r="I1339" s="750"/>
      <c r="J1339" s="750"/>
    </row>
    <row r="1340" spans="1:10" x14ac:dyDescent="0.35">
      <c r="A1340" s="92"/>
      <c r="F1340" s="726"/>
      <c r="G1340" s="735"/>
      <c r="H1340" s="93"/>
      <c r="I1340" s="750"/>
      <c r="J1340" s="750"/>
    </row>
    <row r="1341" spans="1:10" x14ac:dyDescent="0.35">
      <c r="A1341" s="92"/>
      <c r="F1341" s="726"/>
      <c r="G1341" s="735"/>
      <c r="H1341" s="93"/>
      <c r="I1341" s="750"/>
      <c r="J1341" s="750"/>
    </row>
    <row r="1342" spans="1:10" x14ac:dyDescent="0.35">
      <c r="A1342" s="92"/>
      <c r="F1342" s="726"/>
      <c r="G1342" s="735"/>
      <c r="H1342" s="93"/>
      <c r="I1342" s="750"/>
      <c r="J1342" s="750"/>
    </row>
    <row r="1343" spans="1:10" x14ac:dyDescent="0.35">
      <c r="A1343" s="92"/>
      <c r="F1343" s="726"/>
      <c r="G1343" s="735"/>
      <c r="H1343" s="93"/>
      <c r="I1343" s="750"/>
      <c r="J1343" s="750"/>
    </row>
    <row r="1344" spans="1:10" x14ac:dyDescent="0.35">
      <c r="A1344" s="92"/>
      <c r="F1344" s="726"/>
      <c r="G1344" s="735"/>
      <c r="H1344" s="93"/>
      <c r="I1344" s="750"/>
      <c r="J1344" s="750"/>
    </row>
    <row r="1345" spans="1:10" x14ac:dyDescent="0.35">
      <c r="A1345" s="92"/>
      <c r="F1345" s="726"/>
      <c r="G1345" s="735"/>
      <c r="H1345" s="93"/>
      <c r="I1345" s="750"/>
      <c r="J1345" s="750"/>
    </row>
    <row r="1346" spans="1:10" x14ac:dyDescent="0.35">
      <c r="A1346" s="92"/>
      <c r="F1346" s="726"/>
      <c r="G1346" s="735"/>
      <c r="H1346" s="93"/>
      <c r="I1346" s="750"/>
      <c r="J1346" s="750"/>
    </row>
    <row r="1347" spans="1:10" x14ac:dyDescent="0.35">
      <c r="A1347" s="92"/>
      <c r="F1347" s="726"/>
      <c r="G1347" s="735"/>
      <c r="H1347" s="93"/>
      <c r="I1347" s="750"/>
      <c r="J1347" s="750"/>
    </row>
    <row r="1348" spans="1:10" x14ac:dyDescent="0.35">
      <c r="A1348" s="92"/>
      <c r="F1348" s="726"/>
      <c r="G1348" s="735"/>
      <c r="H1348" s="93"/>
      <c r="I1348" s="750"/>
      <c r="J1348" s="750"/>
    </row>
    <row r="1349" spans="1:10" x14ac:dyDescent="0.35">
      <c r="A1349" s="92"/>
      <c r="F1349" s="726"/>
      <c r="G1349" s="735"/>
      <c r="H1349" s="93"/>
      <c r="I1349" s="750"/>
      <c r="J1349" s="750"/>
    </row>
    <row r="1350" spans="1:10" x14ac:dyDescent="0.35">
      <c r="A1350" s="92"/>
      <c r="F1350" s="726"/>
      <c r="G1350" s="735"/>
      <c r="H1350" s="93"/>
      <c r="I1350" s="750"/>
      <c r="J1350" s="750"/>
    </row>
    <row r="1351" spans="1:10" x14ac:dyDescent="0.35">
      <c r="A1351" s="92"/>
      <c r="F1351" s="726"/>
      <c r="G1351" s="735"/>
      <c r="H1351" s="93"/>
      <c r="I1351" s="750"/>
      <c r="J1351" s="750"/>
    </row>
    <row r="1352" spans="1:10" x14ac:dyDescent="0.35">
      <c r="A1352" s="92"/>
      <c r="F1352" s="726"/>
      <c r="G1352" s="735"/>
      <c r="H1352" s="93"/>
      <c r="I1352" s="750"/>
      <c r="J1352" s="750"/>
    </row>
    <row r="1353" spans="1:10" x14ac:dyDescent="0.35">
      <c r="A1353" s="92"/>
      <c r="F1353" s="726"/>
      <c r="G1353" s="735"/>
      <c r="H1353" s="93"/>
      <c r="I1353" s="750"/>
      <c r="J1353" s="750"/>
    </row>
    <row r="1354" spans="1:10" x14ac:dyDescent="0.35">
      <c r="A1354" s="92"/>
      <c r="F1354" s="726"/>
      <c r="G1354" s="735"/>
      <c r="H1354" s="93"/>
      <c r="I1354" s="750"/>
      <c r="J1354" s="750"/>
    </row>
    <row r="1355" spans="1:10" x14ac:dyDescent="0.35">
      <c r="A1355" s="92"/>
      <c r="F1355" s="726"/>
      <c r="G1355" s="735"/>
      <c r="H1355" s="93"/>
      <c r="I1355" s="750"/>
      <c r="J1355" s="750"/>
    </row>
    <row r="1356" spans="1:10" x14ac:dyDescent="0.35">
      <c r="A1356" s="92"/>
      <c r="F1356" s="726"/>
      <c r="G1356" s="735"/>
      <c r="H1356" s="93"/>
      <c r="I1356" s="750"/>
      <c r="J1356" s="750"/>
    </row>
    <row r="1357" spans="1:10" x14ac:dyDescent="0.35">
      <c r="A1357" s="92"/>
      <c r="F1357" s="726"/>
      <c r="G1357" s="735"/>
      <c r="H1357" s="93"/>
      <c r="I1357" s="750"/>
      <c r="J1357" s="750"/>
    </row>
    <row r="1358" spans="1:10" x14ac:dyDescent="0.35">
      <c r="A1358" s="92"/>
      <c r="F1358" s="726"/>
      <c r="G1358" s="735"/>
      <c r="H1358" s="93"/>
      <c r="I1358" s="750"/>
      <c r="J1358" s="750"/>
    </row>
    <row r="1359" spans="1:10" x14ac:dyDescent="0.35">
      <c r="A1359" s="92"/>
      <c r="F1359" s="726"/>
      <c r="G1359" s="735"/>
      <c r="H1359" s="93"/>
      <c r="I1359" s="750"/>
      <c r="J1359" s="750"/>
    </row>
    <row r="1360" spans="1:10" x14ac:dyDescent="0.35">
      <c r="A1360" s="92"/>
      <c r="F1360" s="726"/>
      <c r="G1360" s="735"/>
      <c r="H1360" s="93"/>
      <c r="I1360" s="750"/>
      <c r="J1360" s="750"/>
    </row>
    <row r="1361" spans="1:10" x14ac:dyDescent="0.35">
      <c r="A1361" s="92"/>
      <c r="F1361" s="726"/>
      <c r="G1361" s="735"/>
      <c r="H1361" s="93"/>
      <c r="I1361" s="750"/>
      <c r="J1361" s="750"/>
    </row>
    <row r="1362" spans="1:10" x14ac:dyDescent="0.35">
      <c r="A1362" s="92"/>
      <c r="F1362" s="726"/>
      <c r="G1362" s="735"/>
      <c r="H1362" s="93"/>
      <c r="I1362" s="750"/>
      <c r="J1362" s="750"/>
    </row>
    <row r="1363" spans="1:10" x14ac:dyDescent="0.35">
      <c r="A1363" s="92"/>
      <c r="F1363" s="726"/>
      <c r="G1363" s="735"/>
      <c r="H1363" s="93"/>
      <c r="I1363" s="750"/>
      <c r="J1363" s="750"/>
    </row>
    <row r="1364" spans="1:10" x14ac:dyDescent="0.35">
      <c r="A1364" s="92"/>
      <c r="F1364" s="726"/>
      <c r="G1364" s="735"/>
      <c r="H1364" s="93"/>
      <c r="I1364" s="750"/>
      <c r="J1364" s="750"/>
    </row>
    <row r="1365" spans="1:10" x14ac:dyDescent="0.35">
      <c r="A1365" s="92"/>
      <c r="F1365" s="726"/>
      <c r="G1365" s="735"/>
      <c r="H1365" s="93"/>
      <c r="I1365" s="750"/>
      <c r="J1365" s="750"/>
    </row>
    <row r="1366" spans="1:10" x14ac:dyDescent="0.35">
      <c r="A1366" s="92"/>
      <c r="F1366" s="726"/>
      <c r="G1366" s="735"/>
      <c r="H1366" s="93"/>
      <c r="I1366" s="750"/>
      <c r="J1366" s="750"/>
    </row>
    <row r="1367" spans="1:10" x14ac:dyDescent="0.35">
      <c r="A1367" s="92"/>
      <c r="F1367" s="726"/>
      <c r="G1367" s="735"/>
      <c r="H1367" s="93"/>
      <c r="I1367" s="750"/>
      <c r="J1367" s="750"/>
    </row>
    <row r="1368" spans="1:10" x14ac:dyDescent="0.35">
      <c r="A1368" s="92"/>
      <c r="F1368" s="726"/>
      <c r="G1368" s="735"/>
      <c r="H1368" s="93"/>
      <c r="I1368" s="750"/>
      <c r="J1368" s="750"/>
    </row>
    <row r="1369" spans="1:10" x14ac:dyDescent="0.35">
      <c r="A1369" s="92"/>
      <c r="F1369" s="726"/>
      <c r="G1369" s="735"/>
      <c r="H1369" s="93"/>
      <c r="I1369" s="750"/>
      <c r="J1369" s="750"/>
    </row>
    <row r="1370" spans="1:10" x14ac:dyDescent="0.35">
      <c r="A1370" s="92"/>
      <c r="F1370" s="726"/>
      <c r="G1370" s="735"/>
      <c r="H1370" s="93"/>
      <c r="I1370" s="750"/>
      <c r="J1370" s="750"/>
    </row>
    <row r="1371" spans="1:10" x14ac:dyDescent="0.35">
      <c r="A1371" s="92"/>
      <c r="F1371" s="726"/>
      <c r="G1371" s="735"/>
      <c r="H1371" s="93"/>
      <c r="I1371" s="750"/>
      <c r="J1371" s="750"/>
    </row>
    <row r="1372" spans="1:10" x14ac:dyDescent="0.35">
      <c r="A1372" s="92"/>
      <c r="F1372" s="726"/>
      <c r="G1372" s="735"/>
      <c r="H1372" s="93"/>
      <c r="I1372" s="750"/>
      <c r="J1372" s="750"/>
    </row>
    <row r="1373" spans="1:10" x14ac:dyDescent="0.35">
      <c r="A1373" s="92"/>
      <c r="F1373" s="726"/>
      <c r="G1373" s="735"/>
      <c r="H1373" s="93"/>
      <c r="I1373" s="750"/>
      <c r="J1373" s="750"/>
    </row>
    <row r="1374" spans="1:10" x14ac:dyDescent="0.35">
      <c r="A1374" s="92"/>
      <c r="F1374" s="726"/>
      <c r="G1374" s="735"/>
      <c r="H1374" s="93"/>
      <c r="I1374" s="750"/>
      <c r="J1374" s="750"/>
    </row>
    <row r="1375" spans="1:10" x14ac:dyDescent="0.35">
      <c r="A1375" s="92"/>
      <c r="F1375" s="726"/>
      <c r="G1375" s="735"/>
      <c r="H1375" s="93"/>
      <c r="I1375" s="750"/>
      <c r="J1375" s="750"/>
    </row>
    <row r="1376" spans="1:10" x14ac:dyDescent="0.35">
      <c r="A1376" s="92"/>
      <c r="F1376" s="726"/>
      <c r="G1376" s="735"/>
      <c r="H1376" s="93"/>
      <c r="I1376" s="750"/>
      <c r="J1376" s="750"/>
    </row>
    <row r="1377" spans="1:10" x14ac:dyDescent="0.35">
      <c r="A1377" s="92"/>
      <c r="F1377" s="726"/>
      <c r="G1377" s="735"/>
      <c r="H1377" s="93"/>
      <c r="I1377" s="750"/>
      <c r="J1377" s="750"/>
    </row>
    <row r="1378" spans="1:10" x14ac:dyDescent="0.35">
      <c r="A1378" s="92"/>
      <c r="F1378" s="726"/>
      <c r="G1378" s="735"/>
      <c r="H1378" s="93"/>
      <c r="I1378" s="750"/>
      <c r="J1378" s="750"/>
    </row>
    <row r="1379" spans="1:10" x14ac:dyDescent="0.35">
      <c r="A1379" s="92"/>
      <c r="F1379" s="726"/>
      <c r="G1379" s="735"/>
      <c r="H1379" s="93"/>
      <c r="I1379" s="750"/>
      <c r="J1379" s="750"/>
    </row>
    <row r="1380" spans="1:10" x14ac:dyDescent="0.35">
      <c r="A1380" s="92"/>
      <c r="F1380" s="726"/>
      <c r="G1380" s="735"/>
      <c r="H1380" s="93"/>
      <c r="I1380" s="750"/>
      <c r="J1380" s="750"/>
    </row>
    <row r="1381" spans="1:10" x14ac:dyDescent="0.35">
      <c r="A1381" s="92"/>
      <c r="F1381" s="726"/>
      <c r="G1381" s="735"/>
      <c r="H1381" s="93"/>
      <c r="I1381" s="750"/>
      <c r="J1381" s="750"/>
    </row>
    <row r="1382" spans="1:10" x14ac:dyDescent="0.35">
      <c r="A1382" s="92"/>
      <c r="F1382" s="726"/>
      <c r="G1382" s="735"/>
      <c r="H1382" s="93"/>
      <c r="I1382" s="750"/>
      <c r="J1382" s="750"/>
    </row>
    <row r="1383" spans="1:10" x14ac:dyDescent="0.35">
      <c r="A1383" s="92"/>
      <c r="F1383" s="726"/>
      <c r="G1383" s="735"/>
      <c r="H1383" s="93"/>
      <c r="I1383" s="750"/>
      <c r="J1383" s="750"/>
    </row>
    <row r="1384" spans="1:10" x14ac:dyDescent="0.35">
      <c r="A1384" s="92"/>
      <c r="F1384" s="726"/>
      <c r="G1384" s="735"/>
      <c r="H1384" s="93"/>
      <c r="I1384" s="750"/>
      <c r="J1384" s="750"/>
    </row>
    <row r="1385" spans="1:10" x14ac:dyDescent="0.35">
      <c r="A1385" s="92"/>
      <c r="F1385" s="726"/>
      <c r="G1385" s="735"/>
      <c r="H1385" s="93"/>
      <c r="I1385" s="750"/>
      <c r="J1385" s="750"/>
    </row>
    <row r="1386" spans="1:10" x14ac:dyDescent="0.35">
      <c r="A1386" s="92"/>
      <c r="F1386" s="726"/>
      <c r="G1386" s="735"/>
      <c r="H1386" s="93"/>
      <c r="I1386" s="750"/>
      <c r="J1386" s="750"/>
    </row>
    <row r="1387" spans="1:10" x14ac:dyDescent="0.35">
      <c r="A1387" s="92"/>
      <c r="F1387" s="726"/>
      <c r="G1387" s="735"/>
      <c r="H1387" s="93"/>
      <c r="I1387" s="750"/>
      <c r="J1387" s="750"/>
    </row>
    <row r="1388" spans="1:10" x14ac:dyDescent="0.35">
      <c r="A1388" s="92"/>
      <c r="F1388" s="726"/>
      <c r="G1388" s="735"/>
      <c r="H1388" s="93"/>
      <c r="I1388" s="750"/>
      <c r="J1388" s="750"/>
    </row>
    <row r="1389" spans="1:10" x14ac:dyDescent="0.35">
      <c r="A1389" s="92"/>
      <c r="F1389" s="726"/>
      <c r="G1389" s="735"/>
      <c r="H1389" s="93"/>
      <c r="I1389" s="750"/>
      <c r="J1389" s="750"/>
    </row>
    <row r="1390" spans="1:10" x14ac:dyDescent="0.35">
      <c r="A1390" s="92"/>
      <c r="F1390" s="726"/>
      <c r="G1390" s="735"/>
      <c r="H1390" s="93"/>
      <c r="I1390" s="750"/>
      <c r="J1390" s="750"/>
    </row>
    <row r="1391" spans="1:10" x14ac:dyDescent="0.35">
      <c r="A1391" s="92"/>
      <c r="F1391" s="726"/>
      <c r="G1391" s="735"/>
      <c r="H1391" s="93"/>
      <c r="I1391" s="750"/>
      <c r="J1391" s="750"/>
    </row>
    <row r="1392" spans="1:10" x14ac:dyDescent="0.35">
      <c r="A1392" s="92"/>
      <c r="F1392" s="726"/>
      <c r="G1392" s="735"/>
      <c r="H1392" s="93"/>
      <c r="I1392" s="750"/>
      <c r="J1392" s="750"/>
    </row>
    <row r="1393" spans="1:10" x14ac:dyDescent="0.35">
      <c r="A1393" s="92"/>
      <c r="F1393" s="726"/>
      <c r="G1393" s="735"/>
      <c r="H1393" s="93"/>
      <c r="I1393" s="750"/>
      <c r="J1393" s="750"/>
    </row>
    <row r="1394" spans="1:10" x14ac:dyDescent="0.35">
      <c r="A1394" s="92"/>
      <c r="F1394" s="726"/>
      <c r="G1394" s="735"/>
      <c r="H1394" s="93"/>
      <c r="I1394" s="750"/>
      <c r="J1394" s="750"/>
    </row>
    <row r="1395" spans="1:10" x14ac:dyDescent="0.35">
      <c r="A1395" s="92"/>
      <c r="F1395" s="726"/>
      <c r="G1395" s="735"/>
      <c r="H1395" s="93"/>
      <c r="I1395" s="750"/>
      <c r="J1395" s="750"/>
    </row>
    <row r="1396" spans="1:10" x14ac:dyDescent="0.35">
      <c r="A1396" s="92"/>
      <c r="F1396" s="726"/>
      <c r="G1396" s="735"/>
      <c r="H1396" s="93"/>
      <c r="I1396" s="750"/>
      <c r="J1396" s="750"/>
    </row>
    <row r="1397" spans="1:10" x14ac:dyDescent="0.35">
      <c r="A1397" s="92"/>
      <c r="F1397" s="726"/>
      <c r="G1397" s="735"/>
      <c r="H1397" s="93"/>
      <c r="I1397" s="750"/>
      <c r="J1397" s="750"/>
    </row>
    <row r="1398" spans="1:10" x14ac:dyDescent="0.35">
      <c r="A1398" s="92"/>
      <c r="F1398" s="726"/>
      <c r="G1398" s="735"/>
      <c r="H1398" s="93"/>
      <c r="I1398" s="750"/>
      <c r="J1398" s="750"/>
    </row>
    <row r="1399" spans="1:10" x14ac:dyDescent="0.35">
      <c r="A1399" s="92"/>
      <c r="F1399" s="726"/>
      <c r="G1399" s="735"/>
      <c r="H1399" s="93"/>
      <c r="I1399" s="750"/>
      <c r="J1399" s="750"/>
    </row>
    <row r="1400" spans="1:10" x14ac:dyDescent="0.35">
      <c r="A1400" s="92"/>
      <c r="F1400" s="726"/>
      <c r="G1400" s="735"/>
      <c r="H1400" s="93"/>
      <c r="I1400" s="750"/>
      <c r="J1400" s="750"/>
    </row>
    <row r="1401" spans="1:10" x14ac:dyDescent="0.35">
      <c r="A1401" s="92"/>
      <c r="F1401" s="726"/>
      <c r="G1401" s="735"/>
      <c r="H1401" s="93"/>
      <c r="I1401" s="750"/>
      <c r="J1401" s="750"/>
    </row>
    <row r="1402" spans="1:10" x14ac:dyDescent="0.35">
      <c r="A1402" s="92"/>
      <c r="F1402" s="726"/>
      <c r="G1402" s="735"/>
      <c r="H1402" s="93"/>
      <c r="I1402" s="750"/>
      <c r="J1402" s="750"/>
    </row>
    <row r="1403" spans="1:10" x14ac:dyDescent="0.35">
      <c r="A1403" s="92"/>
      <c r="F1403" s="726"/>
      <c r="G1403" s="735"/>
      <c r="H1403" s="93"/>
      <c r="I1403" s="750"/>
      <c r="J1403" s="750"/>
    </row>
    <row r="1404" spans="1:10" x14ac:dyDescent="0.35">
      <c r="A1404" s="92"/>
      <c r="F1404" s="726"/>
      <c r="G1404" s="735"/>
      <c r="H1404" s="93"/>
      <c r="I1404" s="750"/>
      <c r="J1404" s="750"/>
    </row>
    <row r="1405" spans="1:10" x14ac:dyDescent="0.35">
      <c r="A1405" s="92"/>
      <c r="F1405" s="726"/>
      <c r="G1405" s="735"/>
      <c r="H1405" s="93"/>
      <c r="I1405" s="750"/>
      <c r="J1405" s="750"/>
    </row>
    <row r="1406" spans="1:10" x14ac:dyDescent="0.35">
      <c r="A1406" s="92"/>
      <c r="F1406" s="726"/>
      <c r="G1406" s="735"/>
      <c r="H1406" s="93"/>
      <c r="I1406" s="750"/>
      <c r="J1406" s="750"/>
    </row>
    <row r="1407" spans="1:10" x14ac:dyDescent="0.35">
      <c r="A1407" s="92"/>
      <c r="F1407" s="726"/>
      <c r="G1407" s="735"/>
      <c r="H1407" s="93"/>
      <c r="I1407" s="750"/>
      <c r="J1407" s="750"/>
    </row>
    <row r="1408" spans="1:10" x14ac:dyDescent="0.35">
      <c r="A1408" s="92"/>
      <c r="F1408" s="726"/>
      <c r="G1408" s="735"/>
      <c r="H1408" s="93"/>
      <c r="I1408" s="750"/>
      <c r="J1408" s="750"/>
    </row>
    <row r="1409" spans="1:10" x14ac:dyDescent="0.35">
      <c r="A1409" s="92"/>
      <c r="F1409" s="726"/>
      <c r="G1409" s="735"/>
      <c r="H1409" s="93"/>
      <c r="I1409" s="750"/>
      <c r="J1409" s="750"/>
    </row>
    <row r="1410" spans="1:10" x14ac:dyDescent="0.35">
      <c r="A1410" s="92"/>
      <c r="F1410" s="726"/>
      <c r="G1410" s="735"/>
      <c r="H1410" s="93"/>
      <c r="I1410" s="750"/>
      <c r="J1410" s="750"/>
    </row>
    <row r="1411" spans="1:10" x14ac:dyDescent="0.35">
      <c r="A1411" s="92"/>
      <c r="F1411" s="726"/>
      <c r="G1411" s="735"/>
      <c r="H1411" s="93"/>
      <c r="I1411" s="750"/>
      <c r="J1411" s="750"/>
    </row>
    <row r="1412" spans="1:10" x14ac:dyDescent="0.35">
      <c r="A1412" s="92"/>
      <c r="F1412" s="726"/>
      <c r="G1412" s="735"/>
      <c r="H1412" s="93"/>
      <c r="I1412" s="750"/>
      <c r="J1412" s="750"/>
    </row>
    <row r="1413" spans="1:10" x14ac:dyDescent="0.35">
      <c r="A1413" s="92"/>
      <c r="F1413" s="726"/>
      <c r="G1413" s="735"/>
      <c r="H1413" s="93"/>
      <c r="I1413" s="750"/>
      <c r="J1413" s="750"/>
    </row>
    <row r="1414" spans="1:10" x14ac:dyDescent="0.35">
      <c r="A1414" s="92"/>
      <c r="F1414" s="726"/>
      <c r="G1414" s="735"/>
      <c r="H1414" s="93"/>
      <c r="I1414" s="750"/>
      <c r="J1414" s="750"/>
    </row>
    <row r="1415" spans="1:10" x14ac:dyDescent="0.35">
      <c r="A1415" s="92"/>
      <c r="F1415" s="726"/>
      <c r="G1415" s="735"/>
      <c r="H1415" s="93"/>
      <c r="I1415" s="750"/>
      <c r="J1415" s="750"/>
    </row>
    <row r="1416" spans="1:10" x14ac:dyDescent="0.35">
      <c r="A1416" s="92"/>
      <c r="F1416" s="726"/>
      <c r="G1416" s="735"/>
      <c r="H1416" s="93"/>
      <c r="I1416" s="750"/>
      <c r="J1416" s="750"/>
    </row>
    <row r="1417" spans="1:10" x14ac:dyDescent="0.35">
      <c r="A1417" s="92"/>
      <c r="F1417" s="726"/>
      <c r="G1417" s="735"/>
      <c r="H1417" s="93"/>
      <c r="I1417" s="750"/>
      <c r="J1417" s="750"/>
    </row>
    <row r="1418" spans="1:10" x14ac:dyDescent="0.35">
      <c r="A1418" s="92"/>
      <c r="F1418" s="726"/>
      <c r="G1418" s="735"/>
      <c r="H1418" s="93"/>
      <c r="I1418" s="750"/>
      <c r="J1418" s="750"/>
    </row>
    <row r="1419" spans="1:10" x14ac:dyDescent="0.35">
      <c r="A1419" s="92"/>
      <c r="F1419" s="726"/>
      <c r="G1419" s="735"/>
      <c r="H1419" s="93"/>
      <c r="I1419" s="750"/>
      <c r="J1419" s="750"/>
    </row>
    <row r="1420" spans="1:10" x14ac:dyDescent="0.35">
      <c r="A1420" s="92"/>
      <c r="F1420" s="726"/>
      <c r="G1420" s="735"/>
      <c r="H1420" s="93"/>
      <c r="I1420" s="750"/>
      <c r="J1420" s="750"/>
    </row>
    <row r="1421" spans="1:10" x14ac:dyDescent="0.35">
      <c r="A1421" s="92"/>
      <c r="F1421" s="726"/>
      <c r="G1421" s="735"/>
      <c r="H1421" s="93"/>
      <c r="I1421" s="750"/>
      <c r="J1421" s="750"/>
    </row>
    <row r="1422" spans="1:10" x14ac:dyDescent="0.35">
      <c r="A1422" s="92"/>
      <c r="F1422" s="726"/>
      <c r="G1422" s="735"/>
      <c r="H1422" s="93"/>
      <c r="I1422" s="750"/>
      <c r="J1422" s="750"/>
    </row>
    <row r="1423" spans="1:10" x14ac:dyDescent="0.35">
      <c r="A1423" s="92"/>
      <c r="F1423" s="726"/>
      <c r="G1423" s="735"/>
      <c r="H1423" s="93"/>
      <c r="I1423" s="750"/>
      <c r="J1423" s="750"/>
    </row>
    <row r="1424" spans="1:10" x14ac:dyDescent="0.35">
      <c r="A1424" s="92"/>
      <c r="F1424" s="726"/>
      <c r="G1424" s="735"/>
      <c r="H1424" s="93"/>
      <c r="I1424" s="750"/>
      <c r="J1424" s="750"/>
    </row>
    <row r="1425" spans="1:10" x14ac:dyDescent="0.35">
      <c r="A1425" s="92"/>
      <c r="F1425" s="726"/>
      <c r="G1425" s="735"/>
      <c r="H1425" s="93"/>
      <c r="I1425" s="750"/>
      <c r="J1425" s="750"/>
    </row>
    <row r="1426" spans="1:10" x14ac:dyDescent="0.35">
      <c r="A1426" s="92"/>
      <c r="F1426" s="726"/>
      <c r="G1426" s="735"/>
      <c r="H1426" s="93"/>
      <c r="I1426" s="750"/>
      <c r="J1426" s="750"/>
    </row>
    <row r="1427" spans="1:10" x14ac:dyDescent="0.35">
      <c r="A1427" s="92"/>
      <c r="F1427" s="726"/>
      <c r="G1427" s="735"/>
      <c r="H1427" s="93"/>
      <c r="I1427" s="750"/>
      <c r="J1427" s="750"/>
    </row>
    <row r="1428" spans="1:10" x14ac:dyDescent="0.35">
      <c r="A1428" s="92"/>
      <c r="F1428" s="726"/>
      <c r="G1428" s="735"/>
      <c r="H1428" s="93"/>
      <c r="I1428" s="750"/>
      <c r="J1428" s="750"/>
    </row>
    <row r="1429" spans="1:10" x14ac:dyDescent="0.35">
      <c r="A1429" s="92"/>
      <c r="F1429" s="726"/>
      <c r="G1429" s="735"/>
      <c r="H1429" s="93"/>
      <c r="I1429" s="750"/>
      <c r="J1429" s="750"/>
    </row>
    <row r="1430" spans="1:10" x14ac:dyDescent="0.35">
      <c r="A1430" s="92"/>
      <c r="F1430" s="726"/>
      <c r="G1430" s="735"/>
      <c r="H1430" s="93"/>
      <c r="I1430" s="750"/>
      <c r="J1430" s="750"/>
    </row>
    <row r="1431" spans="1:10" x14ac:dyDescent="0.35">
      <c r="A1431" s="92"/>
      <c r="F1431" s="726"/>
      <c r="G1431" s="735"/>
      <c r="H1431" s="93"/>
      <c r="I1431" s="750"/>
      <c r="J1431" s="750"/>
    </row>
    <row r="1432" spans="1:10" x14ac:dyDescent="0.35">
      <c r="A1432" s="92"/>
      <c r="F1432" s="726"/>
      <c r="G1432" s="735"/>
      <c r="H1432" s="93"/>
      <c r="I1432" s="750"/>
      <c r="J1432" s="750"/>
    </row>
    <row r="1433" spans="1:10" x14ac:dyDescent="0.35">
      <c r="A1433" s="92"/>
      <c r="F1433" s="726"/>
      <c r="G1433" s="735"/>
      <c r="H1433" s="93"/>
      <c r="I1433" s="750"/>
      <c r="J1433" s="750"/>
    </row>
    <row r="1434" spans="1:10" x14ac:dyDescent="0.35">
      <c r="A1434" s="92"/>
      <c r="F1434" s="726"/>
      <c r="G1434" s="735"/>
      <c r="H1434" s="93"/>
      <c r="I1434" s="750"/>
      <c r="J1434" s="750"/>
    </row>
    <row r="1435" spans="1:10" x14ac:dyDescent="0.35">
      <c r="A1435" s="92"/>
      <c r="F1435" s="726"/>
      <c r="G1435" s="735"/>
      <c r="H1435" s="93"/>
      <c r="I1435" s="750"/>
      <c r="J1435" s="750"/>
    </row>
    <row r="1436" spans="1:10" x14ac:dyDescent="0.35">
      <c r="A1436" s="92"/>
      <c r="F1436" s="726"/>
      <c r="G1436" s="735"/>
      <c r="H1436" s="93"/>
      <c r="I1436" s="750"/>
      <c r="J1436" s="750"/>
    </row>
    <row r="1437" spans="1:10" x14ac:dyDescent="0.35">
      <c r="A1437" s="92"/>
      <c r="F1437" s="726"/>
      <c r="G1437" s="735"/>
      <c r="H1437" s="93"/>
      <c r="I1437" s="750"/>
      <c r="J1437" s="750"/>
    </row>
    <row r="1438" spans="1:10" x14ac:dyDescent="0.35">
      <c r="A1438" s="92"/>
      <c r="F1438" s="726"/>
      <c r="G1438" s="735"/>
      <c r="H1438" s="93"/>
      <c r="I1438" s="750"/>
      <c r="J1438" s="750"/>
    </row>
    <row r="1439" spans="1:10" x14ac:dyDescent="0.35">
      <c r="A1439" s="92"/>
      <c r="F1439" s="726"/>
      <c r="G1439" s="735"/>
      <c r="H1439" s="93"/>
      <c r="I1439" s="750"/>
      <c r="J1439" s="750"/>
    </row>
    <row r="1440" spans="1:10" x14ac:dyDescent="0.35">
      <c r="A1440" s="92"/>
      <c r="F1440" s="726"/>
      <c r="G1440" s="735"/>
      <c r="H1440" s="93"/>
      <c r="I1440" s="750"/>
      <c r="J1440" s="750"/>
    </row>
    <row r="1441" spans="1:10" x14ac:dyDescent="0.35">
      <c r="A1441" s="92"/>
      <c r="F1441" s="726"/>
      <c r="G1441" s="735"/>
      <c r="H1441" s="93"/>
      <c r="I1441" s="750"/>
      <c r="J1441" s="750"/>
    </row>
    <row r="1442" spans="1:10" x14ac:dyDescent="0.35">
      <c r="A1442" s="92"/>
      <c r="F1442" s="726"/>
      <c r="G1442" s="735"/>
      <c r="H1442" s="93"/>
      <c r="I1442" s="750"/>
      <c r="J1442" s="750"/>
    </row>
    <row r="1443" spans="1:10" x14ac:dyDescent="0.35">
      <c r="A1443" s="92"/>
      <c r="F1443" s="726"/>
      <c r="G1443" s="735"/>
      <c r="H1443" s="93"/>
      <c r="I1443" s="750"/>
      <c r="J1443" s="750"/>
    </row>
    <row r="1444" spans="1:10" x14ac:dyDescent="0.35">
      <c r="A1444" s="92"/>
      <c r="F1444" s="726"/>
      <c r="G1444" s="735"/>
      <c r="H1444" s="93"/>
      <c r="I1444" s="750"/>
      <c r="J1444" s="750"/>
    </row>
    <row r="1445" spans="1:10" x14ac:dyDescent="0.35">
      <c r="A1445" s="92"/>
      <c r="F1445" s="726"/>
      <c r="G1445" s="735"/>
      <c r="H1445" s="93"/>
      <c r="I1445" s="750"/>
      <c r="J1445" s="750"/>
    </row>
    <row r="1446" spans="1:10" x14ac:dyDescent="0.35">
      <c r="A1446" s="92"/>
      <c r="F1446" s="726"/>
      <c r="G1446" s="735"/>
      <c r="H1446" s="93"/>
      <c r="I1446" s="750"/>
      <c r="J1446" s="750"/>
    </row>
    <row r="1447" spans="1:10" x14ac:dyDescent="0.35">
      <c r="A1447" s="92"/>
      <c r="F1447" s="726"/>
      <c r="G1447" s="735"/>
      <c r="H1447" s="93"/>
      <c r="I1447" s="750"/>
      <c r="J1447" s="750"/>
    </row>
    <row r="1448" spans="1:10" x14ac:dyDescent="0.35">
      <c r="A1448" s="92"/>
      <c r="F1448" s="726"/>
      <c r="G1448" s="735"/>
      <c r="H1448" s="93"/>
      <c r="I1448" s="750"/>
      <c r="J1448" s="750"/>
    </row>
    <row r="1449" spans="1:10" x14ac:dyDescent="0.35">
      <c r="A1449" s="92"/>
      <c r="F1449" s="726"/>
      <c r="G1449" s="735"/>
      <c r="H1449" s="93"/>
      <c r="I1449" s="750"/>
      <c r="J1449" s="750"/>
    </row>
    <row r="1450" spans="1:10" x14ac:dyDescent="0.35">
      <c r="A1450" s="92"/>
      <c r="F1450" s="726"/>
      <c r="G1450" s="735"/>
      <c r="H1450" s="93"/>
      <c r="I1450" s="750"/>
      <c r="J1450" s="750"/>
    </row>
    <row r="1451" spans="1:10" x14ac:dyDescent="0.35">
      <c r="A1451" s="92"/>
      <c r="F1451" s="726"/>
      <c r="G1451" s="735"/>
      <c r="H1451" s="93"/>
      <c r="I1451" s="750"/>
      <c r="J1451" s="750"/>
    </row>
    <row r="1452" spans="1:10" x14ac:dyDescent="0.35">
      <c r="A1452" s="92"/>
      <c r="F1452" s="726"/>
      <c r="G1452" s="735"/>
      <c r="H1452" s="93"/>
      <c r="I1452" s="750"/>
      <c r="J1452" s="750"/>
    </row>
    <row r="1453" spans="1:10" x14ac:dyDescent="0.35">
      <c r="A1453" s="92"/>
      <c r="F1453" s="726"/>
      <c r="G1453" s="735"/>
      <c r="H1453" s="93"/>
      <c r="I1453" s="750"/>
      <c r="J1453" s="750"/>
    </row>
    <row r="1454" spans="1:10" x14ac:dyDescent="0.35">
      <c r="A1454" s="92"/>
      <c r="F1454" s="726"/>
      <c r="G1454" s="735"/>
      <c r="H1454" s="93"/>
      <c r="I1454" s="750"/>
      <c r="J1454" s="750"/>
    </row>
    <row r="1455" spans="1:10" x14ac:dyDescent="0.35">
      <c r="A1455" s="92"/>
      <c r="F1455" s="726"/>
      <c r="G1455" s="735"/>
      <c r="H1455" s="93"/>
      <c r="I1455" s="750"/>
      <c r="J1455" s="750"/>
    </row>
    <row r="1456" spans="1:10" x14ac:dyDescent="0.35">
      <c r="A1456" s="92"/>
      <c r="F1456" s="726"/>
      <c r="G1456" s="735"/>
      <c r="H1456" s="93"/>
      <c r="I1456" s="750"/>
      <c r="J1456" s="750"/>
    </row>
    <row r="1457" spans="1:10" x14ac:dyDescent="0.35">
      <c r="A1457" s="92"/>
      <c r="F1457" s="726"/>
      <c r="G1457" s="735"/>
      <c r="H1457" s="93"/>
      <c r="I1457" s="750"/>
      <c r="J1457" s="750"/>
    </row>
    <row r="1458" spans="1:10" x14ac:dyDescent="0.35">
      <c r="A1458" s="92"/>
      <c r="F1458" s="726"/>
      <c r="G1458" s="735"/>
      <c r="H1458" s="93"/>
      <c r="I1458" s="750"/>
      <c r="J1458" s="750"/>
    </row>
    <row r="1459" spans="1:10" x14ac:dyDescent="0.35">
      <c r="A1459" s="92"/>
      <c r="F1459" s="726"/>
      <c r="G1459" s="735"/>
      <c r="H1459" s="93"/>
      <c r="I1459" s="750"/>
      <c r="J1459" s="750"/>
    </row>
    <row r="1460" spans="1:10" x14ac:dyDescent="0.35">
      <c r="A1460" s="92"/>
      <c r="F1460" s="726"/>
      <c r="G1460" s="735"/>
      <c r="H1460" s="93"/>
      <c r="I1460" s="750"/>
      <c r="J1460" s="750"/>
    </row>
    <row r="1461" spans="1:10" x14ac:dyDescent="0.35">
      <c r="A1461" s="92"/>
      <c r="F1461" s="726"/>
      <c r="G1461" s="735"/>
      <c r="H1461" s="93"/>
      <c r="I1461" s="750"/>
      <c r="J1461" s="750"/>
    </row>
    <row r="1462" spans="1:10" x14ac:dyDescent="0.35">
      <c r="A1462" s="92"/>
      <c r="F1462" s="726"/>
      <c r="G1462" s="735"/>
      <c r="H1462" s="93"/>
      <c r="I1462" s="750"/>
      <c r="J1462" s="750"/>
    </row>
    <row r="1463" spans="1:10" x14ac:dyDescent="0.35">
      <c r="A1463" s="92"/>
      <c r="F1463" s="726"/>
      <c r="G1463" s="735"/>
      <c r="H1463" s="93"/>
      <c r="I1463" s="750"/>
      <c r="J1463" s="750"/>
    </row>
    <row r="1464" spans="1:10" x14ac:dyDescent="0.35">
      <c r="A1464" s="92"/>
      <c r="F1464" s="726"/>
      <c r="G1464" s="735"/>
      <c r="H1464" s="93"/>
      <c r="I1464" s="750"/>
      <c r="J1464" s="750"/>
    </row>
    <row r="1465" spans="1:10" x14ac:dyDescent="0.35">
      <c r="A1465" s="92"/>
      <c r="F1465" s="726"/>
      <c r="G1465" s="735"/>
      <c r="H1465" s="93"/>
      <c r="I1465" s="750"/>
      <c r="J1465" s="750"/>
    </row>
    <row r="1466" spans="1:10" x14ac:dyDescent="0.35">
      <c r="A1466" s="92"/>
      <c r="F1466" s="726"/>
      <c r="G1466" s="735"/>
      <c r="H1466" s="93"/>
      <c r="I1466" s="750"/>
      <c r="J1466" s="750"/>
    </row>
    <row r="1467" spans="1:10" x14ac:dyDescent="0.35">
      <c r="A1467" s="92"/>
      <c r="F1467" s="726"/>
      <c r="G1467" s="735"/>
      <c r="H1467" s="93"/>
      <c r="I1467" s="750"/>
      <c r="J1467" s="750"/>
    </row>
    <row r="1468" spans="1:10" x14ac:dyDescent="0.35">
      <c r="A1468" s="92"/>
      <c r="F1468" s="726"/>
      <c r="G1468" s="735"/>
      <c r="H1468" s="93"/>
      <c r="I1468" s="750"/>
      <c r="J1468" s="750"/>
    </row>
    <row r="1469" spans="1:10" x14ac:dyDescent="0.35">
      <c r="A1469" s="92"/>
      <c r="F1469" s="726"/>
      <c r="G1469" s="735"/>
      <c r="H1469" s="93"/>
      <c r="I1469" s="750"/>
      <c r="J1469" s="750"/>
    </row>
    <row r="1470" spans="1:10" x14ac:dyDescent="0.35">
      <c r="A1470" s="92"/>
      <c r="F1470" s="726"/>
      <c r="G1470" s="735"/>
      <c r="H1470" s="93"/>
      <c r="I1470" s="750"/>
      <c r="J1470" s="750"/>
    </row>
    <row r="1471" spans="1:10" x14ac:dyDescent="0.35">
      <c r="A1471" s="92"/>
      <c r="F1471" s="726"/>
      <c r="G1471" s="735"/>
      <c r="H1471" s="93"/>
      <c r="I1471" s="750"/>
      <c r="J1471" s="750"/>
    </row>
    <row r="1472" spans="1:10" x14ac:dyDescent="0.35">
      <c r="A1472" s="92"/>
      <c r="F1472" s="726"/>
      <c r="G1472" s="735"/>
      <c r="H1472" s="93"/>
      <c r="I1472" s="750"/>
      <c r="J1472" s="750"/>
    </row>
    <row r="1473" spans="1:10" x14ac:dyDescent="0.35">
      <c r="A1473" s="92"/>
      <c r="F1473" s="726"/>
      <c r="G1473" s="735"/>
      <c r="H1473" s="93"/>
      <c r="I1473" s="750"/>
      <c r="J1473" s="750"/>
    </row>
    <row r="1474" spans="1:10" x14ac:dyDescent="0.35">
      <c r="A1474" s="92"/>
      <c r="F1474" s="726"/>
      <c r="G1474" s="735"/>
      <c r="H1474" s="93"/>
      <c r="I1474" s="750"/>
      <c r="J1474" s="750"/>
    </row>
    <row r="1475" spans="1:10" x14ac:dyDescent="0.35">
      <c r="A1475" s="92"/>
      <c r="F1475" s="726"/>
      <c r="G1475" s="735"/>
      <c r="H1475" s="93"/>
      <c r="I1475" s="750"/>
      <c r="J1475" s="750"/>
    </row>
    <row r="1476" spans="1:10" x14ac:dyDescent="0.35">
      <c r="A1476" s="92"/>
      <c r="F1476" s="726"/>
      <c r="G1476" s="735"/>
      <c r="H1476" s="93"/>
      <c r="I1476" s="750"/>
      <c r="J1476" s="750"/>
    </row>
    <row r="1477" spans="1:10" x14ac:dyDescent="0.35">
      <c r="A1477" s="92"/>
      <c r="F1477" s="726"/>
      <c r="G1477" s="735"/>
      <c r="H1477" s="93"/>
      <c r="I1477" s="750"/>
      <c r="J1477" s="750"/>
    </row>
    <row r="1478" spans="1:10" x14ac:dyDescent="0.35">
      <c r="A1478" s="92"/>
      <c r="F1478" s="726"/>
      <c r="G1478" s="735"/>
      <c r="H1478" s="93"/>
      <c r="I1478" s="750"/>
      <c r="J1478" s="750"/>
    </row>
    <row r="1479" spans="1:10" x14ac:dyDescent="0.35">
      <c r="A1479" s="92"/>
      <c r="F1479" s="726"/>
      <c r="G1479" s="735"/>
      <c r="H1479" s="93"/>
      <c r="I1479" s="750"/>
      <c r="J1479" s="750"/>
    </row>
    <row r="1480" spans="1:10" x14ac:dyDescent="0.35">
      <c r="A1480" s="92"/>
      <c r="F1480" s="726"/>
      <c r="G1480" s="735"/>
      <c r="H1480" s="93"/>
      <c r="I1480" s="750"/>
      <c r="J1480" s="750"/>
    </row>
    <row r="1481" spans="1:10" x14ac:dyDescent="0.35">
      <c r="A1481" s="92"/>
      <c r="F1481" s="726"/>
      <c r="G1481" s="735"/>
      <c r="H1481" s="93"/>
      <c r="I1481" s="750"/>
      <c r="J1481" s="750"/>
    </row>
    <row r="1482" spans="1:10" x14ac:dyDescent="0.35">
      <c r="A1482" s="92"/>
      <c r="F1482" s="726"/>
      <c r="G1482" s="735"/>
      <c r="H1482" s="93"/>
      <c r="I1482" s="750"/>
      <c r="J1482" s="750"/>
    </row>
    <row r="1483" spans="1:10" x14ac:dyDescent="0.35">
      <c r="A1483" s="92"/>
      <c r="F1483" s="726"/>
      <c r="G1483" s="735"/>
      <c r="H1483" s="93"/>
      <c r="I1483" s="750"/>
      <c r="J1483" s="750"/>
    </row>
    <row r="1484" spans="1:10" x14ac:dyDescent="0.35">
      <c r="A1484" s="92"/>
      <c r="F1484" s="726"/>
      <c r="G1484" s="735"/>
      <c r="H1484" s="93"/>
      <c r="I1484" s="750"/>
      <c r="J1484" s="750"/>
    </row>
    <row r="1485" spans="1:10" x14ac:dyDescent="0.35">
      <c r="A1485" s="92"/>
      <c r="F1485" s="726"/>
      <c r="G1485" s="735"/>
      <c r="H1485" s="93"/>
      <c r="I1485" s="750"/>
      <c r="J1485" s="750"/>
    </row>
    <row r="1486" spans="1:10" x14ac:dyDescent="0.35">
      <c r="A1486" s="92"/>
      <c r="F1486" s="726"/>
      <c r="G1486" s="735"/>
      <c r="H1486" s="93"/>
      <c r="I1486" s="750"/>
      <c r="J1486" s="750"/>
    </row>
    <row r="1487" spans="1:10" x14ac:dyDescent="0.35">
      <c r="A1487" s="92"/>
      <c r="F1487" s="726"/>
      <c r="G1487" s="735"/>
      <c r="H1487" s="93"/>
      <c r="I1487" s="750"/>
      <c r="J1487" s="750"/>
    </row>
    <row r="1488" spans="1:10" x14ac:dyDescent="0.35">
      <c r="A1488" s="92"/>
      <c r="F1488" s="726"/>
      <c r="G1488" s="735"/>
      <c r="H1488" s="93"/>
      <c r="I1488" s="750"/>
      <c r="J1488" s="750"/>
    </row>
    <row r="1489" spans="1:10" x14ac:dyDescent="0.35">
      <c r="A1489" s="92"/>
      <c r="F1489" s="726"/>
      <c r="G1489" s="735"/>
      <c r="H1489" s="93"/>
      <c r="I1489" s="750"/>
      <c r="J1489" s="750"/>
    </row>
    <row r="1490" spans="1:10" x14ac:dyDescent="0.35">
      <c r="A1490" s="92"/>
      <c r="F1490" s="726"/>
      <c r="G1490" s="735"/>
      <c r="H1490" s="93"/>
      <c r="I1490" s="750"/>
      <c r="J1490" s="750"/>
    </row>
    <row r="1491" spans="1:10" x14ac:dyDescent="0.35">
      <c r="A1491" s="92"/>
      <c r="F1491" s="726"/>
      <c r="G1491" s="735"/>
      <c r="H1491" s="93"/>
      <c r="I1491" s="750"/>
      <c r="J1491" s="750"/>
    </row>
    <row r="1492" spans="1:10" x14ac:dyDescent="0.35">
      <c r="A1492" s="92"/>
      <c r="F1492" s="726"/>
      <c r="G1492" s="735"/>
      <c r="H1492" s="93"/>
      <c r="I1492" s="750"/>
      <c r="J1492" s="750"/>
    </row>
    <row r="1493" spans="1:10" x14ac:dyDescent="0.35">
      <c r="A1493" s="92"/>
      <c r="F1493" s="726"/>
      <c r="G1493" s="735"/>
      <c r="H1493" s="93"/>
      <c r="I1493" s="750"/>
      <c r="J1493" s="750"/>
    </row>
    <row r="1494" spans="1:10" x14ac:dyDescent="0.35">
      <c r="A1494" s="92"/>
      <c r="F1494" s="726"/>
      <c r="G1494" s="735"/>
      <c r="H1494" s="93"/>
      <c r="I1494" s="750"/>
      <c r="J1494" s="750"/>
    </row>
    <row r="1495" spans="1:10" x14ac:dyDescent="0.35">
      <c r="A1495" s="92"/>
      <c r="F1495" s="726"/>
      <c r="G1495" s="735"/>
      <c r="H1495" s="93"/>
      <c r="I1495" s="750"/>
      <c r="J1495" s="750"/>
    </row>
    <row r="1496" spans="1:10" x14ac:dyDescent="0.35">
      <c r="A1496" s="92"/>
      <c r="F1496" s="726"/>
      <c r="G1496" s="735"/>
      <c r="H1496" s="93"/>
      <c r="I1496" s="750"/>
      <c r="J1496" s="750"/>
    </row>
    <row r="1497" spans="1:10" x14ac:dyDescent="0.35">
      <c r="A1497" s="92"/>
      <c r="F1497" s="726"/>
      <c r="G1497" s="735"/>
      <c r="H1497" s="93"/>
      <c r="I1497" s="750"/>
      <c r="J1497" s="750"/>
    </row>
    <row r="1498" spans="1:10" x14ac:dyDescent="0.35">
      <c r="A1498" s="92"/>
      <c r="F1498" s="726"/>
      <c r="G1498" s="735"/>
      <c r="H1498" s="93"/>
      <c r="I1498" s="750"/>
      <c r="J1498" s="750"/>
    </row>
    <row r="1499" spans="1:10" x14ac:dyDescent="0.35">
      <c r="A1499" s="92"/>
      <c r="F1499" s="726"/>
      <c r="G1499" s="735"/>
      <c r="H1499" s="93"/>
      <c r="I1499" s="750"/>
      <c r="J1499" s="750"/>
    </row>
    <row r="1500" spans="1:10" x14ac:dyDescent="0.35">
      <c r="A1500" s="92"/>
      <c r="F1500" s="726"/>
      <c r="G1500" s="735"/>
      <c r="H1500" s="93"/>
      <c r="I1500" s="750"/>
      <c r="J1500" s="750"/>
    </row>
    <row r="1501" spans="1:10" x14ac:dyDescent="0.35">
      <c r="A1501" s="92"/>
      <c r="F1501" s="726"/>
      <c r="G1501" s="735"/>
      <c r="H1501" s="93"/>
      <c r="I1501" s="750"/>
      <c r="J1501" s="750"/>
    </row>
    <row r="1502" spans="1:10" x14ac:dyDescent="0.35">
      <c r="A1502" s="92"/>
      <c r="F1502" s="726"/>
      <c r="G1502" s="735"/>
      <c r="H1502" s="93"/>
      <c r="I1502" s="750"/>
      <c r="J1502" s="750"/>
    </row>
    <row r="1503" spans="1:10" x14ac:dyDescent="0.35">
      <c r="A1503" s="92"/>
      <c r="F1503" s="726"/>
      <c r="G1503" s="735"/>
      <c r="H1503" s="93"/>
      <c r="I1503" s="750"/>
      <c r="J1503" s="750"/>
    </row>
    <row r="1504" spans="1:10" x14ac:dyDescent="0.35">
      <c r="A1504" s="92"/>
      <c r="F1504" s="726"/>
      <c r="G1504" s="735"/>
      <c r="H1504" s="93"/>
      <c r="I1504" s="750"/>
      <c r="J1504" s="750"/>
    </row>
    <row r="1505" spans="1:10" x14ac:dyDescent="0.35">
      <c r="A1505" s="92"/>
      <c r="F1505" s="726"/>
      <c r="G1505" s="735"/>
      <c r="H1505" s="93"/>
      <c r="I1505" s="750"/>
      <c r="J1505" s="750"/>
    </row>
    <row r="1506" spans="1:10" x14ac:dyDescent="0.35">
      <c r="A1506" s="92"/>
      <c r="F1506" s="726"/>
      <c r="G1506" s="735"/>
      <c r="H1506" s="93"/>
      <c r="I1506" s="750"/>
      <c r="J1506" s="750"/>
    </row>
    <row r="1507" spans="1:10" x14ac:dyDescent="0.35">
      <c r="A1507" s="92"/>
      <c r="F1507" s="726"/>
      <c r="G1507" s="735"/>
      <c r="H1507" s="93"/>
      <c r="I1507" s="750"/>
      <c r="J1507" s="750"/>
    </row>
    <row r="1508" spans="1:10" x14ac:dyDescent="0.35">
      <c r="A1508" s="92"/>
      <c r="F1508" s="726"/>
      <c r="G1508" s="735"/>
      <c r="H1508" s="93"/>
      <c r="I1508" s="750"/>
      <c r="J1508" s="750"/>
    </row>
    <row r="1509" spans="1:10" x14ac:dyDescent="0.35">
      <c r="A1509" s="92"/>
      <c r="F1509" s="726"/>
      <c r="G1509" s="735"/>
      <c r="H1509" s="93"/>
      <c r="I1509" s="750"/>
      <c r="J1509" s="750"/>
    </row>
    <row r="1510" spans="1:10" x14ac:dyDescent="0.35">
      <c r="A1510" s="92"/>
      <c r="F1510" s="726"/>
      <c r="G1510" s="735"/>
      <c r="H1510" s="93"/>
      <c r="I1510" s="750"/>
      <c r="J1510" s="750"/>
    </row>
    <row r="1511" spans="1:10" x14ac:dyDescent="0.35">
      <c r="A1511" s="92"/>
      <c r="F1511" s="726"/>
      <c r="G1511" s="735"/>
      <c r="H1511" s="93"/>
      <c r="I1511" s="750"/>
      <c r="J1511" s="750"/>
    </row>
    <row r="1512" spans="1:10" x14ac:dyDescent="0.35">
      <c r="A1512" s="92"/>
      <c r="F1512" s="726"/>
      <c r="G1512" s="735"/>
      <c r="H1512" s="93"/>
      <c r="I1512" s="750"/>
      <c r="J1512" s="750"/>
    </row>
    <row r="1513" spans="1:10" x14ac:dyDescent="0.35">
      <c r="A1513" s="92"/>
      <c r="F1513" s="726"/>
      <c r="G1513" s="735"/>
      <c r="H1513" s="93"/>
      <c r="I1513" s="750"/>
      <c r="J1513" s="750"/>
    </row>
    <row r="1514" spans="1:10" x14ac:dyDescent="0.35">
      <c r="A1514" s="92"/>
      <c r="F1514" s="726"/>
      <c r="G1514" s="735"/>
      <c r="H1514" s="93"/>
      <c r="I1514" s="750"/>
      <c r="J1514" s="750"/>
    </row>
    <row r="1515" spans="1:10" x14ac:dyDescent="0.35">
      <c r="A1515" s="92"/>
      <c r="F1515" s="726"/>
      <c r="G1515" s="735"/>
      <c r="H1515" s="93"/>
      <c r="I1515" s="750"/>
      <c r="J1515" s="750"/>
    </row>
    <row r="1516" spans="1:10" x14ac:dyDescent="0.35">
      <c r="A1516" s="92"/>
      <c r="F1516" s="726"/>
      <c r="G1516" s="735"/>
      <c r="H1516" s="93"/>
      <c r="I1516" s="750"/>
      <c r="J1516" s="750"/>
    </row>
    <row r="1517" spans="1:10" x14ac:dyDescent="0.35">
      <c r="A1517" s="92"/>
      <c r="F1517" s="726"/>
      <c r="G1517" s="735"/>
      <c r="H1517" s="93"/>
      <c r="I1517" s="750"/>
      <c r="J1517" s="750"/>
    </row>
    <row r="1518" spans="1:10" x14ac:dyDescent="0.35">
      <c r="A1518" s="92"/>
      <c r="F1518" s="726"/>
      <c r="G1518" s="735"/>
      <c r="H1518" s="93"/>
      <c r="I1518" s="750"/>
      <c r="J1518" s="750"/>
    </row>
    <row r="1519" spans="1:10" x14ac:dyDescent="0.35">
      <c r="A1519" s="92"/>
      <c r="F1519" s="726"/>
      <c r="G1519" s="735"/>
      <c r="H1519" s="93"/>
      <c r="I1519" s="750"/>
      <c r="J1519" s="750"/>
    </row>
    <row r="1520" spans="1:10" x14ac:dyDescent="0.35">
      <c r="A1520" s="92"/>
      <c r="F1520" s="726"/>
      <c r="G1520" s="735"/>
      <c r="H1520" s="93"/>
      <c r="I1520" s="750"/>
      <c r="J1520" s="750"/>
    </row>
    <row r="1521" spans="1:10" x14ac:dyDescent="0.35">
      <c r="A1521" s="92"/>
      <c r="F1521" s="726"/>
      <c r="G1521" s="735"/>
      <c r="H1521" s="93"/>
      <c r="I1521" s="750"/>
      <c r="J1521" s="750"/>
    </row>
    <row r="1522" spans="1:10" x14ac:dyDescent="0.35">
      <c r="A1522" s="92"/>
      <c r="F1522" s="726"/>
      <c r="G1522" s="735"/>
      <c r="H1522" s="93"/>
      <c r="I1522" s="750"/>
      <c r="J1522" s="750"/>
    </row>
    <row r="1523" spans="1:10" x14ac:dyDescent="0.35">
      <c r="A1523" s="92"/>
      <c r="F1523" s="726"/>
      <c r="G1523" s="735"/>
      <c r="H1523" s="93"/>
      <c r="I1523" s="750"/>
      <c r="J1523" s="750"/>
    </row>
    <row r="1524" spans="1:10" x14ac:dyDescent="0.35">
      <c r="A1524" s="92"/>
      <c r="F1524" s="726"/>
      <c r="G1524" s="735"/>
      <c r="H1524" s="93"/>
      <c r="I1524" s="750"/>
      <c r="J1524" s="750"/>
    </row>
    <row r="1525" spans="1:10" x14ac:dyDescent="0.35">
      <c r="A1525" s="92"/>
      <c r="F1525" s="726"/>
      <c r="G1525" s="735"/>
      <c r="H1525" s="93"/>
      <c r="I1525" s="750"/>
      <c r="J1525" s="750"/>
    </row>
    <row r="1526" spans="1:10" x14ac:dyDescent="0.35">
      <c r="A1526" s="92"/>
      <c r="F1526" s="726"/>
      <c r="G1526" s="735"/>
      <c r="H1526" s="93"/>
      <c r="I1526" s="750"/>
      <c r="J1526" s="750"/>
    </row>
    <row r="1527" spans="1:10" x14ac:dyDescent="0.35">
      <c r="A1527" s="92"/>
      <c r="F1527" s="726"/>
      <c r="G1527" s="735"/>
      <c r="H1527" s="93"/>
      <c r="I1527" s="750"/>
      <c r="J1527" s="750"/>
    </row>
    <row r="1528" spans="1:10" x14ac:dyDescent="0.35">
      <c r="A1528" s="92"/>
      <c r="F1528" s="726"/>
      <c r="G1528" s="735"/>
      <c r="H1528" s="93"/>
      <c r="I1528" s="750"/>
      <c r="J1528" s="750"/>
    </row>
    <row r="1529" spans="1:10" x14ac:dyDescent="0.35">
      <c r="A1529" s="92"/>
      <c r="F1529" s="726"/>
      <c r="G1529" s="735"/>
      <c r="H1529" s="93"/>
      <c r="I1529" s="750"/>
      <c r="J1529" s="750"/>
    </row>
    <row r="1530" spans="1:10" x14ac:dyDescent="0.35">
      <c r="A1530" s="92"/>
      <c r="F1530" s="726"/>
      <c r="G1530" s="735"/>
      <c r="H1530" s="93"/>
      <c r="I1530" s="750"/>
      <c r="J1530" s="750"/>
    </row>
    <row r="1531" spans="1:10" x14ac:dyDescent="0.35">
      <c r="A1531" s="92"/>
      <c r="F1531" s="726"/>
      <c r="G1531" s="735"/>
      <c r="H1531" s="93"/>
      <c r="I1531" s="750"/>
      <c r="J1531" s="750"/>
    </row>
    <row r="1532" spans="1:10" x14ac:dyDescent="0.35">
      <c r="A1532" s="92"/>
      <c r="F1532" s="726"/>
      <c r="G1532" s="735"/>
      <c r="H1532" s="93"/>
      <c r="I1532" s="750"/>
      <c r="J1532" s="750"/>
    </row>
    <row r="1533" spans="1:10" x14ac:dyDescent="0.35">
      <c r="A1533" s="92"/>
      <c r="F1533" s="726"/>
      <c r="G1533" s="735"/>
      <c r="H1533" s="93"/>
      <c r="I1533" s="750"/>
      <c r="J1533" s="750"/>
    </row>
    <row r="1534" spans="1:10" x14ac:dyDescent="0.35">
      <c r="A1534" s="92"/>
      <c r="F1534" s="726"/>
      <c r="G1534" s="735"/>
      <c r="H1534" s="93"/>
      <c r="I1534" s="750"/>
      <c r="J1534" s="750"/>
    </row>
    <row r="1535" spans="1:10" x14ac:dyDescent="0.35">
      <c r="A1535" s="92"/>
      <c r="F1535" s="726"/>
      <c r="G1535" s="735"/>
      <c r="H1535" s="93"/>
      <c r="I1535" s="750"/>
      <c r="J1535" s="750"/>
    </row>
    <row r="1536" spans="1:10" x14ac:dyDescent="0.35">
      <c r="A1536" s="92"/>
      <c r="F1536" s="726"/>
      <c r="G1536" s="735"/>
      <c r="H1536" s="93"/>
      <c r="I1536" s="750"/>
      <c r="J1536" s="750"/>
    </row>
    <row r="1537" spans="1:10" x14ac:dyDescent="0.35">
      <c r="A1537" s="92"/>
      <c r="F1537" s="726"/>
      <c r="G1537" s="735"/>
      <c r="H1537" s="93"/>
      <c r="I1537" s="750"/>
      <c r="J1537" s="750"/>
    </row>
    <row r="1538" spans="1:10" x14ac:dyDescent="0.35">
      <c r="A1538" s="92"/>
      <c r="F1538" s="726"/>
      <c r="G1538" s="735"/>
      <c r="H1538" s="93"/>
      <c r="I1538" s="750"/>
      <c r="J1538" s="750"/>
    </row>
    <row r="1539" spans="1:10" x14ac:dyDescent="0.35">
      <c r="A1539" s="92"/>
      <c r="F1539" s="726"/>
      <c r="G1539" s="735"/>
      <c r="H1539" s="93"/>
      <c r="I1539" s="750"/>
      <c r="J1539" s="750"/>
    </row>
    <row r="1540" spans="1:10" x14ac:dyDescent="0.35">
      <c r="A1540" s="92"/>
      <c r="F1540" s="726"/>
      <c r="G1540" s="735"/>
      <c r="H1540" s="93"/>
      <c r="I1540" s="750"/>
      <c r="J1540" s="750"/>
    </row>
    <row r="1541" spans="1:10" x14ac:dyDescent="0.35">
      <c r="A1541" s="92"/>
      <c r="F1541" s="726"/>
      <c r="G1541" s="735"/>
      <c r="H1541" s="93"/>
      <c r="I1541" s="750"/>
      <c r="J1541" s="750"/>
    </row>
    <row r="1542" spans="1:10" x14ac:dyDescent="0.35">
      <c r="A1542" s="92"/>
      <c r="F1542" s="726"/>
      <c r="G1542" s="735"/>
      <c r="H1542" s="93"/>
      <c r="I1542" s="750"/>
      <c r="J1542" s="750"/>
    </row>
    <row r="1543" spans="1:10" x14ac:dyDescent="0.35">
      <c r="A1543" s="92"/>
      <c r="F1543" s="726"/>
      <c r="G1543" s="735"/>
      <c r="H1543" s="93"/>
      <c r="I1543" s="750"/>
      <c r="J1543" s="750"/>
    </row>
    <row r="1544" spans="1:10" x14ac:dyDescent="0.35">
      <c r="A1544" s="92"/>
      <c r="F1544" s="726"/>
      <c r="G1544" s="735"/>
      <c r="H1544" s="93"/>
      <c r="I1544" s="750"/>
      <c r="J1544" s="750"/>
    </row>
    <row r="1545" spans="1:10" x14ac:dyDescent="0.35">
      <c r="A1545" s="92"/>
      <c r="F1545" s="726"/>
      <c r="G1545" s="735"/>
      <c r="H1545" s="93"/>
      <c r="I1545" s="750"/>
      <c r="J1545" s="750"/>
    </row>
    <row r="1546" spans="1:10" x14ac:dyDescent="0.35">
      <c r="A1546" s="92"/>
      <c r="F1546" s="726"/>
      <c r="G1546" s="735"/>
      <c r="H1546" s="93"/>
      <c r="I1546" s="750"/>
      <c r="J1546" s="750"/>
    </row>
    <row r="1547" spans="1:10" x14ac:dyDescent="0.35">
      <c r="A1547" s="92"/>
      <c r="F1547" s="726"/>
      <c r="G1547" s="735"/>
      <c r="H1547" s="93"/>
      <c r="I1547" s="750"/>
      <c r="J1547" s="750"/>
    </row>
    <row r="1548" spans="1:10" x14ac:dyDescent="0.35">
      <c r="A1548" s="92"/>
      <c r="F1548" s="726"/>
      <c r="G1548" s="735"/>
      <c r="H1548" s="93"/>
      <c r="I1548" s="750"/>
      <c r="J1548" s="750"/>
    </row>
    <row r="1549" spans="1:10" x14ac:dyDescent="0.35">
      <c r="A1549" s="92"/>
      <c r="F1549" s="726"/>
      <c r="G1549" s="735"/>
      <c r="H1549" s="93"/>
      <c r="I1549" s="750"/>
      <c r="J1549" s="750"/>
    </row>
    <row r="1550" spans="1:10" x14ac:dyDescent="0.35">
      <c r="A1550" s="92"/>
      <c r="F1550" s="726"/>
      <c r="G1550" s="735"/>
      <c r="H1550" s="93"/>
      <c r="I1550" s="750"/>
      <c r="J1550" s="750"/>
    </row>
    <row r="1551" spans="1:10" x14ac:dyDescent="0.35">
      <c r="A1551" s="92"/>
      <c r="F1551" s="726"/>
      <c r="G1551" s="735"/>
      <c r="H1551" s="93"/>
      <c r="I1551" s="750"/>
      <c r="J1551" s="750"/>
    </row>
    <row r="1552" spans="1:10" x14ac:dyDescent="0.35">
      <c r="A1552" s="92"/>
      <c r="F1552" s="726"/>
      <c r="G1552" s="735"/>
      <c r="H1552" s="93"/>
      <c r="I1552" s="750"/>
      <c r="J1552" s="750"/>
    </row>
    <row r="1553" spans="1:10" x14ac:dyDescent="0.35">
      <c r="A1553" s="92"/>
      <c r="F1553" s="726"/>
      <c r="G1553" s="735"/>
      <c r="H1553" s="93"/>
      <c r="I1553" s="750"/>
      <c r="J1553" s="750"/>
    </row>
    <row r="1554" spans="1:10" x14ac:dyDescent="0.35">
      <c r="A1554" s="92"/>
      <c r="F1554" s="726"/>
      <c r="G1554" s="735"/>
      <c r="H1554" s="93"/>
      <c r="I1554" s="750"/>
      <c r="J1554" s="750"/>
    </row>
    <row r="1555" spans="1:10" x14ac:dyDescent="0.35">
      <c r="A1555" s="92"/>
      <c r="F1555" s="726"/>
      <c r="G1555" s="735"/>
      <c r="H1555" s="93"/>
      <c r="I1555" s="750"/>
      <c r="J1555" s="750"/>
    </row>
    <row r="1556" spans="1:10" x14ac:dyDescent="0.35">
      <c r="A1556" s="92"/>
      <c r="F1556" s="726"/>
      <c r="G1556" s="735"/>
      <c r="H1556" s="93"/>
      <c r="I1556" s="750"/>
      <c r="J1556" s="750"/>
    </row>
    <row r="1557" spans="1:10" x14ac:dyDescent="0.35">
      <c r="A1557" s="92"/>
      <c r="F1557" s="726"/>
      <c r="G1557" s="735"/>
      <c r="H1557" s="93"/>
      <c r="I1557" s="750"/>
      <c r="J1557" s="750"/>
    </row>
    <row r="1558" spans="1:10" x14ac:dyDescent="0.35">
      <c r="A1558" s="92"/>
      <c r="F1558" s="726"/>
      <c r="G1558" s="735"/>
      <c r="H1558" s="93"/>
      <c r="I1558" s="750"/>
      <c r="J1558" s="750"/>
    </row>
    <row r="1559" spans="1:10" x14ac:dyDescent="0.35">
      <c r="A1559" s="92"/>
      <c r="F1559" s="726"/>
      <c r="G1559" s="735"/>
      <c r="H1559" s="93"/>
      <c r="I1559" s="750"/>
      <c r="J1559" s="750"/>
    </row>
    <row r="1560" spans="1:10" x14ac:dyDescent="0.35">
      <c r="A1560" s="92"/>
      <c r="F1560" s="726"/>
      <c r="G1560" s="735"/>
      <c r="H1560" s="93"/>
      <c r="I1560" s="750"/>
      <c r="J1560" s="750"/>
    </row>
    <row r="1561" spans="1:10" x14ac:dyDescent="0.35">
      <c r="A1561" s="92"/>
      <c r="F1561" s="726"/>
      <c r="G1561" s="735"/>
      <c r="H1561" s="93"/>
      <c r="I1561" s="750"/>
      <c r="J1561" s="750"/>
    </row>
    <row r="1562" spans="1:10" x14ac:dyDescent="0.35">
      <c r="A1562" s="92"/>
      <c r="F1562" s="726"/>
      <c r="G1562" s="735"/>
      <c r="H1562" s="93"/>
      <c r="I1562" s="750"/>
      <c r="J1562" s="750"/>
    </row>
    <row r="1563" spans="1:10" x14ac:dyDescent="0.35">
      <c r="A1563" s="92"/>
      <c r="F1563" s="726"/>
      <c r="G1563" s="735"/>
      <c r="H1563" s="93"/>
      <c r="I1563" s="750"/>
      <c r="J1563" s="750"/>
    </row>
    <row r="1564" spans="1:10" x14ac:dyDescent="0.35">
      <c r="A1564" s="92"/>
      <c r="F1564" s="726"/>
      <c r="G1564" s="735"/>
      <c r="H1564" s="93"/>
      <c r="I1564" s="750"/>
      <c r="J1564" s="750"/>
    </row>
    <row r="1565" spans="1:10" x14ac:dyDescent="0.35">
      <c r="A1565" s="92"/>
      <c r="F1565" s="726"/>
      <c r="G1565" s="735"/>
      <c r="H1565" s="93"/>
      <c r="I1565" s="750"/>
      <c r="J1565" s="750"/>
    </row>
    <row r="1566" spans="1:10" x14ac:dyDescent="0.35">
      <c r="A1566" s="92"/>
      <c r="F1566" s="726"/>
      <c r="G1566" s="735"/>
      <c r="H1566" s="93"/>
      <c r="I1566" s="750"/>
      <c r="J1566" s="750"/>
    </row>
    <row r="1567" spans="1:10" x14ac:dyDescent="0.35">
      <c r="A1567" s="92"/>
      <c r="F1567" s="726"/>
      <c r="G1567" s="735"/>
      <c r="H1567" s="93"/>
      <c r="I1567" s="750"/>
      <c r="J1567" s="750"/>
    </row>
    <row r="1568" spans="1:10" x14ac:dyDescent="0.35">
      <c r="A1568" s="92"/>
      <c r="F1568" s="726"/>
      <c r="G1568" s="735"/>
      <c r="H1568" s="93"/>
      <c r="I1568" s="750"/>
      <c r="J1568" s="750"/>
    </row>
    <row r="1569" spans="1:10" x14ac:dyDescent="0.35">
      <c r="A1569" s="92"/>
      <c r="F1569" s="726"/>
      <c r="G1569" s="735"/>
      <c r="H1569" s="93"/>
      <c r="I1569" s="750"/>
      <c r="J1569" s="750"/>
    </row>
    <row r="1570" spans="1:10" x14ac:dyDescent="0.35">
      <c r="A1570" s="92"/>
      <c r="F1570" s="726"/>
      <c r="G1570" s="735"/>
      <c r="H1570" s="93"/>
      <c r="I1570" s="750"/>
      <c r="J1570" s="750"/>
    </row>
    <row r="1571" spans="1:10" x14ac:dyDescent="0.35">
      <c r="A1571" s="92"/>
      <c r="F1571" s="726"/>
      <c r="G1571" s="735"/>
      <c r="H1571" s="93"/>
      <c r="I1571" s="750"/>
      <c r="J1571" s="750"/>
    </row>
    <row r="1572" spans="1:10" x14ac:dyDescent="0.35">
      <c r="A1572" s="92"/>
      <c r="F1572" s="726"/>
      <c r="G1572" s="735"/>
      <c r="H1572" s="93"/>
      <c r="I1572" s="750"/>
      <c r="J1572" s="750"/>
    </row>
    <row r="1573" spans="1:10" x14ac:dyDescent="0.35">
      <c r="A1573" s="92"/>
      <c r="F1573" s="726"/>
      <c r="G1573" s="735"/>
      <c r="H1573" s="93"/>
      <c r="I1573" s="750"/>
      <c r="J1573" s="750"/>
    </row>
    <row r="1574" spans="1:10" x14ac:dyDescent="0.35">
      <c r="A1574" s="92"/>
      <c r="F1574" s="726"/>
      <c r="G1574" s="735"/>
      <c r="H1574" s="93"/>
      <c r="I1574" s="750"/>
      <c r="J1574" s="750"/>
    </row>
    <row r="1575" spans="1:10" x14ac:dyDescent="0.35">
      <c r="A1575" s="92"/>
      <c r="F1575" s="726"/>
      <c r="G1575" s="735"/>
      <c r="H1575" s="93"/>
      <c r="I1575" s="750"/>
      <c r="J1575" s="750"/>
    </row>
    <row r="1576" spans="1:10" x14ac:dyDescent="0.35">
      <c r="A1576" s="92"/>
      <c r="F1576" s="726"/>
      <c r="G1576" s="735"/>
      <c r="H1576" s="93"/>
      <c r="I1576" s="750"/>
      <c r="J1576" s="750"/>
    </row>
    <row r="1577" spans="1:10" x14ac:dyDescent="0.35">
      <c r="A1577" s="92"/>
      <c r="F1577" s="726"/>
      <c r="G1577" s="735"/>
      <c r="H1577" s="93"/>
      <c r="I1577" s="750"/>
      <c r="J1577" s="750"/>
    </row>
    <row r="1578" spans="1:10" x14ac:dyDescent="0.35">
      <c r="A1578" s="92"/>
      <c r="F1578" s="726"/>
      <c r="G1578" s="735"/>
      <c r="H1578" s="93"/>
      <c r="I1578" s="750"/>
      <c r="J1578" s="750"/>
    </row>
    <row r="1579" spans="1:10" x14ac:dyDescent="0.35">
      <c r="A1579" s="92"/>
      <c r="F1579" s="726"/>
      <c r="G1579" s="735"/>
      <c r="H1579" s="93"/>
      <c r="I1579" s="750"/>
      <c r="J1579" s="750"/>
    </row>
    <row r="1580" spans="1:10" x14ac:dyDescent="0.35">
      <c r="A1580" s="92"/>
      <c r="F1580" s="726"/>
      <c r="G1580" s="735"/>
      <c r="H1580" s="93"/>
      <c r="I1580" s="750"/>
      <c r="J1580" s="750"/>
    </row>
    <row r="1581" spans="1:10" x14ac:dyDescent="0.35">
      <c r="A1581" s="92"/>
      <c r="F1581" s="726"/>
      <c r="G1581" s="735"/>
      <c r="H1581" s="93"/>
      <c r="I1581" s="750"/>
      <c r="J1581" s="750"/>
    </row>
    <row r="1582" spans="1:10" x14ac:dyDescent="0.35">
      <c r="A1582" s="92"/>
      <c r="F1582" s="726"/>
      <c r="G1582" s="735"/>
      <c r="H1582" s="93"/>
      <c r="I1582" s="750"/>
      <c r="J1582" s="750"/>
    </row>
    <row r="1583" spans="1:10" x14ac:dyDescent="0.35">
      <c r="A1583" s="92"/>
      <c r="F1583" s="726"/>
      <c r="G1583" s="735"/>
      <c r="H1583" s="93"/>
      <c r="I1583" s="750"/>
      <c r="J1583" s="750"/>
    </row>
    <row r="1584" spans="1:10" x14ac:dyDescent="0.35">
      <c r="A1584" s="92"/>
      <c r="F1584" s="726"/>
      <c r="G1584" s="735"/>
      <c r="H1584" s="93"/>
      <c r="I1584" s="750"/>
      <c r="J1584" s="750"/>
    </row>
    <row r="1585" spans="1:10" x14ac:dyDescent="0.35">
      <c r="A1585" s="92"/>
      <c r="F1585" s="726"/>
      <c r="G1585" s="735"/>
      <c r="H1585" s="93"/>
      <c r="I1585" s="750"/>
      <c r="J1585" s="750"/>
    </row>
    <row r="1586" spans="1:10" x14ac:dyDescent="0.35">
      <c r="A1586" s="92"/>
      <c r="F1586" s="726"/>
      <c r="G1586" s="735"/>
      <c r="H1586" s="93"/>
      <c r="I1586" s="750"/>
      <c r="J1586" s="750"/>
    </row>
    <row r="1587" spans="1:10" x14ac:dyDescent="0.35">
      <c r="A1587" s="92"/>
      <c r="F1587" s="726"/>
      <c r="G1587" s="735"/>
      <c r="H1587" s="93"/>
      <c r="I1587" s="750"/>
      <c r="J1587" s="750"/>
    </row>
    <row r="1588" spans="1:10" x14ac:dyDescent="0.35">
      <c r="A1588" s="92"/>
      <c r="F1588" s="726"/>
      <c r="G1588" s="735"/>
      <c r="H1588" s="93"/>
      <c r="I1588" s="750"/>
      <c r="J1588" s="750"/>
    </row>
    <row r="1589" spans="1:10" x14ac:dyDescent="0.35">
      <c r="A1589" s="92"/>
      <c r="F1589" s="726"/>
      <c r="G1589" s="735"/>
      <c r="H1589" s="93"/>
      <c r="I1589" s="750"/>
      <c r="J1589" s="750"/>
    </row>
    <row r="1590" spans="1:10" x14ac:dyDescent="0.35">
      <c r="A1590" s="92"/>
      <c r="F1590" s="726"/>
      <c r="G1590" s="735"/>
      <c r="H1590" s="93"/>
      <c r="I1590" s="750"/>
      <c r="J1590" s="750"/>
    </row>
    <row r="1591" spans="1:10" x14ac:dyDescent="0.35">
      <c r="A1591" s="92"/>
      <c r="F1591" s="726"/>
      <c r="G1591" s="735"/>
      <c r="H1591" s="93"/>
      <c r="I1591" s="750"/>
      <c r="J1591" s="750"/>
    </row>
    <row r="1592" spans="1:10" x14ac:dyDescent="0.35">
      <c r="A1592" s="92"/>
      <c r="F1592" s="726"/>
      <c r="G1592" s="735"/>
      <c r="H1592" s="93"/>
      <c r="I1592" s="750"/>
      <c r="J1592" s="750"/>
    </row>
    <row r="1593" spans="1:10" x14ac:dyDescent="0.35">
      <c r="A1593" s="92"/>
      <c r="F1593" s="726"/>
      <c r="G1593" s="735"/>
      <c r="H1593" s="93"/>
      <c r="I1593" s="750"/>
      <c r="J1593" s="750"/>
    </row>
    <row r="1594" spans="1:10" x14ac:dyDescent="0.35">
      <c r="A1594" s="92"/>
      <c r="F1594" s="726"/>
      <c r="G1594" s="735"/>
      <c r="H1594" s="93"/>
      <c r="I1594" s="750"/>
      <c r="J1594" s="750"/>
    </row>
    <row r="1595" spans="1:10" x14ac:dyDescent="0.35">
      <c r="A1595" s="92"/>
      <c r="F1595" s="726"/>
      <c r="G1595" s="735"/>
      <c r="H1595" s="93"/>
      <c r="I1595" s="750"/>
      <c r="J1595" s="750"/>
    </row>
    <row r="1596" spans="1:10" x14ac:dyDescent="0.35">
      <c r="A1596" s="92"/>
      <c r="F1596" s="726"/>
      <c r="G1596" s="735"/>
      <c r="H1596" s="93"/>
      <c r="I1596" s="750"/>
      <c r="J1596" s="750"/>
    </row>
    <row r="1597" spans="1:10" x14ac:dyDescent="0.35">
      <c r="A1597" s="92"/>
      <c r="F1597" s="726"/>
      <c r="G1597" s="735"/>
      <c r="H1597" s="93"/>
      <c r="I1597" s="750"/>
      <c r="J1597" s="750"/>
    </row>
    <row r="1598" spans="1:10" x14ac:dyDescent="0.35">
      <c r="A1598" s="92"/>
      <c r="F1598" s="726"/>
      <c r="G1598" s="735"/>
      <c r="H1598" s="93"/>
      <c r="I1598" s="750"/>
      <c r="J1598" s="750"/>
    </row>
    <row r="1599" spans="1:10" x14ac:dyDescent="0.35">
      <c r="A1599" s="92"/>
      <c r="F1599" s="726"/>
      <c r="G1599" s="735"/>
      <c r="H1599" s="93"/>
      <c r="I1599" s="750"/>
      <c r="J1599" s="750"/>
    </row>
    <row r="1600" spans="1:10" x14ac:dyDescent="0.35">
      <c r="A1600" s="92"/>
      <c r="F1600" s="726"/>
      <c r="G1600" s="735"/>
      <c r="H1600" s="93"/>
      <c r="I1600" s="750"/>
      <c r="J1600" s="750"/>
    </row>
    <row r="1601" spans="1:10" x14ac:dyDescent="0.35">
      <c r="A1601" s="92"/>
      <c r="F1601" s="726"/>
      <c r="G1601" s="735"/>
      <c r="H1601" s="93"/>
      <c r="I1601" s="750"/>
      <c r="J1601" s="750"/>
    </row>
    <row r="1602" spans="1:10" x14ac:dyDescent="0.35">
      <c r="A1602" s="92"/>
      <c r="F1602" s="726"/>
      <c r="G1602" s="735"/>
      <c r="H1602" s="93"/>
      <c r="I1602" s="750"/>
      <c r="J1602" s="750"/>
    </row>
    <row r="1603" spans="1:10" x14ac:dyDescent="0.35">
      <c r="A1603" s="92"/>
      <c r="F1603" s="726"/>
      <c r="G1603" s="735"/>
      <c r="H1603" s="93"/>
      <c r="I1603" s="750"/>
      <c r="J1603" s="750"/>
    </row>
    <row r="1604" spans="1:10" x14ac:dyDescent="0.35">
      <c r="A1604" s="92"/>
      <c r="F1604" s="726"/>
      <c r="G1604" s="735"/>
      <c r="H1604" s="93"/>
      <c r="I1604" s="750"/>
      <c r="J1604" s="750"/>
    </row>
    <row r="1605" spans="1:10" x14ac:dyDescent="0.35">
      <c r="A1605" s="92"/>
      <c r="F1605" s="726"/>
      <c r="G1605" s="735"/>
      <c r="H1605" s="93"/>
      <c r="I1605" s="750"/>
      <c r="J1605" s="750"/>
    </row>
    <row r="1606" spans="1:10" x14ac:dyDescent="0.35">
      <c r="A1606" s="92"/>
      <c r="F1606" s="726"/>
      <c r="G1606" s="735"/>
      <c r="H1606" s="93"/>
      <c r="I1606" s="750"/>
      <c r="J1606" s="750"/>
    </row>
    <row r="1607" spans="1:10" x14ac:dyDescent="0.35">
      <c r="A1607" s="92"/>
      <c r="F1607" s="726"/>
      <c r="G1607" s="735"/>
      <c r="H1607" s="93"/>
      <c r="I1607" s="750"/>
      <c r="J1607" s="750"/>
    </row>
    <row r="1608" spans="1:10" x14ac:dyDescent="0.35">
      <c r="A1608" s="92"/>
      <c r="F1608" s="726"/>
      <c r="G1608" s="735"/>
      <c r="H1608" s="93"/>
      <c r="I1608" s="750"/>
      <c r="J1608" s="750"/>
    </row>
    <row r="1609" spans="1:10" x14ac:dyDescent="0.35">
      <c r="A1609" s="92"/>
      <c r="F1609" s="726"/>
      <c r="G1609" s="735"/>
      <c r="H1609" s="93"/>
      <c r="I1609" s="750"/>
      <c r="J1609" s="750"/>
    </row>
    <row r="1610" spans="1:10" x14ac:dyDescent="0.35">
      <c r="A1610" s="92"/>
      <c r="F1610" s="726"/>
      <c r="G1610" s="735"/>
      <c r="H1610" s="93"/>
      <c r="I1610" s="750"/>
      <c r="J1610" s="750"/>
    </row>
    <row r="1611" spans="1:10" x14ac:dyDescent="0.35">
      <c r="A1611" s="92"/>
      <c r="F1611" s="726"/>
      <c r="G1611" s="735"/>
      <c r="H1611" s="93"/>
      <c r="I1611" s="750"/>
      <c r="J1611" s="750"/>
    </row>
    <row r="1612" spans="1:10" x14ac:dyDescent="0.35">
      <c r="A1612" s="92"/>
      <c r="F1612" s="726"/>
      <c r="G1612" s="735"/>
      <c r="H1612" s="93"/>
      <c r="I1612" s="750"/>
      <c r="J1612" s="750"/>
    </row>
    <row r="1613" spans="1:10" x14ac:dyDescent="0.35">
      <c r="A1613" s="92"/>
      <c r="F1613" s="726"/>
      <c r="G1613" s="735"/>
      <c r="H1613" s="93"/>
      <c r="I1613" s="750"/>
      <c r="J1613" s="750"/>
    </row>
    <row r="1614" spans="1:10" x14ac:dyDescent="0.35">
      <c r="A1614" s="92"/>
      <c r="F1614" s="726"/>
      <c r="G1614" s="735"/>
      <c r="H1614" s="93"/>
      <c r="I1614" s="750"/>
      <c r="J1614" s="750"/>
    </row>
    <row r="1615" spans="1:10" x14ac:dyDescent="0.35">
      <c r="A1615" s="92"/>
      <c r="F1615" s="726"/>
      <c r="G1615" s="735"/>
      <c r="H1615" s="93"/>
      <c r="I1615" s="750"/>
      <c r="J1615" s="750"/>
    </row>
    <row r="1616" spans="1:10" x14ac:dyDescent="0.35">
      <c r="A1616" s="92"/>
      <c r="F1616" s="726"/>
      <c r="G1616" s="735"/>
      <c r="H1616" s="93"/>
      <c r="I1616" s="750"/>
      <c r="J1616" s="750"/>
    </row>
    <row r="1617" spans="1:10" x14ac:dyDescent="0.35">
      <c r="A1617" s="92"/>
      <c r="F1617" s="726"/>
      <c r="G1617" s="735"/>
      <c r="H1617" s="93"/>
      <c r="I1617" s="750"/>
      <c r="J1617" s="750"/>
    </row>
    <row r="1618" spans="1:10" x14ac:dyDescent="0.35">
      <c r="A1618" s="92"/>
      <c r="F1618" s="726"/>
      <c r="G1618" s="735"/>
      <c r="H1618" s="93"/>
      <c r="I1618" s="750"/>
      <c r="J1618" s="750"/>
    </row>
    <row r="1619" spans="1:10" x14ac:dyDescent="0.35">
      <c r="A1619" s="92"/>
      <c r="F1619" s="726"/>
      <c r="G1619" s="735"/>
      <c r="H1619" s="93"/>
      <c r="I1619" s="750"/>
      <c r="J1619" s="750"/>
    </row>
    <row r="1620" spans="1:10" x14ac:dyDescent="0.35">
      <c r="A1620" s="92"/>
      <c r="F1620" s="726"/>
      <c r="G1620" s="735"/>
      <c r="H1620" s="93"/>
      <c r="I1620" s="750"/>
      <c r="J1620" s="750"/>
    </row>
    <row r="1621" spans="1:10" x14ac:dyDescent="0.35">
      <c r="A1621" s="92"/>
      <c r="F1621" s="726"/>
      <c r="G1621" s="735"/>
      <c r="H1621" s="93"/>
      <c r="I1621" s="750"/>
      <c r="J1621" s="750"/>
    </row>
    <row r="1622" spans="1:10" x14ac:dyDescent="0.35">
      <c r="A1622" s="92"/>
      <c r="F1622" s="726"/>
      <c r="G1622" s="735"/>
      <c r="H1622" s="93"/>
      <c r="I1622" s="750"/>
      <c r="J1622" s="750"/>
    </row>
    <row r="1623" spans="1:10" x14ac:dyDescent="0.35">
      <c r="A1623" s="92"/>
      <c r="F1623" s="726"/>
      <c r="G1623" s="735"/>
      <c r="H1623" s="93"/>
      <c r="I1623" s="750"/>
      <c r="J1623" s="750"/>
    </row>
    <row r="1624" spans="1:10" x14ac:dyDescent="0.35">
      <c r="A1624" s="92"/>
      <c r="F1624" s="726"/>
      <c r="G1624" s="735"/>
      <c r="H1624" s="93"/>
      <c r="I1624" s="750"/>
      <c r="J1624" s="750"/>
    </row>
    <row r="1625" spans="1:10" x14ac:dyDescent="0.35">
      <c r="A1625" s="92"/>
      <c r="F1625" s="726"/>
      <c r="G1625" s="735"/>
      <c r="H1625" s="93"/>
      <c r="I1625" s="750"/>
      <c r="J1625" s="750"/>
    </row>
    <row r="1626" spans="1:10" x14ac:dyDescent="0.35">
      <c r="A1626" s="92"/>
      <c r="F1626" s="726"/>
      <c r="G1626" s="735"/>
      <c r="H1626" s="93"/>
      <c r="I1626" s="750"/>
      <c r="J1626" s="750"/>
    </row>
    <row r="1627" spans="1:10" x14ac:dyDescent="0.35">
      <c r="A1627" s="92"/>
      <c r="F1627" s="726"/>
      <c r="G1627" s="735"/>
      <c r="H1627" s="93"/>
      <c r="I1627" s="750"/>
      <c r="J1627" s="750"/>
    </row>
    <row r="1628" spans="1:10" x14ac:dyDescent="0.35">
      <c r="A1628" s="92"/>
      <c r="F1628" s="726"/>
      <c r="G1628" s="735"/>
      <c r="H1628" s="93"/>
      <c r="I1628" s="750"/>
      <c r="J1628" s="750"/>
    </row>
    <row r="1629" spans="1:10" x14ac:dyDescent="0.35">
      <c r="A1629" s="92"/>
      <c r="F1629" s="726"/>
      <c r="G1629" s="735"/>
      <c r="H1629" s="93"/>
      <c r="I1629" s="750"/>
      <c r="J1629" s="750"/>
    </row>
    <row r="1630" spans="1:10" x14ac:dyDescent="0.35">
      <c r="A1630" s="92"/>
      <c r="F1630" s="726"/>
      <c r="G1630" s="735"/>
      <c r="H1630" s="93"/>
      <c r="I1630" s="750"/>
      <c r="J1630" s="750"/>
    </row>
    <row r="1631" spans="1:10" x14ac:dyDescent="0.35">
      <c r="A1631" s="92"/>
      <c r="F1631" s="726"/>
      <c r="G1631" s="735"/>
      <c r="H1631" s="93"/>
      <c r="I1631" s="750"/>
      <c r="J1631" s="750"/>
    </row>
    <row r="1632" spans="1:10" x14ac:dyDescent="0.35">
      <c r="A1632" s="92"/>
      <c r="F1632" s="726"/>
      <c r="G1632" s="735"/>
      <c r="H1632" s="93"/>
      <c r="I1632" s="750"/>
      <c r="J1632" s="750"/>
    </row>
    <row r="1633" spans="1:10" x14ac:dyDescent="0.35">
      <c r="A1633" s="92"/>
      <c r="F1633" s="726"/>
      <c r="G1633" s="735"/>
      <c r="H1633" s="93"/>
      <c r="I1633" s="750"/>
      <c r="J1633" s="750"/>
    </row>
    <row r="1634" spans="1:10" x14ac:dyDescent="0.35">
      <c r="A1634" s="92"/>
      <c r="F1634" s="726"/>
      <c r="G1634" s="735"/>
      <c r="H1634" s="93"/>
      <c r="I1634" s="750"/>
      <c r="J1634" s="750"/>
    </row>
    <row r="1635" spans="1:10" x14ac:dyDescent="0.35">
      <c r="A1635" s="92"/>
      <c r="F1635" s="726"/>
      <c r="G1635" s="735"/>
      <c r="H1635" s="93"/>
      <c r="I1635" s="750"/>
      <c r="J1635" s="750"/>
    </row>
    <row r="1636" spans="1:10" x14ac:dyDescent="0.35">
      <c r="A1636" s="92"/>
      <c r="F1636" s="726"/>
      <c r="G1636" s="735"/>
      <c r="H1636" s="93"/>
      <c r="I1636" s="750"/>
      <c r="J1636" s="750"/>
    </row>
    <row r="1637" spans="1:10" x14ac:dyDescent="0.35">
      <c r="A1637" s="92"/>
      <c r="F1637" s="726"/>
      <c r="G1637" s="735"/>
      <c r="H1637" s="93"/>
      <c r="I1637" s="750"/>
      <c r="J1637" s="750"/>
    </row>
    <row r="1638" spans="1:10" x14ac:dyDescent="0.35">
      <c r="A1638" s="92"/>
      <c r="F1638" s="726"/>
      <c r="G1638" s="735"/>
      <c r="H1638" s="93"/>
      <c r="I1638" s="750"/>
      <c r="J1638" s="750"/>
    </row>
    <row r="1639" spans="1:10" x14ac:dyDescent="0.35">
      <c r="A1639" s="92"/>
      <c r="F1639" s="726"/>
      <c r="G1639" s="735"/>
      <c r="H1639" s="93"/>
      <c r="I1639" s="750"/>
      <c r="J1639" s="750"/>
    </row>
    <row r="1640" spans="1:10" x14ac:dyDescent="0.35">
      <c r="A1640" s="92"/>
      <c r="F1640" s="726"/>
      <c r="G1640" s="735"/>
      <c r="H1640" s="93"/>
      <c r="I1640" s="750"/>
      <c r="J1640" s="750"/>
    </row>
    <row r="1641" spans="1:10" x14ac:dyDescent="0.35">
      <c r="A1641" s="92"/>
      <c r="F1641" s="726"/>
      <c r="G1641" s="735"/>
      <c r="H1641" s="93"/>
      <c r="I1641" s="750"/>
      <c r="J1641" s="750"/>
    </row>
    <row r="1642" spans="1:10" x14ac:dyDescent="0.35">
      <c r="A1642" s="92"/>
      <c r="F1642" s="726"/>
      <c r="G1642" s="735"/>
      <c r="H1642" s="93"/>
      <c r="I1642" s="750"/>
      <c r="J1642" s="750"/>
    </row>
    <row r="1643" spans="1:10" x14ac:dyDescent="0.35">
      <c r="A1643" s="92"/>
      <c r="F1643" s="726"/>
      <c r="G1643" s="735"/>
      <c r="H1643" s="93"/>
      <c r="I1643" s="750"/>
      <c r="J1643" s="750"/>
    </row>
    <row r="1644" spans="1:10" x14ac:dyDescent="0.35">
      <c r="A1644" s="92"/>
      <c r="F1644" s="726"/>
      <c r="G1644" s="735"/>
      <c r="H1644" s="93"/>
      <c r="I1644" s="750"/>
      <c r="J1644" s="750"/>
    </row>
    <row r="1645" spans="1:10" x14ac:dyDescent="0.35">
      <c r="A1645" s="92"/>
      <c r="F1645" s="726"/>
      <c r="G1645" s="735"/>
      <c r="H1645" s="93"/>
      <c r="I1645" s="750"/>
      <c r="J1645" s="750"/>
    </row>
    <row r="1646" spans="1:10" x14ac:dyDescent="0.35">
      <c r="A1646" s="92"/>
      <c r="F1646" s="726"/>
      <c r="G1646" s="735"/>
      <c r="H1646" s="93"/>
      <c r="I1646" s="750"/>
      <c r="J1646" s="750"/>
    </row>
    <row r="1647" spans="1:10" x14ac:dyDescent="0.35">
      <c r="A1647" s="92"/>
      <c r="F1647" s="726"/>
      <c r="G1647" s="735"/>
      <c r="H1647" s="93"/>
      <c r="I1647" s="750"/>
      <c r="J1647" s="750"/>
    </row>
    <row r="1648" spans="1:10" x14ac:dyDescent="0.35">
      <c r="A1648" s="92"/>
      <c r="F1648" s="726"/>
      <c r="G1648" s="735"/>
      <c r="H1648" s="93"/>
      <c r="I1648" s="750"/>
      <c r="J1648" s="750"/>
    </row>
    <row r="1649" spans="1:10" x14ac:dyDescent="0.35">
      <c r="A1649" s="92"/>
      <c r="F1649" s="726"/>
      <c r="G1649" s="735"/>
      <c r="H1649" s="93"/>
      <c r="I1649" s="750"/>
      <c r="J1649" s="750"/>
    </row>
    <row r="1650" spans="1:10" x14ac:dyDescent="0.35">
      <c r="A1650" s="92"/>
      <c r="F1650" s="726"/>
      <c r="G1650" s="735"/>
      <c r="H1650" s="93"/>
      <c r="I1650" s="750"/>
      <c r="J1650" s="750"/>
    </row>
    <row r="1651" spans="1:10" x14ac:dyDescent="0.35">
      <c r="A1651" s="92"/>
      <c r="F1651" s="726"/>
      <c r="G1651" s="735"/>
      <c r="H1651" s="93"/>
      <c r="I1651" s="750"/>
      <c r="J1651" s="750"/>
    </row>
    <row r="1652" spans="1:10" x14ac:dyDescent="0.35">
      <c r="A1652" s="92"/>
      <c r="F1652" s="726"/>
      <c r="G1652" s="735"/>
      <c r="H1652" s="93"/>
      <c r="I1652" s="750"/>
      <c r="J1652" s="750"/>
    </row>
    <row r="1653" spans="1:10" x14ac:dyDescent="0.35">
      <c r="A1653" s="92"/>
      <c r="F1653" s="726"/>
      <c r="G1653" s="735"/>
      <c r="H1653" s="93"/>
      <c r="I1653" s="750"/>
      <c r="J1653" s="750"/>
    </row>
    <row r="1654" spans="1:10" x14ac:dyDescent="0.35">
      <c r="A1654" s="92"/>
      <c r="F1654" s="726"/>
      <c r="G1654" s="735"/>
      <c r="H1654" s="93"/>
      <c r="I1654" s="750"/>
      <c r="J1654" s="750"/>
    </row>
    <row r="1655" spans="1:10" x14ac:dyDescent="0.35">
      <c r="A1655" s="92"/>
      <c r="F1655" s="726"/>
      <c r="G1655" s="735"/>
      <c r="H1655" s="93"/>
      <c r="I1655" s="750"/>
      <c r="J1655" s="750"/>
    </row>
    <row r="1656" spans="1:10" x14ac:dyDescent="0.35">
      <c r="A1656" s="92"/>
      <c r="F1656" s="726"/>
      <c r="G1656" s="735"/>
      <c r="H1656" s="93"/>
      <c r="I1656" s="750"/>
      <c r="J1656" s="750"/>
    </row>
    <row r="1657" spans="1:10" x14ac:dyDescent="0.35">
      <c r="A1657" s="92"/>
      <c r="F1657" s="726"/>
      <c r="G1657" s="735"/>
      <c r="H1657" s="93"/>
      <c r="I1657" s="750"/>
      <c r="J1657" s="750"/>
    </row>
    <row r="1658" spans="1:10" x14ac:dyDescent="0.35">
      <c r="A1658" s="92"/>
      <c r="F1658" s="726"/>
      <c r="G1658" s="735"/>
      <c r="H1658" s="93"/>
      <c r="I1658" s="750"/>
      <c r="J1658" s="750"/>
    </row>
    <row r="1659" spans="1:10" x14ac:dyDescent="0.35">
      <c r="A1659" s="92"/>
      <c r="F1659" s="726"/>
      <c r="G1659" s="735"/>
      <c r="H1659" s="93"/>
      <c r="I1659" s="750"/>
      <c r="J1659" s="750"/>
    </row>
    <row r="1660" spans="1:10" x14ac:dyDescent="0.35">
      <c r="A1660" s="92"/>
      <c r="F1660" s="726"/>
      <c r="G1660" s="735"/>
      <c r="H1660" s="93"/>
      <c r="I1660" s="750"/>
      <c r="J1660" s="750"/>
    </row>
    <row r="1661" spans="1:10" x14ac:dyDescent="0.35">
      <c r="A1661" s="92"/>
      <c r="F1661" s="726"/>
      <c r="G1661" s="735"/>
      <c r="H1661" s="93"/>
      <c r="I1661" s="750"/>
      <c r="J1661" s="750"/>
    </row>
    <row r="1662" spans="1:10" x14ac:dyDescent="0.35">
      <c r="A1662" s="92"/>
      <c r="F1662" s="726"/>
      <c r="G1662" s="735"/>
      <c r="H1662" s="93"/>
      <c r="I1662" s="750"/>
      <c r="J1662" s="750"/>
    </row>
    <row r="1663" spans="1:10" x14ac:dyDescent="0.35">
      <c r="A1663" s="92"/>
      <c r="F1663" s="726"/>
      <c r="G1663" s="735"/>
      <c r="H1663" s="93"/>
      <c r="I1663" s="750"/>
      <c r="J1663" s="750"/>
    </row>
    <row r="1664" spans="1:10" x14ac:dyDescent="0.35">
      <c r="A1664" s="92"/>
      <c r="F1664" s="726"/>
      <c r="G1664" s="735"/>
      <c r="H1664" s="93"/>
      <c r="I1664" s="750"/>
      <c r="J1664" s="750"/>
    </row>
    <row r="1665" spans="1:10" x14ac:dyDescent="0.35">
      <c r="A1665" s="92"/>
      <c r="F1665" s="726"/>
      <c r="G1665" s="735"/>
      <c r="H1665" s="93"/>
      <c r="I1665" s="750"/>
      <c r="J1665" s="750"/>
    </row>
    <row r="1666" spans="1:10" x14ac:dyDescent="0.35">
      <c r="A1666" s="92"/>
      <c r="F1666" s="726"/>
      <c r="G1666" s="735"/>
      <c r="H1666" s="93"/>
      <c r="I1666" s="750"/>
      <c r="J1666" s="750"/>
    </row>
    <row r="1667" spans="1:10" x14ac:dyDescent="0.35">
      <c r="A1667" s="92"/>
      <c r="F1667" s="726"/>
      <c r="G1667" s="735"/>
      <c r="H1667" s="93"/>
      <c r="I1667" s="750"/>
      <c r="J1667" s="750"/>
    </row>
    <row r="1668" spans="1:10" x14ac:dyDescent="0.35">
      <c r="A1668" s="92"/>
      <c r="F1668" s="726"/>
      <c r="G1668" s="735"/>
      <c r="H1668" s="93"/>
      <c r="I1668" s="750"/>
      <c r="J1668" s="750"/>
    </row>
    <row r="1669" spans="1:10" x14ac:dyDescent="0.35">
      <c r="A1669" s="92"/>
      <c r="F1669" s="726"/>
      <c r="G1669" s="735"/>
      <c r="H1669" s="93"/>
      <c r="I1669" s="750"/>
      <c r="J1669" s="750"/>
    </row>
    <row r="1670" spans="1:10" x14ac:dyDescent="0.35">
      <c r="A1670" s="92"/>
      <c r="F1670" s="726"/>
      <c r="G1670" s="735"/>
      <c r="H1670" s="93"/>
      <c r="I1670" s="750"/>
      <c r="J1670" s="750"/>
    </row>
    <row r="1671" spans="1:10" x14ac:dyDescent="0.35">
      <c r="A1671" s="92"/>
      <c r="F1671" s="726"/>
      <c r="G1671" s="735"/>
      <c r="H1671" s="93"/>
      <c r="I1671" s="750"/>
      <c r="J1671" s="750"/>
    </row>
    <row r="1672" spans="1:10" x14ac:dyDescent="0.35">
      <c r="A1672" s="92"/>
      <c r="F1672" s="726"/>
      <c r="G1672" s="735"/>
      <c r="H1672" s="93"/>
      <c r="I1672" s="750"/>
      <c r="J1672" s="750"/>
    </row>
    <row r="1673" spans="1:10" x14ac:dyDescent="0.35">
      <c r="A1673" s="92"/>
      <c r="F1673" s="726"/>
      <c r="G1673" s="735"/>
      <c r="H1673" s="93"/>
      <c r="I1673" s="750"/>
      <c r="J1673" s="750"/>
    </row>
    <row r="1674" spans="1:10" x14ac:dyDescent="0.35">
      <c r="A1674" s="92"/>
      <c r="F1674" s="726"/>
      <c r="G1674" s="735"/>
      <c r="H1674" s="93"/>
      <c r="I1674" s="750"/>
      <c r="J1674" s="750"/>
    </row>
    <row r="1675" spans="1:10" x14ac:dyDescent="0.35">
      <c r="A1675" s="92"/>
      <c r="F1675" s="726"/>
      <c r="G1675" s="735"/>
      <c r="H1675" s="93"/>
      <c r="I1675" s="750"/>
      <c r="J1675" s="750"/>
    </row>
    <row r="1676" spans="1:10" x14ac:dyDescent="0.35">
      <c r="A1676" s="92"/>
      <c r="F1676" s="726"/>
      <c r="G1676" s="735"/>
      <c r="H1676" s="93"/>
      <c r="I1676" s="750"/>
      <c r="J1676" s="750"/>
    </row>
    <row r="1677" spans="1:10" x14ac:dyDescent="0.35">
      <c r="A1677" s="92"/>
      <c r="F1677" s="726"/>
      <c r="G1677" s="735"/>
      <c r="H1677" s="93"/>
      <c r="I1677" s="750"/>
      <c r="J1677" s="750"/>
    </row>
    <row r="1678" spans="1:10" x14ac:dyDescent="0.35">
      <c r="A1678" s="92"/>
      <c r="F1678" s="726"/>
      <c r="G1678" s="735"/>
      <c r="H1678" s="93"/>
      <c r="I1678" s="750"/>
      <c r="J1678" s="750"/>
    </row>
    <row r="1679" spans="1:10" x14ac:dyDescent="0.35">
      <c r="A1679" s="92"/>
      <c r="F1679" s="726"/>
      <c r="G1679" s="735"/>
      <c r="H1679" s="93"/>
      <c r="I1679" s="750"/>
      <c r="J1679" s="750"/>
    </row>
    <row r="1680" spans="1:10" x14ac:dyDescent="0.35">
      <c r="A1680" s="92"/>
      <c r="F1680" s="726"/>
      <c r="G1680" s="735"/>
      <c r="H1680" s="93"/>
      <c r="I1680" s="750"/>
      <c r="J1680" s="750"/>
    </row>
    <row r="1681" spans="1:10" x14ac:dyDescent="0.35">
      <c r="A1681" s="92"/>
      <c r="F1681" s="726"/>
      <c r="G1681" s="735"/>
      <c r="H1681" s="93"/>
      <c r="I1681" s="750"/>
      <c r="J1681" s="750"/>
    </row>
    <row r="1682" spans="1:10" x14ac:dyDescent="0.35">
      <c r="A1682" s="92"/>
      <c r="F1682" s="726"/>
      <c r="G1682" s="735"/>
      <c r="H1682" s="93"/>
      <c r="I1682" s="750"/>
      <c r="J1682" s="750"/>
    </row>
    <row r="1683" spans="1:10" x14ac:dyDescent="0.35">
      <c r="A1683" s="92"/>
      <c r="F1683" s="726"/>
      <c r="G1683" s="735"/>
      <c r="H1683" s="93"/>
      <c r="I1683" s="750"/>
      <c r="J1683" s="750"/>
    </row>
    <row r="1684" spans="1:10" x14ac:dyDescent="0.35">
      <c r="A1684" s="92"/>
      <c r="F1684" s="726"/>
      <c r="G1684" s="735"/>
      <c r="H1684" s="93"/>
      <c r="I1684" s="750"/>
      <c r="J1684" s="750"/>
    </row>
    <row r="1685" spans="1:10" x14ac:dyDescent="0.35">
      <c r="A1685" s="92"/>
      <c r="F1685" s="726"/>
      <c r="G1685" s="735"/>
      <c r="H1685" s="93"/>
      <c r="I1685" s="750"/>
      <c r="J1685" s="750"/>
    </row>
    <row r="1686" spans="1:10" x14ac:dyDescent="0.35">
      <c r="A1686" s="92"/>
      <c r="F1686" s="726"/>
      <c r="G1686" s="735"/>
      <c r="H1686" s="93"/>
      <c r="I1686" s="750"/>
      <c r="J1686" s="750"/>
    </row>
    <row r="1687" spans="1:10" x14ac:dyDescent="0.35">
      <c r="A1687" s="92"/>
      <c r="F1687" s="726"/>
      <c r="G1687" s="735"/>
      <c r="H1687" s="93"/>
      <c r="I1687" s="750"/>
      <c r="J1687" s="750"/>
    </row>
    <row r="1688" spans="1:10" x14ac:dyDescent="0.35">
      <c r="A1688" s="92"/>
      <c r="F1688" s="726"/>
      <c r="G1688" s="735"/>
      <c r="H1688" s="93"/>
      <c r="I1688" s="750"/>
      <c r="J1688" s="750"/>
    </row>
    <row r="1689" spans="1:10" x14ac:dyDescent="0.35">
      <c r="A1689" s="92"/>
      <c r="F1689" s="726"/>
      <c r="G1689" s="735"/>
      <c r="H1689" s="93"/>
      <c r="I1689" s="750"/>
      <c r="J1689" s="750"/>
    </row>
    <row r="1690" spans="1:10" x14ac:dyDescent="0.35">
      <c r="A1690" s="92"/>
      <c r="F1690" s="726"/>
      <c r="G1690" s="735"/>
      <c r="H1690" s="93"/>
      <c r="I1690" s="750"/>
      <c r="J1690" s="750"/>
    </row>
    <row r="1691" spans="1:10" x14ac:dyDescent="0.35">
      <c r="A1691" s="92"/>
      <c r="F1691" s="726"/>
      <c r="G1691" s="735"/>
      <c r="H1691" s="93"/>
      <c r="I1691" s="750"/>
      <c r="J1691" s="750"/>
    </row>
    <row r="1692" spans="1:10" x14ac:dyDescent="0.35">
      <c r="A1692" s="92"/>
      <c r="F1692" s="726"/>
      <c r="G1692" s="735"/>
      <c r="H1692" s="93"/>
      <c r="I1692" s="750"/>
      <c r="J1692" s="750"/>
    </row>
    <row r="1693" spans="1:10" x14ac:dyDescent="0.35">
      <c r="A1693" s="92"/>
      <c r="F1693" s="726"/>
      <c r="G1693" s="735"/>
      <c r="H1693" s="93"/>
      <c r="I1693" s="750"/>
      <c r="J1693" s="750"/>
    </row>
    <row r="1694" spans="1:10" x14ac:dyDescent="0.35">
      <c r="A1694" s="92"/>
      <c r="F1694" s="726"/>
      <c r="G1694" s="735"/>
      <c r="H1694" s="93"/>
      <c r="I1694" s="750"/>
      <c r="J1694" s="750"/>
    </row>
    <row r="1695" spans="1:10" x14ac:dyDescent="0.35">
      <c r="A1695" s="92"/>
      <c r="F1695" s="726"/>
      <c r="G1695" s="735"/>
      <c r="H1695" s="93"/>
      <c r="I1695" s="750"/>
      <c r="J1695" s="750"/>
    </row>
    <row r="1696" spans="1:10" x14ac:dyDescent="0.35">
      <c r="A1696" s="92"/>
      <c r="F1696" s="726"/>
      <c r="G1696" s="735"/>
      <c r="H1696" s="93"/>
      <c r="I1696" s="750"/>
      <c r="J1696" s="750"/>
    </row>
    <row r="1697" spans="1:10" x14ac:dyDescent="0.35">
      <c r="A1697" s="92"/>
      <c r="F1697" s="726"/>
      <c r="G1697" s="735"/>
      <c r="H1697" s="93"/>
      <c r="I1697" s="750"/>
      <c r="J1697" s="750"/>
    </row>
    <row r="1698" spans="1:10" x14ac:dyDescent="0.35">
      <c r="A1698" s="92"/>
      <c r="F1698" s="726"/>
      <c r="G1698" s="735"/>
      <c r="H1698" s="93"/>
      <c r="I1698" s="750"/>
      <c r="J1698" s="750"/>
    </row>
    <row r="1699" spans="1:10" x14ac:dyDescent="0.35">
      <c r="A1699" s="92"/>
      <c r="F1699" s="726"/>
      <c r="G1699" s="735"/>
      <c r="H1699" s="93"/>
      <c r="I1699" s="750"/>
      <c r="J1699" s="750"/>
    </row>
    <row r="1700" spans="1:10" x14ac:dyDescent="0.35">
      <c r="A1700" s="92"/>
      <c r="F1700" s="726"/>
      <c r="G1700" s="735"/>
      <c r="H1700" s="93"/>
      <c r="I1700" s="750"/>
      <c r="J1700" s="750"/>
    </row>
    <row r="1701" spans="1:10" x14ac:dyDescent="0.35">
      <c r="A1701" s="92"/>
      <c r="F1701" s="726"/>
      <c r="G1701" s="735"/>
      <c r="H1701" s="93"/>
      <c r="I1701" s="750"/>
      <c r="J1701" s="750"/>
    </row>
    <row r="1702" spans="1:10" x14ac:dyDescent="0.35">
      <c r="A1702" s="92"/>
      <c r="F1702" s="726"/>
      <c r="G1702" s="735"/>
      <c r="H1702" s="93"/>
      <c r="I1702" s="750"/>
      <c r="J1702" s="750"/>
    </row>
    <row r="1703" spans="1:10" x14ac:dyDescent="0.35">
      <c r="A1703" s="92"/>
      <c r="F1703" s="726"/>
      <c r="G1703" s="735"/>
      <c r="H1703" s="93"/>
      <c r="I1703" s="750"/>
      <c r="J1703" s="750"/>
    </row>
    <row r="1704" spans="1:10" x14ac:dyDescent="0.35">
      <c r="A1704" s="92"/>
      <c r="F1704" s="726"/>
      <c r="G1704" s="735"/>
      <c r="H1704" s="93"/>
      <c r="I1704" s="750"/>
      <c r="J1704" s="750"/>
    </row>
    <row r="1705" spans="1:10" x14ac:dyDescent="0.35">
      <c r="A1705" s="92"/>
      <c r="F1705" s="726"/>
      <c r="G1705" s="735"/>
      <c r="H1705" s="93"/>
      <c r="I1705" s="750"/>
      <c r="J1705" s="750"/>
    </row>
    <row r="1706" spans="1:10" x14ac:dyDescent="0.35">
      <c r="A1706" s="92"/>
      <c r="F1706" s="726"/>
      <c r="G1706" s="735"/>
      <c r="H1706" s="93"/>
      <c r="I1706" s="750"/>
      <c r="J1706" s="750"/>
    </row>
    <row r="1707" spans="1:10" x14ac:dyDescent="0.35">
      <c r="A1707" s="92"/>
      <c r="F1707" s="726"/>
      <c r="G1707" s="735"/>
      <c r="H1707" s="93"/>
      <c r="I1707" s="750"/>
      <c r="J1707" s="750"/>
    </row>
    <row r="1708" spans="1:10" x14ac:dyDescent="0.35">
      <c r="A1708" s="92"/>
      <c r="F1708" s="726"/>
      <c r="G1708" s="735"/>
      <c r="H1708" s="93"/>
      <c r="I1708" s="750"/>
      <c r="J1708" s="750"/>
    </row>
    <row r="1709" spans="1:10" x14ac:dyDescent="0.35">
      <c r="A1709" s="92"/>
      <c r="F1709" s="726"/>
      <c r="G1709" s="735"/>
      <c r="H1709" s="93"/>
      <c r="I1709" s="750"/>
      <c r="J1709" s="750"/>
    </row>
    <row r="1710" spans="1:10" x14ac:dyDescent="0.35">
      <c r="A1710" s="92"/>
      <c r="F1710" s="726"/>
      <c r="G1710" s="735"/>
      <c r="H1710" s="93"/>
      <c r="I1710" s="750"/>
      <c r="J1710" s="750"/>
    </row>
    <row r="1711" spans="1:10" x14ac:dyDescent="0.35">
      <c r="A1711" s="92"/>
      <c r="F1711" s="726"/>
      <c r="G1711" s="735"/>
      <c r="H1711" s="93"/>
      <c r="I1711" s="750"/>
      <c r="J1711" s="750"/>
    </row>
    <row r="1712" spans="1:10" x14ac:dyDescent="0.35">
      <c r="A1712" s="92"/>
      <c r="F1712" s="726"/>
      <c r="G1712" s="735"/>
      <c r="H1712" s="93"/>
      <c r="I1712" s="750"/>
      <c r="J1712" s="750"/>
    </row>
    <row r="1713" spans="1:10" x14ac:dyDescent="0.35">
      <c r="A1713" s="92"/>
      <c r="F1713" s="726"/>
      <c r="G1713" s="735"/>
      <c r="H1713" s="93"/>
      <c r="I1713" s="750"/>
      <c r="J1713" s="750"/>
    </row>
    <row r="1714" spans="1:10" x14ac:dyDescent="0.35">
      <c r="A1714" s="92"/>
      <c r="F1714" s="726"/>
      <c r="G1714" s="735"/>
      <c r="H1714" s="93"/>
      <c r="I1714" s="750"/>
      <c r="J1714" s="750"/>
    </row>
    <row r="1715" spans="1:10" x14ac:dyDescent="0.35">
      <c r="A1715" s="92"/>
      <c r="F1715" s="726"/>
      <c r="G1715" s="735"/>
      <c r="H1715" s="93"/>
      <c r="I1715" s="750"/>
      <c r="J1715" s="750"/>
    </row>
    <row r="1716" spans="1:10" x14ac:dyDescent="0.35">
      <c r="A1716" s="92"/>
      <c r="F1716" s="726"/>
      <c r="G1716" s="735"/>
      <c r="H1716" s="93"/>
      <c r="I1716" s="750"/>
      <c r="J1716" s="750"/>
    </row>
    <row r="1717" spans="1:10" x14ac:dyDescent="0.35">
      <c r="A1717" s="92"/>
      <c r="F1717" s="726"/>
      <c r="G1717" s="735"/>
      <c r="H1717" s="93"/>
      <c r="I1717" s="750"/>
      <c r="J1717" s="750"/>
    </row>
    <row r="1718" spans="1:10" x14ac:dyDescent="0.35">
      <c r="A1718" s="92"/>
      <c r="F1718" s="726"/>
      <c r="G1718" s="735"/>
      <c r="H1718" s="93"/>
      <c r="I1718" s="750"/>
      <c r="J1718" s="750"/>
    </row>
    <row r="1719" spans="1:10" x14ac:dyDescent="0.35">
      <c r="A1719" s="92"/>
      <c r="F1719" s="726"/>
      <c r="G1719" s="735"/>
      <c r="H1719" s="93"/>
      <c r="I1719" s="750"/>
      <c r="J1719" s="750"/>
    </row>
    <row r="1720" spans="1:10" x14ac:dyDescent="0.35">
      <c r="A1720" s="92"/>
      <c r="F1720" s="726"/>
      <c r="G1720" s="735"/>
      <c r="H1720" s="93"/>
      <c r="I1720" s="750"/>
      <c r="J1720" s="750"/>
    </row>
    <row r="1721" spans="1:10" x14ac:dyDescent="0.35">
      <c r="A1721" s="92"/>
      <c r="F1721" s="726"/>
      <c r="G1721" s="735"/>
      <c r="H1721" s="93"/>
      <c r="I1721" s="750"/>
      <c r="J1721" s="750"/>
    </row>
    <row r="1722" spans="1:10" x14ac:dyDescent="0.35">
      <c r="A1722" s="92"/>
      <c r="F1722" s="726"/>
      <c r="G1722" s="735"/>
      <c r="H1722" s="93"/>
      <c r="I1722" s="750"/>
      <c r="J1722" s="750"/>
    </row>
    <row r="1723" spans="1:10" x14ac:dyDescent="0.35">
      <c r="A1723" s="92"/>
      <c r="F1723" s="726"/>
      <c r="G1723" s="735"/>
      <c r="H1723" s="93"/>
      <c r="I1723" s="750"/>
      <c r="J1723" s="750"/>
    </row>
    <row r="1724" spans="1:10" x14ac:dyDescent="0.35">
      <c r="A1724" s="92"/>
      <c r="F1724" s="726"/>
      <c r="G1724" s="735"/>
      <c r="H1724" s="93"/>
      <c r="I1724" s="750"/>
      <c r="J1724" s="750"/>
    </row>
    <row r="1725" spans="1:10" x14ac:dyDescent="0.35">
      <c r="A1725" s="92"/>
      <c r="F1725" s="726"/>
      <c r="G1725" s="735"/>
      <c r="H1725" s="93"/>
      <c r="I1725" s="750"/>
      <c r="J1725" s="750"/>
    </row>
    <row r="1726" spans="1:10" x14ac:dyDescent="0.35">
      <c r="A1726" s="92"/>
      <c r="F1726" s="726"/>
      <c r="G1726" s="735"/>
      <c r="H1726" s="93"/>
      <c r="I1726" s="750"/>
      <c r="J1726" s="750"/>
    </row>
    <row r="1727" spans="1:10" x14ac:dyDescent="0.35">
      <c r="A1727" s="92"/>
      <c r="F1727" s="726"/>
      <c r="G1727" s="735"/>
      <c r="H1727" s="93"/>
      <c r="I1727" s="750"/>
      <c r="J1727" s="750"/>
    </row>
    <row r="1728" spans="1:10" x14ac:dyDescent="0.35">
      <c r="A1728" s="92"/>
      <c r="F1728" s="726"/>
      <c r="G1728" s="735"/>
      <c r="H1728" s="93"/>
      <c r="I1728" s="750"/>
      <c r="J1728" s="750"/>
    </row>
    <row r="1729" spans="1:10" x14ac:dyDescent="0.35">
      <c r="A1729" s="92"/>
      <c r="F1729" s="726"/>
      <c r="G1729" s="735"/>
      <c r="H1729" s="93"/>
      <c r="I1729" s="750"/>
      <c r="J1729" s="750"/>
    </row>
    <row r="1730" spans="1:10" x14ac:dyDescent="0.35">
      <c r="A1730" s="92"/>
      <c r="F1730" s="726"/>
      <c r="G1730" s="735"/>
      <c r="H1730" s="93"/>
      <c r="I1730" s="750"/>
      <c r="J1730" s="750"/>
    </row>
    <row r="1731" spans="1:10" x14ac:dyDescent="0.35">
      <c r="A1731" s="92"/>
      <c r="F1731" s="726"/>
      <c r="G1731" s="735"/>
      <c r="H1731" s="93"/>
      <c r="I1731" s="750"/>
      <c r="J1731" s="750"/>
    </row>
    <row r="1732" spans="1:10" x14ac:dyDescent="0.35">
      <c r="A1732" s="92"/>
      <c r="F1732" s="726"/>
      <c r="G1732" s="735"/>
      <c r="H1732" s="93"/>
      <c r="I1732" s="750"/>
      <c r="J1732" s="750"/>
    </row>
    <row r="1733" spans="1:10" x14ac:dyDescent="0.35">
      <c r="A1733" s="92"/>
      <c r="F1733" s="726"/>
      <c r="G1733" s="735"/>
      <c r="H1733" s="93"/>
      <c r="I1733" s="750"/>
      <c r="J1733" s="750"/>
    </row>
    <row r="1734" spans="1:10" x14ac:dyDescent="0.35">
      <c r="A1734" s="92"/>
      <c r="F1734" s="726"/>
      <c r="G1734" s="735"/>
      <c r="H1734" s="93"/>
      <c r="I1734" s="750"/>
      <c r="J1734" s="750"/>
    </row>
    <row r="1735" spans="1:10" x14ac:dyDescent="0.35">
      <c r="A1735" s="92"/>
      <c r="F1735" s="726"/>
      <c r="G1735" s="735"/>
      <c r="H1735" s="93"/>
      <c r="I1735" s="750"/>
      <c r="J1735" s="750"/>
    </row>
    <row r="1736" spans="1:10" x14ac:dyDescent="0.35">
      <c r="A1736" s="92"/>
      <c r="F1736" s="726"/>
      <c r="G1736" s="735"/>
      <c r="H1736" s="93"/>
      <c r="I1736" s="750"/>
      <c r="J1736" s="750"/>
    </row>
    <row r="1737" spans="1:10" x14ac:dyDescent="0.35">
      <c r="A1737" s="92"/>
      <c r="F1737" s="726"/>
      <c r="G1737" s="735"/>
      <c r="H1737" s="93"/>
      <c r="I1737" s="750"/>
      <c r="J1737" s="750"/>
    </row>
    <row r="1738" spans="1:10" x14ac:dyDescent="0.35">
      <c r="A1738" s="92"/>
      <c r="F1738" s="726"/>
      <c r="G1738" s="735"/>
      <c r="H1738" s="93"/>
      <c r="I1738" s="750"/>
      <c r="J1738" s="750"/>
    </row>
    <row r="1739" spans="1:10" x14ac:dyDescent="0.35">
      <c r="A1739" s="92"/>
      <c r="F1739" s="726"/>
      <c r="G1739" s="735"/>
      <c r="H1739" s="93"/>
      <c r="I1739" s="750"/>
      <c r="J1739" s="750"/>
    </row>
    <row r="1740" spans="1:10" x14ac:dyDescent="0.35">
      <c r="A1740" s="92"/>
      <c r="F1740" s="726"/>
      <c r="G1740" s="735"/>
      <c r="H1740" s="93"/>
      <c r="I1740" s="750"/>
      <c r="J1740" s="750"/>
    </row>
    <row r="1741" spans="1:10" x14ac:dyDescent="0.35">
      <c r="A1741" s="92"/>
      <c r="F1741" s="726"/>
      <c r="G1741" s="735"/>
      <c r="H1741" s="93"/>
      <c r="I1741" s="750"/>
      <c r="J1741" s="750"/>
    </row>
    <row r="1742" spans="1:10" x14ac:dyDescent="0.35">
      <c r="A1742" s="92"/>
      <c r="F1742" s="726"/>
      <c r="G1742" s="735"/>
      <c r="H1742" s="93"/>
      <c r="I1742" s="750"/>
      <c r="J1742" s="750"/>
    </row>
    <row r="1743" spans="1:10" x14ac:dyDescent="0.35">
      <c r="A1743" s="92"/>
      <c r="F1743" s="726"/>
      <c r="G1743" s="735"/>
      <c r="H1743" s="93"/>
      <c r="I1743" s="750"/>
      <c r="J1743" s="750"/>
    </row>
    <row r="1744" spans="1:10" x14ac:dyDescent="0.35">
      <c r="A1744" s="92"/>
      <c r="F1744" s="726"/>
      <c r="G1744" s="735"/>
      <c r="H1744" s="93"/>
      <c r="I1744" s="750"/>
      <c r="J1744" s="750"/>
    </row>
    <row r="1745" spans="1:10" x14ac:dyDescent="0.35">
      <c r="A1745" s="92"/>
      <c r="F1745" s="726"/>
      <c r="G1745" s="735"/>
      <c r="H1745" s="93"/>
      <c r="I1745" s="750"/>
      <c r="J1745" s="750"/>
    </row>
    <row r="1746" spans="1:10" x14ac:dyDescent="0.35">
      <c r="A1746" s="92"/>
      <c r="F1746" s="726"/>
      <c r="G1746" s="735"/>
      <c r="H1746" s="93"/>
      <c r="I1746" s="750"/>
      <c r="J1746" s="750"/>
    </row>
    <row r="1747" spans="1:10" x14ac:dyDescent="0.35">
      <c r="A1747" s="92"/>
      <c r="F1747" s="726"/>
      <c r="G1747" s="735"/>
      <c r="H1747" s="93"/>
      <c r="I1747" s="750"/>
      <c r="J1747" s="750"/>
    </row>
    <row r="1748" spans="1:10" x14ac:dyDescent="0.35">
      <c r="A1748" s="92"/>
      <c r="F1748" s="726"/>
      <c r="G1748" s="735"/>
      <c r="H1748" s="93"/>
      <c r="I1748" s="750"/>
      <c r="J1748" s="750"/>
    </row>
    <row r="1749" spans="1:10" x14ac:dyDescent="0.35">
      <c r="A1749" s="92"/>
      <c r="F1749" s="726"/>
      <c r="G1749" s="735"/>
      <c r="H1749" s="93"/>
      <c r="I1749" s="750"/>
      <c r="J1749" s="750"/>
    </row>
    <row r="1750" spans="1:10" x14ac:dyDescent="0.35">
      <c r="A1750" s="92"/>
      <c r="F1750" s="726"/>
      <c r="G1750" s="735"/>
      <c r="H1750" s="93"/>
      <c r="I1750" s="750"/>
      <c r="J1750" s="750"/>
    </row>
    <row r="1751" spans="1:10" x14ac:dyDescent="0.35">
      <c r="A1751" s="92"/>
      <c r="F1751" s="726"/>
      <c r="G1751" s="735"/>
      <c r="H1751" s="93"/>
      <c r="I1751" s="750"/>
      <c r="J1751" s="750"/>
    </row>
    <row r="1752" spans="1:10" x14ac:dyDescent="0.35">
      <c r="A1752" s="92"/>
      <c r="F1752" s="726"/>
      <c r="G1752" s="735"/>
      <c r="H1752" s="93"/>
      <c r="I1752" s="750"/>
      <c r="J1752" s="750"/>
    </row>
    <row r="1753" spans="1:10" x14ac:dyDescent="0.35">
      <c r="A1753" s="92"/>
      <c r="F1753" s="726"/>
      <c r="G1753" s="735"/>
      <c r="H1753" s="93"/>
      <c r="I1753" s="750"/>
      <c r="J1753" s="750"/>
    </row>
    <row r="1754" spans="1:10" x14ac:dyDescent="0.35">
      <c r="A1754" s="92"/>
      <c r="F1754" s="726"/>
      <c r="G1754" s="735"/>
      <c r="H1754" s="93"/>
      <c r="I1754" s="750"/>
      <c r="J1754" s="750"/>
    </row>
    <row r="1755" spans="1:10" x14ac:dyDescent="0.35">
      <c r="A1755" s="92"/>
      <c r="F1755" s="726"/>
      <c r="G1755" s="735"/>
      <c r="H1755" s="93"/>
      <c r="I1755" s="750"/>
      <c r="J1755" s="750"/>
    </row>
    <row r="1756" spans="1:10" x14ac:dyDescent="0.35">
      <c r="A1756" s="92"/>
      <c r="F1756" s="726"/>
      <c r="G1756" s="735"/>
      <c r="H1756" s="93"/>
      <c r="I1756" s="750"/>
      <c r="J1756" s="750"/>
    </row>
    <row r="1757" spans="1:10" x14ac:dyDescent="0.35">
      <c r="A1757" s="92"/>
      <c r="F1757" s="726"/>
      <c r="G1757" s="735"/>
      <c r="H1757" s="93"/>
      <c r="I1757" s="750"/>
      <c r="J1757" s="750"/>
    </row>
    <row r="1758" spans="1:10" x14ac:dyDescent="0.35">
      <c r="A1758" s="92"/>
      <c r="F1758" s="726"/>
      <c r="G1758" s="735"/>
      <c r="H1758" s="93"/>
      <c r="I1758" s="750"/>
      <c r="J1758" s="750"/>
    </row>
    <row r="1759" spans="1:10" x14ac:dyDescent="0.35">
      <c r="A1759" s="92"/>
      <c r="F1759" s="726"/>
      <c r="G1759" s="735"/>
      <c r="H1759" s="93"/>
      <c r="I1759" s="750"/>
      <c r="J1759" s="750"/>
    </row>
    <row r="1760" spans="1:10" x14ac:dyDescent="0.35">
      <c r="A1760" s="92"/>
      <c r="F1760" s="726"/>
      <c r="G1760" s="735"/>
      <c r="H1760" s="93"/>
      <c r="I1760" s="750"/>
      <c r="J1760" s="750"/>
    </row>
    <row r="1761" spans="1:10" x14ac:dyDescent="0.35">
      <c r="A1761" s="92"/>
      <c r="F1761" s="726"/>
      <c r="G1761" s="735"/>
      <c r="H1761" s="93"/>
      <c r="I1761" s="750"/>
      <c r="J1761" s="750"/>
    </row>
    <row r="1762" spans="1:10" x14ac:dyDescent="0.35">
      <c r="A1762" s="92"/>
      <c r="F1762" s="726"/>
      <c r="G1762" s="735"/>
      <c r="H1762" s="93"/>
      <c r="I1762" s="750"/>
      <c r="J1762" s="750"/>
    </row>
    <row r="1763" spans="1:10" x14ac:dyDescent="0.35">
      <c r="A1763" s="92"/>
      <c r="F1763" s="726"/>
      <c r="G1763" s="735"/>
      <c r="H1763" s="93"/>
      <c r="I1763" s="750"/>
      <c r="J1763" s="750"/>
    </row>
    <row r="1764" spans="1:10" x14ac:dyDescent="0.35">
      <c r="A1764" s="92"/>
      <c r="F1764" s="726"/>
      <c r="G1764" s="735"/>
      <c r="H1764" s="93"/>
      <c r="I1764" s="750"/>
      <c r="J1764" s="750"/>
    </row>
    <row r="1765" spans="1:10" x14ac:dyDescent="0.35">
      <c r="A1765" s="92"/>
      <c r="F1765" s="726"/>
      <c r="G1765" s="735"/>
      <c r="H1765" s="93"/>
      <c r="I1765" s="750"/>
      <c r="J1765" s="750"/>
    </row>
    <row r="1766" spans="1:10" x14ac:dyDescent="0.35">
      <c r="A1766" s="92"/>
      <c r="F1766" s="726"/>
      <c r="G1766" s="735"/>
      <c r="H1766" s="93"/>
      <c r="I1766" s="750"/>
      <c r="J1766" s="750"/>
    </row>
    <row r="1767" spans="1:10" x14ac:dyDescent="0.35">
      <c r="A1767" s="92"/>
      <c r="F1767" s="726"/>
      <c r="G1767" s="735"/>
      <c r="H1767" s="93"/>
      <c r="I1767" s="750"/>
      <c r="J1767" s="750"/>
    </row>
    <row r="1768" spans="1:10" x14ac:dyDescent="0.35">
      <c r="A1768" s="92"/>
      <c r="F1768" s="726"/>
      <c r="G1768" s="735"/>
      <c r="H1768" s="93"/>
      <c r="I1768" s="750"/>
      <c r="J1768" s="750"/>
    </row>
    <row r="1769" spans="1:10" x14ac:dyDescent="0.35">
      <c r="A1769" s="92"/>
      <c r="F1769" s="726"/>
      <c r="G1769" s="735"/>
      <c r="H1769" s="93"/>
      <c r="I1769" s="750"/>
      <c r="J1769" s="750"/>
    </row>
    <row r="1770" spans="1:10" x14ac:dyDescent="0.35">
      <c r="A1770" s="92"/>
      <c r="F1770" s="726"/>
      <c r="G1770" s="735"/>
      <c r="H1770" s="93"/>
      <c r="I1770" s="750"/>
      <c r="J1770" s="750"/>
    </row>
    <row r="1771" spans="1:10" x14ac:dyDescent="0.35">
      <c r="A1771" s="92"/>
      <c r="F1771" s="726"/>
      <c r="G1771" s="735"/>
      <c r="H1771" s="93"/>
      <c r="I1771" s="750"/>
      <c r="J1771" s="750"/>
    </row>
    <row r="1772" spans="1:10" x14ac:dyDescent="0.35">
      <c r="A1772" s="92"/>
      <c r="F1772" s="726"/>
      <c r="G1772" s="735"/>
      <c r="H1772" s="93"/>
      <c r="I1772" s="750"/>
      <c r="J1772" s="750"/>
    </row>
    <row r="1773" spans="1:10" x14ac:dyDescent="0.35">
      <c r="A1773" s="92"/>
      <c r="F1773" s="726"/>
      <c r="G1773" s="735"/>
      <c r="H1773" s="93"/>
      <c r="I1773" s="750"/>
      <c r="J1773" s="750"/>
    </row>
    <row r="1774" spans="1:10" x14ac:dyDescent="0.35">
      <c r="H1774" s="93"/>
      <c r="I1774" s="750"/>
      <c r="J1774" s="750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P1781"/>
  <sheetViews>
    <sheetView topLeftCell="A67" workbookViewId="0">
      <selection activeCell="B30" sqref="B30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716" customWidth="1"/>
    <col min="5" max="5" width="13.7265625" style="716" customWidth="1"/>
    <col min="6" max="6" width="17.36328125" style="725" customWidth="1"/>
    <col min="7" max="7" width="15.7265625" style="733" customWidth="1"/>
    <col min="8" max="8" width="16.26953125" style="10" customWidth="1"/>
    <col min="9" max="9" width="18.7265625" style="739" customWidth="1"/>
    <col min="10" max="10" width="16.7265625" style="739" customWidth="1"/>
    <col min="11" max="11" width="14.36328125" style="700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76"/>
      <c r="C1" s="1177"/>
      <c r="D1" s="709" t="s">
        <v>0</v>
      </c>
      <c r="E1" s="717">
        <f>COUNTA(B5:B61)</f>
        <v>45</v>
      </c>
      <c r="F1" s="721" t="s">
        <v>1</v>
      </c>
      <c r="G1" s="727"/>
      <c r="H1" s="187"/>
      <c r="I1" s="736"/>
      <c r="J1" s="751"/>
      <c r="K1" s="667"/>
    </row>
    <row r="2" spans="1:12" s="3" customFormat="1" x14ac:dyDescent="0.35">
      <c r="A2" s="183"/>
      <c r="B2" s="198"/>
      <c r="C2" s="232"/>
      <c r="D2" s="712"/>
      <c r="E2" s="718"/>
      <c r="F2" s="722" t="s">
        <v>732</v>
      </c>
      <c r="G2" s="729">
        <v>985667.14</v>
      </c>
      <c r="H2" s="200"/>
      <c r="I2" s="736"/>
      <c r="J2" s="753"/>
      <c r="K2" s="669"/>
      <c r="L2" s="42"/>
    </row>
    <row r="3" spans="1:12" s="3" customFormat="1" x14ac:dyDescent="0.35">
      <c r="A3" s="183"/>
      <c r="B3" s="202" t="s">
        <v>7</v>
      </c>
      <c r="C3" s="203" t="s">
        <v>8</v>
      </c>
      <c r="D3" s="713" t="s">
        <v>9</v>
      </c>
      <c r="E3" s="720" t="s">
        <v>63</v>
      </c>
      <c r="F3" s="723"/>
      <c r="G3" s="729"/>
      <c r="H3" s="200"/>
      <c r="I3" s="738"/>
      <c r="J3" s="747"/>
      <c r="K3" s="668"/>
      <c r="L3" s="42"/>
    </row>
    <row r="4" spans="1:12" x14ac:dyDescent="0.35">
      <c r="A4" s="797" t="s">
        <v>11</v>
      </c>
      <c r="B4" s="798"/>
      <c r="C4" s="797" t="s">
        <v>12</v>
      </c>
      <c r="D4" s="799">
        <v>0</v>
      </c>
      <c r="E4" s="799"/>
      <c r="F4" s="800"/>
      <c r="G4" s="730"/>
    </row>
    <row r="5" spans="1:12" x14ac:dyDescent="0.35">
      <c r="A5" s="797"/>
      <c r="B5" s="798">
        <v>44180</v>
      </c>
      <c r="C5" s="797" t="s">
        <v>883</v>
      </c>
      <c r="D5" s="799">
        <v>52600</v>
      </c>
      <c r="E5" s="799"/>
      <c r="F5" s="800"/>
      <c r="G5" s="731"/>
      <c r="H5" s="11"/>
      <c r="I5" s="740"/>
    </row>
    <row r="6" spans="1:12" x14ac:dyDescent="0.35">
      <c r="A6" s="797"/>
      <c r="B6" s="798">
        <v>44206</v>
      </c>
      <c r="C6" s="797" t="s">
        <v>890</v>
      </c>
      <c r="D6" s="799"/>
      <c r="E6" s="799">
        <v>45000</v>
      </c>
      <c r="F6" s="800"/>
      <c r="G6" s="731"/>
      <c r="H6" s="11"/>
      <c r="I6" s="740"/>
      <c r="K6" s="252"/>
    </row>
    <row r="7" spans="1:12" x14ac:dyDescent="0.35">
      <c r="A7" s="797"/>
      <c r="B7" s="798"/>
      <c r="C7" s="797"/>
      <c r="D7" s="799"/>
      <c r="E7" s="799"/>
      <c r="F7" s="800">
        <f>SUM(D4:D7)-SUM(E4:E7)</f>
        <v>7600</v>
      </c>
      <c r="G7" s="732">
        <v>1000052.56</v>
      </c>
      <c r="H7" s="473"/>
      <c r="I7" s="740"/>
      <c r="K7" s="252"/>
    </row>
    <row r="8" spans="1:12" x14ac:dyDescent="0.35">
      <c r="A8" s="797" t="s">
        <v>16</v>
      </c>
      <c r="B8" s="798">
        <v>44209</v>
      </c>
      <c r="C8" s="797" t="s">
        <v>883</v>
      </c>
      <c r="D8" s="799">
        <v>52600</v>
      </c>
      <c r="E8" s="799"/>
      <c r="F8" s="800"/>
      <c r="G8" s="732"/>
      <c r="H8" s="11"/>
      <c r="I8" s="740"/>
      <c r="K8" s="252"/>
    </row>
    <row r="9" spans="1:12" x14ac:dyDescent="0.35">
      <c r="A9" s="797"/>
      <c r="B9" s="798">
        <v>44209</v>
      </c>
      <c r="C9" s="797" t="s">
        <v>884</v>
      </c>
      <c r="D9" s="799">
        <v>67200</v>
      </c>
      <c r="E9" s="799"/>
      <c r="F9" s="800"/>
      <c r="G9" s="732"/>
      <c r="H9" s="11"/>
      <c r="I9" s="740"/>
      <c r="K9" s="252"/>
    </row>
    <row r="10" spans="1:12" x14ac:dyDescent="0.35">
      <c r="A10" s="797"/>
      <c r="B10" s="798">
        <v>44250</v>
      </c>
      <c r="C10" s="797" t="s">
        <v>943</v>
      </c>
      <c r="D10" s="799"/>
      <c r="E10" s="799">
        <v>41000</v>
      </c>
      <c r="F10" s="800"/>
      <c r="G10" s="732"/>
      <c r="H10" s="11"/>
      <c r="I10" s="740"/>
      <c r="K10" s="252"/>
    </row>
    <row r="11" spans="1:12" x14ac:dyDescent="0.35">
      <c r="A11" s="797"/>
      <c r="B11" s="798">
        <v>44228</v>
      </c>
      <c r="C11" s="797" t="s">
        <v>862</v>
      </c>
      <c r="D11" s="799"/>
      <c r="E11" s="799">
        <f>26500+70000+10500</f>
        <v>107000</v>
      </c>
      <c r="F11" s="800"/>
      <c r="G11" s="732"/>
      <c r="H11" s="11"/>
      <c r="I11" s="740"/>
      <c r="K11" s="252"/>
    </row>
    <row r="12" spans="1:12" x14ac:dyDescent="0.35">
      <c r="A12" s="797"/>
      <c r="B12" s="798"/>
      <c r="C12" s="797"/>
      <c r="D12" s="799"/>
      <c r="E12" s="799"/>
      <c r="F12" s="800">
        <f>SUM(D8:D12)-SUM(E8:E12)</f>
        <v>-28200</v>
      </c>
      <c r="G12" s="732">
        <v>1033786.1965</v>
      </c>
      <c r="H12" s="473"/>
      <c r="I12" s="740"/>
      <c r="K12" s="670"/>
    </row>
    <row r="13" spans="1:12" x14ac:dyDescent="0.35">
      <c r="A13" s="797" t="s">
        <v>17</v>
      </c>
      <c r="B13" s="798">
        <v>44286</v>
      </c>
      <c r="C13" s="797" t="s">
        <v>883</v>
      </c>
      <c r="D13" s="799">
        <v>52600</v>
      </c>
      <c r="E13" s="799"/>
      <c r="F13" s="800"/>
      <c r="G13" s="732"/>
      <c r="H13" s="613"/>
      <c r="I13" s="740"/>
    </row>
    <row r="14" spans="1:12" x14ac:dyDescent="0.35">
      <c r="A14" s="797"/>
      <c r="B14" s="798">
        <v>44256</v>
      </c>
      <c r="C14" s="797" t="s">
        <v>884</v>
      </c>
      <c r="D14" s="799">
        <v>74700</v>
      </c>
      <c r="E14" s="799"/>
      <c r="F14" s="800"/>
      <c r="G14" s="732"/>
      <c r="H14" s="613"/>
      <c r="I14" s="740"/>
    </row>
    <row r="15" spans="1:12" x14ac:dyDescent="0.35">
      <c r="A15" s="797"/>
      <c r="B15" s="798">
        <v>44259</v>
      </c>
      <c r="C15" s="797" t="s">
        <v>943</v>
      </c>
      <c r="D15" s="799"/>
      <c r="E15" s="799">
        <v>38000</v>
      </c>
      <c r="F15" s="800"/>
      <c r="G15" s="732"/>
      <c r="H15" s="613"/>
      <c r="I15" s="740"/>
    </row>
    <row r="16" spans="1:12" x14ac:dyDescent="0.35">
      <c r="A16" s="797"/>
      <c r="B16" s="798">
        <v>44278</v>
      </c>
      <c r="C16" s="797" t="s">
        <v>943</v>
      </c>
      <c r="D16" s="799"/>
      <c r="E16" s="799">
        <v>10500</v>
      </c>
      <c r="F16" s="800"/>
      <c r="G16" s="732"/>
      <c r="H16" s="613"/>
      <c r="I16" s="740"/>
    </row>
    <row r="17" spans="1:16" x14ac:dyDescent="0.35">
      <c r="A17" s="797"/>
      <c r="B17" s="798">
        <v>44256</v>
      </c>
      <c r="C17" s="797" t="s">
        <v>862</v>
      </c>
      <c r="D17" s="799"/>
      <c r="E17" s="799">
        <f>58600+43000+10800</f>
        <v>112400</v>
      </c>
      <c r="F17" s="800"/>
      <c r="G17" s="732"/>
      <c r="H17" s="613"/>
      <c r="I17" s="740"/>
    </row>
    <row r="18" spans="1:16" x14ac:dyDescent="0.35">
      <c r="A18" s="797"/>
      <c r="B18" s="798"/>
      <c r="C18" s="797"/>
      <c r="D18" s="799"/>
      <c r="E18" s="799"/>
      <c r="F18" s="800">
        <f>SUM(D13:D18)-SUM(E13:E18)</f>
        <v>-33600</v>
      </c>
      <c r="G18" s="732">
        <v>1035086.2113</v>
      </c>
      <c r="H18" s="473"/>
      <c r="I18" s="740"/>
    </row>
    <row r="19" spans="1:16" x14ac:dyDescent="0.35">
      <c r="A19" s="797" t="s">
        <v>18</v>
      </c>
      <c r="B19" s="798">
        <v>44316</v>
      </c>
      <c r="C19" s="797" t="s">
        <v>883</v>
      </c>
      <c r="D19" s="799">
        <v>52600</v>
      </c>
      <c r="E19" s="799"/>
      <c r="F19" s="800"/>
      <c r="G19" s="732"/>
      <c r="H19" s="473"/>
      <c r="I19" s="740"/>
    </row>
    <row r="20" spans="1:16" x14ac:dyDescent="0.35">
      <c r="A20" s="797"/>
      <c r="B20" s="798">
        <v>44287</v>
      </c>
      <c r="C20" s="797" t="s">
        <v>884</v>
      </c>
      <c r="D20" s="799">
        <v>74700</v>
      </c>
      <c r="E20" s="799"/>
      <c r="F20" s="800"/>
      <c r="G20" s="732"/>
      <c r="H20" s="473"/>
      <c r="I20" s="740"/>
    </row>
    <row r="21" spans="1:16" x14ac:dyDescent="0.35">
      <c r="A21" s="797"/>
      <c r="B21" s="798">
        <v>44287</v>
      </c>
      <c r="C21" s="797" t="s">
        <v>923</v>
      </c>
      <c r="D21" s="799"/>
      <c r="E21" s="799">
        <v>108700</v>
      </c>
      <c r="F21" s="800"/>
      <c r="G21" s="732"/>
      <c r="H21" s="473"/>
      <c r="I21" s="903"/>
    </row>
    <row r="22" spans="1:16" x14ac:dyDescent="0.35">
      <c r="A22" s="797"/>
      <c r="B22" s="798"/>
      <c r="C22" s="797"/>
      <c r="D22" s="799"/>
      <c r="E22" s="799"/>
      <c r="F22" s="800">
        <f>SUM(D19:D22)-SUM(E19:E22)</f>
        <v>18600</v>
      </c>
      <c r="G22" s="732">
        <v>1070013.1113</v>
      </c>
      <c r="H22" s="11"/>
      <c r="I22" s="903"/>
      <c r="N22" s="77"/>
      <c r="O22" s="77"/>
      <c r="P22" s="77"/>
    </row>
    <row r="23" spans="1:16" x14ac:dyDescent="0.35">
      <c r="A23" s="797" t="s">
        <v>20</v>
      </c>
      <c r="B23" s="798">
        <v>44347</v>
      </c>
      <c r="C23" s="797" t="s">
        <v>883</v>
      </c>
      <c r="D23" s="799">
        <v>52600</v>
      </c>
      <c r="E23" s="799"/>
      <c r="F23" s="800"/>
      <c r="G23" s="732"/>
      <c r="H23" s="473"/>
      <c r="I23" s="903"/>
      <c r="N23" s="77"/>
      <c r="O23" s="77"/>
      <c r="P23" s="77"/>
    </row>
    <row r="24" spans="1:16" x14ac:dyDescent="0.35">
      <c r="A24" s="797"/>
      <c r="B24" s="798">
        <v>44317</v>
      </c>
      <c r="C24" s="797" t="s">
        <v>884</v>
      </c>
      <c r="D24" s="799">
        <v>89640</v>
      </c>
      <c r="E24" s="799"/>
      <c r="F24" s="800"/>
      <c r="G24" s="732"/>
      <c r="H24" s="473"/>
      <c r="I24" s="740"/>
      <c r="N24" s="77"/>
      <c r="O24" s="77"/>
      <c r="P24" s="77"/>
    </row>
    <row r="25" spans="1:16" x14ac:dyDescent="0.35">
      <c r="A25" s="797"/>
      <c r="B25" s="798">
        <v>44317</v>
      </c>
      <c r="C25" s="797" t="s">
        <v>923</v>
      </c>
      <c r="D25" s="799"/>
      <c r="E25" s="799">
        <v>102800</v>
      </c>
      <c r="F25" s="800"/>
      <c r="G25" s="732"/>
      <c r="H25" s="76"/>
      <c r="I25" s="740"/>
      <c r="N25" s="77"/>
      <c r="O25" s="77"/>
      <c r="P25" s="77"/>
    </row>
    <row r="26" spans="1:16" x14ac:dyDescent="0.35">
      <c r="A26" s="797"/>
      <c r="B26" s="798"/>
      <c r="C26" s="797"/>
      <c r="D26" s="799"/>
      <c r="E26" s="799"/>
      <c r="F26" s="800">
        <f>SUM(D23:D26)-SUM(E23:E26)</f>
        <v>39440</v>
      </c>
      <c r="G26" s="732">
        <v>912486.05</v>
      </c>
      <c r="H26" s="76"/>
      <c r="I26" s="740"/>
    </row>
    <row r="27" spans="1:16" x14ac:dyDescent="0.35">
      <c r="A27" s="797" t="s">
        <v>21</v>
      </c>
      <c r="B27" s="798">
        <v>44377</v>
      </c>
      <c r="C27" s="797" t="s">
        <v>935</v>
      </c>
      <c r="D27" s="799">
        <v>71000</v>
      </c>
      <c r="E27" s="799"/>
      <c r="F27" s="800"/>
      <c r="G27" s="732"/>
      <c r="H27" s="473"/>
      <c r="I27" s="740"/>
    </row>
    <row r="28" spans="1:16" x14ac:dyDescent="0.35">
      <c r="A28" s="797"/>
      <c r="B28" s="798">
        <v>44348</v>
      </c>
      <c r="C28" s="797" t="s">
        <v>938</v>
      </c>
      <c r="D28" s="799">
        <v>89640</v>
      </c>
      <c r="E28" s="799"/>
      <c r="F28" s="800"/>
      <c r="G28" s="732"/>
      <c r="H28" s="473"/>
      <c r="I28" s="740"/>
      <c r="J28" s="740"/>
    </row>
    <row r="29" spans="1:16" x14ac:dyDescent="0.35">
      <c r="A29" s="797"/>
      <c r="B29" s="798">
        <v>44362</v>
      </c>
      <c r="C29" s="797" t="s">
        <v>936</v>
      </c>
      <c r="D29" s="799">
        <v>100000</v>
      </c>
      <c r="E29" s="799"/>
      <c r="F29" s="800"/>
      <c r="G29" s="732"/>
      <c r="H29" s="473"/>
      <c r="I29" s="740"/>
    </row>
    <row r="30" spans="1:16" x14ac:dyDescent="0.35">
      <c r="A30" s="797"/>
      <c r="B30" s="798">
        <v>44371</v>
      </c>
      <c r="C30" s="797" t="s">
        <v>940</v>
      </c>
      <c r="D30" s="799">
        <v>44820</v>
      </c>
      <c r="E30" s="799"/>
      <c r="F30" s="800"/>
      <c r="G30" s="732"/>
      <c r="H30" s="473"/>
      <c r="I30" s="740"/>
    </row>
    <row r="31" spans="1:16" x14ac:dyDescent="0.35">
      <c r="A31" s="797"/>
      <c r="B31" s="798">
        <v>44371</v>
      </c>
      <c r="C31" s="797" t="s">
        <v>944</v>
      </c>
      <c r="D31" s="799"/>
      <c r="E31" s="799">
        <v>4500</v>
      </c>
      <c r="F31" s="800"/>
      <c r="G31" s="732"/>
      <c r="H31" s="473"/>
      <c r="I31" s="740"/>
    </row>
    <row r="32" spans="1:16" x14ac:dyDescent="0.35">
      <c r="A32" s="797"/>
      <c r="B32" s="798">
        <v>44348</v>
      </c>
      <c r="C32" s="797" t="s">
        <v>937</v>
      </c>
      <c r="D32" s="799"/>
      <c r="E32" s="799">
        <v>98000</v>
      </c>
      <c r="F32" s="800"/>
      <c r="G32" s="732"/>
      <c r="H32" s="473"/>
      <c r="I32" s="740"/>
      <c r="J32" s="740"/>
      <c r="L32" s="700"/>
    </row>
    <row r="33" spans="1:14" x14ac:dyDescent="0.35">
      <c r="A33" s="797"/>
      <c r="B33" s="798"/>
      <c r="C33" s="797"/>
      <c r="D33" s="799"/>
      <c r="E33" s="799"/>
      <c r="F33" s="800">
        <f>SUM(D27:D33)-SUM(E27:E33)</f>
        <v>202960</v>
      </c>
      <c r="G33" s="732">
        <v>1348827.675</v>
      </c>
      <c r="H33" s="11"/>
      <c r="I33" s="741"/>
      <c r="J33" s="741"/>
      <c r="K33" s="671"/>
      <c r="L33" s="632"/>
      <c r="M33" s="632"/>
    </row>
    <row r="34" spans="1:14" x14ac:dyDescent="0.35">
      <c r="A34" s="797" t="s">
        <v>22</v>
      </c>
      <c r="B34" s="798">
        <v>44408</v>
      </c>
      <c r="C34" s="797" t="s">
        <v>945</v>
      </c>
      <c r="D34" s="799">
        <v>70000</v>
      </c>
      <c r="E34" s="799"/>
      <c r="F34" s="800"/>
      <c r="G34" s="732"/>
      <c r="H34" s="473"/>
      <c r="I34" s="741"/>
      <c r="J34" s="741"/>
      <c r="K34" s="671"/>
      <c r="L34" s="632"/>
      <c r="M34" s="632"/>
    </row>
    <row r="35" spans="1:14" x14ac:dyDescent="0.35">
      <c r="A35" s="797"/>
      <c r="B35" s="798">
        <v>44378</v>
      </c>
      <c r="C35" s="797" t="s">
        <v>938</v>
      </c>
      <c r="D35" s="799">
        <v>89640</v>
      </c>
      <c r="E35" s="799"/>
      <c r="F35" s="800"/>
      <c r="G35" s="732"/>
      <c r="H35" s="473"/>
      <c r="I35" s="741"/>
      <c r="J35" s="741"/>
      <c r="K35" s="671"/>
      <c r="L35" s="632"/>
      <c r="M35" s="632"/>
    </row>
    <row r="36" spans="1:14" x14ac:dyDescent="0.35">
      <c r="A36" s="797"/>
      <c r="B36" s="798">
        <v>44392</v>
      </c>
      <c r="C36" s="797" t="s">
        <v>939</v>
      </c>
      <c r="D36" s="799">
        <v>130000</v>
      </c>
      <c r="E36" s="799"/>
      <c r="F36" s="800"/>
      <c r="G36" s="732"/>
      <c r="H36" s="473"/>
      <c r="I36" s="741"/>
      <c r="J36" s="741"/>
      <c r="K36" s="671"/>
      <c r="L36" s="632"/>
      <c r="M36" s="632"/>
    </row>
    <row r="37" spans="1:14" x14ac:dyDescent="0.35">
      <c r="A37" s="797"/>
      <c r="B37" s="798">
        <v>44378</v>
      </c>
      <c r="C37" s="797" t="s">
        <v>937</v>
      </c>
      <c r="D37" s="799"/>
      <c r="E37" s="799">
        <v>95000</v>
      </c>
      <c r="F37" s="800"/>
      <c r="G37" s="732"/>
      <c r="H37" s="473"/>
      <c r="I37" s="743"/>
      <c r="J37" s="743"/>
      <c r="K37" s="671"/>
      <c r="L37" s="632"/>
      <c r="M37" s="632"/>
    </row>
    <row r="38" spans="1:14" x14ac:dyDescent="0.35">
      <c r="A38" s="797"/>
      <c r="B38" s="798"/>
      <c r="C38" s="797"/>
      <c r="D38" s="799"/>
      <c r="E38" s="799"/>
      <c r="F38" s="800">
        <f>SUM(D34:D38)-SUM(E34:E38)</f>
        <v>194640</v>
      </c>
      <c r="G38" s="732">
        <v>1593398.9</v>
      </c>
      <c r="H38" s="11"/>
      <c r="I38" s="741"/>
      <c r="J38" s="754"/>
      <c r="K38" s="672"/>
      <c r="L38" s="632"/>
      <c r="M38" s="632"/>
    </row>
    <row r="39" spans="1:14" x14ac:dyDescent="0.35">
      <c r="A39" s="797" t="s">
        <v>23</v>
      </c>
      <c r="B39" s="798">
        <v>44423</v>
      </c>
      <c r="C39" s="797" t="s">
        <v>939</v>
      </c>
      <c r="D39" s="799">
        <v>190000</v>
      </c>
      <c r="E39" s="799"/>
      <c r="F39" s="800"/>
      <c r="G39" s="732"/>
      <c r="J39" s="725"/>
      <c r="K39" s="673"/>
      <c r="L39" s="630"/>
      <c r="M39" s="630"/>
    </row>
    <row r="40" spans="1:14" x14ac:dyDescent="0.35">
      <c r="A40" s="797"/>
      <c r="B40" s="798">
        <v>44439</v>
      </c>
      <c r="C40" s="797" t="s">
        <v>945</v>
      </c>
      <c r="D40" s="799">
        <v>70000</v>
      </c>
      <c r="E40" s="799"/>
      <c r="F40" s="800"/>
      <c r="G40" s="732"/>
      <c r="J40" s="725"/>
      <c r="K40" s="673"/>
      <c r="L40" s="630"/>
      <c r="M40" s="630"/>
    </row>
    <row r="41" spans="1:14" x14ac:dyDescent="0.35">
      <c r="A41" s="797"/>
      <c r="B41" s="798">
        <v>44409</v>
      </c>
      <c r="C41" s="797" t="s">
        <v>938</v>
      </c>
      <c r="D41" s="799">
        <v>89640</v>
      </c>
      <c r="E41" s="799"/>
      <c r="F41" s="800"/>
      <c r="G41" s="732"/>
      <c r="H41" s="473"/>
      <c r="I41" s="740"/>
      <c r="J41" s="746"/>
      <c r="K41" s="674"/>
    </row>
    <row r="42" spans="1:14" x14ac:dyDescent="0.35">
      <c r="A42" s="797"/>
      <c r="B42" s="798">
        <v>44423</v>
      </c>
      <c r="C42" s="797" t="s">
        <v>174</v>
      </c>
      <c r="D42" s="799"/>
      <c r="E42" s="799">
        <v>177000</v>
      </c>
      <c r="F42" s="800"/>
      <c r="G42" s="732"/>
      <c r="H42" s="11"/>
      <c r="I42" s="740"/>
      <c r="J42" s="746"/>
      <c r="K42" s="674"/>
      <c r="N42" s="910"/>
    </row>
    <row r="43" spans="1:14" x14ac:dyDescent="0.35">
      <c r="A43" s="797"/>
      <c r="B43" s="798">
        <v>44409</v>
      </c>
      <c r="C43" s="797" t="s">
        <v>937</v>
      </c>
      <c r="D43" s="799"/>
      <c r="E43" s="799">
        <v>90000</v>
      </c>
      <c r="F43" s="800"/>
      <c r="G43" s="732"/>
      <c r="H43" s="11"/>
      <c r="I43" s="740"/>
      <c r="J43" s="746"/>
      <c r="K43" s="674"/>
      <c r="M43" s="740"/>
      <c r="N43" s="746"/>
    </row>
    <row r="44" spans="1:14" x14ac:dyDescent="0.35">
      <c r="A44" s="797"/>
      <c r="B44" s="798"/>
      <c r="C44" s="797"/>
      <c r="D44" s="799"/>
      <c r="E44" s="799"/>
      <c r="F44" s="800">
        <f>SUM(D39:D44)-SUM(E39:E44)</f>
        <v>82640</v>
      </c>
      <c r="G44" s="732">
        <v>1785224.79</v>
      </c>
      <c r="H44" s="11"/>
      <c r="I44" s="740"/>
      <c r="J44" s="746"/>
      <c r="K44" s="674"/>
      <c r="M44" s="740"/>
      <c r="N44" s="746"/>
    </row>
    <row r="45" spans="1:14" x14ac:dyDescent="0.35">
      <c r="A45" s="797" t="s">
        <v>24</v>
      </c>
      <c r="B45" s="798">
        <v>44449</v>
      </c>
      <c r="C45" s="797" t="s">
        <v>930</v>
      </c>
      <c r="D45" s="799">
        <v>180000</v>
      </c>
      <c r="E45" s="799"/>
      <c r="F45" s="800"/>
      <c r="G45" s="732"/>
      <c r="H45" s="11"/>
      <c r="I45" s="740"/>
      <c r="J45" s="746"/>
      <c r="K45" s="674"/>
      <c r="M45" s="740"/>
      <c r="N45" s="746"/>
    </row>
    <row r="46" spans="1:14" x14ac:dyDescent="0.35">
      <c r="A46" s="797"/>
      <c r="B46" s="798">
        <v>44440</v>
      </c>
      <c r="C46" s="797" t="s">
        <v>884</v>
      </c>
      <c r="D46" s="799">
        <v>89640</v>
      </c>
      <c r="E46" s="799"/>
      <c r="F46" s="800"/>
      <c r="G46" s="732"/>
      <c r="H46" s="11"/>
      <c r="I46" s="740"/>
      <c r="M46" s="740"/>
      <c r="N46" s="739"/>
    </row>
    <row r="47" spans="1:14" x14ac:dyDescent="0.35">
      <c r="A47" s="797"/>
      <c r="B47" s="798">
        <v>44439</v>
      </c>
      <c r="C47" s="797" t="s">
        <v>951</v>
      </c>
      <c r="D47" s="799"/>
      <c r="E47" s="799">
        <v>115000</v>
      </c>
      <c r="F47" s="800"/>
      <c r="G47" s="732"/>
      <c r="H47" s="473"/>
      <c r="I47" s="740"/>
      <c r="J47" s="746"/>
      <c r="K47" s="674"/>
    </row>
    <row r="48" spans="1:14" x14ac:dyDescent="0.35">
      <c r="A48" s="797"/>
      <c r="B48" s="798">
        <v>44439</v>
      </c>
      <c r="C48" s="923" t="s">
        <v>952</v>
      </c>
      <c r="D48" s="799"/>
      <c r="E48" s="799">
        <v>130000</v>
      </c>
      <c r="F48" s="800"/>
      <c r="G48" s="732"/>
      <c r="H48" s="473"/>
      <c r="I48" s="740"/>
      <c r="J48" s="746"/>
      <c r="K48" s="674"/>
    </row>
    <row r="49" spans="1:14" x14ac:dyDescent="0.35">
      <c r="A49" s="797"/>
      <c r="B49" s="798">
        <v>44439</v>
      </c>
      <c r="C49" s="797" t="s">
        <v>953</v>
      </c>
      <c r="D49" s="799"/>
      <c r="E49" s="799">
        <v>13000</v>
      </c>
      <c r="F49" s="800"/>
      <c r="G49" s="732"/>
      <c r="H49" s="473"/>
      <c r="I49" s="740"/>
      <c r="J49" s="746"/>
      <c r="K49" s="674"/>
    </row>
    <row r="50" spans="1:14" x14ac:dyDescent="0.35">
      <c r="A50" s="797"/>
      <c r="B50" s="798">
        <v>44439</v>
      </c>
      <c r="C50" s="797" t="s">
        <v>954</v>
      </c>
      <c r="D50" s="799"/>
      <c r="E50" s="799">
        <v>3700</v>
      </c>
      <c r="F50" s="800"/>
      <c r="G50" s="732"/>
      <c r="H50" s="473"/>
      <c r="I50" s="740"/>
      <c r="J50" s="746"/>
      <c r="K50" s="674"/>
    </row>
    <row r="51" spans="1:14" x14ac:dyDescent="0.35">
      <c r="A51" s="797"/>
      <c r="B51" s="798"/>
      <c r="C51" s="797"/>
      <c r="D51" s="799"/>
      <c r="E51" s="799"/>
      <c r="F51" s="800">
        <f>SUM(D45:D51)-SUM(E45:E51)</f>
        <v>7940</v>
      </c>
      <c r="G51" s="732">
        <v>2078993.81</v>
      </c>
      <c r="H51" s="11"/>
      <c r="I51" s="740"/>
      <c r="J51" s="746"/>
      <c r="K51" s="674"/>
    </row>
    <row r="52" spans="1:14" x14ac:dyDescent="0.35">
      <c r="A52" s="797" t="s">
        <v>25</v>
      </c>
      <c r="B52" s="798">
        <v>44470</v>
      </c>
      <c r="C52" s="797" t="s">
        <v>884</v>
      </c>
      <c r="D52" s="799">
        <v>89640</v>
      </c>
      <c r="E52" s="799"/>
      <c r="F52" s="800"/>
      <c r="G52" s="732"/>
      <c r="K52" s="674"/>
      <c r="L52" s="700"/>
      <c r="N52" s="910"/>
    </row>
    <row r="53" spans="1:14" x14ac:dyDescent="0.35">
      <c r="A53" s="797"/>
      <c r="B53" s="798">
        <v>44470</v>
      </c>
      <c r="C53" s="797" t="s">
        <v>923</v>
      </c>
      <c r="D53" s="799"/>
      <c r="E53" s="799">
        <v>30000</v>
      </c>
      <c r="F53" s="800"/>
      <c r="G53" s="732"/>
      <c r="H53" s="11"/>
      <c r="I53" s="740"/>
      <c r="J53" s="746"/>
      <c r="K53" s="674"/>
      <c r="L53" s="700"/>
      <c r="M53" s="700"/>
    </row>
    <row r="54" spans="1:14" x14ac:dyDescent="0.35">
      <c r="A54" s="797"/>
      <c r="B54" s="798"/>
      <c r="C54" s="797"/>
      <c r="D54" s="799"/>
      <c r="E54" s="799"/>
      <c r="F54" s="800">
        <f>SUM(D52:D54)-SUM(E52:E54)</f>
        <v>59640</v>
      </c>
      <c r="G54" s="732">
        <v>1921572.4</v>
      </c>
      <c r="H54" s="473"/>
      <c r="I54" s="740"/>
      <c r="J54" s="746"/>
      <c r="K54" s="674"/>
      <c r="M54" s="700"/>
    </row>
    <row r="55" spans="1:14" x14ac:dyDescent="0.35">
      <c r="A55" s="797" t="s">
        <v>26</v>
      </c>
      <c r="B55" s="798">
        <v>44501</v>
      </c>
      <c r="C55" s="797" t="s">
        <v>884</v>
      </c>
      <c r="D55" s="799">
        <v>89640</v>
      </c>
      <c r="E55" s="799"/>
      <c r="F55" s="800"/>
      <c r="G55" s="732"/>
      <c r="H55" s="11"/>
      <c r="I55" s="740"/>
      <c r="J55" s="746"/>
      <c r="K55" s="674"/>
      <c r="L55" s="88"/>
      <c r="M55" s="700"/>
    </row>
    <row r="56" spans="1:14" x14ac:dyDescent="0.35">
      <c r="A56" s="797"/>
      <c r="B56" s="798">
        <v>44501</v>
      </c>
      <c r="C56" s="797" t="s">
        <v>923</v>
      </c>
      <c r="D56" s="799"/>
      <c r="E56" s="799">
        <v>30000</v>
      </c>
      <c r="F56" s="800"/>
      <c r="G56" s="732"/>
      <c r="H56" s="11"/>
      <c r="I56" s="740"/>
      <c r="M56" s="700"/>
    </row>
    <row r="57" spans="1:14" x14ac:dyDescent="0.35">
      <c r="A57" s="797"/>
      <c r="B57" s="798"/>
      <c r="C57" s="797"/>
      <c r="D57" s="799"/>
      <c r="E57" s="799"/>
      <c r="F57" s="800">
        <f>SUM(D55:D57)-SUM(E55:E57)</f>
        <v>59640</v>
      </c>
      <c r="G57" s="732">
        <v>1740392.3</v>
      </c>
      <c r="H57" s="473"/>
      <c r="I57" s="740"/>
      <c r="J57" s="746"/>
      <c r="K57" s="674"/>
    </row>
    <row r="58" spans="1:14" x14ac:dyDescent="0.35">
      <c r="A58" s="797" t="s">
        <v>27</v>
      </c>
      <c r="B58" s="798">
        <v>44531</v>
      </c>
      <c r="C58" s="797" t="s">
        <v>884</v>
      </c>
      <c r="D58" s="799">
        <v>89640</v>
      </c>
      <c r="E58" s="799"/>
      <c r="F58" s="800"/>
      <c r="G58" s="732"/>
      <c r="H58" s="11"/>
      <c r="I58" s="740"/>
      <c r="J58" s="746"/>
      <c r="K58" s="674"/>
    </row>
    <row r="59" spans="1:14" x14ac:dyDescent="0.35">
      <c r="A59" s="797"/>
      <c r="B59" s="798">
        <v>44548</v>
      </c>
      <c r="C59" s="797" t="s">
        <v>956</v>
      </c>
      <c r="D59" s="799">
        <f>+D58/2</f>
        <v>44820</v>
      </c>
      <c r="E59" s="799"/>
      <c r="F59" s="800"/>
      <c r="G59" s="732"/>
      <c r="H59" s="11"/>
      <c r="I59" s="740"/>
    </row>
    <row r="60" spans="1:14" x14ac:dyDescent="0.35">
      <c r="A60" s="797"/>
      <c r="B60" s="798">
        <v>44531</v>
      </c>
      <c r="C60" s="797" t="s">
        <v>923</v>
      </c>
      <c r="D60" s="799"/>
      <c r="E60" s="799">
        <v>30000</v>
      </c>
      <c r="F60" s="800"/>
      <c r="G60" s="732"/>
      <c r="H60" s="11"/>
      <c r="I60" s="740"/>
      <c r="M60" s="700"/>
    </row>
    <row r="61" spans="1:14" x14ac:dyDescent="0.35">
      <c r="A61" s="797"/>
      <c r="B61" s="798"/>
      <c r="C61" s="797"/>
      <c r="D61" s="799"/>
      <c r="E61" s="799"/>
      <c r="F61" s="800">
        <f>SUM(D58:D61)-SUM(E58:E61)</f>
        <v>104460</v>
      </c>
      <c r="G61" s="732">
        <v>1741220.23</v>
      </c>
      <c r="H61" s="473"/>
      <c r="I61" s="707"/>
      <c r="J61" s="707"/>
      <c r="K61" s="702"/>
      <c r="L61" s="699"/>
    </row>
    <row r="62" spans="1:14" x14ac:dyDescent="0.35">
      <c r="A62" s="19"/>
      <c r="D62" s="715"/>
      <c r="E62" s="715"/>
      <c r="H62" s="473"/>
      <c r="I62" s="740"/>
    </row>
    <row r="63" spans="1:14" x14ac:dyDescent="0.35">
      <c r="A63" s="19"/>
      <c r="D63" s="715"/>
      <c r="E63" s="715"/>
    </row>
    <row r="64" spans="1:14" x14ac:dyDescent="0.35">
      <c r="A64" s="19"/>
      <c r="D64" s="715"/>
      <c r="E64" s="715"/>
    </row>
    <row r="65" spans="1:12" x14ac:dyDescent="0.35">
      <c r="A65" s="19"/>
      <c r="D65" s="715"/>
      <c r="E65" s="715"/>
    </row>
    <row r="66" spans="1:12" x14ac:dyDescent="0.35">
      <c r="A66" s="19"/>
      <c r="D66" s="715"/>
      <c r="E66" s="715"/>
      <c r="I66" s="745"/>
      <c r="J66" s="745"/>
      <c r="K66" s="675"/>
    </row>
    <row r="67" spans="1:12" x14ac:dyDescent="0.35">
      <c r="A67" s="19"/>
      <c r="D67" s="715"/>
      <c r="E67" s="715"/>
      <c r="I67" s="745"/>
      <c r="J67" s="745">
        <v>985667.14</v>
      </c>
      <c r="K67" s="675"/>
    </row>
    <row r="68" spans="1:12" x14ac:dyDescent="0.35">
      <c r="A68" s="19"/>
      <c r="D68" s="715"/>
      <c r="E68" s="715"/>
      <c r="I68" s="745" t="s">
        <v>137</v>
      </c>
      <c r="J68" s="745" t="s">
        <v>138</v>
      </c>
      <c r="K68" s="675" t="s">
        <v>139</v>
      </c>
    </row>
    <row r="69" spans="1:12" x14ac:dyDescent="0.35">
      <c r="A69" s="19"/>
      <c r="D69" s="715"/>
      <c r="E69" s="715"/>
      <c r="I69" s="745">
        <f>_ENE21v</f>
        <v>1000052.56</v>
      </c>
      <c r="J69" s="745">
        <f>+I69-J67</f>
        <v>14385.42</v>
      </c>
      <c r="K69" s="686">
        <f>(+J69*100/J67)/100</f>
        <v>1.46E-2</v>
      </c>
      <c r="L69" s="686">
        <f>(+J69*100/$J$67)/100</f>
        <v>1.46E-2</v>
      </c>
    </row>
    <row r="70" spans="1:12" x14ac:dyDescent="0.35">
      <c r="A70" s="19"/>
      <c r="D70" s="715"/>
      <c r="E70" s="715"/>
      <c r="I70" s="745">
        <f>_FEB21v</f>
        <v>1033786.2</v>
      </c>
      <c r="J70" s="745">
        <f t="shared" ref="J70:J78" si="0">+I70-I69</f>
        <v>33733.64</v>
      </c>
      <c r="K70" s="686">
        <f t="shared" ref="K70:K78" si="1">(+J70*100/I69)/100</f>
        <v>3.3700000000000001E-2</v>
      </c>
      <c r="L70" s="686">
        <f t="shared" ref="L70:L81" si="2">(+J70*100/$J$67)/100</f>
        <v>3.4200000000000001E-2</v>
      </c>
    </row>
    <row r="71" spans="1:12" x14ac:dyDescent="0.35">
      <c r="A71" s="19"/>
      <c r="D71" s="715"/>
      <c r="E71" s="715"/>
      <c r="I71" s="745">
        <f>_MAR21v</f>
        <v>1035086.21</v>
      </c>
      <c r="J71" s="745">
        <f t="shared" si="0"/>
        <v>1300.01</v>
      </c>
      <c r="K71" s="686">
        <f t="shared" si="1"/>
        <v>1.2999999999999999E-3</v>
      </c>
      <c r="L71" s="686">
        <f t="shared" si="2"/>
        <v>1.2999999999999999E-3</v>
      </c>
    </row>
    <row r="72" spans="1:12" x14ac:dyDescent="0.35">
      <c r="A72" s="19"/>
      <c r="D72" s="715"/>
      <c r="E72" s="715"/>
      <c r="I72" s="745">
        <f>_ABR21v</f>
        <v>1070013.1100000001</v>
      </c>
      <c r="J72" s="745">
        <f t="shared" si="0"/>
        <v>34926.9</v>
      </c>
      <c r="K72" s="686">
        <f t="shared" si="1"/>
        <v>3.3700000000000001E-2</v>
      </c>
      <c r="L72" s="686">
        <f t="shared" si="2"/>
        <v>3.5400000000000001E-2</v>
      </c>
    </row>
    <row r="73" spans="1:12" x14ac:dyDescent="0.35">
      <c r="A73" s="19"/>
      <c r="D73" s="715"/>
      <c r="E73" s="715"/>
      <c r="I73" s="745">
        <f>_MAY21v</f>
        <v>912486.05</v>
      </c>
      <c r="J73" s="745">
        <f t="shared" si="0"/>
        <v>-157527.06</v>
      </c>
      <c r="K73" s="686">
        <f t="shared" si="1"/>
        <v>-0.1472</v>
      </c>
      <c r="L73" s="686">
        <f t="shared" si="2"/>
        <v>-0.1598</v>
      </c>
    </row>
    <row r="74" spans="1:12" x14ac:dyDescent="0.35">
      <c r="A74" s="19"/>
      <c r="D74" s="715"/>
      <c r="E74" s="715"/>
      <c r="I74" s="745">
        <f>_JUN21v</f>
        <v>1348827.68</v>
      </c>
      <c r="J74" s="745">
        <f t="shared" si="0"/>
        <v>436341.63</v>
      </c>
      <c r="K74" s="686">
        <f t="shared" si="1"/>
        <v>0.47820000000000001</v>
      </c>
      <c r="L74" s="686">
        <f t="shared" si="2"/>
        <v>0.44269999999999998</v>
      </c>
    </row>
    <row r="75" spans="1:12" x14ac:dyDescent="0.35">
      <c r="A75" s="19"/>
      <c r="D75" s="715"/>
      <c r="E75" s="715"/>
      <c r="I75" s="745">
        <f>_JUL21v</f>
        <v>1593398.9</v>
      </c>
      <c r="J75" s="745">
        <f t="shared" si="0"/>
        <v>244571.22</v>
      </c>
      <c r="K75" s="686">
        <f t="shared" si="1"/>
        <v>0.18129999999999999</v>
      </c>
      <c r="L75" s="686">
        <f t="shared" si="2"/>
        <v>0.24809999999999999</v>
      </c>
    </row>
    <row r="76" spans="1:12" x14ac:dyDescent="0.35">
      <c r="A76" s="19"/>
      <c r="D76" s="715"/>
      <c r="E76" s="715"/>
      <c r="I76" s="745">
        <f>_AGO21v</f>
        <v>1785224.79</v>
      </c>
      <c r="J76" s="745">
        <f t="shared" si="0"/>
        <v>191825.89</v>
      </c>
      <c r="K76" s="686">
        <f t="shared" si="1"/>
        <v>0.12039999999999999</v>
      </c>
      <c r="L76" s="686">
        <f t="shared" si="2"/>
        <v>0.1946</v>
      </c>
    </row>
    <row r="77" spans="1:12" x14ac:dyDescent="0.35">
      <c r="A77" s="19"/>
      <c r="D77" s="715"/>
      <c r="E77" s="715"/>
      <c r="I77" s="745">
        <f>_SEP21v</f>
        <v>2078993.81</v>
      </c>
      <c r="J77" s="745">
        <f t="shared" si="0"/>
        <v>293769.02</v>
      </c>
      <c r="K77" s="686">
        <f t="shared" si="1"/>
        <v>0.1646</v>
      </c>
      <c r="L77" s="686">
        <f t="shared" si="2"/>
        <v>0.29799999999999999</v>
      </c>
    </row>
    <row r="78" spans="1:12" x14ac:dyDescent="0.35">
      <c r="A78" s="19"/>
      <c r="D78" s="715"/>
      <c r="E78" s="715"/>
      <c r="I78" s="745">
        <f>_OCT21v</f>
        <v>1921572.4</v>
      </c>
      <c r="J78" s="745">
        <f t="shared" si="0"/>
        <v>-157421.41</v>
      </c>
      <c r="K78" s="686">
        <f t="shared" si="1"/>
        <v>-7.5700000000000003E-2</v>
      </c>
      <c r="L78" s="686">
        <f t="shared" si="2"/>
        <v>-0.15970000000000001</v>
      </c>
    </row>
    <row r="79" spans="1:12" x14ac:dyDescent="0.35">
      <c r="A79" s="19"/>
      <c r="D79" s="715"/>
      <c r="E79" s="715"/>
      <c r="I79" s="745">
        <f>_NOV21v</f>
        <v>1740392.3</v>
      </c>
      <c r="J79" s="745">
        <f>+I79-I78</f>
        <v>-181180.1</v>
      </c>
      <c r="K79" s="686">
        <f>(+J79*100/I78)/100</f>
        <v>-9.4299999999999995E-2</v>
      </c>
      <c r="L79" s="686">
        <f t="shared" si="2"/>
        <v>-0.18379999999999999</v>
      </c>
    </row>
    <row r="80" spans="1:12" x14ac:dyDescent="0.35">
      <c r="A80" s="19"/>
      <c r="D80" s="715"/>
      <c r="E80" s="715"/>
      <c r="I80" s="745">
        <f>_DIC21v</f>
        <v>1741220.23</v>
      </c>
      <c r="J80" s="745">
        <f>+I80-I79</f>
        <v>827.93</v>
      </c>
      <c r="K80" s="686">
        <f>(+J80*100/I79)/100</f>
        <v>5.0000000000000001E-4</v>
      </c>
      <c r="L80" s="686">
        <f t="shared" si="2"/>
        <v>8.0000000000000004E-4</v>
      </c>
    </row>
    <row r="81" spans="1:15" x14ac:dyDescent="0.35">
      <c r="A81" s="19"/>
      <c r="D81" s="715"/>
      <c r="E81" s="715"/>
      <c r="I81" s="745"/>
      <c r="J81" s="745">
        <f>SUM(J69:J80)</f>
        <v>755553.09</v>
      </c>
      <c r="K81" s="686">
        <f>SUM(K69:K80)</f>
        <v>0.71109999999999995</v>
      </c>
      <c r="L81" s="686">
        <f t="shared" si="2"/>
        <v>0.76649999999999996</v>
      </c>
    </row>
    <row r="82" spans="1:15" x14ac:dyDescent="0.35">
      <c r="A82" s="19"/>
      <c r="D82" s="715"/>
      <c r="E82" s="715"/>
      <c r="G82" s="734"/>
      <c r="I82" s="745" t="s">
        <v>871</v>
      </c>
      <c r="J82" s="745">
        <f>SUM(D4:D62)-SUM(E4:E62)</f>
        <v>715760</v>
      </c>
      <c r="K82" s="926">
        <f>(J82*100/$J$67)/100</f>
        <v>0.72619999999999996</v>
      </c>
      <c r="M82" s="700"/>
    </row>
    <row r="83" spans="1:15" x14ac:dyDescent="0.35">
      <c r="A83" s="92"/>
      <c r="F83" s="726"/>
      <c r="G83" s="734"/>
      <c r="I83" s="745" t="s">
        <v>872</v>
      </c>
      <c r="J83" s="745">
        <f>+J81-J82</f>
        <v>39793.089999999997</v>
      </c>
      <c r="K83" s="926">
        <f>(J83*100/$J$67)/100</f>
        <v>4.0399999999999998E-2</v>
      </c>
      <c r="L83" s="32"/>
      <c r="M83" s="33"/>
      <c r="N83" s="33"/>
    </row>
    <row r="84" spans="1:15" x14ac:dyDescent="0.35">
      <c r="A84" s="92"/>
      <c r="F84" s="726"/>
      <c r="G84" s="734"/>
      <c r="H84" s="30"/>
      <c r="I84" s="748"/>
      <c r="J84" s="755"/>
      <c r="K84" s="676"/>
      <c r="L84" s="33"/>
      <c r="M84" s="33"/>
      <c r="N84" s="33"/>
    </row>
    <row r="85" spans="1:15" x14ac:dyDescent="0.35">
      <c r="A85" s="92"/>
      <c r="D85" s="715"/>
      <c r="E85" s="715"/>
      <c r="F85" s="726"/>
      <c r="G85" s="735"/>
      <c r="H85" s="34"/>
      <c r="I85" s="748"/>
      <c r="J85" s="740"/>
      <c r="K85" s="676"/>
      <c r="L85" s="33"/>
      <c r="M85" s="33"/>
      <c r="N85" s="33"/>
    </row>
    <row r="86" spans="1:15" x14ac:dyDescent="0.35">
      <c r="A86" s="92"/>
      <c r="F86" s="726"/>
      <c r="G86" s="735"/>
      <c r="H86" s="34"/>
      <c r="I86" s="740"/>
      <c r="J86" s="740"/>
    </row>
    <row r="87" spans="1:15" x14ac:dyDescent="0.35">
      <c r="A87" s="92"/>
      <c r="F87" s="726"/>
      <c r="G87" s="735"/>
      <c r="H87" s="93"/>
      <c r="I87" s="749"/>
      <c r="J87" s="749"/>
      <c r="L87" s="700"/>
      <c r="M87" s="700"/>
      <c r="O87" s="700"/>
    </row>
    <row r="88" spans="1:15" x14ac:dyDescent="0.35">
      <c r="A88" s="92"/>
      <c r="F88" s="726"/>
      <c r="G88" s="735"/>
      <c r="H88" s="93"/>
      <c r="I88" s="749"/>
      <c r="J88" s="749"/>
      <c r="L88" s="700"/>
      <c r="M88" s="700"/>
      <c r="O88" s="700"/>
    </row>
    <row r="89" spans="1:15" x14ac:dyDescent="0.35">
      <c r="A89" s="92"/>
      <c r="F89" s="726"/>
      <c r="G89" s="735"/>
      <c r="H89" s="93"/>
      <c r="I89" s="749"/>
      <c r="J89" s="749"/>
      <c r="L89" s="700"/>
      <c r="M89" s="700"/>
      <c r="O89" s="700"/>
    </row>
    <row r="90" spans="1:15" x14ac:dyDescent="0.35">
      <c r="A90" s="92"/>
      <c r="F90" s="726"/>
      <c r="G90" s="735"/>
      <c r="H90" s="93"/>
      <c r="I90" s="749"/>
      <c r="J90" s="749"/>
      <c r="L90" s="700"/>
      <c r="M90" s="700"/>
      <c r="O90" s="700"/>
    </row>
    <row r="91" spans="1:15" x14ac:dyDescent="0.35">
      <c r="A91" s="92"/>
      <c r="F91" s="726"/>
      <c r="G91" s="735"/>
      <c r="H91" s="93"/>
      <c r="I91" s="749"/>
      <c r="J91" s="749"/>
    </row>
    <row r="92" spans="1:15" x14ac:dyDescent="0.35">
      <c r="A92" s="92"/>
      <c r="F92" s="726"/>
      <c r="G92" s="735"/>
      <c r="H92" s="93"/>
      <c r="I92" s="750"/>
      <c r="J92" s="750"/>
    </row>
    <row r="93" spans="1:15" x14ac:dyDescent="0.35">
      <c r="A93" s="92"/>
      <c r="F93" s="726"/>
      <c r="G93" s="735"/>
      <c r="H93" s="93"/>
      <c r="I93" s="750"/>
      <c r="J93" s="750"/>
    </row>
    <row r="94" spans="1:15" x14ac:dyDescent="0.35">
      <c r="A94" s="92"/>
      <c r="F94" s="726"/>
      <c r="G94" s="735"/>
      <c r="H94" s="93"/>
      <c r="I94" s="750"/>
      <c r="J94" s="750"/>
    </row>
    <row r="95" spans="1:15" x14ac:dyDescent="0.35">
      <c r="A95" s="92"/>
      <c r="F95" s="726"/>
      <c r="G95" s="735"/>
      <c r="H95" s="93"/>
      <c r="I95" s="750"/>
      <c r="J95" s="750"/>
    </row>
    <row r="96" spans="1:15" x14ac:dyDescent="0.35">
      <c r="A96" s="92"/>
      <c r="F96" s="726"/>
      <c r="G96" s="735"/>
      <c r="H96" s="93"/>
      <c r="I96" s="750"/>
      <c r="J96" s="750"/>
    </row>
    <row r="97" spans="1:10" x14ac:dyDescent="0.35">
      <c r="A97" s="92"/>
      <c r="F97" s="726"/>
      <c r="G97" s="735"/>
      <c r="H97" s="93"/>
      <c r="I97" s="750"/>
      <c r="J97" s="750"/>
    </row>
    <row r="98" spans="1:10" x14ac:dyDescent="0.35">
      <c r="A98" s="92"/>
      <c r="F98" s="726"/>
      <c r="G98" s="735"/>
      <c r="H98" s="93"/>
      <c r="I98" s="750"/>
      <c r="J98" s="750"/>
    </row>
    <row r="99" spans="1:10" x14ac:dyDescent="0.35">
      <c r="A99" s="92"/>
      <c r="F99" s="726"/>
      <c r="G99" s="735"/>
      <c r="H99" s="93"/>
      <c r="I99" s="750"/>
      <c r="J99" s="750"/>
    </row>
    <row r="100" spans="1:10" x14ac:dyDescent="0.35">
      <c r="A100" s="92"/>
      <c r="F100" s="726"/>
      <c r="G100" s="735"/>
      <c r="H100" s="93"/>
      <c r="I100" s="750"/>
      <c r="J100" s="750"/>
    </row>
    <row r="101" spans="1:10" x14ac:dyDescent="0.35">
      <c r="A101" s="92"/>
      <c r="F101" s="726"/>
      <c r="G101" s="735"/>
      <c r="H101" s="93"/>
      <c r="I101" s="750"/>
      <c r="J101" s="750"/>
    </row>
    <row r="102" spans="1:10" x14ac:dyDescent="0.35">
      <c r="A102" s="92"/>
      <c r="F102" s="726"/>
      <c r="G102" s="735"/>
      <c r="H102" s="93"/>
      <c r="I102" s="750"/>
      <c r="J102" s="750"/>
    </row>
    <row r="103" spans="1:10" x14ac:dyDescent="0.35">
      <c r="A103" s="92"/>
      <c r="F103" s="726"/>
      <c r="G103" s="735"/>
      <c r="H103" s="93"/>
      <c r="I103" s="750"/>
      <c r="J103" s="750"/>
    </row>
    <row r="104" spans="1:10" x14ac:dyDescent="0.35">
      <c r="A104" s="92"/>
      <c r="F104" s="726"/>
      <c r="G104" s="735"/>
      <c r="H104" s="93"/>
      <c r="I104" s="750"/>
      <c r="J104" s="750"/>
    </row>
    <row r="105" spans="1:10" x14ac:dyDescent="0.35">
      <c r="A105" s="92"/>
      <c r="B105" s="380" t="s">
        <v>32</v>
      </c>
      <c r="C105" s="380" t="s">
        <v>33</v>
      </c>
      <c r="F105" s="726"/>
      <c r="G105" s="735"/>
      <c r="H105" s="93"/>
      <c r="I105" s="750"/>
      <c r="J105" s="750"/>
    </row>
    <row r="106" spans="1:10" x14ac:dyDescent="0.35">
      <c r="A106" s="92"/>
      <c r="B106" s="380">
        <f>SUM(D4:D83)</f>
        <v>2097360</v>
      </c>
      <c r="C106" s="380">
        <f>SUM(E4:E83)</f>
        <v>1381600</v>
      </c>
      <c r="F106" s="726"/>
      <c r="G106" s="735"/>
      <c r="H106" s="93"/>
      <c r="I106" s="750"/>
      <c r="J106" s="750"/>
    </row>
    <row r="107" spans="1:10" x14ac:dyDescent="0.35">
      <c r="A107" s="92"/>
      <c r="B107" s="518">
        <f>+B106-C106</f>
        <v>715760</v>
      </c>
      <c r="F107" s="726"/>
      <c r="G107" s="735"/>
      <c r="H107" s="93"/>
      <c r="I107" s="750"/>
      <c r="J107" s="750"/>
    </row>
    <row r="108" spans="1:10" x14ac:dyDescent="0.35">
      <c r="A108" s="92"/>
      <c r="F108" s="726"/>
      <c r="G108" s="735"/>
      <c r="H108" s="93"/>
      <c r="I108" s="750"/>
      <c r="J108" s="750"/>
    </row>
    <row r="109" spans="1:10" x14ac:dyDescent="0.35">
      <c r="A109" s="92"/>
      <c r="F109" s="726"/>
      <c r="G109" s="735"/>
      <c r="H109" s="93"/>
      <c r="I109" s="750"/>
      <c r="J109" s="750"/>
    </row>
    <row r="110" spans="1:10" x14ac:dyDescent="0.35">
      <c r="A110" s="92"/>
      <c r="F110" s="726"/>
      <c r="G110" s="735"/>
      <c r="H110" s="93"/>
      <c r="I110" s="750"/>
      <c r="J110" s="750"/>
    </row>
    <row r="111" spans="1:10" x14ac:dyDescent="0.35">
      <c r="A111" s="92"/>
      <c r="F111" s="726"/>
      <c r="G111" s="735"/>
      <c r="H111" s="93"/>
      <c r="I111" s="750"/>
      <c r="J111" s="750"/>
    </row>
    <row r="112" spans="1:10" x14ac:dyDescent="0.35">
      <c r="A112" s="92"/>
      <c r="F112" s="726"/>
      <c r="G112" s="735"/>
      <c r="H112" s="93"/>
      <c r="I112" s="750"/>
      <c r="J112" s="750"/>
    </row>
    <row r="113" spans="1:10" x14ac:dyDescent="0.35">
      <c r="A113" s="92"/>
      <c r="F113" s="726"/>
      <c r="G113" s="735"/>
      <c r="H113" s="93"/>
      <c r="I113" s="750"/>
      <c r="J113" s="750"/>
    </row>
    <row r="114" spans="1:10" x14ac:dyDescent="0.35">
      <c r="A114" s="92"/>
      <c r="F114" s="726"/>
      <c r="G114" s="735"/>
      <c r="H114" s="93"/>
      <c r="I114" s="750"/>
      <c r="J114" s="750"/>
    </row>
    <row r="115" spans="1:10" x14ac:dyDescent="0.35">
      <c r="A115" s="92"/>
      <c r="F115" s="726"/>
      <c r="G115" s="735"/>
      <c r="H115" s="93"/>
      <c r="I115" s="750"/>
      <c r="J115" s="750"/>
    </row>
    <row r="116" spans="1:10" x14ac:dyDescent="0.35">
      <c r="A116" s="92"/>
      <c r="F116" s="726"/>
      <c r="G116" s="735"/>
      <c r="H116" s="93"/>
      <c r="I116" s="750"/>
      <c r="J116" s="750"/>
    </row>
    <row r="117" spans="1:10" x14ac:dyDescent="0.35">
      <c r="A117" s="92"/>
      <c r="F117" s="726"/>
      <c r="G117" s="735"/>
      <c r="H117" s="93"/>
      <c r="I117" s="750"/>
      <c r="J117" s="750"/>
    </row>
    <row r="118" spans="1:10" x14ac:dyDescent="0.35">
      <c r="A118" s="92"/>
      <c r="F118" s="726"/>
      <c r="G118" s="735"/>
      <c r="H118" s="93"/>
      <c r="I118" s="750"/>
      <c r="J118" s="750"/>
    </row>
    <row r="119" spans="1:10" x14ac:dyDescent="0.35">
      <c r="A119" s="92"/>
      <c r="F119" s="726"/>
      <c r="G119" s="735"/>
      <c r="H119" s="93"/>
      <c r="I119" s="750"/>
      <c r="J119" s="750"/>
    </row>
    <row r="120" spans="1:10" x14ac:dyDescent="0.35">
      <c r="A120" s="92"/>
      <c r="F120" s="726"/>
      <c r="G120" s="735"/>
      <c r="H120" s="93"/>
      <c r="I120" s="750"/>
      <c r="J120" s="750"/>
    </row>
    <row r="121" spans="1:10" x14ac:dyDescent="0.35">
      <c r="A121" s="92"/>
      <c r="F121" s="726"/>
      <c r="G121" s="735"/>
      <c r="H121" s="93"/>
      <c r="I121" s="750"/>
      <c r="J121" s="750"/>
    </row>
    <row r="122" spans="1:10" x14ac:dyDescent="0.35">
      <c r="A122" s="92"/>
      <c r="F122" s="726"/>
      <c r="G122" s="735"/>
      <c r="H122" s="93"/>
      <c r="I122" s="750"/>
      <c r="J122" s="750"/>
    </row>
    <row r="123" spans="1:10" x14ac:dyDescent="0.35">
      <c r="A123" s="92"/>
      <c r="F123" s="726"/>
      <c r="G123" s="735"/>
      <c r="H123" s="93"/>
      <c r="I123" s="750"/>
      <c r="J123" s="750"/>
    </row>
    <row r="124" spans="1:10" x14ac:dyDescent="0.35">
      <c r="A124" s="92"/>
      <c r="F124" s="726"/>
      <c r="G124" s="735"/>
      <c r="H124" s="93"/>
      <c r="I124" s="750"/>
      <c r="J124" s="750"/>
    </row>
    <row r="125" spans="1:10" x14ac:dyDescent="0.35">
      <c r="A125" s="92"/>
      <c r="F125" s="726"/>
      <c r="G125" s="735"/>
      <c r="H125" s="93"/>
      <c r="I125" s="750"/>
      <c r="J125" s="750"/>
    </row>
    <row r="126" spans="1:10" x14ac:dyDescent="0.35">
      <c r="A126" s="92"/>
      <c r="F126" s="726"/>
      <c r="G126" s="735"/>
      <c r="H126" s="93"/>
      <c r="I126" s="750"/>
      <c r="J126" s="750"/>
    </row>
    <row r="127" spans="1:10" x14ac:dyDescent="0.35">
      <c r="A127" s="92"/>
      <c r="F127" s="726"/>
      <c r="G127" s="735"/>
      <c r="H127" s="93"/>
      <c r="I127" s="750"/>
      <c r="J127" s="750"/>
    </row>
    <row r="128" spans="1:10" x14ac:dyDescent="0.35">
      <c r="A128" s="92"/>
      <c r="F128" s="726"/>
      <c r="G128" s="735"/>
      <c r="H128" s="93"/>
      <c r="I128" s="750"/>
      <c r="J128" s="750"/>
    </row>
    <row r="129" spans="1:10" x14ac:dyDescent="0.35">
      <c r="A129" s="92"/>
      <c r="F129" s="726"/>
      <c r="G129" s="735"/>
      <c r="H129" s="93"/>
      <c r="I129" s="750"/>
      <c r="J129" s="750"/>
    </row>
    <row r="130" spans="1:10" x14ac:dyDescent="0.35">
      <c r="A130" s="92"/>
      <c r="F130" s="726"/>
      <c r="G130" s="735"/>
      <c r="H130" s="93"/>
      <c r="I130" s="750"/>
      <c r="J130" s="750"/>
    </row>
    <row r="131" spans="1:10" x14ac:dyDescent="0.35">
      <c r="A131" s="92"/>
      <c r="F131" s="726"/>
      <c r="G131" s="735"/>
      <c r="H131" s="93"/>
      <c r="I131" s="750"/>
      <c r="J131" s="750"/>
    </row>
    <row r="132" spans="1:10" x14ac:dyDescent="0.35">
      <c r="A132" s="92"/>
      <c r="F132" s="726"/>
      <c r="G132" s="735"/>
      <c r="H132" s="93"/>
      <c r="I132" s="750"/>
      <c r="J132" s="750"/>
    </row>
    <row r="133" spans="1:10" x14ac:dyDescent="0.35">
      <c r="A133" s="92"/>
      <c r="F133" s="726"/>
      <c r="G133" s="735"/>
      <c r="H133" s="93"/>
      <c r="I133" s="750"/>
      <c r="J133" s="750"/>
    </row>
    <row r="134" spans="1:10" x14ac:dyDescent="0.35">
      <c r="A134" s="92"/>
      <c r="F134" s="726"/>
      <c r="G134" s="735"/>
      <c r="H134" s="93"/>
      <c r="I134" s="750"/>
      <c r="J134" s="750"/>
    </row>
    <row r="135" spans="1:10" x14ac:dyDescent="0.35">
      <c r="A135" s="92"/>
      <c r="F135" s="726"/>
      <c r="G135" s="735"/>
      <c r="H135" s="93"/>
      <c r="I135" s="750"/>
      <c r="J135" s="750"/>
    </row>
    <row r="136" spans="1:10" x14ac:dyDescent="0.35">
      <c r="A136" s="92"/>
      <c r="F136" s="726"/>
      <c r="G136" s="735"/>
      <c r="H136" s="93"/>
      <c r="I136" s="750"/>
      <c r="J136" s="750"/>
    </row>
    <row r="137" spans="1:10" x14ac:dyDescent="0.35">
      <c r="A137" s="92"/>
      <c r="F137" s="726"/>
      <c r="G137" s="735"/>
      <c r="H137" s="93"/>
      <c r="I137" s="750"/>
      <c r="J137" s="750"/>
    </row>
    <row r="138" spans="1:10" x14ac:dyDescent="0.35">
      <c r="A138" s="92"/>
      <c r="F138" s="726"/>
      <c r="G138" s="735"/>
      <c r="H138" s="93"/>
      <c r="I138" s="750"/>
      <c r="J138" s="750"/>
    </row>
    <row r="139" spans="1:10" x14ac:dyDescent="0.35">
      <c r="A139" s="92"/>
      <c r="F139" s="726"/>
      <c r="G139" s="735"/>
      <c r="H139" s="93"/>
      <c r="I139" s="750"/>
      <c r="J139" s="750"/>
    </row>
    <row r="140" spans="1:10" x14ac:dyDescent="0.35">
      <c r="A140" s="92"/>
      <c r="F140" s="726"/>
      <c r="G140" s="735"/>
      <c r="H140" s="93"/>
      <c r="I140" s="750"/>
      <c r="J140" s="750"/>
    </row>
    <row r="141" spans="1:10" x14ac:dyDescent="0.35">
      <c r="A141" s="92"/>
      <c r="F141" s="726"/>
      <c r="G141" s="735"/>
      <c r="H141" s="93"/>
      <c r="I141" s="750"/>
      <c r="J141" s="750"/>
    </row>
    <row r="142" spans="1:10" x14ac:dyDescent="0.35">
      <c r="A142" s="92"/>
      <c r="F142" s="726"/>
      <c r="G142" s="735"/>
      <c r="H142" s="93"/>
      <c r="I142" s="750"/>
      <c r="J142" s="750"/>
    </row>
    <row r="143" spans="1:10" x14ac:dyDescent="0.35">
      <c r="A143" s="92"/>
      <c r="F143" s="726"/>
      <c r="G143" s="735"/>
      <c r="H143" s="93"/>
      <c r="I143" s="750"/>
      <c r="J143" s="750"/>
    </row>
    <row r="144" spans="1:10" x14ac:dyDescent="0.35">
      <c r="A144" s="92"/>
      <c r="F144" s="726"/>
      <c r="G144" s="735"/>
      <c r="H144" s="93"/>
      <c r="I144" s="750"/>
      <c r="J144" s="750"/>
    </row>
    <row r="145" spans="1:10" x14ac:dyDescent="0.35">
      <c r="A145" s="92"/>
      <c r="F145" s="726"/>
      <c r="G145" s="735"/>
      <c r="H145" s="93"/>
      <c r="I145" s="750"/>
      <c r="J145" s="750"/>
    </row>
    <row r="146" spans="1:10" x14ac:dyDescent="0.35">
      <c r="A146" s="92"/>
      <c r="F146" s="726"/>
      <c r="G146" s="735"/>
      <c r="H146" s="93"/>
      <c r="I146" s="750"/>
      <c r="J146" s="750"/>
    </row>
    <row r="147" spans="1:10" x14ac:dyDescent="0.35">
      <c r="A147" s="92"/>
      <c r="F147" s="726"/>
      <c r="G147" s="735"/>
      <c r="H147" s="93"/>
      <c r="I147" s="750"/>
      <c r="J147" s="750"/>
    </row>
    <row r="148" spans="1:10" x14ac:dyDescent="0.35">
      <c r="A148" s="92"/>
      <c r="F148" s="726"/>
      <c r="G148" s="735"/>
      <c r="H148" s="93"/>
      <c r="I148" s="750"/>
      <c r="J148" s="750"/>
    </row>
    <row r="149" spans="1:10" x14ac:dyDescent="0.35">
      <c r="A149" s="92"/>
      <c r="F149" s="726"/>
      <c r="G149" s="735"/>
      <c r="H149" s="93"/>
      <c r="I149" s="750"/>
      <c r="J149" s="750"/>
    </row>
    <row r="150" spans="1:10" x14ac:dyDescent="0.35">
      <c r="A150" s="92"/>
      <c r="F150" s="726"/>
      <c r="G150" s="735"/>
      <c r="H150" s="93"/>
      <c r="I150" s="750"/>
      <c r="J150" s="750"/>
    </row>
    <row r="151" spans="1:10" x14ac:dyDescent="0.35">
      <c r="A151" s="92"/>
      <c r="F151" s="726"/>
      <c r="G151" s="735"/>
      <c r="H151" s="93"/>
      <c r="I151" s="750"/>
      <c r="J151" s="750"/>
    </row>
    <row r="152" spans="1:10" x14ac:dyDescent="0.35">
      <c r="A152" s="92"/>
      <c r="F152" s="726"/>
      <c r="G152" s="735"/>
      <c r="H152" s="93"/>
      <c r="I152" s="750"/>
      <c r="J152" s="750"/>
    </row>
    <row r="153" spans="1:10" x14ac:dyDescent="0.35">
      <c r="A153" s="92"/>
      <c r="F153" s="726"/>
      <c r="G153" s="735"/>
      <c r="H153" s="93"/>
      <c r="I153" s="750"/>
      <c r="J153" s="750"/>
    </row>
    <row r="154" spans="1:10" x14ac:dyDescent="0.35">
      <c r="A154" s="92"/>
      <c r="F154" s="726"/>
      <c r="G154" s="735"/>
      <c r="H154" s="93"/>
      <c r="I154" s="750"/>
      <c r="J154" s="750"/>
    </row>
    <row r="155" spans="1:10" x14ac:dyDescent="0.35">
      <c r="A155" s="92"/>
      <c r="F155" s="726"/>
      <c r="G155" s="735"/>
      <c r="H155" s="93"/>
      <c r="I155" s="750"/>
      <c r="J155" s="750"/>
    </row>
    <row r="156" spans="1:10" x14ac:dyDescent="0.35">
      <c r="A156" s="92"/>
      <c r="F156" s="726"/>
      <c r="G156" s="735"/>
      <c r="H156" s="93"/>
      <c r="I156" s="750"/>
      <c r="J156" s="750"/>
    </row>
    <row r="157" spans="1:10" x14ac:dyDescent="0.35">
      <c r="A157" s="92"/>
      <c r="F157" s="726"/>
      <c r="G157" s="735"/>
      <c r="H157" s="93"/>
      <c r="I157" s="750"/>
      <c r="J157" s="750"/>
    </row>
    <row r="158" spans="1:10" x14ac:dyDescent="0.35">
      <c r="A158" s="92"/>
      <c r="F158" s="726"/>
      <c r="G158" s="735"/>
      <c r="H158" s="93"/>
      <c r="I158" s="750"/>
      <c r="J158" s="750"/>
    </row>
    <row r="159" spans="1:10" x14ac:dyDescent="0.35">
      <c r="A159" s="92"/>
      <c r="F159" s="726"/>
      <c r="G159" s="735"/>
      <c r="H159" s="93"/>
      <c r="I159" s="750"/>
      <c r="J159" s="750"/>
    </row>
    <row r="160" spans="1:10" x14ac:dyDescent="0.35">
      <c r="A160" s="92"/>
      <c r="F160" s="726"/>
      <c r="G160" s="735"/>
      <c r="H160" s="93"/>
      <c r="I160" s="750"/>
      <c r="J160" s="750"/>
    </row>
    <row r="161" spans="1:10" x14ac:dyDescent="0.35">
      <c r="A161" s="92"/>
      <c r="F161" s="726"/>
      <c r="G161" s="735"/>
      <c r="H161" s="93"/>
      <c r="I161" s="750"/>
      <c r="J161" s="750"/>
    </row>
    <row r="162" spans="1:10" x14ac:dyDescent="0.35">
      <c r="A162" s="92"/>
      <c r="F162" s="726"/>
      <c r="G162" s="735"/>
      <c r="H162" s="93"/>
      <c r="I162" s="750"/>
      <c r="J162" s="750"/>
    </row>
    <row r="163" spans="1:10" x14ac:dyDescent="0.35">
      <c r="A163" s="92"/>
      <c r="F163" s="726"/>
      <c r="G163" s="735"/>
      <c r="H163" s="93"/>
      <c r="I163" s="750"/>
      <c r="J163" s="750"/>
    </row>
    <row r="164" spans="1:10" x14ac:dyDescent="0.35">
      <c r="A164" s="92"/>
      <c r="F164" s="726"/>
      <c r="G164" s="735"/>
      <c r="H164" s="93"/>
      <c r="I164" s="750"/>
      <c r="J164" s="750"/>
    </row>
    <row r="165" spans="1:10" x14ac:dyDescent="0.35">
      <c r="A165" s="92"/>
      <c r="F165" s="726"/>
      <c r="G165" s="735"/>
      <c r="H165" s="93"/>
      <c r="I165" s="750"/>
      <c r="J165" s="750"/>
    </row>
    <row r="166" spans="1:10" x14ac:dyDescent="0.35">
      <c r="A166" s="92"/>
      <c r="F166" s="726"/>
      <c r="G166" s="735"/>
      <c r="H166" s="93"/>
      <c r="I166" s="750"/>
      <c r="J166" s="750"/>
    </row>
    <row r="167" spans="1:10" x14ac:dyDescent="0.35">
      <c r="A167" s="92"/>
      <c r="F167" s="726"/>
      <c r="G167" s="735"/>
      <c r="H167" s="93"/>
      <c r="I167" s="750"/>
      <c r="J167" s="750"/>
    </row>
    <row r="168" spans="1:10" x14ac:dyDescent="0.35">
      <c r="A168" s="92"/>
      <c r="F168" s="726"/>
      <c r="G168" s="735"/>
      <c r="H168" s="93"/>
      <c r="I168" s="750"/>
      <c r="J168" s="750"/>
    </row>
    <row r="169" spans="1:10" x14ac:dyDescent="0.35">
      <c r="A169" s="92"/>
      <c r="F169" s="726"/>
      <c r="G169" s="735"/>
      <c r="H169" s="93"/>
      <c r="I169" s="750"/>
      <c r="J169" s="750"/>
    </row>
    <row r="170" spans="1:10" x14ac:dyDescent="0.35">
      <c r="A170" s="92"/>
      <c r="F170" s="726"/>
      <c r="G170" s="735"/>
      <c r="H170" s="93"/>
      <c r="I170" s="750"/>
      <c r="J170" s="750"/>
    </row>
    <row r="171" spans="1:10" x14ac:dyDescent="0.35">
      <c r="A171" s="92"/>
      <c r="F171" s="726"/>
      <c r="G171" s="735"/>
      <c r="H171" s="93"/>
      <c r="I171" s="750"/>
      <c r="J171" s="750"/>
    </row>
    <row r="172" spans="1:10" x14ac:dyDescent="0.35">
      <c r="A172" s="92"/>
      <c r="F172" s="726"/>
      <c r="G172" s="735"/>
      <c r="H172" s="93"/>
      <c r="I172" s="750"/>
      <c r="J172" s="750"/>
    </row>
    <row r="173" spans="1:10" x14ac:dyDescent="0.35">
      <c r="A173" s="92"/>
      <c r="F173" s="726"/>
      <c r="G173" s="735"/>
      <c r="H173" s="93"/>
      <c r="I173" s="750"/>
      <c r="J173" s="750"/>
    </row>
    <row r="174" spans="1:10" x14ac:dyDescent="0.35">
      <c r="A174" s="92"/>
      <c r="F174" s="726"/>
      <c r="G174" s="735"/>
      <c r="H174" s="93"/>
      <c r="I174" s="750"/>
      <c r="J174" s="750"/>
    </row>
    <row r="175" spans="1:10" x14ac:dyDescent="0.35">
      <c r="A175" s="92"/>
      <c r="F175" s="726"/>
      <c r="G175" s="735"/>
      <c r="H175" s="93"/>
      <c r="I175" s="750"/>
      <c r="J175" s="750"/>
    </row>
    <row r="176" spans="1:10" x14ac:dyDescent="0.35">
      <c r="A176" s="92"/>
      <c r="F176" s="726"/>
      <c r="G176" s="735"/>
      <c r="H176" s="93"/>
      <c r="I176" s="750"/>
      <c r="J176" s="750"/>
    </row>
    <row r="177" spans="1:10" x14ac:dyDescent="0.35">
      <c r="A177" s="92"/>
      <c r="F177" s="726"/>
      <c r="G177" s="735"/>
      <c r="H177" s="93"/>
      <c r="I177" s="750"/>
      <c r="J177" s="750"/>
    </row>
    <row r="178" spans="1:10" x14ac:dyDescent="0.35">
      <c r="A178" s="92"/>
      <c r="F178" s="726"/>
      <c r="G178" s="735"/>
      <c r="H178" s="93"/>
      <c r="I178" s="750"/>
      <c r="J178" s="750"/>
    </row>
    <row r="179" spans="1:10" x14ac:dyDescent="0.35">
      <c r="A179" s="92"/>
      <c r="F179" s="726"/>
      <c r="G179" s="735"/>
      <c r="H179" s="93"/>
      <c r="I179" s="750"/>
      <c r="J179" s="750"/>
    </row>
    <row r="180" spans="1:10" x14ac:dyDescent="0.35">
      <c r="A180" s="92"/>
      <c r="F180" s="726"/>
      <c r="G180" s="735"/>
      <c r="H180" s="93"/>
      <c r="I180" s="750"/>
      <c r="J180" s="750"/>
    </row>
    <row r="181" spans="1:10" x14ac:dyDescent="0.35">
      <c r="A181" s="92"/>
      <c r="F181" s="726"/>
      <c r="G181" s="735"/>
      <c r="H181" s="93"/>
      <c r="I181" s="750"/>
      <c r="J181" s="750"/>
    </row>
    <row r="182" spans="1:10" x14ac:dyDescent="0.35">
      <c r="A182" s="92"/>
      <c r="F182" s="726"/>
      <c r="G182" s="735"/>
      <c r="H182" s="93"/>
      <c r="I182" s="750"/>
      <c r="J182" s="750"/>
    </row>
    <row r="183" spans="1:10" x14ac:dyDescent="0.35">
      <c r="A183" s="92"/>
      <c r="F183" s="726"/>
      <c r="G183" s="735"/>
      <c r="H183" s="93"/>
      <c r="I183" s="750"/>
      <c r="J183" s="750"/>
    </row>
    <row r="184" spans="1:10" x14ac:dyDescent="0.35">
      <c r="A184" s="92"/>
      <c r="F184" s="726"/>
      <c r="G184" s="735"/>
      <c r="H184" s="93"/>
      <c r="I184" s="750"/>
      <c r="J184" s="750"/>
    </row>
    <row r="185" spans="1:10" x14ac:dyDescent="0.35">
      <c r="A185" s="92"/>
      <c r="F185" s="726"/>
      <c r="G185" s="735"/>
      <c r="H185" s="93"/>
      <c r="I185" s="750"/>
      <c r="J185" s="750"/>
    </row>
    <row r="186" spans="1:10" x14ac:dyDescent="0.35">
      <c r="A186" s="92"/>
      <c r="F186" s="726"/>
      <c r="G186" s="735"/>
      <c r="H186" s="93"/>
      <c r="I186" s="750"/>
      <c r="J186" s="750"/>
    </row>
    <row r="187" spans="1:10" x14ac:dyDescent="0.35">
      <c r="A187" s="92"/>
      <c r="F187" s="726"/>
      <c r="G187" s="735"/>
      <c r="H187" s="93"/>
      <c r="I187" s="750"/>
      <c r="J187" s="750"/>
    </row>
    <row r="188" spans="1:10" x14ac:dyDescent="0.35">
      <c r="A188" s="92"/>
      <c r="F188" s="726"/>
      <c r="G188" s="735"/>
      <c r="H188" s="93"/>
      <c r="I188" s="750"/>
      <c r="J188" s="750"/>
    </row>
    <row r="189" spans="1:10" x14ac:dyDescent="0.35">
      <c r="A189" s="92"/>
      <c r="F189" s="726"/>
      <c r="G189" s="735"/>
      <c r="H189" s="93"/>
      <c r="I189" s="750"/>
      <c r="J189" s="750"/>
    </row>
    <row r="190" spans="1:10" x14ac:dyDescent="0.35">
      <c r="A190" s="92"/>
      <c r="F190" s="726"/>
      <c r="G190" s="735"/>
      <c r="H190" s="93"/>
      <c r="I190" s="750"/>
      <c r="J190" s="750"/>
    </row>
    <row r="191" spans="1:10" x14ac:dyDescent="0.35">
      <c r="A191" s="92"/>
      <c r="F191" s="726"/>
      <c r="G191" s="735"/>
      <c r="H191" s="93"/>
      <c r="I191" s="750"/>
      <c r="J191" s="750"/>
    </row>
    <row r="192" spans="1:10" x14ac:dyDescent="0.35">
      <c r="A192" s="92"/>
      <c r="F192" s="726"/>
      <c r="G192" s="735"/>
      <c r="H192" s="93"/>
      <c r="I192" s="750"/>
      <c r="J192" s="750"/>
    </row>
    <row r="193" spans="1:10" x14ac:dyDescent="0.35">
      <c r="A193" s="92"/>
      <c r="F193" s="726"/>
      <c r="G193" s="735"/>
      <c r="H193" s="93"/>
      <c r="I193" s="750"/>
      <c r="J193" s="750"/>
    </row>
    <row r="194" spans="1:10" x14ac:dyDescent="0.35">
      <c r="A194" s="92"/>
      <c r="F194" s="726"/>
      <c r="G194" s="735"/>
      <c r="H194" s="93"/>
      <c r="I194" s="750"/>
      <c r="J194" s="750"/>
    </row>
    <row r="195" spans="1:10" x14ac:dyDescent="0.35">
      <c r="A195" s="92"/>
      <c r="F195" s="726"/>
      <c r="G195" s="735"/>
      <c r="H195" s="93"/>
      <c r="I195" s="750"/>
      <c r="J195" s="750"/>
    </row>
    <row r="196" spans="1:10" x14ac:dyDescent="0.35">
      <c r="A196" s="92"/>
      <c r="F196" s="726"/>
      <c r="G196" s="735"/>
      <c r="H196" s="93"/>
      <c r="I196" s="750"/>
      <c r="J196" s="750"/>
    </row>
    <row r="197" spans="1:10" x14ac:dyDescent="0.35">
      <c r="A197" s="92"/>
      <c r="F197" s="726"/>
      <c r="G197" s="735"/>
      <c r="H197" s="93"/>
      <c r="I197" s="750"/>
      <c r="J197" s="750"/>
    </row>
    <row r="198" spans="1:10" x14ac:dyDescent="0.35">
      <c r="A198" s="92"/>
      <c r="F198" s="726"/>
      <c r="G198" s="735"/>
      <c r="H198" s="93"/>
      <c r="I198" s="750"/>
      <c r="J198" s="750"/>
    </row>
    <row r="199" spans="1:10" x14ac:dyDescent="0.35">
      <c r="A199" s="92"/>
      <c r="F199" s="726"/>
      <c r="G199" s="735"/>
      <c r="H199" s="93"/>
      <c r="I199" s="750"/>
      <c r="J199" s="750"/>
    </row>
    <row r="200" spans="1:10" x14ac:dyDescent="0.35">
      <c r="A200" s="92"/>
      <c r="F200" s="726"/>
      <c r="G200" s="735"/>
      <c r="H200" s="93"/>
      <c r="I200" s="750"/>
      <c r="J200" s="750"/>
    </row>
    <row r="201" spans="1:10" x14ac:dyDescent="0.35">
      <c r="A201" s="92"/>
      <c r="F201" s="726"/>
      <c r="G201" s="735"/>
      <c r="H201" s="93"/>
      <c r="I201" s="750"/>
      <c r="J201" s="750"/>
    </row>
    <row r="202" spans="1:10" x14ac:dyDescent="0.35">
      <c r="A202" s="92"/>
      <c r="F202" s="726"/>
      <c r="G202" s="735"/>
      <c r="H202" s="93"/>
      <c r="I202" s="750"/>
      <c r="J202" s="750"/>
    </row>
    <row r="203" spans="1:10" x14ac:dyDescent="0.35">
      <c r="A203" s="92"/>
      <c r="F203" s="726"/>
      <c r="G203" s="735"/>
      <c r="H203" s="93"/>
      <c r="I203" s="750"/>
      <c r="J203" s="750"/>
    </row>
    <row r="204" spans="1:10" x14ac:dyDescent="0.35">
      <c r="A204" s="92"/>
      <c r="F204" s="726"/>
      <c r="G204" s="735"/>
      <c r="H204" s="93"/>
      <c r="I204" s="750"/>
      <c r="J204" s="750"/>
    </row>
    <row r="205" spans="1:10" x14ac:dyDescent="0.35">
      <c r="A205" s="92"/>
      <c r="F205" s="726"/>
      <c r="G205" s="735"/>
      <c r="H205" s="93"/>
      <c r="I205" s="750"/>
      <c r="J205" s="750"/>
    </row>
    <row r="206" spans="1:10" x14ac:dyDescent="0.35">
      <c r="A206" s="92"/>
      <c r="F206" s="726"/>
      <c r="G206" s="735"/>
      <c r="H206" s="93"/>
      <c r="I206" s="750"/>
      <c r="J206" s="750"/>
    </row>
    <row r="207" spans="1:10" x14ac:dyDescent="0.35">
      <c r="A207" s="92"/>
      <c r="F207" s="726"/>
      <c r="G207" s="735"/>
      <c r="H207" s="93"/>
      <c r="I207" s="750"/>
      <c r="J207" s="750"/>
    </row>
    <row r="208" spans="1:10" x14ac:dyDescent="0.35">
      <c r="A208" s="92"/>
      <c r="F208" s="726"/>
      <c r="G208" s="735"/>
      <c r="H208" s="93"/>
      <c r="I208" s="750"/>
      <c r="J208" s="750"/>
    </row>
    <row r="209" spans="1:10" x14ac:dyDescent="0.35">
      <c r="A209" s="92"/>
      <c r="F209" s="726"/>
      <c r="G209" s="735"/>
      <c r="H209" s="93"/>
      <c r="I209" s="750"/>
      <c r="J209" s="750"/>
    </row>
    <row r="210" spans="1:10" x14ac:dyDescent="0.35">
      <c r="A210" s="92"/>
      <c r="F210" s="726"/>
      <c r="G210" s="735"/>
      <c r="H210" s="93"/>
      <c r="I210" s="750"/>
      <c r="J210" s="750"/>
    </row>
    <row r="211" spans="1:10" x14ac:dyDescent="0.35">
      <c r="A211" s="92"/>
      <c r="F211" s="726"/>
      <c r="G211" s="735"/>
      <c r="H211" s="93"/>
      <c r="I211" s="750"/>
      <c r="J211" s="750"/>
    </row>
    <row r="212" spans="1:10" x14ac:dyDescent="0.35">
      <c r="A212" s="92"/>
      <c r="F212" s="726"/>
      <c r="G212" s="735"/>
      <c r="H212" s="93"/>
      <c r="I212" s="750"/>
      <c r="J212" s="750"/>
    </row>
    <row r="213" spans="1:10" x14ac:dyDescent="0.35">
      <c r="A213" s="92"/>
      <c r="F213" s="726"/>
      <c r="G213" s="735"/>
      <c r="H213" s="93"/>
      <c r="I213" s="750"/>
      <c r="J213" s="750"/>
    </row>
    <row r="214" spans="1:10" x14ac:dyDescent="0.35">
      <c r="A214" s="92"/>
      <c r="F214" s="726"/>
      <c r="G214" s="735"/>
      <c r="H214" s="93"/>
      <c r="I214" s="750"/>
      <c r="J214" s="750"/>
    </row>
    <row r="215" spans="1:10" x14ac:dyDescent="0.35">
      <c r="A215" s="92"/>
      <c r="F215" s="726"/>
      <c r="G215" s="735"/>
      <c r="H215" s="93"/>
      <c r="I215" s="750"/>
      <c r="J215" s="750"/>
    </row>
    <row r="216" spans="1:10" x14ac:dyDescent="0.35">
      <c r="A216" s="92"/>
      <c r="F216" s="726"/>
      <c r="G216" s="735"/>
      <c r="H216" s="93"/>
      <c r="I216" s="750"/>
      <c r="J216" s="750"/>
    </row>
    <row r="217" spans="1:10" x14ac:dyDescent="0.35">
      <c r="A217" s="92"/>
      <c r="F217" s="726"/>
      <c r="G217" s="735"/>
      <c r="H217" s="93"/>
      <c r="I217" s="750"/>
      <c r="J217" s="750"/>
    </row>
    <row r="218" spans="1:10" x14ac:dyDescent="0.35">
      <c r="A218" s="92"/>
      <c r="F218" s="726"/>
      <c r="G218" s="735"/>
      <c r="H218" s="93"/>
      <c r="I218" s="750"/>
      <c r="J218" s="750"/>
    </row>
    <row r="219" spans="1:10" x14ac:dyDescent="0.35">
      <c r="A219" s="92"/>
      <c r="F219" s="726"/>
      <c r="G219" s="735"/>
      <c r="H219" s="93"/>
      <c r="I219" s="750"/>
      <c r="J219" s="750"/>
    </row>
    <row r="220" spans="1:10" x14ac:dyDescent="0.35">
      <c r="A220" s="92"/>
      <c r="F220" s="726"/>
      <c r="G220" s="735"/>
      <c r="H220" s="93"/>
      <c r="I220" s="750"/>
      <c r="J220" s="750"/>
    </row>
    <row r="221" spans="1:10" x14ac:dyDescent="0.35">
      <c r="A221" s="92"/>
      <c r="F221" s="726"/>
      <c r="G221" s="735"/>
      <c r="H221" s="93"/>
      <c r="I221" s="750"/>
      <c r="J221" s="750"/>
    </row>
    <row r="222" spans="1:10" x14ac:dyDescent="0.35">
      <c r="A222" s="92"/>
      <c r="F222" s="726"/>
      <c r="G222" s="735"/>
      <c r="H222" s="93"/>
      <c r="I222" s="750"/>
      <c r="J222" s="750"/>
    </row>
    <row r="223" spans="1:10" x14ac:dyDescent="0.35">
      <c r="A223" s="92"/>
      <c r="F223" s="726"/>
      <c r="G223" s="735"/>
      <c r="H223" s="93"/>
      <c r="I223" s="750"/>
      <c r="J223" s="750"/>
    </row>
    <row r="224" spans="1:10" x14ac:dyDescent="0.35">
      <c r="A224" s="92"/>
      <c r="F224" s="726"/>
      <c r="G224" s="735"/>
      <c r="H224" s="93"/>
      <c r="I224" s="750"/>
      <c r="J224" s="750"/>
    </row>
    <row r="225" spans="1:10" x14ac:dyDescent="0.35">
      <c r="A225" s="92"/>
      <c r="F225" s="726"/>
      <c r="G225" s="735"/>
      <c r="H225" s="93"/>
      <c r="I225" s="750"/>
      <c r="J225" s="750"/>
    </row>
    <row r="226" spans="1:10" x14ac:dyDescent="0.35">
      <c r="A226" s="92"/>
      <c r="F226" s="726"/>
      <c r="G226" s="735"/>
      <c r="H226" s="93"/>
      <c r="I226" s="750"/>
      <c r="J226" s="750"/>
    </row>
    <row r="227" spans="1:10" x14ac:dyDescent="0.35">
      <c r="A227" s="92"/>
      <c r="F227" s="726"/>
      <c r="G227" s="735"/>
      <c r="H227" s="93"/>
      <c r="I227" s="750"/>
      <c r="J227" s="750"/>
    </row>
    <row r="228" spans="1:10" x14ac:dyDescent="0.35">
      <c r="A228" s="92"/>
      <c r="F228" s="726"/>
      <c r="G228" s="735"/>
      <c r="H228" s="93"/>
      <c r="I228" s="750"/>
      <c r="J228" s="750"/>
    </row>
    <row r="229" spans="1:10" x14ac:dyDescent="0.35">
      <c r="A229" s="92"/>
      <c r="F229" s="726"/>
      <c r="G229" s="735"/>
      <c r="H229" s="93"/>
      <c r="I229" s="750"/>
      <c r="J229" s="750"/>
    </row>
    <row r="230" spans="1:10" x14ac:dyDescent="0.35">
      <c r="A230" s="92"/>
      <c r="F230" s="726"/>
      <c r="G230" s="735"/>
      <c r="H230" s="93"/>
      <c r="I230" s="750"/>
      <c r="J230" s="750"/>
    </row>
    <row r="231" spans="1:10" x14ac:dyDescent="0.35">
      <c r="A231" s="92"/>
      <c r="F231" s="726"/>
      <c r="G231" s="735"/>
      <c r="H231" s="93"/>
      <c r="I231" s="750"/>
      <c r="J231" s="750"/>
    </row>
    <row r="232" spans="1:10" x14ac:dyDescent="0.35">
      <c r="A232" s="92"/>
      <c r="F232" s="726"/>
      <c r="G232" s="735"/>
      <c r="H232" s="93"/>
      <c r="I232" s="750"/>
      <c r="J232" s="750"/>
    </row>
    <row r="233" spans="1:10" x14ac:dyDescent="0.35">
      <c r="A233" s="92"/>
      <c r="F233" s="726"/>
      <c r="G233" s="735"/>
      <c r="H233" s="93"/>
      <c r="I233" s="750"/>
      <c r="J233" s="750"/>
    </row>
    <row r="234" spans="1:10" x14ac:dyDescent="0.35">
      <c r="A234" s="92"/>
      <c r="F234" s="726"/>
      <c r="G234" s="735"/>
      <c r="H234" s="93"/>
      <c r="I234" s="750"/>
      <c r="J234" s="750"/>
    </row>
    <row r="235" spans="1:10" x14ac:dyDescent="0.35">
      <c r="A235" s="92"/>
      <c r="F235" s="726"/>
      <c r="G235" s="735"/>
      <c r="H235" s="93"/>
      <c r="I235" s="750"/>
      <c r="J235" s="750"/>
    </row>
    <row r="236" spans="1:10" x14ac:dyDescent="0.35">
      <c r="A236" s="92"/>
      <c r="F236" s="726"/>
      <c r="G236" s="735"/>
      <c r="H236" s="93"/>
      <c r="I236" s="750"/>
      <c r="J236" s="750"/>
    </row>
    <row r="237" spans="1:10" x14ac:dyDescent="0.35">
      <c r="A237" s="92"/>
      <c r="F237" s="726"/>
      <c r="G237" s="735"/>
      <c r="H237" s="93"/>
      <c r="I237" s="750"/>
      <c r="J237" s="750"/>
    </row>
    <row r="238" spans="1:10" x14ac:dyDescent="0.35">
      <c r="A238" s="92"/>
      <c r="F238" s="726"/>
      <c r="G238" s="735"/>
      <c r="H238" s="93"/>
      <c r="I238" s="750"/>
      <c r="J238" s="750"/>
    </row>
    <row r="239" spans="1:10" x14ac:dyDescent="0.35">
      <c r="A239" s="92"/>
      <c r="F239" s="726"/>
      <c r="G239" s="735"/>
      <c r="H239" s="93"/>
      <c r="I239" s="750"/>
      <c r="J239" s="750"/>
    </row>
    <row r="240" spans="1:10" x14ac:dyDescent="0.35">
      <c r="A240" s="92"/>
      <c r="F240" s="726"/>
      <c r="G240" s="735"/>
      <c r="H240" s="93"/>
      <c r="I240" s="750"/>
      <c r="J240" s="750"/>
    </row>
    <row r="241" spans="1:10" x14ac:dyDescent="0.35">
      <c r="A241" s="92"/>
      <c r="F241" s="726"/>
      <c r="G241" s="735"/>
      <c r="H241" s="93"/>
      <c r="I241" s="750"/>
      <c r="J241" s="750"/>
    </row>
    <row r="242" spans="1:10" x14ac:dyDescent="0.35">
      <c r="A242" s="92"/>
      <c r="F242" s="726"/>
      <c r="G242" s="735"/>
      <c r="H242" s="93"/>
      <c r="I242" s="750"/>
      <c r="J242" s="750"/>
    </row>
    <row r="243" spans="1:10" x14ac:dyDescent="0.35">
      <c r="A243" s="92"/>
      <c r="F243" s="726"/>
      <c r="G243" s="735"/>
      <c r="H243" s="93"/>
      <c r="I243" s="750"/>
      <c r="J243" s="750"/>
    </row>
    <row r="244" spans="1:10" x14ac:dyDescent="0.35">
      <c r="A244" s="92"/>
      <c r="F244" s="726"/>
      <c r="G244" s="735"/>
      <c r="H244" s="93"/>
      <c r="I244" s="750"/>
      <c r="J244" s="750"/>
    </row>
    <row r="245" spans="1:10" x14ac:dyDescent="0.35">
      <c r="A245" s="92"/>
      <c r="F245" s="726"/>
      <c r="G245" s="735"/>
      <c r="H245" s="93"/>
      <c r="I245" s="750"/>
      <c r="J245" s="750"/>
    </row>
    <row r="246" spans="1:10" x14ac:dyDescent="0.35">
      <c r="A246" s="92"/>
      <c r="F246" s="726"/>
      <c r="G246" s="735"/>
      <c r="H246" s="93"/>
      <c r="I246" s="750"/>
      <c r="J246" s="750"/>
    </row>
    <row r="247" spans="1:10" x14ac:dyDescent="0.35">
      <c r="A247" s="92"/>
      <c r="F247" s="726"/>
      <c r="G247" s="735"/>
      <c r="H247" s="93"/>
      <c r="I247" s="750"/>
      <c r="J247" s="750"/>
    </row>
    <row r="248" spans="1:10" x14ac:dyDescent="0.35">
      <c r="A248" s="92"/>
      <c r="F248" s="726"/>
      <c r="G248" s="735"/>
      <c r="H248" s="93"/>
      <c r="I248" s="750"/>
      <c r="J248" s="750"/>
    </row>
    <row r="249" spans="1:10" x14ac:dyDescent="0.35">
      <c r="A249" s="92"/>
      <c r="F249" s="726"/>
      <c r="G249" s="735"/>
      <c r="H249" s="93"/>
      <c r="I249" s="750"/>
      <c r="J249" s="750"/>
    </row>
    <row r="250" spans="1:10" x14ac:dyDescent="0.35">
      <c r="A250" s="92"/>
      <c r="F250" s="726"/>
      <c r="G250" s="735"/>
      <c r="H250" s="93"/>
      <c r="I250" s="750"/>
      <c r="J250" s="750"/>
    </row>
    <row r="251" spans="1:10" x14ac:dyDescent="0.35">
      <c r="A251" s="92"/>
      <c r="F251" s="726"/>
      <c r="G251" s="735"/>
      <c r="H251" s="93"/>
      <c r="I251" s="750"/>
      <c r="J251" s="750"/>
    </row>
    <row r="252" spans="1:10" x14ac:dyDescent="0.35">
      <c r="A252" s="92"/>
      <c r="F252" s="726"/>
      <c r="G252" s="735"/>
      <c r="H252" s="93"/>
      <c r="I252" s="750"/>
      <c r="J252" s="750"/>
    </row>
    <row r="253" spans="1:10" x14ac:dyDescent="0.35">
      <c r="A253" s="92"/>
      <c r="F253" s="726"/>
      <c r="G253" s="735"/>
      <c r="H253" s="93"/>
      <c r="I253" s="750"/>
      <c r="J253" s="750"/>
    </row>
    <row r="254" spans="1:10" x14ac:dyDescent="0.35">
      <c r="A254" s="92"/>
      <c r="F254" s="726"/>
      <c r="G254" s="735"/>
      <c r="H254" s="93"/>
      <c r="I254" s="750"/>
      <c r="J254" s="750"/>
    </row>
    <row r="255" spans="1:10" x14ac:dyDescent="0.35">
      <c r="A255" s="92"/>
      <c r="F255" s="726"/>
      <c r="G255" s="735"/>
      <c r="H255" s="93"/>
      <c r="I255" s="750"/>
      <c r="J255" s="750"/>
    </row>
    <row r="256" spans="1:10" x14ac:dyDescent="0.35">
      <c r="A256" s="92"/>
      <c r="F256" s="726"/>
      <c r="G256" s="735"/>
      <c r="H256" s="93"/>
      <c r="I256" s="750"/>
      <c r="J256" s="750"/>
    </row>
    <row r="257" spans="1:10" x14ac:dyDescent="0.35">
      <c r="A257" s="92"/>
      <c r="F257" s="726"/>
      <c r="G257" s="735"/>
      <c r="H257" s="93"/>
      <c r="I257" s="750"/>
      <c r="J257" s="750"/>
    </row>
    <row r="258" spans="1:10" x14ac:dyDescent="0.35">
      <c r="A258" s="92"/>
      <c r="F258" s="726"/>
      <c r="G258" s="735"/>
      <c r="H258" s="93"/>
      <c r="I258" s="750"/>
      <c r="J258" s="750"/>
    </row>
    <row r="259" spans="1:10" x14ac:dyDescent="0.35">
      <c r="A259" s="92"/>
      <c r="F259" s="726"/>
      <c r="G259" s="735"/>
      <c r="H259" s="93"/>
      <c r="I259" s="750"/>
      <c r="J259" s="750"/>
    </row>
    <row r="260" spans="1:10" x14ac:dyDescent="0.35">
      <c r="A260" s="92"/>
      <c r="F260" s="726"/>
      <c r="G260" s="735"/>
      <c r="H260" s="93"/>
      <c r="I260" s="750"/>
      <c r="J260" s="750"/>
    </row>
    <row r="261" spans="1:10" x14ac:dyDescent="0.35">
      <c r="A261" s="92"/>
      <c r="F261" s="726"/>
      <c r="G261" s="735"/>
      <c r="H261" s="93"/>
      <c r="I261" s="750"/>
      <c r="J261" s="750"/>
    </row>
    <row r="262" spans="1:10" x14ac:dyDescent="0.35">
      <c r="A262" s="92"/>
      <c r="F262" s="726"/>
      <c r="G262" s="735"/>
      <c r="H262" s="93"/>
      <c r="I262" s="750"/>
      <c r="J262" s="750"/>
    </row>
    <row r="263" spans="1:10" x14ac:dyDescent="0.35">
      <c r="A263" s="92"/>
      <c r="F263" s="726"/>
      <c r="G263" s="735"/>
      <c r="H263" s="93"/>
      <c r="I263" s="750"/>
      <c r="J263" s="750"/>
    </row>
    <row r="264" spans="1:10" x14ac:dyDescent="0.35">
      <c r="A264" s="92"/>
      <c r="F264" s="726"/>
      <c r="G264" s="735"/>
      <c r="H264" s="93"/>
      <c r="I264" s="750"/>
      <c r="J264" s="750"/>
    </row>
    <row r="265" spans="1:10" x14ac:dyDescent="0.35">
      <c r="A265" s="92"/>
      <c r="F265" s="726"/>
      <c r="G265" s="735"/>
      <c r="H265" s="93"/>
      <c r="I265" s="750"/>
      <c r="J265" s="750"/>
    </row>
    <row r="266" spans="1:10" x14ac:dyDescent="0.35">
      <c r="A266" s="92"/>
      <c r="F266" s="726"/>
      <c r="G266" s="735"/>
      <c r="H266" s="93"/>
      <c r="I266" s="750"/>
      <c r="J266" s="750"/>
    </row>
    <row r="267" spans="1:10" x14ac:dyDescent="0.35">
      <c r="A267" s="92"/>
      <c r="F267" s="726"/>
      <c r="G267" s="735"/>
      <c r="H267" s="93"/>
      <c r="I267" s="750"/>
      <c r="J267" s="750"/>
    </row>
    <row r="268" spans="1:10" x14ac:dyDescent="0.35">
      <c r="A268" s="92"/>
      <c r="F268" s="726"/>
      <c r="G268" s="735"/>
      <c r="H268" s="93"/>
      <c r="I268" s="750"/>
      <c r="J268" s="750"/>
    </row>
    <row r="269" spans="1:10" x14ac:dyDescent="0.35">
      <c r="A269" s="92"/>
      <c r="F269" s="726"/>
      <c r="G269" s="735"/>
      <c r="H269" s="93"/>
      <c r="I269" s="750"/>
      <c r="J269" s="750"/>
    </row>
    <row r="270" spans="1:10" x14ac:dyDescent="0.35">
      <c r="A270" s="92"/>
      <c r="F270" s="726"/>
      <c r="G270" s="735"/>
      <c r="H270" s="93"/>
      <c r="I270" s="750"/>
      <c r="J270" s="750"/>
    </row>
    <row r="271" spans="1:10" x14ac:dyDescent="0.35">
      <c r="A271" s="92"/>
      <c r="F271" s="726"/>
      <c r="G271" s="735"/>
      <c r="H271" s="93"/>
      <c r="I271" s="750"/>
      <c r="J271" s="750"/>
    </row>
    <row r="272" spans="1:10" x14ac:dyDescent="0.35">
      <c r="A272" s="92"/>
      <c r="F272" s="726"/>
      <c r="G272" s="735"/>
      <c r="H272" s="93"/>
      <c r="I272" s="750"/>
      <c r="J272" s="750"/>
    </row>
    <row r="273" spans="1:10" x14ac:dyDescent="0.35">
      <c r="A273" s="92"/>
      <c r="F273" s="726"/>
      <c r="G273" s="735"/>
      <c r="H273" s="93"/>
      <c r="I273" s="750"/>
      <c r="J273" s="750"/>
    </row>
    <row r="274" spans="1:10" x14ac:dyDescent="0.35">
      <c r="A274" s="92"/>
      <c r="F274" s="726"/>
      <c r="G274" s="735"/>
      <c r="H274" s="93"/>
      <c r="I274" s="750"/>
      <c r="J274" s="750"/>
    </row>
    <row r="275" spans="1:10" x14ac:dyDescent="0.35">
      <c r="A275" s="92"/>
      <c r="F275" s="726"/>
      <c r="G275" s="735"/>
      <c r="H275" s="93"/>
      <c r="I275" s="750"/>
      <c r="J275" s="750"/>
    </row>
    <row r="276" spans="1:10" x14ac:dyDescent="0.35">
      <c r="A276" s="92"/>
      <c r="F276" s="726"/>
      <c r="G276" s="735"/>
      <c r="H276" s="93"/>
      <c r="I276" s="750"/>
      <c r="J276" s="750"/>
    </row>
    <row r="277" spans="1:10" x14ac:dyDescent="0.35">
      <c r="A277" s="92"/>
      <c r="F277" s="726"/>
      <c r="G277" s="735"/>
      <c r="H277" s="93"/>
      <c r="I277" s="750"/>
      <c r="J277" s="750"/>
    </row>
    <row r="278" spans="1:10" x14ac:dyDescent="0.35">
      <c r="A278" s="92"/>
      <c r="F278" s="726"/>
      <c r="G278" s="735"/>
      <c r="H278" s="93"/>
      <c r="I278" s="750"/>
      <c r="J278" s="750"/>
    </row>
    <row r="279" spans="1:10" x14ac:dyDescent="0.35">
      <c r="A279" s="92"/>
      <c r="F279" s="726"/>
      <c r="G279" s="735"/>
      <c r="H279" s="93"/>
      <c r="I279" s="750"/>
      <c r="J279" s="750"/>
    </row>
    <row r="280" spans="1:10" x14ac:dyDescent="0.35">
      <c r="A280" s="92"/>
      <c r="F280" s="726"/>
      <c r="G280" s="735"/>
      <c r="H280" s="93"/>
      <c r="I280" s="750"/>
      <c r="J280" s="750"/>
    </row>
    <row r="281" spans="1:10" x14ac:dyDescent="0.35">
      <c r="A281" s="92"/>
      <c r="F281" s="726"/>
      <c r="G281" s="735"/>
      <c r="H281" s="93"/>
      <c r="I281" s="750"/>
      <c r="J281" s="750"/>
    </row>
    <row r="282" spans="1:10" x14ac:dyDescent="0.35">
      <c r="A282" s="92"/>
      <c r="F282" s="726"/>
      <c r="G282" s="735"/>
      <c r="H282" s="93"/>
      <c r="I282" s="750"/>
      <c r="J282" s="750"/>
    </row>
    <row r="283" spans="1:10" x14ac:dyDescent="0.35">
      <c r="A283" s="92"/>
      <c r="F283" s="726"/>
      <c r="G283" s="735"/>
      <c r="H283" s="93"/>
      <c r="I283" s="750"/>
      <c r="J283" s="750"/>
    </row>
    <row r="284" spans="1:10" x14ac:dyDescent="0.35">
      <c r="A284" s="92"/>
      <c r="F284" s="726"/>
      <c r="G284" s="735"/>
      <c r="H284" s="93"/>
      <c r="I284" s="750"/>
      <c r="J284" s="750"/>
    </row>
    <row r="285" spans="1:10" x14ac:dyDescent="0.35">
      <c r="A285" s="92"/>
      <c r="F285" s="726"/>
      <c r="G285" s="735"/>
      <c r="H285" s="93"/>
      <c r="I285" s="750"/>
      <c r="J285" s="750"/>
    </row>
    <row r="286" spans="1:10" x14ac:dyDescent="0.35">
      <c r="A286" s="92"/>
      <c r="F286" s="726"/>
      <c r="G286" s="735"/>
      <c r="H286" s="93"/>
      <c r="I286" s="750"/>
      <c r="J286" s="750"/>
    </row>
    <row r="287" spans="1:10" x14ac:dyDescent="0.35">
      <c r="A287" s="92"/>
      <c r="F287" s="726"/>
      <c r="G287" s="735"/>
      <c r="H287" s="93"/>
      <c r="I287" s="750"/>
      <c r="J287" s="750"/>
    </row>
    <row r="288" spans="1:10" x14ac:dyDescent="0.35">
      <c r="A288" s="92"/>
      <c r="F288" s="726"/>
      <c r="G288" s="735"/>
      <c r="H288" s="93"/>
      <c r="I288" s="750"/>
      <c r="J288" s="750"/>
    </row>
    <row r="289" spans="1:10" x14ac:dyDescent="0.35">
      <c r="A289" s="92"/>
      <c r="F289" s="726"/>
      <c r="G289" s="735"/>
      <c r="H289" s="93"/>
      <c r="I289" s="750"/>
      <c r="J289" s="750"/>
    </row>
    <row r="290" spans="1:10" x14ac:dyDescent="0.35">
      <c r="A290" s="92"/>
      <c r="F290" s="726"/>
      <c r="G290" s="735"/>
      <c r="H290" s="93"/>
      <c r="I290" s="750"/>
      <c r="J290" s="750"/>
    </row>
    <row r="291" spans="1:10" x14ac:dyDescent="0.35">
      <c r="A291" s="92"/>
      <c r="F291" s="726"/>
      <c r="G291" s="735"/>
      <c r="H291" s="93"/>
      <c r="I291" s="750"/>
      <c r="J291" s="750"/>
    </row>
    <row r="292" spans="1:10" x14ac:dyDescent="0.35">
      <c r="A292" s="92"/>
      <c r="F292" s="726"/>
      <c r="G292" s="735"/>
      <c r="H292" s="93"/>
      <c r="I292" s="750"/>
      <c r="J292" s="750"/>
    </row>
    <row r="293" spans="1:10" x14ac:dyDescent="0.35">
      <c r="A293" s="92"/>
      <c r="F293" s="726"/>
      <c r="G293" s="735"/>
      <c r="H293" s="93"/>
      <c r="I293" s="750"/>
      <c r="J293" s="750"/>
    </row>
    <row r="294" spans="1:10" x14ac:dyDescent="0.35">
      <c r="A294" s="92"/>
      <c r="F294" s="726"/>
      <c r="G294" s="735"/>
      <c r="H294" s="93"/>
      <c r="I294" s="750"/>
      <c r="J294" s="750"/>
    </row>
    <row r="295" spans="1:10" x14ac:dyDescent="0.35">
      <c r="A295" s="92"/>
      <c r="F295" s="726"/>
      <c r="G295" s="735"/>
      <c r="H295" s="93"/>
      <c r="I295" s="750"/>
      <c r="J295" s="750"/>
    </row>
    <row r="296" spans="1:10" x14ac:dyDescent="0.35">
      <c r="A296" s="92"/>
      <c r="F296" s="726"/>
      <c r="G296" s="735"/>
      <c r="H296" s="93"/>
      <c r="I296" s="750"/>
      <c r="J296" s="750"/>
    </row>
    <row r="297" spans="1:10" x14ac:dyDescent="0.35">
      <c r="A297" s="92"/>
      <c r="F297" s="726"/>
      <c r="G297" s="735"/>
      <c r="H297" s="93"/>
      <c r="I297" s="750"/>
      <c r="J297" s="750"/>
    </row>
    <row r="298" spans="1:10" x14ac:dyDescent="0.35">
      <c r="A298" s="92"/>
      <c r="F298" s="726"/>
      <c r="G298" s="735"/>
      <c r="H298" s="93"/>
      <c r="I298" s="750"/>
      <c r="J298" s="750"/>
    </row>
    <row r="299" spans="1:10" x14ac:dyDescent="0.35">
      <c r="A299" s="92"/>
      <c r="F299" s="726"/>
      <c r="G299" s="735"/>
      <c r="H299" s="93"/>
      <c r="I299" s="750"/>
      <c r="J299" s="750"/>
    </row>
    <row r="300" spans="1:10" x14ac:dyDescent="0.35">
      <c r="A300" s="92"/>
      <c r="F300" s="726"/>
      <c r="G300" s="735"/>
      <c r="H300" s="93"/>
      <c r="I300" s="750"/>
      <c r="J300" s="750"/>
    </row>
    <row r="301" spans="1:10" x14ac:dyDescent="0.35">
      <c r="A301" s="92"/>
      <c r="F301" s="726"/>
      <c r="G301" s="735"/>
      <c r="H301" s="93"/>
      <c r="I301" s="750"/>
      <c r="J301" s="750"/>
    </row>
    <row r="302" spans="1:10" x14ac:dyDescent="0.35">
      <c r="A302" s="92"/>
      <c r="F302" s="726"/>
      <c r="G302" s="735"/>
      <c r="H302" s="93"/>
      <c r="I302" s="750"/>
      <c r="J302" s="750"/>
    </row>
    <row r="303" spans="1:10" x14ac:dyDescent="0.35">
      <c r="A303" s="92"/>
      <c r="F303" s="726"/>
      <c r="G303" s="735"/>
      <c r="H303" s="93"/>
      <c r="I303" s="750"/>
      <c r="J303" s="750"/>
    </row>
    <row r="304" spans="1:10" x14ac:dyDescent="0.35">
      <c r="A304" s="92"/>
      <c r="F304" s="726"/>
      <c r="G304" s="735"/>
      <c r="H304" s="93"/>
      <c r="I304" s="750"/>
      <c r="J304" s="750"/>
    </row>
    <row r="305" spans="1:10" x14ac:dyDescent="0.35">
      <c r="A305" s="92"/>
      <c r="F305" s="726"/>
      <c r="G305" s="735"/>
      <c r="H305" s="93"/>
      <c r="I305" s="750"/>
      <c r="J305" s="750"/>
    </row>
    <row r="306" spans="1:10" x14ac:dyDescent="0.35">
      <c r="A306" s="92"/>
      <c r="F306" s="726"/>
      <c r="G306" s="735"/>
      <c r="H306" s="93"/>
      <c r="I306" s="750"/>
      <c r="J306" s="750"/>
    </row>
    <row r="307" spans="1:10" x14ac:dyDescent="0.35">
      <c r="A307" s="92"/>
      <c r="F307" s="726"/>
      <c r="G307" s="735"/>
      <c r="H307" s="93"/>
      <c r="I307" s="750"/>
      <c r="J307" s="750"/>
    </row>
    <row r="308" spans="1:10" x14ac:dyDescent="0.35">
      <c r="A308" s="92"/>
      <c r="F308" s="726"/>
      <c r="G308" s="735"/>
      <c r="H308" s="93"/>
      <c r="I308" s="750"/>
      <c r="J308" s="750"/>
    </row>
    <row r="309" spans="1:10" x14ac:dyDescent="0.35">
      <c r="A309" s="92"/>
      <c r="F309" s="726"/>
      <c r="G309" s="735"/>
      <c r="H309" s="93"/>
      <c r="I309" s="750"/>
      <c r="J309" s="750"/>
    </row>
    <row r="310" spans="1:10" x14ac:dyDescent="0.35">
      <c r="A310" s="92"/>
      <c r="F310" s="726"/>
      <c r="G310" s="735"/>
      <c r="H310" s="93"/>
      <c r="I310" s="750"/>
      <c r="J310" s="750"/>
    </row>
    <row r="311" spans="1:10" x14ac:dyDescent="0.35">
      <c r="A311" s="92"/>
      <c r="F311" s="726"/>
      <c r="G311" s="735"/>
      <c r="H311" s="93"/>
      <c r="I311" s="750"/>
      <c r="J311" s="750"/>
    </row>
    <row r="312" spans="1:10" x14ac:dyDescent="0.35">
      <c r="A312" s="92"/>
      <c r="F312" s="726"/>
      <c r="G312" s="735"/>
      <c r="H312" s="93"/>
      <c r="I312" s="750"/>
      <c r="J312" s="750"/>
    </row>
    <row r="313" spans="1:10" x14ac:dyDescent="0.35">
      <c r="A313" s="92"/>
      <c r="F313" s="726"/>
      <c r="G313" s="735"/>
      <c r="H313" s="93"/>
      <c r="I313" s="750"/>
      <c r="J313" s="750"/>
    </row>
    <row r="314" spans="1:10" x14ac:dyDescent="0.35">
      <c r="A314" s="92"/>
      <c r="F314" s="726"/>
      <c r="G314" s="735"/>
      <c r="H314" s="93"/>
      <c r="I314" s="750"/>
      <c r="J314" s="750"/>
    </row>
    <row r="315" spans="1:10" x14ac:dyDescent="0.35">
      <c r="A315" s="92"/>
      <c r="F315" s="726"/>
      <c r="G315" s="735"/>
      <c r="H315" s="93"/>
      <c r="I315" s="750"/>
      <c r="J315" s="750"/>
    </row>
    <row r="316" spans="1:10" x14ac:dyDescent="0.35">
      <c r="A316" s="92"/>
      <c r="F316" s="726"/>
      <c r="G316" s="735"/>
      <c r="H316" s="93"/>
      <c r="I316" s="750"/>
      <c r="J316" s="750"/>
    </row>
    <row r="317" spans="1:10" x14ac:dyDescent="0.35">
      <c r="A317" s="92"/>
      <c r="F317" s="726"/>
      <c r="G317" s="735"/>
      <c r="H317" s="93"/>
      <c r="I317" s="750"/>
      <c r="J317" s="750"/>
    </row>
    <row r="318" spans="1:10" x14ac:dyDescent="0.35">
      <c r="A318" s="92"/>
      <c r="F318" s="726"/>
      <c r="G318" s="735"/>
      <c r="H318" s="93"/>
      <c r="I318" s="750"/>
      <c r="J318" s="750"/>
    </row>
    <row r="319" spans="1:10" x14ac:dyDescent="0.35">
      <c r="A319" s="92"/>
      <c r="F319" s="726"/>
      <c r="G319" s="735"/>
      <c r="H319" s="93"/>
      <c r="I319" s="750"/>
      <c r="J319" s="750"/>
    </row>
    <row r="320" spans="1:10" x14ac:dyDescent="0.35">
      <c r="A320" s="92"/>
      <c r="F320" s="726"/>
      <c r="G320" s="735"/>
      <c r="H320" s="93"/>
      <c r="I320" s="750"/>
      <c r="J320" s="750"/>
    </row>
    <row r="321" spans="1:10" x14ac:dyDescent="0.35">
      <c r="A321" s="92"/>
      <c r="F321" s="726"/>
      <c r="G321" s="735"/>
      <c r="H321" s="93"/>
      <c r="I321" s="750"/>
      <c r="J321" s="750"/>
    </row>
    <row r="322" spans="1:10" x14ac:dyDescent="0.35">
      <c r="A322" s="92"/>
      <c r="F322" s="726"/>
      <c r="G322" s="735"/>
      <c r="H322" s="93"/>
      <c r="I322" s="750"/>
      <c r="J322" s="750"/>
    </row>
    <row r="323" spans="1:10" x14ac:dyDescent="0.35">
      <c r="A323" s="92"/>
      <c r="F323" s="726"/>
      <c r="G323" s="735"/>
      <c r="H323" s="93"/>
      <c r="I323" s="750"/>
      <c r="J323" s="750"/>
    </row>
    <row r="324" spans="1:10" x14ac:dyDescent="0.35">
      <c r="A324" s="92"/>
      <c r="F324" s="726"/>
      <c r="G324" s="735"/>
      <c r="H324" s="93"/>
      <c r="I324" s="750"/>
      <c r="J324" s="750"/>
    </row>
    <row r="325" spans="1:10" x14ac:dyDescent="0.35">
      <c r="A325" s="92"/>
      <c r="F325" s="726"/>
      <c r="G325" s="735"/>
      <c r="H325" s="93"/>
      <c r="I325" s="750"/>
      <c r="J325" s="750"/>
    </row>
    <row r="326" spans="1:10" x14ac:dyDescent="0.35">
      <c r="A326" s="92"/>
      <c r="F326" s="726"/>
      <c r="G326" s="735"/>
      <c r="H326" s="93"/>
      <c r="I326" s="750"/>
      <c r="J326" s="750"/>
    </row>
    <row r="327" spans="1:10" x14ac:dyDescent="0.35">
      <c r="A327" s="92"/>
      <c r="F327" s="726"/>
      <c r="G327" s="735"/>
      <c r="H327" s="93"/>
      <c r="I327" s="750"/>
      <c r="J327" s="750"/>
    </row>
    <row r="328" spans="1:10" x14ac:dyDescent="0.35">
      <c r="A328" s="92"/>
      <c r="F328" s="726"/>
      <c r="G328" s="735"/>
      <c r="H328" s="93"/>
      <c r="I328" s="750"/>
      <c r="J328" s="750"/>
    </row>
    <row r="329" spans="1:10" x14ac:dyDescent="0.35">
      <c r="A329" s="92"/>
      <c r="F329" s="726"/>
      <c r="G329" s="735"/>
      <c r="H329" s="93"/>
      <c r="I329" s="750"/>
      <c r="J329" s="750"/>
    </row>
    <row r="330" spans="1:10" x14ac:dyDescent="0.35">
      <c r="A330" s="92"/>
      <c r="F330" s="726"/>
      <c r="G330" s="735"/>
      <c r="H330" s="93"/>
      <c r="I330" s="750"/>
      <c r="J330" s="750"/>
    </row>
    <row r="331" spans="1:10" x14ac:dyDescent="0.35">
      <c r="A331" s="92"/>
      <c r="F331" s="726"/>
      <c r="G331" s="735"/>
      <c r="H331" s="93"/>
      <c r="I331" s="750"/>
      <c r="J331" s="750"/>
    </row>
    <row r="332" spans="1:10" x14ac:dyDescent="0.35">
      <c r="A332" s="92"/>
      <c r="F332" s="726"/>
      <c r="G332" s="735"/>
      <c r="H332" s="93"/>
      <c r="I332" s="750"/>
      <c r="J332" s="750"/>
    </row>
    <row r="333" spans="1:10" x14ac:dyDescent="0.35">
      <c r="A333" s="92"/>
      <c r="F333" s="726"/>
      <c r="G333" s="735"/>
      <c r="H333" s="93"/>
      <c r="I333" s="750"/>
      <c r="J333" s="750"/>
    </row>
    <row r="334" spans="1:10" x14ac:dyDescent="0.35">
      <c r="A334" s="92"/>
      <c r="F334" s="726"/>
      <c r="G334" s="735"/>
      <c r="H334" s="93"/>
      <c r="I334" s="750"/>
      <c r="J334" s="750"/>
    </row>
    <row r="335" spans="1:10" x14ac:dyDescent="0.35">
      <c r="A335" s="92"/>
      <c r="F335" s="726"/>
      <c r="G335" s="735"/>
      <c r="H335" s="93"/>
      <c r="I335" s="750"/>
      <c r="J335" s="750"/>
    </row>
    <row r="336" spans="1:10" x14ac:dyDescent="0.35">
      <c r="A336" s="92"/>
      <c r="F336" s="726"/>
      <c r="G336" s="735"/>
      <c r="H336" s="93"/>
      <c r="I336" s="750"/>
      <c r="J336" s="750"/>
    </row>
    <row r="337" spans="1:10" x14ac:dyDescent="0.35">
      <c r="A337" s="92"/>
      <c r="F337" s="726"/>
      <c r="G337" s="735"/>
      <c r="H337" s="93"/>
      <c r="I337" s="750"/>
      <c r="J337" s="750"/>
    </row>
    <row r="338" spans="1:10" x14ac:dyDescent="0.35">
      <c r="A338" s="92"/>
      <c r="F338" s="726"/>
      <c r="G338" s="735"/>
      <c r="H338" s="93"/>
      <c r="I338" s="750"/>
      <c r="J338" s="750"/>
    </row>
    <row r="339" spans="1:10" x14ac:dyDescent="0.35">
      <c r="A339" s="92"/>
      <c r="F339" s="726"/>
      <c r="G339" s="735"/>
      <c r="H339" s="93"/>
      <c r="I339" s="750"/>
      <c r="J339" s="750"/>
    </row>
    <row r="340" spans="1:10" x14ac:dyDescent="0.35">
      <c r="A340" s="92"/>
      <c r="F340" s="726"/>
      <c r="G340" s="735"/>
      <c r="H340" s="93"/>
      <c r="I340" s="750"/>
      <c r="J340" s="750"/>
    </row>
    <row r="341" spans="1:10" x14ac:dyDescent="0.35">
      <c r="A341" s="92"/>
      <c r="F341" s="726"/>
      <c r="G341" s="735"/>
      <c r="H341" s="93"/>
      <c r="I341" s="750"/>
      <c r="J341" s="750"/>
    </row>
    <row r="342" spans="1:10" x14ac:dyDescent="0.35">
      <c r="A342" s="92"/>
      <c r="F342" s="726"/>
      <c r="G342" s="735"/>
      <c r="H342" s="93"/>
      <c r="I342" s="750"/>
      <c r="J342" s="750"/>
    </row>
    <row r="343" spans="1:10" x14ac:dyDescent="0.35">
      <c r="A343" s="92"/>
      <c r="F343" s="726"/>
      <c r="G343" s="735"/>
      <c r="H343" s="93"/>
      <c r="I343" s="750"/>
      <c r="J343" s="750"/>
    </row>
    <row r="344" spans="1:10" x14ac:dyDescent="0.35">
      <c r="A344" s="92"/>
      <c r="F344" s="726"/>
      <c r="G344" s="735"/>
      <c r="H344" s="93"/>
      <c r="I344" s="750"/>
      <c r="J344" s="750"/>
    </row>
    <row r="345" spans="1:10" x14ac:dyDescent="0.35">
      <c r="A345" s="92"/>
      <c r="F345" s="726"/>
      <c r="G345" s="735"/>
      <c r="H345" s="93"/>
      <c r="I345" s="750"/>
      <c r="J345" s="750"/>
    </row>
    <row r="346" spans="1:10" x14ac:dyDescent="0.35">
      <c r="A346" s="92"/>
      <c r="F346" s="726"/>
      <c r="G346" s="735"/>
      <c r="H346" s="93"/>
      <c r="I346" s="750"/>
      <c r="J346" s="750"/>
    </row>
    <row r="347" spans="1:10" x14ac:dyDescent="0.35">
      <c r="A347" s="92"/>
      <c r="F347" s="726"/>
      <c r="G347" s="735"/>
      <c r="H347" s="93"/>
      <c r="I347" s="750"/>
      <c r="J347" s="750"/>
    </row>
    <row r="348" spans="1:10" x14ac:dyDescent="0.35">
      <c r="A348" s="92"/>
      <c r="F348" s="726"/>
      <c r="G348" s="735"/>
      <c r="H348" s="93"/>
      <c r="I348" s="750"/>
      <c r="J348" s="750"/>
    </row>
    <row r="349" spans="1:10" x14ac:dyDescent="0.35">
      <c r="A349" s="92"/>
      <c r="F349" s="726"/>
      <c r="G349" s="735"/>
      <c r="H349" s="93"/>
      <c r="I349" s="750"/>
      <c r="J349" s="750"/>
    </row>
    <row r="350" spans="1:10" x14ac:dyDescent="0.35">
      <c r="A350" s="92"/>
      <c r="F350" s="726"/>
      <c r="G350" s="735"/>
      <c r="H350" s="93"/>
      <c r="I350" s="750"/>
      <c r="J350" s="750"/>
    </row>
    <row r="351" spans="1:10" x14ac:dyDescent="0.35">
      <c r="A351" s="92"/>
      <c r="F351" s="726"/>
      <c r="G351" s="735"/>
      <c r="H351" s="93"/>
      <c r="I351" s="750"/>
      <c r="J351" s="750"/>
    </row>
    <row r="352" spans="1:10" x14ac:dyDescent="0.35">
      <c r="A352" s="92"/>
      <c r="F352" s="726"/>
      <c r="G352" s="735"/>
      <c r="H352" s="93"/>
      <c r="I352" s="750"/>
      <c r="J352" s="750"/>
    </row>
    <row r="353" spans="1:10" x14ac:dyDescent="0.35">
      <c r="A353" s="92"/>
      <c r="F353" s="726"/>
      <c r="G353" s="735"/>
      <c r="H353" s="93"/>
      <c r="I353" s="750"/>
      <c r="J353" s="750"/>
    </row>
    <row r="354" spans="1:10" x14ac:dyDescent="0.35">
      <c r="A354" s="92"/>
      <c r="F354" s="726"/>
      <c r="G354" s="735"/>
      <c r="H354" s="93"/>
      <c r="I354" s="750"/>
      <c r="J354" s="750"/>
    </row>
    <row r="355" spans="1:10" x14ac:dyDescent="0.35">
      <c r="A355" s="92"/>
      <c r="F355" s="726"/>
      <c r="G355" s="735"/>
      <c r="H355" s="93"/>
      <c r="I355" s="750"/>
      <c r="J355" s="750"/>
    </row>
    <row r="356" spans="1:10" x14ac:dyDescent="0.35">
      <c r="A356" s="92"/>
      <c r="F356" s="726"/>
      <c r="G356" s="735"/>
      <c r="H356" s="93"/>
      <c r="I356" s="750"/>
      <c r="J356" s="750"/>
    </row>
    <row r="357" spans="1:10" x14ac:dyDescent="0.35">
      <c r="A357" s="92"/>
      <c r="F357" s="726"/>
      <c r="G357" s="735"/>
      <c r="H357" s="93"/>
      <c r="I357" s="750"/>
      <c r="J357" s="750"/>
    </row>
    <row r="358" spans="1:10" x14ac:dyDescent="0.35">
      <c r="A358" s="92"/>
      <c r="F358" s="726"/>
      <c r="G358" s="735"/>
      <c r="H358" s="93"/>
      <c r="I358" s="750"/>
      <c r="J358" s="750"/>
    </row>
    <row r="359" spans="1:10" x14ac:dyDescent="0.35">
      <c r="A359" s="92"/>
      <c r="F359" s="726"/>
      <c r="G359" s="735"/>
      <c r="H359" s="93"/>
      <c r="I359" s="750"/>
      <c r="J359" s="750"/>
    </row>
    <row r="360" spans="1:10" x14ac:dyDescent="0.35">
      <c r="A360" s="92"/>
      <c r="F360" s="726"/>
      <c r="G360" s="735"/>
      <c r="H360" s="93"/>
      <c r="I360" s="750"/>
      <c r="J360" s="750"/>
    </row>
    <row r="361" spans="1:10" x14ac:dyDescent="0.35">
      <c r="A361" s="92"/>
      <c r="F361" s="726"/>
      <c r="G361" s="735"/>
      <c r="H361" s="93"/>
      <c r="I361" s="750"/>
      <c r="J361" s="750"/>
    </row>
    <row r="362" spans="1:10" x14ac:dyDescent="0.35">
      <c r="A362" s="92"/>
      <c r="F362" s="726"/>
      <c r="G362" s="735"/>
      <c r="H362" s="93"/>
      <c r="I362" s="750"/>
      <c r="J362" s="750"/>
    </row>
    <row r="363" spans="1:10" x14ac:dyDescent="0.35">
      <c r="A363" s="92"/>
      <c r="F363" s="726"/>
      <c r="G363" s="735"/>
      <c r="H363" s="93"/>
      <c r="I363" s="750"/>
      <c r="J363" s="750"/>
    </row>
    <row r="364" spans="1:10" x14ac:dyDescent="0.35">
      <c r="A364" s="92"/>
      <c r="F364" s="726"/>
      <c r="G364" s="735"/>
      <c r="H364" s="93"/>
      <c r="I364" s="750"/>
      <c r="J364" s="750"/>
    </row>
    <row r="365" spans="1:10" x14ac:dyDescent="0.35">
      <c r="A365" s="92"/>
      <c r="F365" s="726"/>
      <c r="G365" s="735"/>
      <c r="H365" s="93"/>
      <c r="I365" s="750"/>
      <c r="J365" s="750"/>
    </row>
    <row r="366" spans="1:10" x14ac:dyDescent="0.35">
      <c r="A366" s="92"/>
      <c r="F366" s="726"/>
      <c r="G366" s="735"/>
      <c r="H366" s="93"/>
      <c r="I366" s="750"/>
      <c r="J366" s="750"/>
    </row>
    <row r="367" spans="1:10" x14ac:dyDescent="0.35">
      <c r="A367" s="92"/>
      <c r="F367" s="726"/>
      <c r="G367" s="735"/>
      <c r="H367" s="93"/>
      <c r="I367" s="750"/>
      <c r="J367" s="750"/>
    </row>
    <row r="368" spans="1:10" x14ac:dyDescent="0.35">
      <c r="A368" s="92"/>
      <c r="F368" s="726"/>
      <c r="G368" s="735"/>
      <c r="H368" s="93"/>
      <c r="I368" s="750"/>
      <c r="J368" s="750"/>
    </row>
    <row r="369" spans="1:10" x14ac:dyDescent="0.35">
      <c r="A369" s="92"/>
      <c r="F369" s="726"/>
      <c r="G369" s="735"/>
      <c r="H369" s="93"/>
      <c r="I369" s="750"/>
      <c r="J369" s="750"/>
    </row>
    <row r="370" spans="1:10" x14ac:dyDescent="0.35">
      <c r="A370" s="92"/>
      <c r="F370" s="726"/>
      <c r="G370" s="735"/>
      <c r="H370" s="93"/>
      <c r="I370" s="750"/>
      <c r="J370" s="750"/>
    </row>
    <row r="371" spans="1:10" x14ac:dyDescent="0.35">
      <c r="A371" s="92"/>
      <c r="F371" s="726"/>
      <c r="G371" s="735"/>
      <c r="H371" s="93"/>
      <c r="I371" s="750"/>
      <c r="J371" s="750"/>
    </row>
    <row r="372" spans="1:10" x14ac:dyDescent="0.35">
      <c r="A372" s="92"/>
      <c r="F372" s="726"/>
      <c r="G372" s="735"/>
      <c r="H372" s="93"/>
      <c r="I372" s="750"/>
      <c r="J372" s="750"/>
    </row>
    <row r="373" spans="1:10" x14ac:dyDescent="0.35">
      <c r="A373" s="92"/>
      <c r="F373" s="726"/>
      <c r="G373" s="735"/>
      <c r="H373" s="93"/>
      <c r="I373" s="750"/>
      <c r="J373" s="750"/>
    </row>
    <row r="374" spans="1:10" x14ac:dyDescent="0.35">
      <c r="A374" s="92"/>
      <c r="F374" s="726"/>
      <c r="G374" s="735"/>
      <c r="H374" s="93"/>
      <c r="I374" s="750"/>
      <c r="J374" s="750"/>
    </row>
    <row r="375" spans="1:10" x14ac:dyDescent="0.35">
      <c r="A375" s="92"/>
      <c r="F375" s="726"/>
      <c r="G375" s="735"/>
      <c r="H375" s="93"/>
      <c r="I375" s="750"/>
      <c r="J375" s="750"/>
    </row>
    <row r="376" spans="1:10" x14ac:dyDescent="0.35">
      <c r="A376" s="92"/>
      <c r="F376" s="726"/>
      <c r="G376" s="735"/>
      <c r="H376" s="93"/>
      <c r="I376" s="750"/>
      <c r="J376" s="750"/>
    </row>
    <row r="377" spans="1:10" x14ac:dyDescent="0.35">
      <c r="A377" s="92"/>
      <c r="F377" s="726"/>
      <c r="G377" s="735"/>
      <c r="H377" s="93"/>
      <c r="I377" s="750"/>
      <c r="J377" s="750"/>
    </row>
    <row r="378" spans="1:10" x14ac:dyDescent="0.35">
      <c r="A378" s="92"/>
      <c r="F378" s="726"/>
      <c r="G378" s="735"/>
      <c r="H378" s="93"/>
      <c r="I378" s="750"/>
      <c r="J378" s="750"/>
    </row>
    <row r="379" spans="1:10" x14ac:dyDescent="0.35">
      <c r="A379" s="92"/>
      <c r="F379" s="726"/>
      <c r="G379" s="735"/>
      <c r="H379" s="93"/>
      <c r="I379" s="750"/>
      <c r="J379" s="750"/>
    </row>
    <row r="380" spans="1:10" x14ac:dyDescent="0.35">
      <c r="A380" s="92"/>
      <c r="F380" s="726"/>
      <c r="G380" s="735"/>
      <c r="H380" s="93"/>
      <c r="I380" s="750"/>
      <c r="J380" s="750"/>
    </row>
    <row r="381" spans="1:10" x14ac:dyDescent="0.35">
      <c r="A381" s="92"/>
      <c r="F381" s="726"/>
      <c r="G381" s="735"/>
      <c r="H381" s="93"/>
      <c r="I381" s="750"/>
      <c r="J381" s="750"/>
    </row>
    <row r="382" spans="1:10" x14ac:dyDescent="0.35">
      <c r="A382" s="92"/>
      <c r="F382" s="726"/>
      <c r="G382" s="735"/>
      <c r="H382" s="93"/>
      <c r="I382" s="750"/>
      <c r="J382" s="750"/>
    </row>
    <row r="383" spans="1:10" x14ac:dyDescent="0.35">
      <c r="A383" s="92"/>
      <c r="F383" s="726"/>
      <c r="G383" s="735"/>
      <c r="H383" s="93"/>
      <c r="I383" s="750"/>
      <c r="J383" s="750"/>
    </row>
    <row r="384" spans="1:10" x14ac:dyDescent="0.35">
      <c r="A384" s="92"/>
      <c r="F384" s="726"/>
      <c r="G384" s="735"/>
      <c r="H384" s="93"/>
      <c r="I384" s="750"/>
      <c r="J384" s="750"/>
    </row>
    <row r="385" spans="1:10" x14ac:dyDescent="0.35">
      <c r="A385" s="92"/>
      <c r="F385" s="726"/>
      <c r="G385" s="735"/>
      <c r="H385" s="93"/>
      <c r="I385" s="750"/>
      <c r="J385" s="750"/>
    </row>
    <row r="386" spans="1:10" x14ac:dyDescent="0.35">
      <c r="A386" s="92"/>
      <c r="F386" s="726"/>
      <c r="G386" s="735"/>
      <c r="H386" s="93"/>
      <c r="I386" s="750"/>
      <c r="J386" s="750"/>
    </row>
    <row r="387" spans="1:10" x14ac:dyDescent="0.35">
      <c r="A387" s="92"/>
      <c r="F387" s="726"/>
      <c r="G387" s="735"/>
      <c r="H387" s="93"/>
      <c r="I387" s="750"/>
      <c r="J387" s="750"/>
    </row>
    <row r="388" spans="1:10" x14ac:dyDescent="0.35">
      <c r="A388" s="92"/>
      <c r="F388" s="726"/>
      <c r="G388" s="735"/>
      <c r="H388" s="93"/>
      <c r="I388" s="750"/>
      <c r="J388" s="750"/>
    </row>
    <row r="389" spans="1:10" x14ac:dyDescent="0.35">
      <c r="A389" s="92"/>
      <c r="F389" s="726"/>
      <c r="G389" s="735"/>
      <c r="H389" s="93"/>
      <c r="I389" s="750"/>
      <c r="J389" s="750"/>
    </row>
    <row r="390" spans="1:10" x14ac:dyDescent="0.35">
      <c r="A390" s="92"/>
      <c r="F390" s="726"/>
      <c r="G390" s="735"/>
      <c r="H390" s="93"/>
      <c r="I390" s="750"/>
      <c r="J390" s="750"/>
    </row>
    <row r="391" spans="1:10" x14ac:dyDescent="0.35">
      <c r="A391" s="92"/>
      <c r="F391" s="726"/>
      <c r="G391" s="735"/>
      <c r="H391" s="93"/>
      <c r="I391" s="750"/>
      <c r="J391" s="750"/>
    </row>
    <row r="392" spans="1:10" x14ac:dyDescent="0.35">
      <c r="A392" s="92"/>
      <c r="F392" s="726"/>
      <c r="G392" s="735"/>
      <c r="H392" s="93"/>
      <c r="I392" s="750"/>
      <c r="J392" s="750"/>
    </row>
    <row r="393" spans="1:10" x14ac:dyDescent="0.35">
      <c r="A393" s="92"/>
      <c r="F393" s="726"/>
      <c r="G393" s="735"/>
      <c r="H393" s="93"/>
      <c r="I393" s="750"/>
      <c r="J393" s="750"/>
    </row>
    <row r="394" spans="1:10" x14ac:dyDescent="0.35">
      <c r="A394" s="92"/>
      <c r="F394" s="726"/>
      <c r="G394" s="735"/>
      <c r="H394" s="93"/>
      <c r="I394" s="750"/>
      <c r="J394" s="750"/>
    </row>
    <row r="395" spans="1:10" x14ac:dyDescent="0.35">
      <c r="A395" s="92"/>
      <c r="F395" s="726"/>
      <c r="G395" s="735"/>
      <c r="H395" s="93"/>
      <c r="I395" s="750"/>
      <c r="J395" s="750"/>
    </row>
    <row r="396" spans="1:10" x14ac:dyDescent="0.35">
      <c r="A396" s="92"/>
      <c r="F396" s="726"/>
      <c r="G396" s="735"/>
      <c r="H396" s="93"/>
      <c r="I396" s="750"/>
      <c r="J396" s="750"/>
    </row>
    <row r="397" spans="1:10" x14ac:dyDescent="0.35">
      <c r="A397" s="92"/>
      <c r="F397" s="726"/>
      <c r="G397" s="735"/>
      <c r="H397" s="93"/>
      <c r="I397" s="750"/>
      <c r="J397" s="750"/>
    </row>
    <row r="398" spans="1:10" x14ac:dyDescent="0.35">
      <c r="A398" s="92"/>
      <c r="F398" s="726"/>
      <c r="G398" s="735"/>
      <c r="H398" s="93"/>
      <c r="I398" s="750"/>
      <c r="J398" s="750"/>
    </row>
    <row r="399" spans="1:10" x14ac:dyDescent="0.35">
      <c r="A399" s="92"/>
      <c r="F399" s="726"/>
      <c r="G399" s="735"/>
      <c r="H399" s="93"/>
      <c r="I399" s="750"/>
      <c r="J399" s="750"/>
    </row>
    <row r="400" spans="1:10" x14ac:dyDescent="0.35">
      <c r="A400" s="92"/>
      <c r="F400" s="726"/>
      <c r="G400" s="735"/>
      <c r="H400" s="93"/>
      <c r="I400" s="750"/>
      <c r="J400" s="750"/>
    </row>
    <row r="401" spans="1:10" x14ac:dyDescent="0.35">
      <c r="A401" s="92"/>
      <c r="F401" s="726"/>
      <c r="G401" s="735"/>
      <c r="H401" s="93"/>
      <c r="I401" s="750"/>
      <c r="J401" s="750"/>
    </row>
    <row r="402" spans="1:10" x14ac:dyDescent="0.35">
      <c r="A402" s="92"/>
      <c r="F402" s="726"/>
      <c r="G402" s="735"/>
      <c r="H402" s="93"/>
      <c r="I402" s="750"/>
      <c r="J402" s="750"/>
    </row>
    <row r="403" spans="1:10" x14ac:dyDescent="0.35">
      <c r="A403" s="92"/>
      <c r="F403" s="726"/>
      <c r="G403" s="735"/>
      <c r="H403" s="93"/>
      <c r="I403" s="750"/>
      <c r="J403" s="750"/>
    </row>
    <row r="404" spans="1:10" x14ac:dyDescent="0.35">
      <c r="A404" s="92"/>
      <c r="F404" s="726"/>
      <c r="G404" s="735"/>
      <c r="H404" s="93"/>
      <c r="I404" s="750"/>
      <c r="J404" s="750"/>
    </row>
    <row r="405" spans="1:10" x14ac:dyDescent="0.35">
      <c r="A405" s="92"/>
      <c r="F405" s="726"/>
      <c r="G405" s="735"/>
      <c r="H405" s="93"/>
      <c r="I405" s="750"/>
      <c r="J405" s="750"/>
    </row>
    <row r="406" spans="1:10" x14ac:dyDescent="0.35">
      <c r="A406" s="92"/>
      <c r="F406" s="726"/>
      <c r="G406" s="735"/>
      <c r="H406" s="93"/>
      <c r="I406" s="750"/>
      <c r="J406" s="750"/>
    </row>
    <row r="407" spans="1:10" x14ac:dyDescent="0.35">
      <c r="A407" s="92"/>
      <c r="F407" s="726"/>
      <c r="G407" s="735"/>
      <c r="H407" s="93"/>
      <c r="I407" s="750"/>
      <c r="J407" s="750"/>
    </row>
    <row r="408" spans="1:10" x14ac:dyDescent="0.35">
      <c r="A408" s="92"/>
      <c r="F408" s="726"/>
      <c r="G408" s="735"/>
      <c r="H408" s="93"/>
      <c r="I408" s="750"/>
      <c r="J408" s="750"/>
    </row>
    <row r="409" spans="1:10" x14ac:dyDescent="0.35">
      <c r="A409" s="92"/>
      <c r="F409" s="726"/>
      <c r="G409" s="735"/>
      <c r="H409" s="93"/>
      <c r="I409" s="750"/>
      <c r="J409" s="750"/>
    </row>
    <row r="410" spans="1:10" x14ac:dyDescent="0.35">
      <c r="A410" s="92"/>
      <c r="F410" s="726"/>
      <c r="G410" s="735"/>
      <c r="H410" s="93"/>
      <c r="I410" s="750"/>
      <c r="J410" s="750"/>
    </row>
    <row r="411" spans="1:10" x14ac:dyDescent="0.35">
      <c r="A411" s="92"/>
      <c r="F411" s="726"/>
      <c r="G411" s="735"/>
      <c r="H411" s="93"/>
      <c r="I411" s="750"/>
      <c r="J411" s="750"/>
    </row>
    <row r="412" spans="1:10" x14ac:dyDescent="0.35">
      <c r="A412" s="92"/>
      <c r="F412" s="726"/>
      <c r="G412" s="735"/>
      <c r="H412" s="93"/>
      <c r="I412" s="750"/>
      <c r="J412" s="750"/>
    </row>
    <row r="413" spans="1:10" x14ac:dyDescent="0.35">
      <c r="A413" s="92"/>
      <c r="F413" s="726"/>
      <c r="G413" s="735"/>
      <c r="H413" s="93"/>
      <c r="I413" s="750"/>
      <c r="J413" s="750"/>
    </row>
    <row r="414" spans="1:10" x14ac:dyDescent="0.35">
      <c r="A414" s="92"/>
      <c r="F414" s="726"/>
      <c r="G414" s="735"/>
      <c r="H414" s="93"/>
      <c r="I414" s="750"/>
      <c r="J414" s="750"/>
    </row>
    <row r="415" spans="1:10" x14ac:dyDescent="0.35">
      <c r="A415" s="92"/>
      <c r="F415" s="726"/>
      <c r="G415" s="735"/>
      <c r="H415" s="93"/>
      <c r="I415" s="750"/>
      <c r="J415" s="750"/>
    </row>
    <row r="416" spans="1:10" x14ac:dyDescent="0.35">
      <c r="A416" s="92"/>
      <c r="F416" s="726"/>
      <c r="G416" s="735"/>
      <c r="H416" s="93"/>
      <c r="I416" s="750"/>
      <c r="J416" s="750"/>
    </row>
    <row r="417" spans="1:10" x14ac:dyDescent="0.35">
      <c r="A417" s="92"/>
      <c r="F417" s="726"/>
      <c r="G417" s="735"/>
      <c r="H417" s="93"/>
      <c r="I417" s="750"/>
      <c r="J417" s="750"/>
    </row>
    <row r="418" spans="1:10" x14ac:dyDescent="0.35">
      <c r="A418" s="92"/>
      <c r="F418" s="726"/>
      <c r="G418" s="735"/>
      <c r="H418" s="93"/>
      <c r="I418" s="750"/>
      <c r="J418" s="750"/>
    </row>
    <row r="419" spans="1:10" x14ac:dyDescent="0.35">
      <c r="A419" s="92"/>
      <c r="F419" s="726"/>
      <c r="G419" s="735"/>
      <c r="H419" s="93"/>
      <c r="I419" s="750"/>
      <c r="J419" s="750"/>
    </row>
    <row r="420" spans="1:10" x14ac:dyDescent="0.35">
      <c r="A420" s="92"/>
      <c r="F420" s="726"/>
      <c r="G420" s="735"/>
      <c r="H420" s="93"/>
      <c r="I420" s="750"/>
      <c r="J420" s="750"/>
    </row>
    <row r="421" spans="1:10" x14ac:dyDescent="0.35">
      <c r="A421" s="92"/>
      <c r="F421" s="726"/>
      <c r="G421" s="735"/>
      <c r="H421" s="93"/>
      <c r="I421" s="750"/>
      <c r="J421" s="750"/>
    </row>
    <row r="422" spans="1:10" x14ac:dyDescent="0.35">
      <c r="A422" s="92"/>
      <c r="F422" s="726"/>
      <c r="G422" s="735"/>
      <c r="H422" s="93"/>
      <c r="I422" s="750"/>
      <c r="J422" s="750"/>
    </row>
    <row r="423" spans="1:10" x14ac:dyDescent="0.35">
      <c r="A423" s="92"/>
      <c r="F423" s="726"/>
      <c r="G423" s="735"/>
      <c r="H423" s="93"/>
      <c r="I423" s="750"/>
      <c r="J423" s="750"/>
    </row>
    <row r="424" spans="1:10" x14ac:dyDescent="0.35">
      <c r="A424" s="92"/>
      <c r="F424" s="726"/>
      <c r="G424" s="735"/>
      <c r="H424" s="93"/>
      <c r="I424" s="750"/>
      <c r="J424" s="750"/>
    </row>
    <row r="425" spans="1:10" x14ac:dyDescent="0.35">
      <c r="A425" s="92"/>
      <c r="F425" s="726"/>
      <c r="G425" s="735"/>
      <c r="H425" s="93"/>
      <c r="I425" s="750"/>
      <c r="J425" s="750"/>
    </row>
    <row r="426" spans="1:10" x14ac:dyDescent="0.35">
      <c r="A426" s="92"/>
      <c r="F426" s="726"/>
      <c r="G426" s="735"/>
      <c r="H426" s="93"/>
      <c r="I426" s="750"/>
      <c r="J426" s="750"/>
    </row>
    <row r="427" spans="1:10" x14ac:dyDescent="0.35">
      <c r="A427" s="92"/>
      <c r="F427" s="726"/>
      <c r="G427" s="735"/>
      <c r="H427" s="93"/>
      <c r="I427" s="750"/>
      <c r="J427" s="750"/>
    </row>
    <row r="428" spans="1:10" x14ac:dyDescent="0.35">
      <c r="A428" s="92"/>
      <c r="F428" s="726"/>
      <c r="G428" s="735"/>
      <c r="H428" s="93"/>
      <c r="I428" s="750"/>
      <c r="J428" s="750"/>
    </row>
    <row r="429" spans="1:10" x14ac:dyDescent="0.35">
      <c r="A429" s="92"/>
      <c r="F429" s="726"/>
      <c r="G429" s="735"/>
      <c r="H429" s="93"/>
      <c r="I429" s="750"/>
      <c r="J429" s="750"/>
    </row>
    <row r="430" spans="1:10" x14ac:dyDescent="0.35">
      <c r="A430" s="92"/>
      <c r="F430" s="726"/>
      <c r="G430" s="735"/>
      <c r="H430" s="93"/>
      <c r="I430" s="750"/>
      <c r="J430" s="750"/>
    </row>
    <row r="431" spans="1:10" x14ac:dyDescent="0.35">
      <c r="A431" s="92"/>
      <c r="F431" s="726"/>
      <c r="G431" s="735"/>
      <c r="H431" s="93"/>
      <c r="I431" s="750"/>
      <c r="J431" s="750"/>
    </row>
    <row r="432" spans="1:10" x14ac:dyDescent="0.35">
      <c r="A432" s="92"/>
      <c r="F432" s="726"/>
      <c r="G432" s="735"/>
      <c r="H432" s="93"/>
      <c r="I432" s="750"/>
      <c r="J432" s="750"/>
    </row>
    <row r="433" spans="1:10" x14ac:dyDescent="0.35">
      <c r="A433" s="92"/>
      <c r="F433" s="726"/>
      <c r="G433" s="735"/>
      <c r="H433" s="93"/>
      <c r="I433" s="750"/>
      <c r="J433" s="750"/>
    </row>
    <row r="434" spans="1:10" x14ac:dyDescent="0.35">
      <c r="A434" s="92"/>
      <c r="F434" s="726"/>
      <c r="G434" s="735"/>
      <c r="H434" s="93"/>
      <c r="I434" s="750"/>
      <c r="J434" s="750"/>
    </row>
    <row r="435" spans="1:10" x14ac:dyDescent="0.35">
      <c r="A435" s="92"/>
      <c r="F435" s="726"/>
      <c r="G435" s="735"/>
      <c r="H435" s="93"/>
      <c r="I435" s="750"/>
      <c r="J435" s="750"/>
    </row>
    <row r="436" spans="1:10" x14ac:dyDescent="0.35">
      <c r="A436" s="92"/>
      <c r="F436" s="726"/>
      <c r="G436" s="735"/>
      <c r="H436" s="93"/>
      <c r="I436" s="750"/>
      <c r="J436" s="750"/>
    </row>
    <row r="437" spans="1:10" x14ac:dyDescent="0.35">
      <c r="A437" s="92"/>
      <c r="F437" s="726"/>
      <c r="G437" s="735"/>
      <c r="H437" s="93"/>
      <c r="I437" s="750"/>
      <c r="J437" s="750"/>
    </row>
    <row r="438" spans="1:10" x14ac:dyDescent="0.35">
      <c r="A438" s="92"/>
      <c r="F438" s="726"/>
      <c r="G438" s="735"/>
      <c r="H438" s="93"/>
      <c r="I438" s="750"/>
      <c r="J438" s="750"/>
    </row>
    <row r="439" spans="1:10" x14ac:dyDescent="0.35">
      <c r="A439" s="92"/>
      <c r="F439" s="726"/>
      <c r="G439" s="735"/>
      <c r="H439" s="93"/>
      <c r="I439" s="750"/>
      <c r="J439" s="750"/>
    </row>
    <row r="440" spans="1:10" x14ac:dyDescent="0.35">
      <c r="A440" s="92"/>
      <c r="F440" s="726"/>
      <c r="G440" s="735"/>
      <c r="H440" s="93"/>
      <c r="I440" s="750"/>
      <c r="J440" s="750"/>
    </row>
    <row r="441" spans="1:10" x14ac:dyDescent="0.35">
      <c r="A441" s="92"/>
      <c r="F441" s="726"/>
      <c r="G441" s="735"/>
      <c r="H441" s="93"/>
      <c r="I441" s="750"/>
      <c r="J441" s="750"/>
    </row>
    <row r="442" spans="1:10" x14ac:dyDescent="0.35">
      <c r="A442" s="92"/>
      <c r="F442" s="726"/>
      <c r="G442" s="735"/>
      <c r="H442" s="93"/>
      <c r="I442" s="750"/>
      <c r="J442" s="750"/>
    </row>
    <row r="443" spans="1:10" x14ac:dyDescent="0.35">
      <c r="A443" s="92"/>
      <c r="F443" s="726"/>
      <c r="G443" s="735"/>
      <c r="H443" s="93"/>
      <c r="I443" s="750"/>
      <c r="J443" s="750"/>
    </row>
    <row r="444" spans="1:10" x14ac:dyDescent="0.35">
      <c r="A444" s="92"/>
      <c r="F444" s="726"/>
      <c r="G444" s="735"/>
      <c r="H444" s="93"/>
      <c r="I444" s="750"/>
      <c r="J444" s="750"/>
    </row>
    <row r="445" spans="1:10" x14ac:dyDescent="0.35">
      <c r="A445" s="92"/>
      <c r="F445" s="726"/>
      <c r="G445" s="735"/>
      <c r="H445" s="93"/>
      <c r="I445" s="750"/>
      <c r="J445" s="750"/>
    </row>
    <row r="446" spans="1:10" x14ac:dyDescent="0.35">
      <c r="A446" s="92"/>
      <c r="F446" s="726"/>
      <c r="G446" s="735"/>
      <c r="H446" s="93"/>
      <c r="I446" s="750"/>
      <c r="J446" s="750"/>
    </row>
    <row r="447" spans="1:10" x14ac:dyDescent="0.35">
      <c r="A447" s="92"/>
      <c r="F447" s="726"/>
      <c r="G447" s="735"/>
      <c r="H447" s="93"/>
      <c r="I447" s="750"/>
      <c r="J447" s="750"/>
    </row>
    <row r="448" spans="1:10" x14ac:dyDescent="0.35">
      <c r="A448" s="92"/>
      <c r="F448" s="726"/>
      <c r="G448" s="735"/>
      <c r="H448" s="93"/>
      <c r="I448" s="750"/>
      <c r="J448" s="750"/>
    </row>
    <row r="449" spans="1:10" x14ac:dyDescent="0.35">
      <c r="A449" s="92"/>
      <c r="F449" s="726"/>
      <c r="G449" s="735"/>
      <c r="H449" s="93"/>
      <c r="I449" s="750"/>
      <c r="J449" s="750"/>
    </row>
    <row r="450" spans="1:10" x14ac:dyDescent="0.35">
      <c r="A450" s="92"/>
      <c r="F450" s="726"/>
      <c r="G450" s="735"/>
      <c r="H450" s="93"/>
      <c r="I450" s="750"/>
      <c r="J450" s="750"/>
    </row>
    <row r="451" spans="1:10" x14ac:dyDescent="0.35">
      <c r="A451" s="92"/>
      <c r="F451" s="726"/>
      <c r="G451" s="735"/>
      <c r="H451" s="93"/>
      <c r="I451" s="750"/>
      <c r="J451" s="750"/>
    </row>
    <row r="452" spans="1:10" x14ac:dyDescent="0.35">
      <c r="A452" s="92"/>
      <c r="F452" s="726"/>
      <c r="G452" s="735"/>
      <c r="H452" s="93"/>
      <c r="I452" s="750"/>
      <c r="J452" s="750"/>
    </row>
    <row r="453" spans="1:10" x14ac:dyDescent="0.35">
      <c r="A453" s="92"/>
      <c r="F453" s="726"/>
      <c r="G453" s="735"/>
      <c r="H453" s="93"/>
      <c r="I453" s="750"/>
      <c r="J453" s="750"/>
    </row>
    <row r="454" spans="1:10" x14ac:dyDescent="0.35">
      <c r="A454" s="92"/>
      <c r="F454" s="726"/>
      <c r="G454" s="735"/>
      <c r="H454" s="93"/>
      <c r="I454" s="750"/>
      <c r="J454" s="750"/>
    </row>
    <row r="455" spans="1:10" x14ac:dyDescent="0.35">
      <c r="A455" s="92"/>
      <c r="F455" s="726"/>
      <c r="G455" s="735"/>
      <c r="H455" s="93"/>
      <c r="I455" s="750"/>
      <c r="J455" s="750"/>
    </row>
    <row r="456" spans="1:10" x14ac:dyDescent="0.35">
      <c r="A456" s="92"/>
      <c r="F456" s="726"/>
      <c r="G456" s="735"/>
      <c r="H456" s="93"/>
      <c r="I456" s="750"/>
      <c r="J456" s="750"/>
    </row>
    <row r="457" spans="1:10" x14ac:dyDescent="0.35">
      <c r="A457" s="92"/>
      <c r="F457" s="726"/>
      <c r="G457" s="735"/>
      <c r="H457" s="93"/>
      <c r="I457" s="750"/>
      <c r="J457" s="750"/>
    </row>
    <row r="458" spans="1:10" x14ac:dyDescent="0.35">
      <c r="A458" s="92"/>
      <c r="F458" s="726"/>
      <c r="G458" s="735"/>
      <c r="H458" s="93"/>
      <c r="I458" s="750"/>
      <c r="J458" s="750"/>
    </row>
    <row r="459" spans="1:10" x14ac:dyDescent="0.35">
      <c r="A459" s="92"/>
      <c r="F459" s="726"/>
      <c r="G459" s="735"/>
      <c r="H459" s="93"/>
      <c r="I459" s="750"/>
      <c r="J459" s="750"/>
    </row>
    <row r="460" spans="1:10" x14ac:dyDescent="0.35">
      <c r="A460" s="92"/>
      <c r="F460" s="726"/>
      <c r="G460" s="735"/>
      <c r="H460" s="93"/>
      <c r="I460" s="750"/>
      <c r="J460" s="750"/>
    </row>
    <row r="461" spans="1:10" x14ac:dyDescent="0.35">
      <c r="A461" s="92"/>
      <c r="F461" s="726"/>
      <c r="G461" s="735"/>
      <c r="H461" s="93"/>
      <c r="I461" s="750"/>
      <c r="J461" s="750"/>
    </row>
    <row r="462" spans="1:10" x14ac:dyDescent="0.35">
      <c r="A462" s="92"/>
      <c r="F462" s="726"/>
      <c r="G462" s="735"/>
      <c r="H462" s="93"/>
      <c r="I462" s="750"/>
      <c r="J462" s="750"/>
    </row>
    <row r="463" spans="1:10" x14ac:dyDescent="0.35">
      <c r="A463" s="92"/>
      <c r="F463" s="726"/>
      <c r="G463" s="735"/>
      <c r="H463" s="93"/>
      <c r="I463" s="750"/>
      <c r="J463" s="750"/>
    </row>
    <row r="464" spans="1:10" x14ac:dyDescent="0.35">
      <c r="A464" s="92"/>
      <c r="F464" s="726"/>
      <c r="G464" s="735"/>
      <c r="H464" s="93"/>
      <c r="I464" s="750"/>
      <c r="J464" s="750"/>
    </row>
    <row r="465" spans="1:10" x14ac:dyDescent="0.35">
      <c r="A465" s="92"/>
      <c r="F465" s="726"/>
      <c r="G465" s="735"/>
      <c r="H465" s="93"/>
      <c r="I465" s="750"/>
      <c r="J465" s="750"/>
    </row>
    <row r="466" spans="1:10" x14ac:dyDescent="0.35">
      <c r="A466" s="92"/>
      <c r="F466" s="726"/>
      <c r="G466" s="735"/>
      <c r="H466" s="93"/>
      <c r="I466" s="750"/>
      <c r="J466" s="750"/>
    </row>
    <row r="467" spans="1:10" x14ac:dyDescent="0.35">
      <c r="A467" s="92"/>
      <c r="F467" s="726"/>
      <c r="G467" s="735"/>
      <c r="H467" s="93"/>
      <c r="I467" s="750"/>
      <c r="J467" s="750"/>
    </row>
    <row r="468" spans="1:10" x14ac:dyDescent="0.35">
      <c r="A468" s="92"/>
      <c r="F468" s="726"/>
      <c r="G468" s="735"/>
      <c r="H468" s="93"/>
      <c r="I468" s="750"/>
      <c r="J468" s="750"/>
    </row>
    <row r="469" spans="1:10" x14ac:dyDescent="0.35">
      <c r="A469" s="92"/>
      <c r="F469" s="726"/>
      <c r="G469" s="735"/>
      <c r="H469" s="93"/>
      <c r="I469" s="750"/>
      <c r="J469" s="750"/>
    </row>
    <row r="470" spans="1:10" x14ac:dyDescent="0.35">
      <c r="A470" s="92"/>
      <c r="F470" s="726"/>
      <c r="G470" s="735"/>
      <c r="H470" s="93"/>
      <c r="I470" s="750"/>
      <c r="J470" s="750"/>
    </row>
    <row r="471" spans="1:10" x14ac:dyDescent="0.35">
      <c r="A471" s="92"/>
      <c r="F471" s="726"/>
      <c r="G471" s="735"/>
      <c r="H471" s="93"/>
      <c r="I471" s="750"/>
      <c r="J471" s="750"/>
    </row>
    <row r="472" spans="1:10" x14ac:dyDescent="0.35">
      <c r="A472" s="92"/>
      <c r="F472" s="726"/>
      <c r="G472" s="735"/>
      <c r="H472" s="93"/>
      <c r="I472" s="750"/>
      <c r="J472" s="750"/>
    </row>
    <row r="473" spans="1:10" x14ac:dyDescent="0.35">
      <c r="A473" s="92"/>
      <c r="F473" s="726"/>
      <c r="G473" s="735"/>
      <c r="H473" s="93"/>
      <c r="I473" s="750"/>
      <c r="J473" s="750"/>
    </row>
    <row r="474" spans="1:10" x14ac:dyDescent="0.35">
      <c r="A474" s="92"/>
      <c r="F474" s="726"/>
      <c r="G474" s="735"/>
      <c r="H474" s="93"/>
      <c r="I474" s="750"/>
      <c r="J474" s="750"/>
    </row>
    <row r="475" spans="1:10" x14ac:dyDescent="0.35">
      <c r="A475" s="92"/>
      <c r="F475" s="726"/>
      <c r="G475" s="735"/>
      <c r="H475" s="93"/>
      <c r="I475" s="750"/>
      <c r="J475" s="750"/>
    </row>
    <row r="476" spans="1:10" x14ac:dyDescent="0.35">
      <c r="A476" s="92"/>
      <c r="F476" s="726"/>
      <c r="G476" s="735"/>
      <c r="H476" s="93"/>
      <c r="I476" s="750"/>
      <c r="J476" s="750"/>
    </row>
    <row r="477" spans="1:10" x14ac:dyDescent="0.35">
      <c r="A477" s="92"/>
      <c r="F477" s="726"/>
      <c r="G477" s="735"/>
      <c r="H477" s="93"/>
      <c r="I477" s="750"/>
      <c r="J477" s="750"/>
    </row>
    <row r="478" spans="1:10" x14ac:dyDescent="0.35">
      <c r="A478" s="92"/>
      <c r="F478" s="726"/>
      <c r="G478" s="735"/>
      <c r="H478" s="93"/>
      <c r="I478" s="750"/>
      <c r="J478" s="750"/>
    </row>
    <row r="479" spans="1:10" x14ac:dyDescent="0.35">
      <c r="A479" s="92"/>
      <c r="F479" s="726"/>
      <c r="G479" s="735"/>
      <c r="H479" s="93"/>
      <c r="I479" s="750"/>
      <c r="J479" s="750"/>
    </row>
    <row r="480" spans="1:10" x14ac:dyDescent="0.35">
      <c r="A480" s="92"/>
      <c r="F480" s="726"/>
      <c r="G480" s="735"/>
      <c r="H480" s="93"/>
      <c r="I480" s="750"/>
      <c r="J480" s="750"/>
    </row>
    <row r="481" spans="1:10" x14ac:dyDescent="0.35">
      <c r="A481" s="92"/>
      <c r="F481" s="726"/>
      <c r="G481" s="735"/>
      <c r="H481" s="93"/>
      <c r="I481" s="750"/>
      <c r="J481" s="750"/>
    </row>
    <row r="482" spans="1:10" x14ac:dyDescent="0.35">
      <c r="A482" s="92"/>
      <c r="F482" s="726"/>
      <c r="G482" s="735"/>
      <c r="H482" s="93"/>
      <c r="I482" s="750"/>
      <c r="J482" s="750"/>
    </row>
    <row r="483" spans="1:10" x14ac:dyDescent="0.35">
      <c r="A483" s="92"/>
      <c r="F483" s="726"/>
      <c r="G483" s="735"/>
      <c r="H483" s="93"/>
      <c r="I483" s="750"/>
      <c r="J483" s="750"/>
    </row>
    <row r="484" spans="1:10" x14ac:dyDescent="0.35">
      <c r="A484" s="92"/>
      <c r="F484" s="726"/>
      <c r="G484" s="735"/>
      <c r="H484" s="93"/>
      <c r="I484" s="750"/>
      <c r="J484" s="750"/>
    </row>
    <row r="485" spans="1:10" x14ac:dyDescent="0.35">
      <c r="A485" s="92"/>
      <c r="F485" s="726"/>
      <c r="G485" s="735"/>
      <c r="H485" s="93"/>
      <c r="I485" s="750"/>
      <c r="J485" s="750"/>
    </row>
    <row r="486" spans="1:10" x14ac:dyDescent="0.35">
      <c r="A486" s="92"/>
      <c r="F486" s="726"/>
      <c r="G486" s="735"/>
      <c r="H486" s="93"/>
      <c r="I486" s="750"/>
      <c r="J486" s="750"/>
    </row>
    <row r="487" spans="1:10" x14ac:dyDescent="0.35">
      <c r="A487" s="92"/>
      <c r="F487" s="726"/>
      <c r="G487" s="735"/>
      <c r="H487" s="93"/>
      <c r="I487" s="750"/>
      <c r="J487" s="750"/>
    </row>
    <row r="488" spans="1:10" x14ac:dyDescent="0.35">
      <c r="A488" s="92"/>
      <c r="F488" s="726"/>
      <c r="G488" s="735"/>
      <c r="H488" s="93"/>
      <c r="I488" s="750"/>
      <c r="J488" s="750"/>
    </row>
    <row r="489" spans="1:10" x14ac:dyDescent="0.35">
      <c r="A489" s="92"/>
      <c r="F489" s="726"/>
      <c r="G489" s="735"/>
      <c r="H489" s="93"/>
      <c r="I489" s="750"/>
      <c r="J489" s="750"/>
    </row>
    <row r="490" spans="1:10" x14ac:dyDescent="0.35">
      <c r="A490" s="92"/>
      <c r="F490" s="726"/>
      <c r="G490" s="735"/>
      <c r="H490" s="93"/>
      <c r="I490" s="750"/>
      <c r="J490" s="750"/>
    </row>
    <row r="491" spans="1:10" x14ac:dyDescent="0.35">
      <c r="A491" s="92"/>
      <c r="F491" s="726"/>
      <c r="G491" s="735"/>
      <c r="H491" s="93"/>
      <c r="I491" s="750"/>
      <c r="J491" s="750"/>
    </row>
    <row r="492" spans="1:10" x14ac:dyDescent="0.35">
      <c r="A492" s="92"/>
      <c r="F492" s="726"/>
      <c r="G492" s="735"/>
      <c r="H492" s="93"/>
      <c r="I492" s="750"/>
      <c r="J492" s="750"/>
    </row>
    <row r="493" spans="1:10" x14ac:dyDescent="0.35">
      <c r="A493" s="92"/>
      <c r="F493" s="726"/>
      <c r="G493" s="735"/>
      <c r="H493" s="93"/>
      <c r="I493" s="750"/>
      <c r="J493" s="750"/>
    </row>
    <row r="494" spans="1:10" x14ac:dyDescent="0.35">
      <c r="A494" s="92"/>
      <c r="F494" s="726"/>
      <c r="G494" s="735"/>
      <c r="H494" s="93"/>
      <c r="I494" s="750"/>
      <c r="J494" s="750"/>
    </row>
    <row r="495" spans="1:10" x14ac:dyDescent="0.35">
      <c r="A495" s="92"/>
      <c r="F495" s="726"/>
      <c r="G495" s="735"/>
      <c r="H495" s="93"/>
      <c r="I495" s="750"/>
      <c r="J495" s="750"/>
    </row>
    <row r="496" spans="1:10" x14ac:dyDescent="0.35">
      <c r="A496" s="92"/>
      <c r="F496" s="726"/>
      <c r="G496" s="735"/>
      <c r="H496" s="93"/>
      <c r="I496" s="750"/>
      <c r="J496" s="750"/>
    </row>
    <row r="497" spans="1:10" x14ac:dyDescent="0.35">
      <c r="A497" s="92"/>
      <c r="F497" s="726"/>
      <c r="G497" s="735"/>
      <c r="H497" s="93"/>
      <c r="I497" s="750"/>
      <c r="J497" s="750"/>
    </row>
    <row r="498" spans="1:10" x14ac:dyDescent="0.35">
      <c r="A498" s="92"/>
      <c r="F498" s="726"/>
      <c r="G498" s="735"/>
      <c r="H498" s="93"/>
      <c r="I498" s="750"/>
      <c r="J498" s="750"/>
    </row>
    <row r="499" spans="1:10" x14ac:dyDescent="0.35">
      <c r="A499" s="92"/>
      <c r="F499" s="726"/>
      <c r="G499" s="735"/>
      <c r="H499" s="93"/>
      <c r="I499" s="750"/>
      <c r="J499" s="750"/>
    </row>
    <row r="500" spans="1:10" x14ac:dyDescent="0.35">
      <c r="A500" s="92"/>
      <c r="F500" s="726"/>
      <c r="G500" s="735"/>
      <c r="H500" s="93"/>
      <c r="I500" s="750"/>
      <c r="J500" s="750"/>
    </row>
    <row r="501" spans="1:10" x14ac:dyDescent="0.35">
      <c r="A501" s="92"/>
      <c r="F501" s="726"/>
      <c r="G501" s="735"/>
      <c r="H501" s="93"/>
      <c r="I501" s="750"/>
      <c r="J501" s="750"/>
    </row>
    <row r="502" spans="1:10" x14ac:dyDescent="0.35">
      <c r="A502" s="92"/>
      <c r="F502" s="726"/>
      <c r="G502" s="735"/>
      <c r="H502" s="93"/>
      <c r="I502" s="750"/>
      <c r="J502" s="750"/>
    </row>
    <row r="503" spans="1:10" x14ac:dyDescent="0.35">
      <c r="A503" s="92"/>
      <c r="F503" s="726"/>
      <c r="G503" s="735"/>
      <c r="H503" s="93"/>
      <c r="I503" s="750"/>
      <c r="J503" s="750"/>
    </row>
    <row r="504" spans="1:10" x14ac:dyDescent="0.35">
      <c r="A504" s="92"/>
      <c r="F504" s="726"/>
      <c r="G504" s="735"/>
      <c r="H504" s="93"/>
      <c r="I504" s="750"/>
      <c r="J504" s="750"/>
    </row>
    <row r="505" spans="1:10" x14ac:dyDescent="0.35">
      <c r="A505" s="92"/>
      <c r="F505" s="726"/>
      <c r="G505" s="735"/>
      <c r="H505" s="93"/>
      <c r="I505" s="750"/>
      <c r="J505" s="750"/>
    </row>
    <row r="506" spans="1:10" x14ac:dyDescent="0.35">
      <c r="A506" s="92"/>
      <c r="F506" s="726"/>
      <c r="G506" s="735"/>
      <c r="H506" s="93"/>
      <c r="I506" s="750"/>
      <c r="J506" s="750"/>
    </row>
    <row r="507" spans="1:10" x14ac:dyDescent="0.35">
      <c r="A507" s="92"/>
      <c r="F507" s="726"/>
      <c r="G507" s="735"/>
      <c r="H507" s="93"/>
      <c r="I507" s="750"/>
      <c r="J507" s="750"/>
    </row>
    <row r="508" spans="1:10" x14ac:dyDescent="0.35">
      <c r="A508" s="92"/>
      <c r="F508" s="726"/>
      <c r="G508" s="735"/>
      <c r="H508" s="93"/>
      <c r="I508" s="750"/>
      <c r="J508" s="750"/>
    </row>
    <row r="509" spans="1:10" x14ac:dyDescent="0.35">
      <c r="A509" s="92"/>
      <c r="F509" s="726"/>
      <c r="G509" s="735"/>
      <c r="H509" s="93"/>
      <c r="I509" s="750"/>
      <c r="J509" s="750"/>
    </row>
    <row r="510" spans="1:10" x14ac:dyDescent="0.35">
      <c r="A510" s="92"/>
      <c r="F510" s="726"/>
      <c r="G510" s="735"/>
      <c r="H510" s="93"/>
      <c r="I510" s="750"/>
      <c r="J510" s="750"/>
    </row>
    <row r="511" spans="1:10" x14ac:dyDescent="0.35">
      <c r="A511" s="92"/>
      <c r="F511" s="726"/>
      <c r="G511" s="735"/>
      <c r="H511" s="93"/>
      <c r="I511" s="750"/>
      <c r="J511" s="750"/>
    </row>
    <row r="512" spans="1:10" x14ac:dyDescent="0.35">
      <c r="A512" s="92"/>
      <c r="F512" s="726"/>
      <c r="G512" s="735"/>
      <c r="H512" s="93"/>
      <c r="I512" s="750"/>
      <c r="J512" s="750"/>
    </row>
    <row r="513" spans="1:10" x14ac:dyDescent="0.35">
      <c r="A513" s="92"/>
      <c r="F513" s="726"/>
      <c r="G513" s="735"/>
      <c r="H513" s="93"/>
      <c r="I513" s="750"/>
      <c r="J513" s="750"/>
    </row>
    <row r="514" spans="1:10" x14ac:dyDescent="0.35">
      <c r="A514" s="92"/>
      <c r="F514" s="726"/>
      <c r="G514" s="735"/>
      <c r="H514" s="93"/>
      <c r="I514" s="750"/>
      <c r="J514" s="750"/>
    </row>
    <row r="515" spans="1:10" x14ac:dyDescent="0.35">
      <c r="A515" s="92"/>
      <c r="F515" s="726"/>
      <c r="G515" s="735"/>
      <c r="H515" s="93"/>
      <c r="I515" s="750"/>
      <c r="J515" s="750"/>
    </row>
    <row r="516" spans="1:10" x14ac:dyDescent="0.35">
      <c r="A516" s="92"/>
      <c r="F516" s="726"/>
      <c r="G516" s="735"/>
      <c r="H516" s="93"/>
      <c r="I516" s="750"/>
      <c r="J516" s="750"/>
    </row>
    <row r="517" spans="1:10" x14ac:dyDescent="0.35">
      <c r="A517" s="92"/>
      <c r="F517" s="726"/>
      <c r="G517" s="735"/>
      <c r="H517" s="93"/>
      <c r="I517" s="750"/>
      <c r="J517" s="750"/>
    </row>
    <row r="518" spans="1:10" x14ac:dyDescent="0.35">
      <c r="A518" s="92"/>
      <c r="F518" s="726"/>
      <c r="G518" s="735"/>
      <c r="H518" s="93"/>
      <c r="I518" s="750"/>
      <c r="J518" s="750"/>
    </row>
    <row r="519" spans="1:10" x14ac:dyDescent="0.35">
      <c r="A519" s="92"/>
      <c r="F519" s="726"/>
      <c r="G519" s="735"/>
      <c r="H519" s="93"/>
      <c r="I519" s="750"/>
      <c r="J519" s="750"/>
    </row>
    <row r="520" spans="1:10" x14ac:dyDescent="0.35">
      <c r="A520" s="92"/>
      <c r="F520" s="726"/>
      <c r="G520" s="735"/>
      <c r="H520" s="93"/>
      <c r="I520" s="750"/>
      <c r="J520" s="750"/>
    </row>
    <row r="521" spans="1:10" x14ac:dyDescent="0.35">
      <c r="A521" s="92"/>
      <c r="F521" s="726"/>
      <c r="G521" s="735"/>
      <c r="H521" s="93"/>
      <c r="I521" s="750"/>
      <c r="J521" s="750"/>
    </row>
    <row r="522" spans="1:10" x14ac:dyDescent="0.35">
      <c r="A522" s="92"/>
      <c r="F522" s="726"/>
      <c r="G522" s="735"/>
      <c r="H522" s="93"/>
      <c r="I522" s="750"/>
      <c r="J522" s="750"/>
    </row>
    <row r="523" spans="1:10" x14ac:dyDescent="0.35">
      <c r="A523" s="92"/>
      <c r="F523" s="726"/>
      <c r="G523" s="735"/>
      <c r="H523" s="93"/>
      <c r="I523" s="750"/>
      <c r="J523" s="750"/>
    </row>
    <row r="524" spans="1:10" x14ac:dyDescent="0.35">
      <c r="A524" s="92"/>
      <c r="F524" s="726"/>
      <c r="G524" s="735"/>
      <c r="H524" s="93"/>
      <c r="I524" s="750"/>
      <c r="J524" s="750"/>
    </row>
    <row r="525" spans="1:10" x14ac:dyDescent="0.35">
      <c r="A525" s="92"/>
      <c r="F525" s="726"/>
      <c r="G525" s="735"/>
      <c r="H525" s="93"/>
      <c r="I525" s="750"/>
      <c r="J525" s="750"/>
    </row>
    <row r="526" spans="1:10" x14ac:dyDescent="0.35">
      <c r="A526" s="92"/>
      <c r="F526" s="726"/>
      <c r="G526" s="735"/>
      <c r="H526" s="93"/>
      <c r="I526" s="750"/>
      <c r="J526" s="750"/>
    </row>
    <row r="527" spans="1:10" x14ac:dyDescent="0.35">
      <c r="A527" s="92"/>
      <c r="F527" s="726"/>
      <c r="G527" s="735"/>
      <c r="H527" s="93"/>
      <c r="I527" s="750"/>
      <c r="J527" s="750"/>
    </row>
    <row r="528" spans="1:10" x14ac:dyDescent="0.35">
      <c r="A528" s="92"/>
      <c r="F528" s="726"/>
      <c r="G528" s="735"/>
      <c r="H528" s="93"/>
      <c r="I528" s="750"/>
      <c r="J528" s="750"/>
    </row>
    <row r="529" spans="1:10" x14ac:dyDescent="0.35">
      <c r="A529" s="92"/>
      <c r="F529" s="726"/>
      <c r="G529" s="735"/>
      <c r="H529" s="93"/>
      <c r="I529" s="750"/>
      <c r="J529" s="750"/>
    </row>
    <row r="530" spans="1:10" x14ac:dyDescent="0.35">
      <c r="A530" s="92"/>
      <c r="F530" s="726"/>
      <c r="G530" s="735"/>
      <c r="H530" s="93"/>
      <c r="I530" s="750"/>
      <c r="J530" s="750"/>
    </row>
    <row r="531" spans="1:10" x14ac:dyDescent="0.35">
      <c r="A531" s="92"/>
      <c r="F531" s="726"/>
      <c r="G531" s="735"/>
      <c r="H531" s="93"/>
      <c r="I531" s="750"/>
      <c r="J531" s="750"/>
    </row>
    <row r="532" spans="1:10" x14ac:dyDescent="0.35">
      <c r="A532" s="92"/>
      <c r="F532" s="726"/>
      <c r="G532" s="735"/>
      <c r="H532" s="93"/>
      <c r="I532" s="750"/>
      <c r="J532" s="750"/>
    </row>
    <row r="533" spans="1:10" x14ac:dyDescent="0.35">
      <c r="A533" s="92"/>
      <c r="F533" s="726"/>
      <c r="G533" s="735"/>
      <c r="H533" s="93"/>
      <c r="I533" s="750"/>
      <c r="J533" s="750"/>
    </row>
    <row r="534" spans="1:10" x14ac:dyDescent="0.35">
      <c r="A534" s="92"/>
      <c r="F534" s="726"/>
      <c r="G534" s="735"/>
      <c r="H534" s="93"/>
      <c r="I534" s="750"/>
      <c r="J534" s="750"/>
    </row>
    <row r="535" spans="1:10" x14ac:dyDescent="0.35">
      <c r="A535" s="92"/>
      <c r="F535" s="726"/>
      <c r="G535" s="735"/>
      <c r="H535" s="93"/>
      <c r="I535" s="750"/>
      <c r="J535" s="750"/>
    </row>
    <row r="536" spans="1:10" x14ac:dyDescent="0.35">
      <c r="A536" s="92"/>
      <c r="F536" s="726"/>
      <c r="G536" s="735"/>
      <c r="H536" s="93"/>
      <c r="I536" s="750"/>
      <c r="J536" s="750"/>
    </row>
    <row r="537" spans="1:10" x14ac:dyDescent="0.35">
      <c r="A537" s="92"/>
      <c r="F537" s="726"/>
      <c r="G537" s="735"/>
      <c r="H537" s="93"/>
      <c r="I537" s="750"/>
      <c r="J537" s="750"/>
    </row>
    <row r="538" spans="1:10" x14ac:dyDescent="0.35">
      <c r="A538" s="92"/>
      <c r="F538" s="726"/>
      <c r="G538" s="735"/>
      <c r="H538" s="93"/>
      <c r="I538" s="750"/>
      <c r="J538" s="750"/>
    </row>
    <row r="539" spans="1:10" x14ac:dyDescent="0.35">
      <c r="A539" s="92"/>
      <c r="F539" s="726"/>
      <c r="G539" s="735"/>
      <c r="H539" s="93"/>
      <c r="I539" s="750"/>
      <c r="J539" s="750"/>
    </row>
    <row r="540" spans="1:10" x14ac:dyDescent="0.35">
      <c r="A540" s="92"/>
      <c r="F540" s="726"/>
      <c r="G540" s="735"/>
      <c r="H540" s="93"/>
      <c r="I540" s="750"/>
      <c r="J540" s="750"/>
    </row>
    <row r="541" spans="1:10" x14ac:dyDescent="0.35">
      <c r="A541" s="92"/>
      <c r="F541" s="726"/>
      <c r="G541" s="735"/>
      <c r="H541" s="93"/>
      <c r="I541" s="750"/>
      <c r="J541" s="750"/>
    </row>
    <row r="542" spans="1:10" x14ac:dyDescent="0.35">
      <c r="A542" s="92"/>
      <c r="F542" s="726"/>
      <c r="G542" s="735"/>
      <c r="H542" s="93"/>
      <c r="I542" s="750"/>
      <c r="J542" s="750"/>
    </row>
    <row r="543" spans="1:10" x14ac:dyDescent="0.35">
      <c r="A543" s="92"/>
      <c r="F543" s="726"/>
      <c r="G543" s="735"/>
      <c r="H543" s="93"/>
      <c r="I543" s="750"/>
      <c r="J543" s="750"/>
    </row>
    <row r="544" spans="1:10" x14ac:dyDescent="0.35">
      <c r="A544" s="92"/>
      <c r="F544" s="726"/>
      <c r="G544" s="735"/>
      <c r="H544" s="93"/>
      <c r="I544" s="750"/>
      <c r="J544" s="750"/>
    </row>
    <row r="545" spans="1:10" x14ac:dyDescent="0.35">
      <c r="A545" s="92"/>
      <c r="F545" s="726"/>
      <c r="G545" s="735"/>
      <c r="H545" s="93"/>
      <c r="I545" s="750"/>
      <c r="J545" s="750"/>
    </row>
    <row r="546" spans="1:10" x14ac:dyDescent="0.35">
      <c r="A546" s="92"/>
      <c r="F546" s="726"/>
      <c r="G546" s="735"/>
      <c r="H546" s="93"/>
      <c r="I546" s="750"/>
      <c r="J546" s="750"/>
    </row>
    <row r="547" spans="1:10" x14ac:dyDescent="0.35">
      <c r="A547" s="92"/>
      <c r="F547" s="726"/>
      <c r="G547" s="735"/>
      <c r="H547" s="93"/>
      <c r="I547" s="750"/>
      <c r="J547" s="750"/>
    </row>
    <row r="548" spans="1:10" x14ac:dyDescent="0.35">
      <c r="A548" s="92"/>
      <c r="F548" s="726"/>
      <c r="G548" s="735"/>
      <c r="H548" s="93"/>
      <c r="I548" s="750"/>
      <c r="J548" s="750"/>
    </row>
    <row r="549" spans="1:10" x14ac:dyDescent="0.35">
      <c r="A549" s="92"/>
      <c r="F549" s="726"/>
      <c r="G549" s="735"/>
      <c r="H549" s="93"/>
      <c r="I549" s="750"/>
      <c r="J549" s="750"/>
    </row>
    <row r="550" spans="1:10" x14ac:dyDescent="0.35">
      <c r="A550" s="92"/>
      <c r="F550" s="726"/>
      <c r="G550" s="735"/>
      <c r="H550" s="93"/>
      <c r="I550" s="750"/>
      <c r="J550" s="750"/>
    </row>
    <row r="551" spans="1:10" x14ac:dyDescent="0.35">
      <c r="A551" s="92"/>
      <c r="F551" s="726"/>
      <c r="G551" s="735"/>
      <c r="H551" s="93"/>
      <c r="I551" s="750"/>
      <c r="J551" s="750"/>
    </row>
    <row r="552" spans="1:10" x14ac:dyDescent="0.35">
      <c r="A552" s="92"/>
      <c r="F552" s="726"/>
      <c r="G552" s="735"/>
      <c r="H552" s="93"/>
      <c r="I552" s="750"/>
      <c r="J552" s="750"/>
    </row>
    <row r="553" spans="1:10" x14ac:dyDescent="0.35">
      <c r="A553" s="92"/>
      <c r="F553" s="726"/>
      <c r="G553" s="735"/>
      <c r="H553" s="93"/>
      <c r="I553" s="750"/>
      <c r="J553" s="750"/>
    </row>
    <row r="554" spans="1:10" x14ac:dyDescent="0.35">
      <c r="A554" s="92"/>
      <c r="F554" s="726"/>
      <c r="G554" s="735"/>
      <c r="H554" s="93"/>
      <c r="I554" s="750"/>
      <c r="J554" s="750"/>
    </row>
    <row r="555" spans="1:10" x14ac:dyDescent="0.35">
      <c r="A555" s="92"/>
      <c r="F555" s="726"/>
      <c r="G555" s="735"/>
      <c r="H555" s="93"/>
      <c r="I555" s="750"/>
      <c r="J555" s="750"/>
    </row>
    <row r="556" spans="1:10" x14ac:dyDescent="0.35">
      <c r="A556" s="92"/>
      <c r="F556" s="726"/>
      <c r="G556" s="735"/>
      <c r="H556" s="93"/>
      <c r="I556" s="750"/>
      <c r="J556" s="750"/>
    </row>
    <row r="557" spans="1:10" x14ac:dyDescent="0.35">
      <c r="A557" s="92"/>
      <c r="F557" s="726"/>
      <c r="G557" s="735"/>
      <c r="H557" s="93"/>
      <c r="I557" s="750"/>
      <c r="J557" s="750"/>
    </row>
    <row r="558" spans="1:10" x14ac:dyDescent="0.35">
      <c r="A558" s="92"/>
      <c r="F558" s="726"/>
      <c r="G558" s="735"/>
      <c r="H558" s="93"/>
      <c r="I558" s="750"/>
      <c r="J558" s="750"/>
    </row>
    <row r="559" spans="1:10" x14ac:dyDescent="0.35">
      <c r="A559" s="92"/>
      <c r="F559" s="726"/>
      <c r="G559" s="735"/>
      <c r="H559" s="93"/>
      <c r="I559" s="750"/>
      <c r="J559" s="750"/>
    </row>
    <row r="560" spans="1:10" x14ac:dyDescent="0.35">
      <c r="A560" s="92"/>
      <c r="F560" s="726"/>
      <c r="G560" s="735"/>
      <c r="H560" s="93"/>
      <c r="I560" s="750"/>
      <c r="J560" s="750"/>
    </row>
    <row r="561" spans="1:10" x14ac:dyDescent="0.35">
      <c r="A561" s="92"/>
      <c r="F561" s="726"/>
      <c r="G561" s="735"/>
      <c r="H561" s="93"/>
      <c r="I561" s="750"/>
      <c r="J561" s="750"/>
    </row>
    <row r="562" spans="1:10" x14ac:dyDescent="0.35">
      <c r="A562" s="92"/>
      <c r="F562" s="726"/>
      <c r="G562" s="735"/>
      <c r="H562" s="93"/>
      <c r="I562" s="750"/>
      <c r="J562" s="750"/>
    </row>
    <row r="563" spans="1:10" x14ac:dyDescent="0.35">
      <c r="A563" s="92"/>
      <c r="F563" s="726"/>
      <c r="G563" s="735"/>
      <c r="H563" s="93"/>
      <c r="I563" s="750"/>
      <c r="J563" s="750"/>
    </row>
    <row r="564" spans="1:10" x14ac:dyDescent="0.35">
      <c r="A564" s="92"/>
      <c r="F564" s="726"/>
      <c r="G564" s="735"/>
      <c r="H564" s="93"/>
      <c r="I564" s="750"/>
      <c r="J564" s="750"/>
    </row>
    <row r="565" spans="1:10" x14ac:dyDescent="0.35">
      <c r="A565" s="92"/>
      <c r="F565" s="726"/>
      <c r="G565" s="735"/>
      <c r="H565" s="93"/>
      <c r="I565" s="750"/>
      <c r="J565" s="750"/>
    </row>
    <row r="566" spans="1:10" x14ac:dyDescent="0.35">
      <c r="A566" s="92"/>
      <c r="F566" s="726"/>
      <c r="G566" s="735"/>
      <c r="H566" s="93"/>
      <c r="I566" s="750"/>
      <c r="J566" s="750"/>
    </row>
    <row r="567" spans="1:10" x14ac:dyDescent="0.35">
      <c r="A567" s="92"/>
      <c r="F567" s="726"/>
      <c r="G567" s="735"/>
      <c r="H567" s="93"/>
      <c r="I567" s="750"/>
      <c r="J567" s="750"/>
    </row>
    <row r="568" spans="1:10" x14ac:dyDescent="0.35">
      <c r="A568" s="92"/>
      <c r="F568" s="726"/>
      <c r="G568" s="735"/>
      <c r="H568" s="93"/>
      <c r="I568" s="750"/>
      <c r="J568" s="750"/>
    </row>
    <row r="569" spans="1:10" x14ac:dyDescent="0.35">
      <c r="A569" s="92"/>
      <c r="F569" s="726"/>
      <c r="G569" s="735"/>
      <c r="H569" s="93"/>
      <c r="I569" s="750"/>
      <c r="J569" s="750"/>
    </row>
    <row r="570" spans="1:10" x14ac:dyDescent="0.35">
      <c r="A570" s="92"/>
      <c r="F570" s="726"/>
      <c r="G570" s="735"/>
      <c r="H570" s="93"/>
      <c r="I570" s="750"/>
      <c r="J570" s="750"/>
    </row>
    <row r="571" spans="1:10" x14ac:dyDescent="0.35">
      <c r="A571" s="92"/>
      <c r="F571" s="726"/>
      <c r="G571" s="735"/>
      <c r="H571" s="93"/>
      <c r="I571" s="750"/>
      <c r="J571" s="750"/>
    </row>
    <row r="572" spans="1:10" x14ac:dyDescent="0.35">
      <c r="A572" s="92"/>
      <c r="F572" s="726"/>
      <c r="G572" s="735"/>
      <c r="H572" s="93"/>
      <c r="I572" s="750"/>
      <c r="J572" s="750"/>
    </row>
    <row r="573" spans="1:10" x14ac:dyDescent="0.35">
      <c r="A573" s="92"/>
      <c r="F573" s="726"/>
      <c r="G573" s="735"/>
      <c r="H573" s="93"/>
      <c r="I573" s="750"/>
      <c r="J573" s="750"/>
    </row>
    <row r="574" spans="1:10" x14ac:dyDescent="0.35">
      <c r="A574" s="92"/>
      <c r="F574" s="726"/>
      <c r="G574" s="735"/>
      <c r="H574" s="93"/>
      <c r="I574" s="750"/>
      <c r="J574" s="750"/>
    </row>
    <row r="575" spans="1:10" x14ac:dyDescent="0.35">
      <c r="A575" s="92"/>
      <c r="F575" s="726"/>
      <c r="G575" s="735"/>
      <c r="H575" s="93"/>
      <c r="I575" s="750"/>
      <c r="J575" s="750"/>
    </row>
    <row r="576" spans="1:10" x14ac:dyDescent="0.35">
      <c r="A576" s="92"/>
      <c r="F576" s="726"/>
      <c r="G576" s="735"/>
      <c r="H576" s="93"/>
      <c r="I576" s="750"/>
      <c r="J576" s="750"/>
    </row>
    <row r="577" spans="1:10" x14ac:dyDescent="0.35">
      <c r="A577" s="92"/>
      <c r="F577" s="726"/>
      <c r="G577" s="735"/>
      <c r="H577" s="93"/>
      <c r="I577" s="750"/>
      <c r="J577" s="750"/>
    </row>
    <row r="578" spans="1:10" x14ac:dyDescent="0.35">
      <c r="A578" s="92"/>
      <c r="F578" s="726"/>
      <c r="G578" s="735"/>
      <c r="H578" s="93"/>
      <c r="I578" s="750"/>
      <c r="J578" s="750"/>
    </row>
    <row r="579" spans="1:10" x14ac:dyDescent="0.35">
      <c r="A579" s="92"/>
      <c r="F579" s="726"/>
      <c r="G579" s="735"/>
      <c r="H579" s="93"/>
      <c r="I579" s="750"/>
      <c r="J579" s="750"/>
    </row>
    <row r="580" spans="1:10" x14ac:dyDescent="0.35">
      <c r="A580" s="92"/>
      <c r="F580" s="726"/>
      <c r="G580" s="735"/>
      <c r="H580" s="93"/>
      <c r="I580" s="750"/>
      <c r="J580" s="750"/>
    </row>
    <row r="581" spans="1:10" x14ac:dyDescent="0.35">
      <c r="A581" s="92"/>
      <c r="F581" s="726"/>
      <c r="G581" s="735"/>
      <c r="H581" s="93"/>
      <c r="I581" s="750"/>
      <c r="J581" s="750"/>
    </row>
    <row r="582" spans="1:10" x14ac:dyDescent="0.35">
      <c r="A582" s="92"/>
      <c r="F582" s="726"/>
      <c r="G582" s="735"/>
      <c r="H582" s="93"/>
      <c r="I582" s="750"/>
      <c r="J582" s="750"/>
    </row>
    <row r="583" spans="1:10" x14ac:dyDescent="0.35">
      <c r="A583" s="92"/>
      <c r="F583" s="726"/>
      <c r="G583" s="735"/>
      <c r="H583" s="93"/>
      <c r="I583" s="750"/>
      <c r="J583" s="750"/>
    </row>
    <row r="584" spans="1:10" x14ac:dyDescent="0.35">
      <c r="A584" s="92"/>
      <c r="F584" s="726"/>
      <c r="G584" s="735"/>
      <c r="H584" s="93"/>
      <c r="I584" s="750"/>
      <c r="J584" s="750"/>
    </row>
    <row r="585" spans="1:10" x14ac:dyDescent="0.35">
      <c r="A585" s="92"/>
      <c r="F585" s="726"/>
      <c r="G585" s="735"/>
      <c r="H585" s="93"/>
      <c r="I585" s="750"/>
      <c r="J585" s="750"/>
    </row>
    <row r="586" spans="1:10" x14ac:dyDescent="0.35">
      <c r="A586" s="92"/>
      <c r="F586" s="726"/>
      <c r="G586" s="735"/>
      <c r="H586" s="93"/>
      <c r="I586" s="750"/>
      <c r="J586" s="750"/>
    </row>
    <row r="587" spans="1:10" x14ac:dyDescent="0.35">
      <c r="A587" s="92"/>
      <c r="F587" s="726"/>
      <c r="G587" s="735"/>
      <c r="H587" s="93"/>
      <c r="I587" s="750"/>
      <c r="J587" s="750"/>
    </row>
    <row r="588" spans="1:10" x14ac:dyDescent="0.35">
      <c r="A588" s="92"/>
      <c r="F588" s="726"/>
      <c r="G588" s="735"/>
      <c r="H588" s="93"/>
      <c r="I588" s="750"/>
      <c r="J588" s="750"/>
    </row>
    <row r="589" spans="1:10" x14ac:dyDescent="0.35">
      <c r="A589" s="92"/>
      <c r="F589" s="726"/>
      <c r="G589" s="735"/>
      <c r="H589" s="93"/>
      <c r="I589" s="750"/>
      <c r="J589" s="750"/>
    </row>
    <row r="590" spans="1:10" x14ac:dyDescent="0.35">
      <c r="A590" s="92"/>
      <c r="F590" s="726"/>
      <c r="G590" s="735"/>
      <c r="H590" s="93"/>
      <c r="I590" s="750"/>
      <c r="J590" s="750"/>
    </row>
    <row r="591" spans="1:10" x14ac:dyDescent="0.35">
      <c r="A591" s="92"/>
      <c r="F591" s="726"/>
      <c r="G591" s="735"/>
      <c r="H591" s="93"/>
      <c r="I591" s="750"/>
      <c r="J591" s="750"/>
    </row>
    <row r="592" spans="1:10" x14ac:dyDescent="0.35">
      <c r="A592" s="92"/>
      <c r="F592" s="726"/>
      <c r="G592" s="735"/>
      <c r="H592" s="93"/>
      <c r="I592" s="750"/>
      <c r="J592" s="750"/>
    </row>
    <row r="593" spans="1:10" x14ac:dyDescent="0.35">
      <c r="A593" s="92"/>
      <c r="F593" s="726"/>
      <c r="G593" s="735"/>
      <c r="H593" s="93"/>
      <c r="I593" s="750"/>
      <c r="J593" s="750"/>
    </row>
    <row r="594" spans="1:10" x14ac:dyDescent="0.35">
      <c r="A594" s="92"/>
      <c r="F594" s="726"/>
      <c r="G594" s="735"/>
      <c r="H594" s="93"/>
      <c r="I594" s="750"/>
      <c r="J594" s="750"/>
    </row>
    <row r="595" spans="1:10" x14ac:dyDescent="0.35">
      <c r="A595" s="92"/>
      <c r="F595" s="726"/>
      <c r="G595" s="735"/>
      <c r="H595" s="93"/>
      <c r="I595" s="750"/>
      <c r="J595" s="750"/>
    </row>
    <row r="596" spans="1:10" x14ac:dyDescent="0.35">
      <c r="A596" s="92"/>
      <c r="F596" s="726"/>
      <c r="G596" s="735"/>
      <c r="H596" s="93"/>
      <c r="I596" s="750"/>
      <c r="J596" s="750"/>
    </row>
    <row r="597" spans="1:10" x14ac:dyDescent="0.35">
      <c r="A597" s="92"/>
      <c r="F597" s="726"/>
      <c r="G597" s="735"/>
      <c r="H597" s="93"/>
      <c r="I597" s="750"/>
      <c r="J597" s="750"/>
    </row>
    <row r="598" spans="1:10" x14ac:dyDescent="0.35">
      <c r="A598" s="92"/>
      <c r="F598" s="726"/>
      <c r="G598" s="735"/>
      <c r="H598" s="93"/>
      <c r="I598" s="750"/>
      <c r="J598" s="750"/>
    </row>
    <row r="599" spans="1:10" x14ac:dyDescent="0.35">
      <c r="A599" s="92"/>
      <c r="F599" s="726"/>
      <c r="G599" s="735"/>
      <c r="H599" s="93"/>
      <c r="I599" s="750"/>
      <c r="J599" s="750"/>
    </row>
    <row r="600" spans="1:10" x14ac:dyDescent="0.35">
      <c r="A600" s="92"/>
      <c r="F600" s="726"/>
      <c r="G600" s="735"/>
      <c r="H600" s="93"/>
      <c r="I600" s="750"/>
      <c r="J600" s="750"/>
    </row>
    <row r="601" spans="1:10" x14ac:dyDescent="0.35">
      <c r="A601" s="92"/>
      <c r="F601" s="726"/>
      <c r="G601" s="735"/>
      <c r="H601" s="93"/>
      <c r="I601" s="750"/>
      <c r="J601" s="750"/>
    </row>
    <row r="602" spans="1:10" x14ac:dyDescent="0.35">
      <c r="A602" s="92"/>
      <c r="F602" s="726"/>
      <c r="G602" s="735"/>
      <c r="H602" s="93"/>
      <c r="I602" s="750"/>
      <c r="J602" s="750"/>
    </row>
    <row r="603" spans="1:10" x14ac:dyDescent="0.35">
      <c r="A603" s="92"/>
      <c r="F603" s="726"/>
      <c r="G603" s="735"/>
      <c r="H603" s="93"/>
      <c r="I603" s="750"/>
      <c r="J603" s="750"/>
    </row>
    <row r="604" spans="1:10" x14ac:dyDescent="0.35">
      <c r="A604" s="92"/>
      <c r="F604" s="726"/>
      <c r="G604" s="735"/>
      <c r="H604" s="93"/>
      <c r="I604" s="750"/>
      <c r="J604" s="750"/>
    </row>
    <row r="605" spans="1:10" x14ac:dyDescent="0.35">
      <c r="A605" s="92"/>
      <c r="F605" s="726"/>
      <c r="G605" s="735"/>
      <c r="H605" s="93"/>
      <c r="I605" s="750"/>
      <c r="J605" s="750"/>
    </row>
    <row r="606" spans="1:10" x14ac:dyDescent="0.35">
      <c r="A606" s="92"/>
      <c r="F606" s="726"/>
      <c r="G606" s="735"/>
      <c r="H606" s="93"/>
      <c r="I606" s="750"/>
      <c r="J606" s="750"/>
    </row>
    <row r="607" spans="1:10" x14ac:dyDescent="0.35">
      <c r="A607" s="92"/>
      <c r="F607" s="726"/>
      <c r="G607" s="735"/>
      <c r="H607" s="93"/>
      <c r="I607" s="750"/>
      <c r="J607" s="750"/>
    </row>
    <row r="608" spans="1:10" x14ac:dyDescent="0.35">
      <c r="A608" s="92"/>
      <c r="F608" s="726"/>
      <c r="G608" s="735"/>
      <c r="H608" s="93"/>
      <c r="I608" s="750"/>
      <c r="J608" s="750"/>
    </row>
    <row r="609" spans="1:10" x14ac:dyDescent="0.35">
      <c r="A609" s="92"/>
      <c r="F609" s="726"/>
      <c r="G609" s="735"/>
      <c r="H609" s="93"/>
      <c r="I609" s="750"/>
      <c r="J609" s="750"/>
    </row>
    <row r="610" spans="1:10" x14ac:dyDescent="0.35">
      <c r="A610" s="92"/>
      <c r="F610" s="726"/>
      <c r="G610" s="735"/>
      <c r="H610" s="93"/>
      <c r="I610" s="750"/>
      <c r="J610" s="750"/>
    </row>
    <row r="611" spans="1:10" x14ac:dyDescent="0.35">
      <c r="A611" s="92"/>
      <c r="F611" s="726"/>
      <c r="G611" s="735"/>
      <c r="H611" s="93"/>
      <c r="I611" s="750"/>
      <c r="J611" s="750"/>
    </row>
    <row r="612" spans="1:10" x14ac:dyDescent="0.35">
      <c r="A612" s="92"/>
      <c r="F612" s="726"/>
      <c r="G612" s="735"/>
      <c r="H612" s="93"/>
      <c r="I612" s="750"/>
      <c r="J612" s="750"/>
    </row>
    <row r="613" spans="1:10" x14ac:dyDescent="0.35">
      <c r="A613" s="92"/>
      <c r="F613" s="726"/>
      <c r="G613" s="735"/>
      <c r="H613" s="93"/>
      <c r="I613" s="750"/>
      <c r="J613" s="750"/>
    </row>
    <row r="614" spans="1:10" x14ac:dyDescent="0.35">
      <c r="A614" s="92"/>
      <c r="F614" s="726"/>
      <c r="G614" s="735"/>
      <c r="H614" s="93"/>
      <c r="I614" s="750"/>
      <c r="J614" s="750"/>
    </row>
    <row r="615" spans="1:10" x14ac:dyDescent="0.35">
      <c r="A615" s="92"/>
      <c r="F615" s="726"/>
      <c r="G615" s="735"/>
      <c r="H615" s="93"/>
      <c r="I615" s="750"/>
      <c r="J615" s="750"/>
    </row>
    <row r="616" spans="1:10" x14ac:dyDescent="0.35">
      <c r="A616" s="92"/>
      <c r="F616" s="726"/>
      <c r="G616" s="735"/>
      <c r="H616" s="93"/>
      <c r="I616" s="750"/>
      <c r="J616" s="750"/>
    </row>
    <row r="617" spans="1:10" x14ac:dyDescent="0.35">
      <c r="A617" s="92"/>
      <c r="F617" s="726"/>
      <c r="G617" s="735"/>
      <c r="H617" s="93"/>
      <c r="I617" s="750"/>
      <c r="J617" s="750"/>
    </row>
    <row r="618" spans="1:10" x14ac:dyDescent="0.35">
      <c r="A618" s="92"/>
      <c r="F618" s="726"/>
      <c r="G618" s="735"/>
      <c r="H618" s="93"/>
      <c r="I618" s="750"/>
      <c r="J618" s="750"/>
    </row>
    <row r="619" spans="1:10" x14ac:dyDescent="0.35">
      <c r="A619" s="92"/>
      <c r="F619" s="726"/>
      <c r="G619" s="735"/>
      <c r="H619" s="93"/>
      <c r="I619" s="750"/>
      <c r="J619" s="750"/>
    </row>
    <row r="620" spans="1:10" x14ac:dyDescent="0.35">
      <c r="A620" s="92"/>
      <c r="F620" s="726"/>
      <c r="G620" s="735"/>
      <c r="H620" s="93"/>
      <c r="I620" s="750"/>
      <c r="J620" s="750"/>
    </row>
    <row r="621" spans="1:10" x14ac:dyDescent="0.35">
      <c r="A621" s="92"/>
      <c r="F621" s="726"/>
      <c r="G621" s="735"/>
      <c r="H621" s="93"/>
      <c r="I621" s="750"/>
      <c r="J621" s="750"/>
    </row>
    <row r="622" spans="1:10" x14ac:dyDescent="0.35">
      <c r="A622" s="92"/>
      <c r="F622" s="726"/>
      <c r="G622" s="735"/>
      <c r="H622" s="93"/>
      <c r="I622" s="750"/>
      <c r="J622" s="750"/>
    </row>
    <row r="623" spans="1:10" x14ac:dyDescent="0.35">
      <c r="A623" s="92"/>
      <c r="F623" s="726"/>
      <c r="G623" s="735"/>
      <c r="H623" s="93"/>
      <c r="I623" s="750"/>
      <c r="J623" s="750"/>
    </row>
    <row r="624" spans="1:10" x14ac:dyDescent="0.35">
      <c r="A624" s="92"/>
      <c r="F624" s="726"/>
      <c r="G624" s="735"/>
      <c r="H624" s="93"/>
      <c r="I624" s="750"/>
      <c r="J624" s="750"/>
    </row>
    <row r="625" spans="1:10" x14ac:dyDescent="0.35">
      <c r="A625" s="92"/>
      <c r="F625" s="726"/>
      <c r="G625" s="735"/>
      <c r="H625" s="93"/>
      <c r="I625" s="750"/>
      <c r="J625" s="750"/>
    </row>
    <row r="626" spans="1:10" x14ac:dyDescent="0.35">
      <c r="A626" s="92"/>
      <c r="F626" s="726"/>
      <c r="G626" s="735"/>
      <c r="H626" s="93"/>
      <c r="I626" s="750"/>
      <c r="J626" s="750"/>
    </row>
    <row r="627" spans="1:10" x14ac:dyDescent="0.35">
      <c r="A627" s="92"/>
      <c r="F627" s="726"/>
      <c r="G627" s="735"/>
      <c r="H627" s="93"/>
      <c r="I627" s="750"/>
      <c r="J627" s="750"/>
    </row>
    <row r="628" spans="1:10" x14ac:dyDescent="0.35">
      <c r="A628" s="92"/>
      <c r="F628" s="726"/>
      <c r="G628" s="735"/>
      <c r="H628" s="93"/>
      <c r="I628" s="750"/>
      <c r="J628" s="750"/>
    </row>
    <row r="629" spans="1:10" x14ac:dyDescent="0.35">
      <c r="A629" s="92"/>
      <c r="F629" s="726"/>
      <c r="G629" s="735"/>
      <c r="H629" s="93"/>
      <c r="I629" s="750"/>
      <c r="J629" s="750"/>
    </row>
    <row r="630" spans="1:10" x14ac:dyDescent="0.35">
      <c r="A630" s="92"/>
      <c r="F630" s="726"/>
      <c r="G630" s="735"/>
      <c r="H630" s="93"/>
      <c r="I630" s="750"/>
      <c r="J630" s="750"/>
    </row>
    <row r="631" spans="1:10" x14ac:dyDescent="0.35">
      <c r="A631" s="92"/>
      <c r="F631" s="726"/>
      <c r="G631" s="735"/>
      <c r="H631" s="93"/>
      <c r="I631" s="750"/>
      <c r="J631" s="750"/>
    </row>
    <row r="632" spans="1:10" x14ac:dyDescent="0.35">
      <c r="A632" s="92"/>
      <c r="F632" s="726"/>
      <c r="G632" s="735"/>
      <c r="H632" s="93"/>
      <c r="I632" s="750"/>
      <c r="J632" s="750"/>
    </row>
    <row r="633" spans="1:10" x14ac:dyDescent="0.35">
      <c r="A633" s="92"/>
      <c r="F633" s="726"/>
      <c r="G633" s="735"/>
      <c r="H633" s="93"/>
      <c r="I633" s="750"/>
      <c r="J633" s="750"/>
    </row>
    <row r="634" spans="1:10" x14ac:dyDescent="0.35">
      <c r="A634" s="92"/>
      <c r="F634" s="726"/>
      <c r="G634" s="735"/>
      <c r="H634" s="93"/>
      <c r="I634" s="750"/>
      <c r="J634" s="750"/>
    </row>
    <row r="635" spans="1:10" x14ac:dyDescent="0.35">
      <c r="A635" s="92"/>
      <c r="F635" s="726"/>
      <c r="G635" s="735"/>
      <c r="H635" s="93"/>
      <c r="I635" s="750"/>
      <c r="J635" s="750"/>
    </row>
    <row r="636" spans="1:10" x14ac:dyDescent="0.35">
      <c r="A636" s="92"/>
      <c r="F636" s="726"/>
      <c r="G636" s="735"/>
      <c r="H636" s="93"/>
      <c r="I636" s="750"/>
      <c r="J636" s="750"/>
    </row>
    <row r="637" spans="1:10" x14ac:dyDescent="0.35">
      <c r="A637" s="92"/>
      <c r="F637" s="726"/>
      <c r="G637" s="735"/>
      <c r="H637" s="93"/>
      <c r="I637" s="750"/>
      <c r="J637" s="750"/>
    </row>
    <row r="638" spans="1:10" x14ac:dyDescent="0.35">
      <c r="A638" s="92"/>
      <c r="F638" s="726"/>
      <c r="G638" s="735"/>
      <c r="H638" s="93"/>
      <c r="I638" s="750"/>
      <c r="J638" s="750"/>
    </row>
    <row r="639" spans="1:10" x14ac:dyDescent="0.35">
      <c r="A639" s="92"/>
      <c r="F639" s="726"/>
      <c r="G639" s="735"/>
      <c r="H639" s="93"/>
      <c r="I639" s="750"/>
      <c r="J639" s="750"/>
    </row>
    <row r="640" spans="1:10" x14ac:dyDescent="0.35">
      <c r="A640" s="92"/>
      <c r="F640" s="726"/>
      <c r="G640" s="735"/>
      <c r="H640" s="93"/>
      <c r="I640" s="750"/>
      <c r="J640" s="750"/>
    </row>
    <row r="641" spans="1:10" x14ac:dyDescent="0.35">
      <c r="A641" s="92"/>
      <c r="F641" s="726"/>
      <c r="G641" s="735"/>
      <c r="H641" s="93"/>
      <c r="I641" s="750"/>
      <c r="J641" s="750"/>
    </row>
    <row r="642" spans="1:10" x14ac:dyDescent="0.35">
      <c r="A642" s="92"/>
      <c r="F642" s="726"/>
      <c r="G642" s="735"/>
      <c r="H642" s="93"/>
      <c r="I642" s="750"/>
      <c r="J642" s="750"/>
    </row>
    <row r="643" spans="1:10" x14ac:dyDescent="0.35">
      <c r="A643" s="92"/>
      <c r="F643" s="726"/>
      <c r="G643" s="735"/>
      <c r="H643" s="93"/>
      <c r="I643" s="750"/>
      <c r="J643" s="750"/>
    </row>
    <row r="644" spans="1:10" x14ac:dyDescent="0.35">
      <c r="A644" s="92"/>
      <c r="F644" s="726"/>
      <c r="G644" s="735"/>
      <c r="H644" s="93"/>
      <c r="I644" s="750"/>
      <c r="J644" s="750"/>
    </row>
    <row r="645" spans="1:10" x14ac:dyDescent="0.35">
      <c r="A645" s="92"/>
      <c r="F645" s="726"/>
      <c r="G645" s="735"/>
      <c r="H645" s="93"/>
      <c r="I645" s="750"/>
      <c r="J645" s="750"/>
    </row>
    <row r="646" spans="1:10" x14ac:dyDescent="0.35">
      <c r="A646" s="92"/>
      <c r="F646" s="726"/>
      <c r="G646" s="735"/>
      <c r="H646" s="93"/>
      <c r="I646" s="750"/>
      <c r="J646" s="750"/>
    </row>
    <row r="647" spans="1:10" x14ac:dyDescent="0.35">
      <c r="A647" s="92"/>
      <c r="F647" s="726"/>
      <c r="G647" s="735"/>
      <c r="H647" s="93"/>
      <c r="I647" s="750"/>
      <c r="J647" s="750"/>
    </row>
    <row r="648" spans="1:10" x14ac:dyDescent="0.35">
      <c r="A648" s="92"/>
      <c r="F648" s="726"/>
      <c r="G648" s="735"/>
      <c r="H648" s="93"/>
      <c r="I648" s="750"/>
      <c r="J648" s="750"/>
    </row>
    <row r="649" spans="1:10" x14ac:dyDescent="0.35">
      <c r="A649" s="92"/>
      <c r="F649" s="726"/>
      <c r="G649" s="735"/>
      <c r="H649" s="93"/>
      <c r="I649" s="750"/>
      <c r="J649" s="750"/>
    </row>
    <row r="650" spans="1:10" x14ac:dyDescent="0.35">
      <c r="A650" s="92"/>
      <c r="F650" s="726"/>
      <c r="G650" s="735"/>
      <c r="H650" s="93"/>
      <c r="I650" s="750"/>
      <c r="J650" s="750"/>
    </row>
    <row r="651" spans="1:10" x14ac:dyDescent="0.35">
      <c r="A651" s="92"/>
      <c r="F651" s="726"/>
      <c r="G651" s="735"/>
      <c r="H651" s="93"/>
      <c r="I651" s="750"/>
      <c r="J651" s="750"/>
    </row>
    <row r="652" spans="1:10" x14ac:dyDescent="0.35">
      <c r="A652" s="92"/>
      <c r="F652" s="726"/>
      <c r="G652" s="735"/>
      <c r="H652" s="93"/>
      <c r="I652" s="750"/>
      <c r="J652" s="750"/>
    </row>
    <row r="653" spans="1:10" x14ac:dyDescent="0.35">
      <c r="A653" s="92"/>
      <c r="F653" s="726"/>
      <c r="G653" s="735"/>
      <c r="H653" s="93"/>
      <c r="I653" s="750"/>
      <c r="J653" s="750"/>
    </row>
    <row r="654" spans="1:10" x14ac:dyDescent="0.35">
      <c r="A654" s="92"/>
      <c r="F654" s="726"/>
      <c r="G654" s="735"/>
      <c r="H654" s="93"/>
      <c r="I654" s="750"/>
      <c r="J654" s="750"/>
    </row>
    <row r="655" spans="1:10" x14ac:dyDescent="0.35">
      <c r="A655" s="92"/>
      <c r="F655" s="726"/>
      <c r="G655" s="735"/>
      <c r="H655" s="93"/>
      <c r="I655" s="750"/>
      <c r="J655" s="750"/>
    </row>
    <row r="656" spans="1:10" x14ac:dyDescent="0.35">
      <c r="A656" s="92"/>
      <c r="F656" s="726"/>
      <c r="G656" s="735"/>
      <c r="H656" s="93"/>
      <c r="I656" s="750"/>
      <c r="J656" s="750"/>
    </row>
    <row r="657" spans="1:10" x14ac:dyDescent="0.35">
      <c r="A657" s="92"/>
      <c r="F657" s="726"/>
      <c r="G657" s="735"/>
      <c r="H657" s="93"/>
      <c r="I657" s="750"/>
      <c r="J657" s="750"/>
    </row>
    <row r="658" spans="1:10" x14ac:dyDescent="0.35">
      <c r="A658" s="92"/>
      <c r="F658" s="726"/>
      <c r="G658" s="735"/>
      <c r="H658" s="93"/>
      <c r="I658" s="750"/>
      <c r="J658" s="750"/>
    </row>
    <row r="659" spans="1:10" x14ac:dyDescent="0.35">
      <c r="A659" s="92"/>
      <c r="F659" s="726"/>
      <c r="G659" s="735"/>
      <c r="H659" s="93"/>
      <c r="I659" s="750"/>
      <c r="J659" s="750"/>
    </row>
    <row r="660" spans="1:10" x14ac:dyDescent="0.35">
      <c r="A660" s="92"/>
      <c r="F660" s="726"/>
      <c r="G660" s="735"/>
      <c r="H660" s="93"/>
      <c r="I660" s="750"/>
      <c r="J660" s="750"/>
    </row>
    <row r="661" spans="1:10" x14ac:dyDescent="0.35">
      <c r="A661" s="92"/>
      <c r="F661" s="726"/>
      <c r="G661" s="735"/>
      <c r="H661" s="93"/>
      <c r="I661" s="750"/>
      <c r="J661" s="750"/>
    </row>
    <row r="662" spans="1:10" x14ac:dyDescent="0.35">
      <c r="A662" s="92"/>
      <c r="F662" s="726"/>
      <c r="G662" s="735"/>
      <c r="H662" s="93"/>
      <c r="I662" s="750"/>
      <c r="J662" s="750"/>
    </row>
    <row r="663" spans="1:10" x14ac:dyDescent="0.35">
      <c r="A663" s="92"/>
      <c r="F663" s="726"/>
      <c r="G663" s="735"/>
      <c r="H663" s="93"/>
      <c r="I663" s="750"/>
      <c r="J663" s="750"/>
    </row>
    <row r="664" spans="1:10" x14ac:dyDescent="0.35">
      <c r="A664" s="92"/>
      <c r="F664" s="726"/>
      <c r="G664" s="735"/>
      <c r="H664" s="93"/>
      <c r="I664" s="750"/>
      <c r="J664" s="750"/>
    </row>
    <row r="665" spans="1:10" x14ac:dyDescent="0.35">
      <c r="A665" s="92"/>
      <c r="F665" s="726"/>
      <c r="G665" s="735"/>
      <c r="H665" s="93"/>
      <c r="I665" s="750"/>
      <c r="J665" s="750"/>
    </row>
    <row r="666" spans="1:10" x14ac:dyDescent="0.35">
      <c r="A666" s="92"/>
      <c r="F666" s="726"/>
      <c r="G666" s="735"/>
      <c r="H666" s="93"/>
      <c r="I666" s="750"/>
      <c r="J666" s="750"/>
    </row>
    <row r="667" spans="1:10" x14ac:dyDescent="0.35">
      <c r="A667" s="92"/>
      <c r="F667" s="726"/>
      <c r="G667" s="735"/>
      <c r="H667" s="93"/>
      <c r="I667" s="750"/>
      <c r="J667" s="750"/>
    </row>
    <row r="668" spans="1:10" x14ac:dyDescent="0.35">
      <c r="A668" s="92"/>
      <c r="F668" s="726"/>
      <c r="G668" s="735"/>
      <c r="H668" s="93"/>
      <c r="I668" s="750"/>
      <c r="J668" s="750"/>
    </row>
    <row r="669" spans="1:10" x14ac:dyDescent="0.35">
      <c r="A669" s="92"/>
      <c r="F669" s="726"/>
      <c r="G669" s="735"/>
      <c r="H669" s="93"/>
      <c r="I669" s="750"/>
      <c r="J669" s="750"/>
    </row>
    <row r="670" spans="1:10" x14ac:dyDescent="0.35">
      <c r="A670" s="92"/>
      <c r="F670" s="726"/>
      <c r="G670" s="735"/>
      <c r="H670" s="93"/>
      <c r="I670" s="750"/>
      <c r="J670" s="750"/>
    </row>
    <row r="671" spans="1:10" x14ac:dyDescent="0.35">
      <c r="A671" s="92"/>
      <c r="F671" s="726"/>
      <c r="G671" s="735"/>
      <c r="H671" s="93"/>
      <c r="I671" s="750"/>
      <c r="J671" s="750"/>
    </row>
    <row r="672" spans="1:10" x14ac:dyDescent="0.35">
      <c r="A672" s="92"/>
      <c r="F672" s="726"/>
      <c r="G672" s="735"/>
      <c r="H672" s="93"/>
      <c r="I672" s="750"/>
      <c r="J672" s="750"/>
    </row>
    <row r="673" spans="1:10" x14ac:dyDescent="0.35">
      <c r="A673" s="92"/>
      <c r="F673" s="726"/>
      <c r="G673" s="735"/>
      <c r="H673" s="93"/>
      <c r="I673" s="750"/>
      <c r="J673" s="750"/>
    </row>
    <row r="674" spans="1:10" x14ac:dyDescent="0.35">
      <c r="A674" s="92"/>
      <c r="F674" s="726"/>
      <c r="G674" s="735"/>
      <c r="H674" s="93"/>
      <c r="I674" s="750"/>
      <c r="J674" s="750"/>
    </row>
    <row r="675" spans="1:10" x14ac:dyDescent="0.35">
      <c r="A675" s="92"/>
      <c r="F675" s="726"/>
      <c r="G675" s="735"/>
      <c r="H675" s="93"/>
      <c r="I675" s="750"/>
      <c r="J675" s="750"/>
    </row>
    <row r="676" spans="1:10" x14ac:dyDescent="0.35">
      <c r="A676" s="92"/>
      <c r="F676" s="726"/>
      <c r="G676" s="735"/>
      <c r="H676" s="93"/>
      <c r="I676" s="750"/>
      <c r="J676" s="750"/>
    </row>
    <row r="677" spans="1:10" x14ac:dyDescent="0.35">
      <c r="A677" s="92"/>
      <c r="F677" s="726"/>
      <c r="G677" s="735"/>
      <c r="H677" s="93"/>
      <c r="I677" s="750"/>
      <c r="J677" s="750"/>
    </row>
    <row r="678" spans="1:10" x14ac:dyDescent="0.35">
      <c r="A678" s="92"/>
      <c r="F678" s="726"/>
      <c r="G678" s="735"/>
      <c r="H678" s="93"/>
      <c r="I678" s="750"/>
      <c r="J678" s="750"/>
    </row>
    <row r="679" spans="1:10" x14ac:dyDescent="0.35">
      <c r="A679" s="92"/>
      <c r="F679" s="726"/>
      <c r="G679" s="735"/>
      <c r="H679" s="93"/>
      <c r="I679" s="750"/>
      <c r="J679" s="750"/>
    </row>
    <row r="680" spans="1:10" x14ac:dyDescent="0.35">
      <c r="A680" s="92"/>
      <c r="F680" s="726"/>
      <c r="G680" s="735"/>
      <c r="H680" s="93"/>
      <c r="I680" s="750"/>
      <c r="J680" s="750"/>
    </row>
    <row r="681" spans="1:10" x14ac:dyDescent="0.35">
      <c r="A681" s="92"/>
      <c r="F681" s="726"/>
      <c r="G681" s="735"/>
      <c r="H681" s="93"/>
      <c r="I681" s="750"/>
      <c r="J681" s="750"/>
    </row>
    <row r="682" spans="1:10" x14ac:dyDescent="0.35">
      <c r="A682" s="92"/>
      <c r="F682" s="726"/>
      <c r="G682" s="735"/>
      <c r="H682" s="93"/>
      <c r="I682" s="750"/>
      <c r="J682" s="750"/>
    </row>
    <row r="683" spans="1:10" x14ac:dyDescent="0.35">
      <c r="A683" s="92"/>
      <c r="F683" s="726"/>
      <c r="G683" s="735"/>
      <c r="H683" s="93"/>
      <c r="I683" s="750"/>
      <c r="J683" s="750"/>
    </row>
    <row r="684" spans="1:10" x14ac:dyDescent="0.35">
      <c r="A684" s="92"/>
      <c r="F684" s="726"/>
      <c r="G684" s="735"/>
      <c r="H684" s="93"/>
      <c r="I684" s="750"/>
      <c r="J684" s="750"/>
    </row>
    <row r="685" spans="1:10" x14ac:dyDescent="0.35">
      <c r="A685" s="92"/>
      <c r="F685" s="726"/>
      <c r="G685" s="735"/>
      <c r="H685" s="93"/>
      <c r="I685" s="750"/>
      <c r="J685" s="750"/>
    </row>
    <row r="686" spans="1:10" x14ac:dyDescent="0.35">
      <c r="A686" s="92"/>
      <c r="F686" s="726"/>
      <c r="G686" s="735"/>
      <c r="H686" s="93"/>
      <c r="I686" s="750"/>
      <c r="J686" s="750"/>
    </row>
    <row r="687" spans="1:10" x14ac:dyDescent="0.35">
      <c r="A687" s="92"/>
      <c r="F687" s="726"/>
      <c r="G687" s="735"/>
      <c r="H687" s="93"/>
      <c r="I687" s="750"/>
      <c r="J687" s="750"/>
    </row>
    <row r="688" spans="1:10" x14ac:dyDescent="0.35">
      <c r="A688" s="92"/>
      <c r="F688" s="726"/>
      <c r="G688" s="735"/>
      <c r="H688" s="93"/>
      <c r="I688" s="750"/>
      <c r="J688" s="750"/>
    </row>
    <row r="689" spans="1:10" x14ac:dyDescent="0.35">
      <c r="A689" s="92"/>
      <c r="F689" s="726"/>
      <c r="G689" s="735"/>
      <c r="H689" s="93"/>
      <c r="I689" s="750"/>
      <c r="J689" s="750"/>
    </row>
    <row r="690" spans="1:10" x14ac:dyDescent="0.35">
      <c r="A690" s="92"/>
      <c r="F690" s="726"/>
      <c r="G690" s="735"/>
      <c r="H690" s="93"/>
      <c r="I690" s="750"/>
      <c r="J690" s="750"/>
    </row>
    <row r="691" spans="1:10" x14ac:dyDescent="0.35">
      <c r="A691" s="92"/>
      <c r="F691" s="726"/>
      <c r="G691" s="735"/>
      <c r="H691" s="93"/>
      <c r="I691" s="750"/>
      <c r="J691" s="750"/>
    </row>
    <row r="692" spans="1:10" x14ac:dyDescent="0.35">
      <c r="A692" s="92"/>
      <c r="F692" s="726"/>
      <c r="G692" s="735"/>
      <c r="H692" s="93"/>
      <c r="I692" s="750"/>
      <c r="J692" s="750"/>
    </row>
    <row r="693" spans="1:10" x14ac:dyDescent="0.35">
      <c r="A693" s="92"/>
      <c r="F693" s="726"/>
      <c r="G693" s="735"/>
      <c r="H693" s="93"/>
      <c r="I693" s="750"/>
      <c r="J693" s="750"/>
    </row>
    <row r="694" spans="1:10" x14ac:dyDescent="0.35">
      <c r="A694" s="92"/>
      <c r="F694" s="726"/>
      <c r="G694" s="735"/>
      <c r="H694" s="93"/>
      <c r="I694" s="750"/>
      <c r="J694" s="750"/>
    </row>
    <row r="695" spans="1:10" x14ac:dyDescent="0.35">
      <c r="A695" s="92"/>
      <c r="F695" s="726"/>
      <c r="G695" s="735"/>
      <c r="H695" s="93"/>
      <c r="I695" s="750"/>
      <c r="J695" s="750"/>
    </row>
    <row r="696" spans="1:10" x14ac:dyDescent="0.35">
      <c r="A696" s="92"/>
      <c r="F696" s="726"/>
      <c r="G696" s="735"/>
      <c r="H696" s="93"/>
      <c r="I696" s="750"/>
      <c r="J696" s="750"/>
    </row>
    <row r="697" spans="1:10" x14ac:dyDescent="0.35">
      <c r="A697" s="92"/>
      <c r="F697" s="726"/>
      <c r="G697" s="735"/>
      <c r="H697" s="93"/>
      <c r="I697" s="750"/>
      <c r="J697" s="750"/>
    </row>
    <row r="698" spans="1:10" x14ac:dyDescent="0.35">
      <c r="A698" s="92"/>
      <c r="F698" s="726"/>
      <c r="G698" s="735"/>
      <c r="H698" s="93"/>
      <c r="I698" s="750"/>
      <c r="J698" s="750"/>
    </row>
    <row r="699" spans="1:10" x14ac:dyDescent="0.35">
      <c r="A699" s="92"/>
      <c r="F699" s="726"/>
      <c r="G699" s="735"/>
      <c r="H699" s="93"/>
      <c r="I699" s="750"/>
      <c r="J699" s="750"/>
    </row>
    <row r="700" spans="1:10" x14ac:dyDescent="0.35">
      <c r="A700" s="92"/>
      <c r="F700" s="726"/>
      <c r="G700" s="735"/>
      <c r="H700" s="93"/>
      <c r="I700" s="750"/>
      <c r="J700" s="750"/>
    </row>
    <row r="701" spans="1:10" x14ac:dyDescent="0.35">
      <c r="A701" s="92"/>
      <c r="F701" s="726"/>
      <c r="G701" s="735"/>
      <c r="H701" s="93"/>
      <c r="I701" s="750"/>
      <c r="J701" s="750"/>
    </row>
    <row r="702" spans="1:10" x14ac:dyDescent="0.35">
      <c r="A702" s="92"/>
      <c r="F702" s="726"/>
      <c r="G702" s="735"/>
      <c r="H702" s="93"/>
      <c r="I702" s="750"/>
      <c r="J702" s="750"/>
    </row>
    <row r="703" spans="1:10" x14ac:dyDescent="0.35">
      <c r="A703" s="92"/>
      <c r="F703" s="726"/>
      <c r="G703" s="735"/>
      <c r="H703" s="93"/>
      <c r="I703" s="750"/>
      <c r="J703" s="750"/>
    </row>
    <row r="704" spans="1:10" x14ac:dyDescent="0.35">
      <c r="A704" s="92"/>
      <c r="F704" s="726"/>
      <c r="G704" s="735"/>
      <c r="H704" s="93"/>
      <c r="I704" s="750"/>
      <c r="J704" s="750"/>
    </row>
    <row r="705" spans="1:10" x14ac:dyDescent="0.35">
      <c r="A705" s="92"/>
      <c r="F705" s="726"/>
      <c r="G705" s="735"/>
      <c r="H705" s="93"/>
      <c r="I705" s="750"/>
      <c r="J705" s="750"/>
    </row>
    <row r="706" spans="1:10" x14ac:dyDescent="0.35">
      <c r="A706" s="92"/>
      <c r="F706" s="726"/>
      <c r="G706" s="735"/>
      <c r="H706" s="93"/>
      <c r="I706" s="750"/>
      <c r="J706" s="750"/>
    </row>
    <row r="707" spans="1:10" x14ac:dyDescent="0.35">
      <c r="A707" s="92"/>
      <c r="F707" s="726"/>
      <c r="G707" s="735"/>
      <c r="H707" s="93"/>
      <c r="I707" s="750"/>
      <c r="J707" s="750"/>
    </row>
    <row r="708" spans="1:10" x14ac:dyDescent="0.35">
      <c r="A708" s="92"/>
      <c r="F708" s="726"/>
      <c r="G708" s="735"/>
      <c r="H708" s="93"/>
      <c r="I708" s="750"/>
      <c r="J708" s="750"/>
    </row>
    <row r="709" spans="1:10" x14ac:dyDescent="0.35">
      <c r="A709" s="92"/>
      <c r="F709" s="726"/>
      <c r="G709" s="735"/>
      <c r="H709" s="93"/>
      <c r="I709" s="750"/>
      <c r="J709" s="750"/>
    </row>
    <row r="710" spans="1:10" x14ac:dyDescent="0.35">
      <c r="A710" s="92"/>
      <c r="F710" s="726"/>
      <c r="G710" s="735"/>
      <c r="H710" s="93"/>
      <c r="I710" s="750"/>
      <c r="J710" s="750"/>
    </row>
    <row r="711" spans="1:10" x14ac:dyDescent="0.35">
      <c r="A711" s="92"/>
      <c r="F711" s="726"/>
      <c r="G711" s="735"/>
      <c r="H711" s="93"/>
      <c r="I711" s="750"/>
      <c r="J711" s="750"/>
    </row>
    <row r="712" spans="1:10" x14ac:dyDescent="0.35">
      <c r="A712" s="92"/>
      <c r="F712" s="726"/>
      <c r="G712" s="735"/>
      <c r="H712" s="93"/>
      <c r="I712" s="750"/>
      <c r="J712" s="750"/>
    </row>
    <row r="713" spans="1:10" x14ac:dyDescent="0.35">
      <c r="A713" s="92"/>
      <c r="F713" s="726"/>
      <c r="G713" s="735"/>
      <c r="H713" s="93"/>
      <c r="I713" s="750"/>
      <c r="J713" s="750"/>
    </row>
    <row r="714" spans="1:10" x14ac:dyDescent="0.35">
      <c r="A714" s="92"/>
      <c r="F714" s="726"/>
      <c r="G714" s="735"/>
      <c r="H714" s="93"/>
      <c r="I714" s="750"/>
      <c r="J714" s="750"/>
    </row>
    <row r="715" spans="1:10" x14ac:dyDescent="0.35">
      <c r="A715" s="92"/>
      <c r="F715" s="726"/>
      <c r="G715" s="735"/>
      <c r="H715" s="93"/>
      <c r="I715" s="750"/>
      <c r="J715" s="750"/>
    </row>
    <row r="716" spans="1:10" x14ac:dyDescent="0.35">
      <c r="A716" s="92"/>
      <c r="F716" s="726"/>
      <c r="G716" s="735"/>
      <c r="H716" s="93"/>
      <c r="I716" s="750"/>
      <c r="J716" s="750"/>
    </row>
    <row r="717" spans="1:10" x14ac:dyDescent="0.35">
      <c r="A717" s="92"/>
      <c r="F717" s="726"/>
      <c r="G717" s="735"/>
      <c r="H717" s="93"/>
      <c r="I717" s="750"/>
      <c r="J717" s="750"/>
    </row>
    <row r="718" spans="1:10" x14ac:dyDescent="0.35">
      <c r="A718" s="92"/>
      <c r="F718" s="726"/>
      <c r="G718" s="735"/>
      <c r="H718" s="93"/>
      <c r="I718" s="750"/>
      <c r="J718" s="750"/>
    </row>
    <row r="719" spans="1:10" x14ac:dyDescent="0.35">
      <c r="A719" s="92"/>
      <c r="F719" s="726"/>
      <c r="G719" s="735"/>
      <c r="H719" s="93"/>
      <c r="I719" s="750"/>
      <c r="J719" s="750"/>
    </row>
    <row r="720" spans="1:10" x14ac:dyDescent="0.35">
      <c r="A720" s="92"/>
      <c r="F720" s="726"/>
      <c r="G720" s="735"/>
      <c r="H720" s="93"/>
      <c r="I720" s="750"/>
      <c r="J720" s="750"/>
    </row>
    <row r="721" spans="1:10" x14ac:dyDescent="0.35">
      <c r="A721" s="92"/>
      <c r="F721" s="726"/>
      <c r="G721" s="735"/>
      <c r="H721" s="93"/>
      <c r="I721" s="750"/>
      <c r="J721" s="750"/>
    </row>
    <row r="722" spans="1:10" x14ac:dyDescent="0.35">
      <c r="A722" s="92"/>
      <c r="F722" s="726"/>
      <c r="G722" s="735"/>
      <c r="H722" s="93"/>
      <c r="I722" s="750"/>
      <c r="J722" s="750"/>
    </row>
    <row r="723" spans="1:10" x14ac:dyDescent="0.35">
      <c r="A723" s="92"/>
      <c r="F723" s="726"/>
      <c r="G723" s="735"/>
      <c r="H723" s="93"/>
      <c r="I723" s="750"/>
      <c r="J723" s="750"/>
    </row>
    <row r="724" spans="1:10" x14ac:dyDescent="0.35">
      <c r="A724" s="92"/>
      <c r="F724" s="726"/>
      <c r="G724" s="735"/>
      <c r="H724" s="93"/>
      <c r="I724" s="750"/>
      <c r="J724" s="750"/>
    </row>
    <row r="725" spans="1:10" x14ac:dyDescent="0.35">
      <c r="A725" s="92"/>
      <c r="F725" s="726"/>
      <c r="G725" s="735"/>
      <c r="H725" s="93"/>
      <c r="I725" s="750"/>
      <c r="J725" s="750"/>
    </row>
    <row r="726" spans="1:10" x14ac:dyDescent="0.35">
      <c r="A726" s="92"/>
      <c r="F726" s="726"/>
      <c r="G726" s="735"/>
      <c r="H726" s="93"/>
      <c r="I726" s="750"/>
      <c r="J726" s="750"/>
    </row>
    <row r="727" spans="1:10" x14ac:dyDescent="0.35">
      <c r="A727" s="92"/>
      <c r="F727" s="726"/>
      <c r="G727" s="735"/>
      <c r="H727" s="93"/>
      <c r="I727" s="750"/>
      <c r="J727" s="750"/>
    </row>
    <row r="728" spans="1:10" x14ac:dyDescent="0.35">
      <c r="A728" s="92"/>
      <c r="F728" s="726"/>
      <c r="G728" s="735"/>
      <c r="H728" s="93"/>
      <c r="I728" s="750"/>
      <c r="J728" s="750"/>
    </row>
    <row r="729" spans="1:10" x14ac:dyDescent="0.35">
      <c r="A729" s="92"/>
      <c r="F729" s="726"/>
      <c r="G729" s="735"/>
      <c r="H729" s="93"/>
      <c r="I729" s="750"/>
      <c r="J729" s="750"/>
    </row>
    <row r="730" spans="1:10" x14ac:dyDescent="0.35">
      <c r="A730" s="92"/>
      <c r="F730" s="726"/>
      <c r="G730" s="735"/>
      <c r="H730" s="93"/>
      <c r="I730" s="750"/>
      <c r="J730" s="750"/>
    </row>
    <row r="731" spans="1:10" x14ac:dyDescent="0.35">
      <c r="A731" s="92"/>
      <c r="F731" s="726"/>
      <c r="G731" s="735"/>
      <c r="H731" s="93"/>
      <c r="I731" s="750"/>
      <c r="J731" s="750"/>
    </row>
    <row r="732" spans="1:10" x14ac:dyDescent="0.35">
      <c r="A732" s="92"/>
      <c r="F732" s="726"/>
      <c r="G732" s="735"/>
      <c r="H732" s="93"/>
      <c r="I732" s="750"/>
      <c r="J732" s="750"/>
    </row>
    <row r="733" spans="1:10" x14ac:dyDescent="0.35">
      <c r="A733" s="92"/>
      <c r="F733" s="726"/>
      <c r="G733" s="735"/>
      <c r="H733" s="93"/>
      <c r="I733" s="750"/>
      <c r="J733" s="750"/>
    </row>
    <row r="734" spans="1:10" x14ac:dyDescent="0.35">
      <c r="A734" s="92"/>
      <c r="F734" s="726"/>
      <c r="G734" s="735"/>
      <c r="H734" s="93"/>
      <c r="I734" s="750"/>
      <c r="J734" s="750"/>
    </row>
    <row r="735" spans="1:10" x14ac:dyDescent="0.35">
      <c r="A735" s="92"/>
      <c r="F735" s="726"/>
      <c r="G735" s="735"/>
      <c r="H735" s="93"/>
      <c r="I735" s="750"/>
      <c r="J735" s="750"/>
    </row>
    <row r="736" spans="1:10" x14ac:dyDescent="0.35">
      <c r="A736" s="92"/>
      <c r="F736" s="726"/>
      <c r="G736" s="735"/>
      <c r="H736" s="93"/>
      <c r="I736" s="750"/>
      <c r="J736" s="750"/>
    </row>
    <row r="737" spans="1:10" x14ac:dyDescent="0.35">
      <c r="A737" s="92"/>
      <c r="F737" s="726"/>
      <c r="G737" s="735"/>
      <c r="H737" s="93"/>
      <c r="I737" s="750"/>
      <c r="J737" s="750"/>
    </row>
    <row r="738" spans="1:10" x14ac:dyDescent="0.35">
      <c r="A738" s="92"/>
      <c r="F738" s="726"/>
      <c r="G738" s="735"/>
      <c r="H738" s="93"/>
      <c r="I738" s="750"/>
      <c r="J738" s="750"/>
    </row>
    <row r="739" spans="1:10" x14ac:dyDescent="0.35">
      <c r="A739" s="92"/>
      <c r="F739" s="726"/>
      <c r="G739" s="735"/>
      <c r="H739" s="93"/>
      <c r="I739" s="750"/>
      <c r="J739" s="750"/>
    </row>
    <row r="740" spans="1:10" x14ac:dyDescent="0.35">
      <c r="A740" s="92"/>
      <c r="F740" s="726"/>
      <c r="G740" s="735"/>
      <c r="H740" s="93"/>
      <c r="I740" s="750"/>
      <c r="J740" s="750"/>
    </row>
    <row r="741" spans="1:10" x14ac:dyDescent="0.35">
      <c r="A741" s="92"/>
      <c r="F741" s="726"/>
      <c r="G741" s="735"/>
      <c r="H741" s="93"/>
      <c r="I741" s="750"/>
      <c r="J741" s="750"/>
    </row>
    <row r="742" spans="1:10" x14ac:dyDescent="0.35">
      <c r="A742" s="92"/>
      <c r="F742" s="726"/>
      <c r="G742" s="735"/>
      <c r="H742" s="93"/>
      <c r="I742" s="750"/>
      <c r="J742" s="750"/>
    </row>
    <row r="743" spans="1:10" x14ac:dyDescent="0.35">
      <c r="A743" s="92"/>
      <c r="F743" s="726"/>
      <c r="G743" s="735"/>
      <c r="H743" s="93"/>
      <c r="I743" s="750"/>
      <c r="J743" s="750"/>
    </row>
    <row r="744" spans="1:10" x14ac:dyDescent="0.35">
      <c r="A744" s="92"/>
      <c r="F744" s="726"/>
      <c r="G744" s="735"/>
      <c r="H744" s="93"/>
      <c r="I744" s="750"/>
      <c r="J744" s="750"/>
    </row>
    <row r="745" spans="1:10" x14ac:dyDescent="0.35">
      <c r="A745" s="92"/>
      <c r="F745" s="726"/>
      <c r="G745" s="735"/>
      <c r="H745" s="93"/>
      <c r="I745" s="750"/>
      <c r="J745" s="750"/>
    </row>
    <row r="746" spans="1:10" x14ac:dyDescent="0.35">
      <c r="A746" s="92"/>
      <c r="F746" s="726"/>
      <c r="G746" s="735"/>
      <c r="H746" s="93"/>
      <c r="I746" s="750"/>
      <c r="J746" s="750"/>
    </row>
    <row r="747" spans="1:10" x14ac:dyDescent="0.35">
      <c r="A747" s="92"/>
      <c r="F747" s="726"/>
      <c r="G747" s="735"/>
      <c r="H747" s="93"/>
      <c r="I747" s="750"/>
      <c r="J747" s="750"/>
    </row>
    <row r="748" spans="1:10" x14ac:dyDescent="0.35">
      <c r="A748" s="92"/>
      <c r="F748" s="726"/>
      <c r="G748" s="735"/>
      <c r="H748" s="93"/>
      <c r="I748" s="750"/>
      <c r="J748" s="750"/>
    </row>
    <row r="749" spans="1:10" x14ac:dyDescent="0.35">
      <c r="A749" s="92"/>
      <c r="F749" s="726"/>
      <c r="G749" s="735"/>
      <c r="H749" s="93"/>
      <c r="I749" s="750"/>
      <c r="J749" s="750"/>
    </row>
    <row r="750" spans="1:10" x14ac:dyDescent="0.35">
      <c r="A750" s="92"/>
      <c r="F750" s="726"/>
      <c r="G750" s="735"/>
      <c r="H750" s="93"/>
      <c r="I750" s="750"/>
      <c r="J750" s="750"/>
    </row>
    <row r="751" spans="1:10" x14ac:dyDescent="0.35">
      <c r="A751" s="92"/>
      <c r="F751" s="726"/>
      <c r="G751" s="735"/>
      <c r="H751" s="93"/>
      <c r="I751" s="750"/>
      <c r="J751" s="750"/>
    </row>
    <row r="752" spans="1:10" x14ac:dyDescent="0.35">
      <c r="A752" s="92"/>
      <c r="F752" s="726"/>
      <c r="G752" s="735"/>
      <c r="H752" s="93"/>
      <c r="I752" s="750"/>
      <c r="J752" s="750"/>
    </row>
    <row r="753" spans="1:10" x14ac:dyDescent="0.35">
      <c r="A753" s="92"/>
      <c r="F753" s="726"/>
      <c r="G753" s="735"/>
      <c r="H753" s="93"/>
      <c r="I753" s="750"/>
      <c r="J753" s="750"/>
    </row>
    <row r="754" spans="1:10" x14ac:dyDescent="0.35">
      <c r="A754" s="92"/>
      <c r="F754" s="726"/>
      <c r="G754" s="735"/>
      <c r="H754" s="93"/>
      <c r="I754" s="750"/>
      <c r="J754" s="750"/>
    </row>
    <row r="755" spans="1:10" x14ac:dyDescent="0.35">
      <c r="A755" s="92"/>
      <c r="F755" s="726"/>
      <c r="G755" s="735"/>
      <c r="H755" s="93"/>
      <c r="I755" s="750"/>
      <c r="J755" s="750"/>
    </row>
    <row r="756" spans="1:10" x14ac:dyDescent="0.35">
      <c r="A756" s="92"/>
      <c r="F756" s="726"/>
      <c r="G756" s="735"/>
      <c r="H756" s="93"/>
      <c r="I756" s="750"/>
      <c r="J756" s="750"/>
    </row>
    <row r="757" spans="1:10" x14ac:dyDescent="0.35">
      <c r="A757" s="92"/>
      <c r="F757" s="726"/>
      <c r="G757" s="735"/>
      <c r="H757" s="93"/>
      <c r="I757" s="750"/>
      <c r="J757" s="750"/>
    </row>
    <row r="758" spans="1:10" x14ac:dyDescent="0.35">
      <c r="A758" s="92"/>
      <c r="F758" s="726"/>
      <c r="G758" s="735"/>
      <c r="H758" s="93"/>
      <c r="I758" s="750"/>
      <c r="J758" s="750"/>
    </row>
    <row r="759" spans="1:10" x14ac:dyDescent="0.35">
      <c r="A759" s="92"/>
      <c r="F759" s="726"/>
      <c r="G759" s="735"/>
      <c r="H759" s="93"/>
      <c r="I759" s="750"/>
      <c r="J759" s="750"/>
    </row>
    <row r="760" spans="1:10" x14ac:dyDescent="0.35">
      <c r="A760" s="92"/>
      <c r="F760" s="726"/>
      <c r="G760" s="735"/>
      <c r="H760" s="93"/>
      <c r="I760" s="750"/>
      <c r="J760" s="750"/>
    </row>
    <row r="761" spans="1:10" x14ac:dyDescent="0.35">
      <c r="A761" s="92"/>
      <c r="F761" s="726"/>
      <c r="G761" s="735"/>
      <c r="H761" s="93"/>
      <c r="I761" s="750"/>
      <c r="J761" s="750"/>
    </row>
    <row r="762" spans="1:10" x14ac:dyDescent="0.35">
      <c r="A762" s="92"/>
      <c r="F762" s="726"/>
      <c r="G762" s="735"/>
      <c r="H762" s="93"/>
      <c r="I762" s="750"/>
      <c r="J762" s="750"/>
    </row>
    <row r="763" spans="1:10" x14ac:dyDescent="0.35">
      <c r="A763" s="92"/>
      <c r="F763" s="726"/>
      <c r="G763" s="735"/>
      <c r="H763" s="93"/>
      <c r="I763" s="750"/>
      <c r="J763" s="750"/>
    </row>
    <row r="764" spans="1:10" x14ac:dyDescent="0.35">
      <c r="A764" s="92"/>
      <c r="F764" s="726"/>
      <c r="G764" s="735"/>
      <c r="H764" s="93"/>
      <c r="I764" s="750"/>
      <c r="J764" s="750"/>
    </row>
    <row r="765" spans="1:10" x14ac:dyDescent="0.35">
      <c r="A765" s="92"/>
      <c r="F765" s="726"/>
      <c r="G765" s="735"/>
      <c r="H765" s="93"/>
      <c r="I765" s="750"/>
      <c r="J765" s="750"/>
    </row>
    <row r="766" spans="1:10" x14ac:dyDescent="0.35">
      <c r="A766" s="92"/>
      <c r="F766" s="726"/>
      <c r="G766" s="735"/>
      <c r="H766" s="93"/>
      <c r="I766" s="750"/>
      <c r="J766" s="750"/>
    </row>
    <row r="767" spans="1:10" x14ac:dyDescent="0.35">
      <c r="A767" s="92"/>
      <c r="F767" s="726"/>
      <c r="G767" s="735"/>
      <c r="H767" s="93"/>
      <c r="I767" s="750"/>
      <c r="J767" s="750"/>
    </row>
    <row r="768" spans="1:10" x14ac:dyDescent="0.35">
      <c r="A768" s="92"/>
      <c r="F768" s="726"/>
      <c r="G768" s="735"/>
      <c r="H768" s="93"/>
      <c r="I768" s="750"/>
      <c r="J768" s="750"/>
    </row>
    <row r="769" spans="1:10" x14ac:dyDescent="0.35">
      <c r="A769" s="92"/>
      <c r="F769" s="726"/>
      <c r="G769" s="735"/>
      <c r="H769" s="93"/>
      <c r="I769" s="750"/>
      <c r="J769" s="750"/>
    </row>
    <row r="770" spans="1:10" x14ac:dyDescent="0.35">
      <c r="A770" s="92"/>
      <c r="F770" s="726"/>
      <c r="G770" s="735"/>
      <c r="H770" s="93"/>
      <c r="I770" s="750"/>
      <c r="J770" s="750"/>
    </row>
    <row r="771" spans="1:10" x14ac:dyDescent="0.35">
      <c r="A771" s="92"/>
      <c r="F771" s="726"/>
      <c r="G771" s="735"/>
      <c r="H771" s="93"/>
      <c r="I771" s="750"/>
      <c r="J771" s="750"/>
    </row>
    <row r="772" spans="1:10" x14ac:dyDescent="0.35">
      <c r="A772" s="92"/>
      <c r="F772" s="726"/>
      <c r="G772" s="735"/>
      <c r="H772" s="93"/>
      <c r="I772" s="750"/>
      <c r="J772" s="750"/>
    </row>
    <row r="773" spans="1:10" x14ac:dyDescent="0.35">
      <c r="A773" s="92"/>
      <c r="F773" s="726"/>
      <c r="G773" s="735"/>
      <c r="H773" s="93"/>
      <c r="I773" s="750"/>
      <c r="J773" s="750"/>
    </row>
    <row r="774" spans="1:10" x14ac:dyDescent="0.35">
      <c r="A774" s="92"/>
      <c r="F774" s="726"/>
      <c r="G774" s="735"/>
      <c r="H774" s="93"/>
      <c r="I774" s="750"/>
      <c r="J774" s="750"/>
    </row>
    <row r="775" spans="1:10" x14ac:dyDescent="0.35">
      <c r="A775" s="92"/>
      <c r="F775" s="726"/>
      <c r="G775" s="735"/>
      <c r="H775" s="93"/>
      <c r="I775" s="750"/>
      <c r="J775" s="750"/>
    </row>
    <row r="776" spans="1:10" x14ac:dyDescent="0.35">
      <c r="A776" s="92"/>
      <c r="F776" s="726"/>
      <c r="G776" s="735"/>
      <c r="H776" s="93"/>
      <c r="I776" s="750"/>
      <c r="J776" s="750"/>
    </row>
    <row r="777" spans="1:10" x14ac:dyDescent="0.35">
      <c r="A777" s="92"/>
      <c r="F777" s="726"/>
      <c r="G777" s="735"/>
      <c r="H777" s="93"/>
      <c r="I777" s="750"/>
      <c r="J777" s="750"/>
    </row>
    <row r="778" spans="1:10" x14ac:dyDescent="0.35">
      <c r="A778" s="92"/>
      <c r="F778" s="726"/>
      <c r="G778" s="735"/>
      <c r="H778" s="93"/>
      <c r="I778" s="750"/>
      <c r="J778" s="750"/>
    </row>
    <row r="779" spans="1:10" x14ac:dyDescent="0.35">
      <c r="A779" s="92"/>
      <c r="F779" s="726"/>
      <c r="G779" s="735"/>
      <c r="H779" s="93"/>
      <c r="I779" s="750"/>
      <c r="J779" s="750"/>
    </row>
    <row r="780" spans="1:10" x14ac:dyDescent="0.35">
      <c r="A780" s="92"/>
      <c r="F780" s="726"/>
      <c r="G780" s="735"/>
      <c r="H780" s="93"/>
      <c r="I780" s="750"/>
      <c r="J780" s="750"/>
    </row>
    <row r="781" spans="1:10" x14ac:dyDescent="0.35">
      <c r="A781" s="92"/>
      <c r="F781" s="726"/>
      <c r="G781" s="735"/>
      <c r="H781" s="93"/>
      <c r="I781" s="750"/>
      <c r="J781" s="750"/>
    </row>
    <row r="782" spans="1:10" x14ac:dyDescent="0.35">
      <c r="A782" s="92"/>
      <c r="F782" s="726"/>
      <c r="G782" s="735"/>
      <c r="H782" s="93"/>
      <c r="I782" s="750"/>
      <c r="J782" s="750"/>
    </row>
    <row r="783" spans="1:10" x14ac:dyDescent="0.35">
      <c r="A783" s="92"/>
      <c r="F783" s="726"/>
      <c r="G783" s="735"/>
      <c r="H783" s="93"/>
      <c r="I783" s="750"/>
      <c r="J783" s="750"/>
    </row>
    <row r="784" spans="1:10" x14ac:dyDescent="0.35">
      <c r="A784" s="92"/>
      <c r="F784" s="726"/>
      <c r="G784" s="735"/>
      <c r="H784" s="93"/>
      <c r="I784" s="750"/>
      <c r="J784" s="750"/>
    </row>
    <row r="785" spans="1:10" x14ac:dyDescent="0.35">
      <c r="A785" s="92"/>
      <c r="F785" s="726"/>
      <c r="G785" s="735"/>
      <c r="H785" s="93"/>
      <c r="I785" s="750"/>
      <c r="J785" s="750"/>
    </row>
    <row r="786" spans="1:10" x14ac:dyDescent="0.35">
      <c r="A786" s="92"/>
      <c r="F786" s="726"/>
      <c r="G786" s="735"/>
      <c r="H786" s="93"/>
      <c r="I786" s="750"/>
      <c r="J786" s="750"/>
    </row>
    <row r="787" spans="1:10" x14ac:dyDescent="0.35">
      <c r="A787" s="92"/>
      <c r="F787" s="726"/>
      <c r="G787" s="735"/>
      <c r="H787" s="93"/>
      <c r="I787" s="750"/>
      <c r="J787" s="750"/>
    </row>
    <row r="788" spans="1:10" x14ac:dyDescent="0.35">
      <c r="A788" s="92"/>
      <c r="F788" s="726"/>
      <c r="G788" s="735"/>
      <c r="H788" s="93"/>
      <c r="I788" s="750"/>
      <c r="J788" s="750"/>
    </row>
    <row r="789" spans="1:10" x14ac:dyDescent="0.35">
      <c r="A789" s="92"/>
      <c r="F789" s="726"/>
      <c r="G789" s="735"/>
      <c r="H789" s="93"/>
      <c r="I789" s="750"/>
      <c r="J789" s="750"/>
    </row>
    <row r="790" spans="1:10" x14ac:dyDescent="0.35">
      <c r="A790" s="92"/>
      <c r="F790" s="726"/>
      <c r="G790" s="735"/>
      <c r="H790" s="93"/>
      <c r="I790" s="750"/>
      <c r="J790" s="750"/>
    </row>
    <row r="791" spans="1:10" x14ac:dyDescent="0.35">
      <c r="A791" s="92"/>
      <c r="F791" s="726"/>
      <c r="G791" s="735"/>
      <c r="H791" s="93"/>
      <c r="I791" s="750"/>
      <c r="J791" s="750"/>
    </row>
    <row r="792" spans="1:10" x14ac:dyDescent="0.35">
      <c r="A792" s="92"/>
      <c r="F792" s="726"/>
      <c r="G792" s="735"/>
      <c r="H792" s="93"/>
      <c r="I792" s="750"/>
      <c r="J792" s="750"/>
    </row>
    <row r="793" spans="1:10" x14ac:dyDescent="0.35">
      <c r="A793" s="92"/>
      <c r="F793" s="726"/>
      <c r="G793" s="735"/>
      <c r="H793" s="93"/>
      <c r="I793" s="750"/>
      <c r="J793" s="750"/>
    </row>
    <row r="794" spans="1:10" x14ac:dyDescent="0.35">
      <c r="A794" s="92"/>
      <c r="F794" s="726"/>
      <c r="G794" s="735"/>
      <c r="H794" s="93"/>
      <c r="I794" s="750"/>
      <c r="J794" s="750"/>
    </row>
    <row r="795" spans="1:10" x14ac:dyDescent="0.35">
      <c r="A795" s="92"/>
      <c r="F795" s="726"/>
      <c r="G795" s="735"/>
      <c r="H795" s="93"/>
      <c r="I795" s="750"/>
      <c r="J795" s="750"/>
    </row>
    <row r="796" spans="1:10" x14ac:dyDescent="0.35">
      <c r="A796" s="92"/>
      <c r="F796" s="726"/>
      <c r="G796" s="735"/>
      <c r="H796" s="93"/>
      <c r="I796" s="750"/>
      <c r="J796" s="750"/>
    </row>
    <row r="797" spans="1:10" x14ac:dyDescent="0.35">
      <c r="A797" s="92"/>
      <c r="F797" s="726"/>
      <c r="G797" s="735"/>
      <c r="H797" s="93"/>
      <c r="I797" s="750"/>
      <c r="J797" s="750"/>
    </row>
    <row r="798" spans="1:10" x14ac:dyDescent="0.35">
      <c r="A798" s="92"/>
      <c r="F798" s="726"/>
      <c r="G798" s="735"/>
      <c r="H798" s="93"/>
      <c r="I798" s="750"/>
      <c r="J798" s="750"/>
    </row>
    <row r="799" spans="1:10" x14ac:dyDescent="0.35">
      <c r="A799" s="92"/>
      <c r="F799" s="726"/>
      <c r="G799" s="735"/>
      <c r="H799" s="93"/>
      <c r="I799" s="750"/>
      <c r="J799" s="750"/>
    </row>
    <row r="800" spans="1:10" x14ac:dyDescent="0.35">
      <c r="A800" s="92"/>
      <c r="F800" s="726"/>
      <c r="G800" s="735"/>
      <c r="H800" s="93"/>
      <c r="I800" s="750"/>
      <c r="J800" s="750"/>
    </row>
    <row r="801" spans="1:10" x14ac:dyDescent="0.35">
      <c r="A801" s="92"/>
      <c r="F801" s="726"/>
      <c r="G801" s="735"/>
      <c r="H801" s="93"/>
      <c r="I801" s="750"/>
      <c r="J801" s="750"/>
    </row>
    <row r="802" spans="1:10" x14ac:dyDescent="0.35">
      <c r="A802" s="92"/>
      <c r="F802" s="726"/>
      <c r="G802" s="735"/>
      <c r="H802" s="93"/>
      <c r="I802" s="750"/>
      <c r="J802" s="750"/>
    </row>
    <row r="803" spans="1:10" x14ac:dyDescent="0.35">
      <c r="A803" s="92"/>
      <c r="F803" s="726"/>
      <c r="G803" s="735"/>
      <c r="H803" s="93"/>
      <c r="I803" s="750"/>
      <c r="J803" s="750"/>
    </row>
    <row r="804" spans="1:10" x14ac:dyDescent="0.35">
      <c r="A804" s="92"/>
      <c r="F804" s="726"/>
      <c r="G804" s="735"/>
      <c r="H804" s="93"/>
      <c r="I804" s="750"/>
      <c r="J804" s="750"/>
    </row>
    <row r="805" spans="1:10" x14ac:dyDescent="0.35">
      <c r="A805" s="92"/>
      <c r="F805" s="726"/>
      <c r="G805" s="735"/>
      <c r="H805" s="93"/>
      <c r="I805" s="750"/>
      <c r="J805" s="750"/>
    </row>
    <row r="806" spans="1:10" x14ac:dyDescent="0.35">
      <c r="A806" s="92"/>
      <c r="F806" s="726"/>
      <c r="G806" s="735"/>
      <c r="H806" s="93"/>
      <c r="I806" s="750"/>
      <c r="J806" s="750"/>
    </row>
    <row r="807" spans="1:10" x14ac:dyDescent="0.35">
      <c r="A807" s="92"/>
      <c r="F807" s="726"/>
      <c r="G807" s="735"/>
      <c r="H807" s="93"/>
      <c r="I807" s="750"/>
      <c r="J807" s="750"/>
    </row>
    <row r="808" spans="1:10" x14ac:dyDescent="0.35">
      <c r="A808" s="92"/>
      <c r="F808" s="726"/>
      <c r="G808" s="735"/>
      <c r="H808" s="93"/>
      <c r="I808" s="750"/>
      <c r="J808" s="750"/>
    </row>
    <row r="809" spans="1:10" x14ac:dyDescent="0.35">
      <c r="A809" s="92"/>
      <c r="F809" s="726"/>
      <c r="G809" s="735"/>
      <c r="H809" s="93"/>
      <c r="I809" s="750"/>
      <c r="J809" s="750"/>
    </row>
    <row r="810" spans="1:10" x14ac:dyDescent="0.35">
      <c r="A810" s="92"/>
      <c r="F810" s="726"/>
      <c r="G810" s="735"/>
      <c r="H810" s="93"/>
      <c r="I810" s="750"/>
      <c r="J810" s="750"/>
    </row>
    <row r="811" spans="1:10" x14ac:dyDescent="0.35">
      <c r="A811" s="92"/>
      <c r="F811" s="726"/>
      <c r="G811" s="735"/>
      <c r="H811" s="93"/>
      <c r="I811" s="750"/>
      <c r="J811" s="750"/>
    </row>
    <row r="812" spans="1:10" x14ac:dyDescent="0.35">
      <c r="A812" s="92"/>
      <c r="F812" s="726"/>
      <c r="G812" s="735"/>
      <c r="H812" s="93"/>
      <c r="I812" s="750"/>
      <c r="J812" s="750"/>
    </row>
    <row r="813" spans="1:10" x14ac:dyDescent="0.35">
      <c r="A813" s="92"/>
      <c r="F813" s="726"/>
      <c r="G813" s="735"/>
      <c r="H813" s="93"/>
      <c r="I813" s="750"/>
      <c r="J813" s="750"/>
    </row>
    <row r="814" spans="1:10" x14ac:dyDescent="0.35">
      <c r="A814" s="92"/>
      <c r="F814" s="726"/>
      <c r="G814" s="735"/>
      <c r="H814" s="93"/>
      <c r="I814" s="750"/>
      <c r="J814" s="750"/>
    </row>
    <row r="815" spans="1:10" x14ac:dyDescent="0.35">
      <c r="A815" s="92"/>
      <c r="F815" s="726"/>
      <c r="G815" s="735"/>
      <c r="H815" s="93"/>
      <c r="I815" s="750"/>
      <c r="J815" s="750"/>
    </row>
    <row r="816" spans="1:10" x14ac:dyDescent="0.35">
      <c r="A816" s="92"/>
      <c r="F816" s="726"/>
      <c r="G816" s="735"/>
      <c r="H816" s="93"/>
      <c r="I816" s="750"/>
      <c r="J816" s="750"/>
    </row>
    <row r="817" spans="1:10" x14ac:dyDescent="0.35">
      <c r="A817" s="92"/>
      <c r="F817" s="726"/>
      <c r="G817" s="735"/>
      <c r="H817" s="93"/>
      <c r="I817" s="750"/>
      <c r="J817" s="750"/>
    </row>
    <row r="818" spans="1:10" x14ac:dyDescent="0.35">
      <c r="A818" s="92"/>
      <c r="F818" s="726"/>
      <c r="G818" s="735"/>
      <c r="H818" s="93"/>
      <c r="I818" s="750"/>
      <c r="J818" s="750"/>
    </row>
    <row r="819" spans="1:10" x14ac:dyDescent="0.35">
      <c r="A819" s="92"/>
      <c r="F819" s="726"/>
      <c r="G819" s="735"/>
      <c r="H819" s="93"/>
      <c r="I819" s="750"/>
      <c r="J819" s="750"/>
    </row>
    <row r="820" spans="1:10" x14ac:dyDescent="0.35">
      <c r="A820" s="92"/>
      <c r="F820" s="726"/>
      <c r="G820" s="735"/>
      <c r="H820" s="93"/>
      <c r="I820" s="750"/>
      <c r="J820" s="750"/>
    </row>
    <row r="821" spans="1:10" x14ac:dyDescent="0.35">
      <c r="A821" s="92"/>
      <c r="F821" s="726"/>
      <c r="G821" s="735"/>
      <c r="H821" s="93"/>
      <c r="I821" s="750"/>
      <c r="J821" s="750"/>
    </row>
    <row r="822" spans="1:10" x14ac:dyDescent="0.35">
      <c r="A822" s="92"/>
      <c r="F822" s="726"/>
      <c r="G822" s="735"/>
      <c r="H822" s="93"/>
      <c r="I822" s="750"/>
      <c r="J822" s="750"/>
    </row>
    <row r="823" spans="1:10" x14ac:dyDescent="0.35">
      <c r="A823" s="92"/>
      <c r="F823" s="726"/>
      <c r="G823" s="735"/>
      <c r="H823" s="93"/>
      <c r="I823" s="750"/>
      <c r="J823" s="750"/>
    </row>
    <row r="824" spans="1:10" x14ac:dyDescent="0.35">
      <c r="A824" s="92"/>
      <c r="F824" s="726"/>
      <c r="G824" s="735"/>
      <c r="H824" s="93"/>
      <c r="I824" s="750"/>
      <c r="J824" s="750"/>
    </row>
    <row r="825" spans="1:10" x14ac:dyDescent="0.35">
      <c r="A825" s="92"/>
      <c r="F825" s="726"/>
      <c r="G825" s="735"/>
      <c r="H825" s="93"/>
      <c r="I825" s="750"/>
      <c r="J825" s="750"/>
    </row>
    <row r="826" spans="1:10" x14ac:dyDescent="0.35">
      <c r="A826" s="92"/>
      <c r="F826" s="726"/>
      <c r="G826" s="735"/>
      <c r="H826" s="93"/>
      <c r="I826" s="750"/>
      <c r="J826" s="750"/>
    </row>
    <row r="827" spans="1:10" x14ac:dyDescent="0.35">
      <c r="A827" s="92"/>
      <c r="F827" s="726"/>
      <c r="G827" s="735"/>
      <c r="H827" s="93"/>
      <c r="I827" s="750"/>
      <c r="J827" s="750"/>
    </row>
    <row r="828" spans="1:10" x14ac:dyDescent="0.35">
      <c r="A828" s="92"/>
      <c r="F828" s="726"/>
      <c r="G828" s="735"/>
      <c r="H828" s="93"/>
      <c r="I828" s="750"/>
      <c r="J828" s="750"/>
    </row>
    <row r="829" spans="1:10" x14ac:dyDescent="0.35">
      <c r="A829" s="92"/>
      <c r="F829" s="726"/>
      <c r="G829" s="735"/>
      <c r="H829" s="93"/>
      <c r="I829" s="750"/>
      <c r="J829" s="750"/>
    </row>
    <row r="830" spans="1:10" x14ac:dyDescent="0.35">
      <c r="A830" s="92"/>
      <c r="F830" s="726"/>
      <c r="G830" s="735"/>
      <c r="H830" s="93"/>
      <c r="I830" s="750"/>
      <c r="J830" s="750"/>
    </row>
    <row r="831" spans="1:10" x14ac:dyDescent="0.35">
      <c r="A831" s="92"/>
      <c r="F831" s="726"/>
      <c r="G831" s="735"/>
      <c r="H831" s="93"/>
      <c r="I831" s="750"/>
      <c r="J831" s="750"/>
    </row>
    <row r="832" spans="1:10" x14ac:dyDescent="0.35">
      <c r="A832" s="92"/>
      <c r="F832" s="726"/>
      <c r="G832" s="735"/>
      <c r="H832" s="93"/>
      <c r="I832" s="750"/>
      <c r="J832" s="750"/>
    </row>
    <row r="833" spans="1:10" x14ac:dyDescent="0.35">
      <c r="A833" s="92"/>
      <c r="F833" s="726"/>
      <c r="G833" s="735"/>
      <c r="H833" s="93"/>
      <c r="I833" s="750"/>
      <c r="J833" s="750"/>
    </row>
    <row r="834" spans="1:10" x14ac:dyDescent="0.35">
      <c r="A834" s="92"/>
      <c r="F834" s="726"/>
      <c r="G834" s="735"/>
      <c r="H834" s="93"/>
      <c r="I834" s="750"/>
      <c r="J834" s="750"/>
    </row>
    <row r="835" spans="1:10" x14ac:dyDescent="0.35">
      <c r="A835" s="92"/>
      <c r="F835" s="726"/>
      <c r="G835" s="735"/>
      <c r="H835" s="93"/>
      <c r="I835" s="750"/>
      <c r="J835" s="750"/>
    </row>
    <row r="836" spans="1:10" x14ac:dyDescent="0.35">
      <c r="A836" s="92"/>
      <c r="F836" s="726"/>
      <c r="G836" s="735"/>
      <c r="H836" s="93"/>
      <c r="I836" s="750"/>
      <c r="J836" s="750"/>
    </row>
    <row r="837" spans="1:10" x14ac:dyDescent="0.35">
      <c r="A837" s="92"/>
      <c r="F837" s="726"/>
      <c r="G837" s="735"/>
      <c r="H837" s="93"/>
      <c r="I837" s="750"/>
      <c r="J837" s="750"/>
    </row>
    <row r="838" spans="1:10" x14ac:dyDescent="0.35">
      <c r="A838" s="92"/>
      <c r="F838" s="726"/>
      <c r="G838" s="735"/>
      <c r="H838" s="93"/>
      <c r="I838" s="750"/>
      <c r="J838" s="750"/>
    </row>
    <row r="839" spans="1:10" x14ac:dyDescent="0.35">
      <c r="A839" s="92"/>
      <c r="F839" s="726"/>
      <c r="G839" s="735"/>
      <c r="H839" s="93"/>
      <c r="I839" s="750"/>
      <c r="J839" s="750"/>
    </row>
    <row r="840" spans="1:10" x14ac:dyDescent="0.35">
      <c r="A840" s="92"/>
      <c r="F840" s="726"/>
      <c r="G840" s="735"/>
      <c r="H840" s="93"/>
      <c r="I840" s="750"/>
      <c r="J840" s="750"/>
    </row>
    <row r="841" spans="1:10" x14ac:dyDescent="0.35">
      <c r="A841" s="92"/>
      <c r="F841" s="726"/>
      <c r="G841" s="735"/>
      <c r="H841" s="93"/>
      <c r="I841" s="750"/>
      <c r="J841" s="750"/>
    </row>
    <row r="842" spans="1:10" x14ac:dyDescent="0.35">
      <c r="A842" s="92"/>
      <c r="F842" s="726"/>
      <c r="G842" s="735"/>
      <c r="H842" s="93"/>
      <c r="I842" s="750"/>
      <c r="J842" s="750"/>
    </row>
    <row r="843" spans="1:10" x14ac:dyDescent="0.35">
      <c r="A843" s="92"/>
      <c r="F843" s="726"/>
      <c r="G843" s="735"/>
      <c r="H843" s="93"/>
      <c r="I843" s="750"/>
      <c r="J843" s="750"/>
    </row>
    <row r="844" spans="1:10" x14ac:dyDescent="0.35">
      <c r="A844" s="92"/>
      <c r="F844" s="726"/>
      <c r="G844" s="735"/>
      <c r="H844" s="93"/>
      <c r="I844" s="750"/>
      <c r="J844" s="750"/>
    </row>
    <row r="845" spans="1:10" x14ac:dyDescent="0.35">
      <c r="A845" s="92"/>
      <c r="F845" s="726"/>
      <c r="G845" s="735"/>
      <c r="H845" s="93"/>
      <c r="I845" s="750"/>
      <c r="J845" s="750"/>
    </row>
    <row r="846" spans="1:10" x14ac:dyDescent="0.35">
      <c r="A846" s="92"/>
      <c r="F846" s="726"/>
      <c r="G846" s="735"/>
      <c r="H846" s="93"/>
      <c r="I846" s="750"/>
      <c r="J846" s="750"/>
    </row>
    <row r="847" spans="1:10" x14ac:dyDescent="0.35">
      <c r="A847" s="92"/>
      <c r="F847" s="726"/>
      <c r="G847" s="735"/>
      <c r="H847" s="93"/>
      <c r="I847" s="750"/>
      <c r="J847" s="750"/>
    </row>
    <row r="848" spans="1:10" x14ac:dyDescent="0.35">
      <c r="A848" s="92"/>
      <c r="F848" s="726"/>
      <c r="G848" s="735"/>
      <c r="H848" s="93"/>
      <c r="I848" s="750"/>
      <c r="J848" s="750"/>
    </row>
    <row r="849" spans="1:10" x14ac:dyDescent="0.35">
      <c r="A849" s="92"/>
      <c r="F849" s="726"/>
      <c r="G849" s="735"/>
      <c r="H849" s="93"/>
      <c r="I849" s="750"/>
      <c r="J849" s="750"/>
    </row>
    <row r="850" spans="1:10" x14ac:dyDescent="0.35">
      <c r="A850" s="92"/>
      <c r="F850" s="726"/>
      <c r="G850" s="735"/>
      <c r="H850" s="93"/>
      <c r="I850" s="750"/>
      <c r="J850" s="750"/>
    </row>
    <row r="851" spans="1:10" x14ac:dyDescent="0.35">
      <c r="A851" s="92"/>
      <c r="F851" s="726"/>
      <c r="G851" s="735"/>
      <c r="H851" s="93"/>
      <c r="I851" s="750"/>
      <c r="J851" s="750"/>
    </row>
    <row r="852" spans="1:10" x14ac:dyDescent="0.35">
      <c r="A852" s="92"/>
      <c r="F852" s="726"/>
      <c r="G852" s="735"/>
      <c r="H852" s="93"/>
      <c r="I852" s="750"/>
      <c r="J852" s="750"/>
    </row>
    <row r="853" spans="1:10" x14ac:dyDescent="0.35">
      <c r="A853" s="92"/>
      <c r="F853" s="726"/>
      <c r="G853" s="735"/>
      <c r="H853" s="93"/>
      <c r="I853" s="750"/>
      <c r="J853" s="750"/>
    </row>
    <row r="854" spans="1:10" x14ac:dyDescent="0.35">
      <c r="A854" s="92"/>
      <c r="F854" s="726"/>
      <c r="G854" s="735"/>
      <c r="H854" s="93"/>
      <c r="I854" s="750"/>
      <c r="J854" s="750"/>
    </row>
    <row r="855" spans="1:10" x14ac:dyDescent="0.35">
      <c r="A855" s="92"/>
      <c r="F855" s="726"/>
      <c r="G855" s="735"/>
      <c r="H855" s="93"/>
      <c r="I855" s="750"/>
      <c r="J855" s="750"/>
    </row>
    <row r="856" spans="1:10" x14ac:dyDescent="0.35">
      <c r="A856" s="92"/>
      <c r="F856" s="726"/>
      <c r="G856" s="735"/>
      <c r="H856" s="93"/>
      <c r="I856" s="750"/>
      <c r="J856" s="750"/>
    </row>
    <row r="857" spans="1:10" x14ac:dyDescent="0.35">
      <c r="A857" s="92"/>
      <c r="F857" s="726"/>
      <c r="G857" s="735"/>
      <c r="H857" s="93"/>
      <c r="I857" s="750"/>
      <c r="J857" s="750"/>
    </row>
    <row r="858" spans="1:10" x14ac:dyDescent="0.35">
      <c r="A858" s="92"/>
      <c r="F858" s="726"/>
      <c r="G858" s="735"/>
      <c r="H858" s="93"/>
      <c r="I858" s="750"/>
      <c r="J858" s="750"/>
    </row>
    <row r="859" spans="1:10" x14ac:dyDescent="0.35">
      <c r="A859" s="92"/>
      <c r="F859" s="726"/>
      <c r="G859" s="735"/>
      <c r="H859" s="93"/>
      <c r="I859" s="750"/>
      <c r="J859" s="750"/>
    </row>
    <row r="860" spans="1:10" x14ac:dyDescent="0.35">
      <c r="A860" s="92"/>
      <c r="F860" s="726"/>
      <c r="G860" s="735"/>
      <c r="H860" s="93"/>
      <c r="I860" s="750"/>
      <c r="J860" s="750"/>
    </row>
    <row r="861" spans="1:10" x14ac:dyDescent="0.35">
      <c r="A861" s="92"/>
      <c r="F861" s="726"/>
      <c r="G861" s="735"/>
      <c r="H861" s="93"/>
      <c r="I861" s="750"/>
      <c r="J861" s="750"/>
    </row>
    <row r="862" spans="1:10" x14ac:dyDescent="0.35">
      <c r="A862" s="92"/>
      <c r="F862" s="726"/>
      <c r="G862" s="735"/>
      <c r="H862" s="93"/>
      <c r="I862" s="750"/>
      <c r="J862" s="750"/>
    </row>
    <row r="863" spans="1:10" x14ac:dyDescent="0.35">
      <c r="A863" s="92"/>
      <c r="F863" s="726"/>
      <c r="G863" s="735"/>
      <c r="H863" s="93"/>
      <c r="I863" s="750"/>
      <c r="J863" s="750"/>
    </row>
    <row r="864" spans="1:10" x14ac:dyDescent="0.35">
      <c r="A864" s="92"/>
      <c r="F864" s="726"/>
      <c r="G864" s="735"/>
      <c r="H864" s="93"/>
      <c r="I864" s="750"/>
      <c r="J864" s="750"/>
    </row>
    <row r="865" spans="1:10" x14ac:dyDescent="0.35">
      <c r="A865" s="92"/>
      <c r="F865" s="726"/>
      <c r="G865" s="735"/>
      <c r="H865" s="93"/>
      <c r="I865" s="750"/>
      <c r="J865" s="750"/>
    </row>
    <row r="866" spans="1:10" x14ac:dyDescent="0.35">
      <c r="A866" s="92"/>
      <c r="F866" s="726"/>
      <c r="G866" s="735"/>
      <c r="H866" s="93"/>
      <c r="I866" s="750"/>
      <c r="J866" s="750"/>
    </row>
    <row r="867" spans="1:10" x14ac:dyDescent="0.35">
      <c r="A867" s="92"/>
      <c r="F867" s="726"/>
      <c r="G867" s="735"/>
      <c r="H867" s="93"/>
      <c r="I867" s="750"/>
      <c r="J867" s="750"/>
    </row>
    <row r="868" spans="1:10" x14ac:dyDescent="0.35">
      <c r="A868" s="92"/>
      <c r="F868" s="726"/>
      <c r="G868" s="735"/>
      <c r="H868" s="93"/>
      <c r="I868" s="750"/>
      <c r="J868" s="750"/>
    </row>
    <row r="869" spans="1:10" x14ac:dyDescent="0.35">
      <c r="A869" s="92"/>
      <c r="F869" s="726"/>
      <c r="G869" s="735"/>
      <c r="H869" s="93"/>
      <c r="I869" s="750"/>
      <c r="J869" s="750"/>
    </row>
    <row r="870" spans="1:10" x14ac:dyDescent="0.35">
      <c r="A870" s="92"/>
      <c r="F870" s="726"/>
      <c r="G870" s="735"/>
      <c r="H870" s="93"/>
      <c r="I870" s="750"/>
      <c r="J870" s="750"/>
    </row>
    <row r="871" spans="1:10" x14ac:dyDescent="0.35">
      <c r="A871" s="92"/>
      <c r="F871" s="726"/>
      <c r="G871" s="735"/>
      <c r="H871" s="93"/>
      <c r="I871" s="750"/>
      <c r="J871" s="750"/>
    </row>
    <row r="872" spans="1:10" x14ac:dyDescent="0.35">
      <c r="A872" s="92"/>
      <c r="F872" s="726"/>
      <c r="G872" s="735"/>
      <c r="H872" s="93"/>
      <c r="I872" s="750"/>
      <c r="J872" s="750"/>
    </row>
    <row r="873" spans="1:10" x14ac:dyDescent="0.35">
      <c r="A873" s="92"/>
      <c r="F873" s="726"/>
      <c r="G873" s="735"/>
      <c r="H873" s="93"/>
      <c r="I873" s="750"/>
      <c r="J873" s="750"/>
    </row>
    <row r="874" spans="1:10" x14ac:dyDescent="0.35">
      <c r="A874" s="92"/>
      <c r="F874" s="726"/>
      <c r="G874" s="735"/>
      <c r="H874" s="93"/>
      <c r="I874" s="750"/>
      <c r="J874" s="750"/>
    </row>
    <row r="875" spans="1:10" x14ac:dyDescent="0.35">
      <c r="A875" s="92"/>
      <c r="F875" s="726"/>
      <c r="G875" s="735"/>
      <c r="H875" s="93"/>
      <c r="I875" s="750"/>
      <c r="J875" s="750"/>
    </row>
    <row r="876" spans="1:10" x14ac:dyDescent="0.35">
      <c r="A876" s="92"/>
      <c r="F876" s="726"/>
      <c r="G876" s="735"/>
      <c r="H876" s="93"/>
      <c r="I876" s="750"/>
      <c r="J876" s="750"/>
    </row>
    <row r="877" spans="1:10" x14ac:dyDescent="0.35">
      <c r="A877" s="92"/>
      <c r="F877" s="726"/>
      <c r="G877" s="735"/>
      <c r="H877" s="93"/>
      <c r="I877" s="750"/>
      <c r="J877" s="750"/>
    </row>
    <row r="878" spans="1:10" x14ac:dyDescent="0.35">
      <c r="A878" s="92"/>
      <c r="F878" s="726"/>
      <c r="G878" s="735"/>
      <c r="H878" s="93"/>
      <c r="I878" s="750"/>
      <c r="J878" s="750"/>
    </row>
    <row r="879" spans="1:10" x14ac:dyDescent="0.35">
      <c r="A879" s="92"/>
      <c r="F879" s="726"/>
      <c r="G879" s="735"/>
      <c r="H879" s="93"/>
      <c r="I879" s="750"/>
      <c r="J879" s="750"/>
    </row>
    <row r="880" spans="1:10" x14ac:dyDescent="0.35">
      <c r="A880" s="92"/>
      <c r="F880" s="726"/>
      <c r="G880" s="735"/>
      <c r="H880" s="93"/>
      <c r="I880" s="750"/>
      <c r="J880" s="750"/>
    </row>
    <row r="881" spans="1:10" x14ac:dyDescent="0.35">
      <c r="A881" s="92"/>
      <c r="F881" s="726"/>
      <c r="G881" s="735"/>
      <c r="H881" s="93"/>
      <c r="I881" s="750"/>
      <c r="J881" s="750"/>
    </row>
    <row r="882" spans="1:10" x14ac:dyDescent="0.35">
      <c r="A882" s="92"/>
      <c r="F882" s="726"/>
      <c r="G882" s="735"/>
      <c r="H882" s="93"/>
      <c r="I882" s="750"/>
      <c r="J882" s="750"/>
    </row>
    <row r="883" spans="1:10" x14ac:dyDescent="0.35">
      <c r="A883" s="92"/>
      <c r="F883" s="726"/>
      <c r="G883" s="735"/>
      <c r="H883" s="93"/>
      <c r="I883" s="750"/>
      <c r="J883" s="750"/>
    </row>
    <row r="884" spans="1:10" x14ac:dyDescent="0.35">
      <c r="A884" s="92"/>
      <c r="F884" s="726"/>
      <c r="G884" s="735"/>
      <c r="H884" s="93"/>
      <c r="I884" s="750"/>
      <c r="J884" s="750"/>
    </row>
    <row r="885" spans="1:10" x14ac:dyDescent="0.35">
      <c r="A885" s="92"/>
      <c r="F885" s="726"/>
      <c r="G885" s="735"/>
      <c r="H885" s="93"/>
      <c r="I885" s="750"/>
      <c r="J885" s="750"/>
    </row>
    <row r="886" spans="1:10" x14ac:dyDescent="0.35">
      <c r="A886" s="92"/>
      <c r="F886" s="726"/>
      <c r="G886" s="735"/>
      <c r="H886" s="93"/>
      <c r="I886" s="750"/>
      <c r="J886" s="750"/>
    </row>
    <row r="887" spans="1:10" x14ac:dyDescent="0.35">
      <c r="A887" s="92"/>
      <c r="F887" s="726"/>
      <c r="G887" s="735"/>
      <c r="H887" s="93"/>
      <c r="I887" s="750"/>
      <c r="J887" s="750"/>
    </row>
    <row r="888" spans="1:10" x14ac:dyDescent="0.35">
      <c r="A888" s="92"/>
      <c r="F888" s="726"/>
      <c r="G888" s="735"/>
      <c r="H888" s="93"/>
      <c r="I888" s="750"/>
      <c r="J888" s="750"/>
    </row>
    <row r="889" spans="1:10" x14ac:dyDescent="0.35">
      <c r="A889" s="92"/>
      <c r="F889" s="726"/>
      <c r="G889" s="735"/>
      <c r="H889" s="93"/>
      <c r="I889" s="750"/>
      <c r="J889" s="750"/>
    </row>
    <row r="890" spans="1:10" x14ac:dyDescent="0.35">
      <c r="A890" s="92"/>
      <c r="F890" s="726"/>
      <c r="G890" s="735"/>
      <c r="H890" s="93"/>
      <c r="I890" s="750"/>
      <c r="J890" s="750"/>
    </row>
    <row r="891" spans="1:10" x14ac:dyDescent="0.35">
      <c r="A891" s="92"/>
      <c r="F891" s="726"/>
      <c r="G891" s="735"/>
      <c r="H891" s="93"/>
      <c r="I891" s="750"/>
      <c r="J891" s="750"/>
    </row>
    <row r="892" spans="1:10" x14ac:dyDescent="0.35">
      <c r="A892" s="92"/>
      <c r="F892" s="726"/>
      <c r="G892" s="735"/>
      <c r="H892" s="93"/>
      <c r="I892" s="750"/>
      <c r="J892" s="750"/>
    </row>
    <row r="893" spans="1:10" x14ac:dyDescent="0.35">
      <c r="A893" s="92"/>
      <c r="F893" s="726"/>
      <c r="G893" s="735"/>
      <c r="H893" s="93"/>
      <c r="I893" s="750"/>
      <c r="J893" s="750"/>
    </row>
    <row r="894" spans="1:10" x14ac:dyDescent="0.35">
      <c r="A894" s="92"/>
      <c r="F894" s="726"/>
      <c r="G894" s="735"/>
      <c r="H894" s="93"/>
      <c r="I894" s="750"/>
      <c r="J894" s="750"/>
    </row>
    <row r="895" spans="1:10" x14ac:dyDescent="0.35">
      <c r="A895" s="92"/>
      <c r="F895" s="726"/>
      <c r="G895" s="735"/>
      <c r="H895" s="93"/>
      <c r="I895" s="750"/>
      <c r="J895" s="750"/>
    </row>
    <row r="896" spans="1:10" x14ac:dyDescent="0.35">
      <c r="A896" s="92"/>
      <c r="F896" s="726"/>
      <c r="G896" s="735"/>
      <c r="H896" s="93"/>
      <c r="I896" s="750"/>
      <c r="J896" s="750"/>
    </row>
    <row r="897" spans="1:10" x14ac:dyDescent="0.35">
      <c r="A897" s="92"/>
      <c r="F897" s="726"/>
      <c r="G897" s="735"/>
      <c r="H897" s="93"/>
      <c r="I897" s="750"/>
      <c r="J897" s="750"/>
    </row>
    <row r="898" spans="1:10" x14ac:dyDescent="0.35">
      <c r="A898" s="92"/>
      <c r="F898" s="726"/>
      <c r="G898" s="735"/>
      <c r="H898" s="93"/>
      <c r="I898" s="750"/>
      <c r="J898" s="750"/>
    </row>
    <row r="899" spans="1:10" x14ac:dyDescent="0.35">
      <c r="A899" s="92"/>
      <c r="F899" s="726"/>
      <c r="G899" s="735"/>
      <c r="H899" s="93"/>
      <c r="I899" s="750"/>
      <c r="J899" s="750"/>
    </row>
    <row r="900" spans="1:10" x14ac:dyDescent="0.35">
      <c r="A900" s="92"/>
      <c r="F900" s="726"/>
      <c r="G900" s="735"/>
      <c r="H900" s="93"/>
      <c r="I900" s="750"/>
      <c r="J900" s="750"/>
    </row>
    <row r="901" spans="1:10" x14ac:dyDescent="0.35">
      <c r="A901" s="92"/>
      <c r="F901" s="726"/>
      <c r="G901" s="735"/>
      <c r="H901" s="93"/>
      <c r="I901" s="750"/>
      <c r="J901" s="750"/>
    </row>
    <row r="902" spans="1:10" x14ac:dyDescent="0.35">
      <c r="A902" s="92"/>
      <c r="F902" s="726"/>
      <c r="G902" s="735"/>
      <c r="H902" s="93"/>
      <c r="I902" s="750"/>
      <c r="J902" s="750"/>
    </row>
    <row r="903" spans="1:10" x14ac:dyDescent="0.35">
      <c r="A903" s="92"/>
      <c r="F903" s="726"/>
      <c r="G903" s="735"/>
      <c r="H903" s="93"/>
      <c r="I903" s="750"/>
      <c r="J903" s="750"/>
    </row>
    <row r="904" spans="1:10" x14ac:dyDescent="0.35">
      <c r="A904" s="92"/>
      <c r="F904" s="726"/>
      <c r="G904" s="735"/>
      <c r="H904" s="93"/>
      <c r="I904" s="750"/>
      <c r="J904" s="750"/>
    </row>
    <row r="905" spans="1:10" x14ac:dyDescent="0.35">
      <c r="A905" s="92"/>
      <c r="F905" s="726"/>
      <c r="G905" s="735"/>
      <c r="H905" s="93"/>
      <c r="I905" s="750"/>
      <c r="J905" s="750"/>
    </row>
    <row r="906" spans="1:10" x14ac:dyDescent="0.35">
      <c r="A906" s="92"/>
      <c r="F906" s="726"/>
      <c r="G906" s="735"/>
      <c r="H906" s="93"/>
      <c r="I906" s="750"/>
      <c r="J906" s="750"/>
    </row>
    <row r="907" spans="1:10" x14ac:dyDescent="0.35">
      <c r="A907" s="92"/>
      <c r="F907" s="726"/>
      <c r="G907" s="735"/>
      <c r="H907" s="93"/>
      <c r="I907" s="750"/>
      <c r="J907" s="750"/>
    </row>
    <row r="908" spans="1:10" x14ac:dyDescent="0.35">
      <c r="A908" s="92"/>
      <c r="F908" s="726"/>
      <c r="G908" s="735"/>
      <c r="H908" s="93"/>
      <c r="I908" s="750"/>
      <c r="J908" s="750"/>
    </row>
    <row r="909" spans="1:10" x14ac:dyDescent="0.35">
      <c r="A909" s="92"/>
      <c r="F909" s="726"/>
      <c r="G909" s="735"/>
      <c r="H909" s="93"/>
      <c r="I909" s="750"/>
      <c r="J909" s="750"/>
    </row>
    <row r="910" spans="1:10" x14ac:dyDescent="0.35">
      <c r="A910" s="92"/>
      <c r="F910" s="726"/>
      <c r="G910" s="735"/>
      <c r="H910" s="93"/>
      <c r="I910" s="750"/>
      <c r="J910" s="750"/>
    </row>
    <row r="911" spans="1:10" x14ac:dyDescent="0.35">
      <c r="A911" s="92"/>
      <c r="F911" s="726"/>
      <c r="G911" s="735"/>
      <c r="H911" s="93"/>
      <c r="I911" s="750"/>
      <c r="J911" s="750"/>
    </row>
    <row r="912" spans="1:10" x14ac:dyDescent="0.35">
      <c r="A912" s="92"/>
      <c r="F912" s="726"/>
      <c r="G912" s="735"/>
      <c r="H912" s="93"/>
      <c r="I912" s="750"/>
      <c r="J912" s="750"/>
    </row>
    <row r="913" spans="1:10" x14ac:dyDescent="0.35">
      <c r="A913" s="92"/>
      <c r="F913" s="726"/>
      <c r="G913" s="735"/>
      <c r="H913" s="93"/>
      <c r="I913" s="750"/>
      <c r="J913" s="750"/>
    </row>
    <row r="914" spans="1:10" x14ac:dyDescent="0.35">
      <c r="A914" s="92"/>
      <c r="F914" s="726"/>
      <c r="G914" s="735"/>
      <c r="H914" s="93"/>
      <c r="I914" s="750"/>
      <c r="J914" s="750"/>
    </row>
    <row r="915" spans="1:10" x14ac:dyDescent="0.35">
      <c r="A915" s="92"/>
      <c r="F915" s="726"/>
      <c r="G915" s="735"/>
      <c r="H915" s="93"/>
      <c r="I915" s="750"/>
      <c r="J915" s="750"/>
    </row>
    <row r="916" spans="1:10" x14ac:dyDescent="0.35">
      <c r="A916" s="92"/>
      <c r="F916" s="726"/>
      <c r="G916" s="735"/>
      <c r="H916" s="93"/>
      <c r="I916" s="750"/>
      <c r="J916" s="750"/>
    </row>
    <row r="917" spans="1:10" x14ac:dyDescent="0.35">
      <c r="A917" s="92"/>
      <c r="F917" s="726"/>
      <c r="G917" s="735"/>
      <c r="H917" s="93"/>
      <c r="I917" s="750"/>
      <c r="J917" s="750"/>
    </row>
    <row r="918" spans="1:10" x14ac:dyDescent="0.35">
      <c r="A918" s="92"/>
      <c r="F918" s="726"/>
      <c r="G918" s="735"/>
      <c r="H918" s="93"/>
      <c r="I918" s="750"/>
      <c r="J918" s="750"/>
    </row>
    <row r="919" spans="1:10" x14ac:dyDescent="0.35">
      <c r="A919" s="92"/>
      <c r="F919" s="726"/>
      <c r="G919" s="735"/>
      <c r="H919" s="93"/>
      <c r="I919" s="750"/>
      <c r="J919" s="750"/>
    </row>
    <row r="920" spans="1:10" x14ac:dyDescent="0.35">
      <c r="A920" s="92"/>
      <c r="F920" s="726"/>
      <c r="G920" s="735"/>
      <c r="H920" s="93"/>
      <c r="I920" s="750"/>
      <c r="J920" s="750"/>
    </row>
    <row r="921" spans="1:10" x14ac:dyDescent="0.35">
      <c r="A921" s="92"/>
      <c r="F921" s="726"/>
      <c r="G921" s="735"/>
      <c r="H921" s="93"/>
      <c r="I921" s="750"/>
      <c r="J921" s="750"/>
    </row>
    <row r="922" spans="1:10" x14ac:dyDescent="0.35">
      <c r="A922" s="92"/>
      <c r="F922" s="726"/>
      <c r="G922" s="735"/>
      <c r="H922" s="93"/>
      <c r="I922" s="750"/>
      <c r="J922" s="750"/>
    </row>
    <row r="923" spans="1:10" x14ac:dyDescent="0.35">
      <c r="A923" s="92"/>
      <c r="F923" s="726"/>
      <c r="G923" s="735"/>
      <c r="H923" s="93"/>
      <c r="I923" s="750"/>
      <c r="J923" s="750"/>
    </row>
    <row r="924" spans="1:10" x14ac:dyDescent="0.35">
      <c r="A924" s="92"/>
      <c r="F924" s="726"/>
      <c r="G924" s="735"/>
      <c r="H924" s="93"/>
      <c r="I924" s="750"/>
      <c r="J924" s="750"/>
    </row>
    <row r="925" spans="1:10" x14ac:dyDescent="0.35">
      <c r="A925" s="92"/>
      <c r="F925" s="726"/>
      <c r="G925" s="735"/>
      <c r="H925" s="93"/>
      <c r="I925" s="750"/>
      <c r="J925" s="750"/>
    </row>
    <row r="926" spans="1:10" x14ac:dyDescent="0.35">
      <c r="A926" s="92"/>
      <c r="F926" s="726"/>
      <c r="G926" s="735"/>
      <c r="H926" s="93"/>
      <c r="I926" s="750"/>
      <c r="J926" s="750"/>
    </row>
    <row r="927" spans="1:10" x14ac:dyDescent="0.35">
      <c r="A927" s="92"/>
      <c r="F927" s="726"/>
      <c r="G927" s="735"/>
      <c r="H927" s="93"/>
      <c r="I927" s="750"/>
      <c r="J927" s="750"/>
    </row>
    <row r="928" spans="1:10" x14ac:dyDescent="0.35">
      <c r="A928" s="92"/>
      <c r="F928" s="726"/>
      <c r="G928" s="735"/>
      <c r="H928" s="93"/>
      <c r="I928" s="750"/>
      <c r="J928" s="750"/>
    </row>
    <row r="929" spans="1:10" x14ac:dyDescent="0.35">
      <c r="A929" s="92"/>
      <c r="F929" s="726"/>
      <c r="G929" s="735"/>
      <c r="H929" s="93"/>
      <c r="I929" s="750"/>
      <c r="J929" s="750"/>
    </row>
    <row r="930" spans="1:10" x14ac:dyDescent="0.35">
      <c r="A930" s="92"/>
      <c r="F930" s="726"/>
      <c r="G930" s="735"/>
      <c r="H930" s="93"/>
      <c r="I930" s="750"/>
      <c r="J930" s="750"/>
    </row>
    <row r="931" spans="1:10" x14ac:dyDescent="0.35">
      <c r="A931" s="92"/>
      <c r="F931" s="726"/>
      <c r="G931" s="735"/>
      <c r="H931" s="93"/>
      <c r="I931" s="750"/>
      <c r="J931" s="750"/>
    </row>
    <row r="932" spans="1:10" x14ac:dyDescent="0.35">
      <c r="A932" s="92"/>
      <c r="F932" s="726"/>
      <c r="G932" s="735"/>
      <c r="H932" s="93"/>
      <c r="I932" s="750"/>
      <c r="J932" s="750"/>
    </row>
    <row r="933" spans="1:10" x14ac:dyDescent="0.35">
      <c r="A933" s="92"/>
      <c r="F933" s="726"/>
      <c r="G933" s="735"/>
      <c r="H933" s="93"/>
      <c r="I933" s="750"/>
      <c r="J933" s="750"/>
    </row>
    <row r="934" spans="1:10" x14ac:dyDescent="0.35">
      <c r="A934" s="92"/>
      <c r="F934" s="726"/>
      <c r="G934" s="735"/>
      <c r="H934" s="93"/>
      <c r="I934" s="750"/>
      <c r="J934" s="750"/>
    </row>
    <row r="935" spans="1:10" x14ac:dyDescent="0.35">
      <c r="A935" s="92"/>
      <c r="F935" s="726"/>
      <c r="G935" s="735"/>
      <c r="H935" s="93"/>
      <c r="I935" s="750"/>
      <c r="J935" s="750"/>
    </row>
    <row r="936" spans="1:10" x14ac:dyDescent="0.35">
      <c r="A936" s="92"/>
      <c r="F936" s="726"/>
      <c r="G936" s="735"/>
      <c r="H936" s="93"/>
      <c r="I936" s="750"/>
      <c r="J936" s="750"/>
    </row>
    <row r="937" spans="1:10" x14ac:dyDescent="0.35">
      <c r="A937" s="92"/>
      <c r="F937" s="726"/>
      <c r="G937" s="735"/>
      <c r="H937" s="93"/>
      <c r="I937" s="750"/>
      <c r="J937" s="750"/>
    </row>
    <row r="938" spans="1:10" x14ac:dyDescent="0.35">
      <c r="A938" s="92"/>
      <c r="F938" s="726"/>
      <c r="G938" s="735"/>
      <c r="H938" s="93"/>
      <c r="I938" s="750"/>
      <c r="J938" s="750"/>
    </row>
    <row r="939" spans="1:10" x14ac:dyDescent="0.35">
      <c r="A939" s="92"/>
      <c r="F939" s="726"/>
      <c r="G939" s="735"/>
      <c r="H939" s="93"/>
      <c r="I939" s="750"/>
      <c r="J939" s="750"/>
    </row>
    <row r="940" spans="1:10" x14ac:dyDescent="0.35">
      <c r="A940" s="92"/>
      <c r="F940" s="726"/>
      <c r="G940" s="735"/>
      <c r="H940" s="93"/>
      <c r="I940" s="750"/>
      <c r="J940" s="750"/>
    </row>
    <row r="941" spans="1:10" x14ac:dyDescent="0.35">
      <c r="A941" s="92"/>
      <c r="F941" s="726"/>
      <c r="G941" s="735"/>
      <c r="H941" s="93"/>
      <c r="I941" s="750"/>
      <c r="J941" s="750"/>
    </row>
    <row r="942" spans="1:10" x14ac:dyDescent="0.35">
      <c r="A942" s="92"/>
      <c r="F942" s="726"/>
      <c r="G942" s="735"/>
      <c r="H942" s="93"/>
      <c r="I942" s="750"/>
      <c r="J942" s="750"/>
    </row>
    <row r="943" spans="1:10" x14ac:dyDescent="0.35">
      <c r="A943" s="92"/>
      <c r="F943" s="726"/>
      <c r="G943" s="735"/>
      <c r="H943" s="93"/>
      <c r="I943" s="750"/>
      <c r="J943" s="750"/>
    </row>
    <row r="944" spans="1:10" x14ac:dyDescent="0.35">
      <c r="A944" s="92"/>
      <c r="F944" s="726"/>
      <c r="G944" s="735"/>
      <c r="H944" s="93"/>
      <c r="I944" s="750"/>
      <c r="J944" s="750"/>
    </row>
    <row r="945" spans="1:10" x14ac:dyDescent="0.35">
      <c r="A945" s="92"/>
      <c r="F945" s="726"/>
      <c r="G945" s="735"/>
      <c r="H945" s="93"/>
      <c r="I945" s="750"/>
      <c r="J945" s="750"/>
    </row>
    <row r="946" spans="1:10" x14ac:dyDescent="0.35">
      <c r="A946" s="92"/>
      <c r="F946" s="726"/>
      <c r="G946" s="735"/>
      <c r="H946" s="93"/>
      <c r="I946" s="750"/>
      <c r="J946" s="750"/>
    </row>
    <row r="947" spans="1:10" x14ac:dyDescent="0.35">
      <c r="A947" s="92"/>
      <c r="F947" s="726"/>
      <c r="G947" s="735"/>
      <c r="H947" s="93"/>
      <c r="I947" s="750"/>
      <c r="J947" s="750"/>
    </row>
    <row r="948" spans="1:10" x14ac:dyDescent="0.35">
      <c r="A948" s="92"/>
      <c r="F948" s="726"/>
      <c r="G948" s="735"/>
      <c r="H948" s="93"/>
      <c r="I948" s="750"/>
      <c r="J948" s="750"/>
    </row>
    <row r="949" spans="1:10" x14ac:dyDescent="0.35">
      <c r="A949" s="92"/>
      <c r="F949" s="726"/>
      <c r="G949" s="735"/>
      <c r="H949" s="93"/>
      <c r="I949" s="750"/>
      <c r="J949" s="750"/>
    </row>
    <row r="950" spans="1:10" x14ac:dyDescent="0.35">
      <c r="A950" s="92"/>
      <c r="F950" s="726"/>
      <c r="G950" s="735"/>
      <c r="H950" s="93"/>
      <c r="I950" s="750"/>
      <c r="J950" s="750"/>
    </row>
    <row r="951" spans="1:10" x14ac:dyDescent="0.35">
      <c r="A951" s="92"/>
      <c r="F951" s="726"/>
      <c r="G951" s="735"/>
      <c r="H951" s="93"/>
      <c r="I951" s="750"/>
      <c r="J951" s="750"/>
    </row>
    <row r="952" spans="1:10" x14ac:dyDescent="0.35">
      <c r="A952" s="92"/>
      <c r="F952" s="726"/>
      <c r="G952" s="735"/>
      <c r="H952" s="93"/>
      <c r="I952" s="750"/>
      <c r="J952" s="750"/>
    </row>
    <row r="953" spans="1:10" x14ac:dyDescent="0.35">
      <c r="A953" s="92"/>
      <c r="F953" s="726"/>
      <c r="G953" s="735"/>
      <c r="H953" s="93"/>
      <c r="I953" s="750"/>
      <c r="J953" s="750"/>
    </row>
    <row r="954" spans="1:10" x14ac:dyDescent="0.35">
      <c r="A954" s="92"/>
      <c r="F954" s="726"/>
      <c r="G954" s="735"/>
      <c r="H954" s="93"/>
      <c r="I954" s="750"/>
      <c r="J954" s="750"/>
    </row>
    <row r="955" spans="1:10" x14ac:dyDescent="0.35">
      <c r="A955" s="92"/>
      <c r="F955" s="726"/>
      <c r="G955" s="735"/>
      <c r="H955" s="93"/>
      <c r="I955" s="750"/>
      <c r="J955" s="750"/>
    </row>
    <row r="956" spans="1:10" x14ac:dyDescent="0.35">
      <c r="A956" s="92"/>
      <c r="F956" s="726"/>
      <c r="G956" s="735"/>
      <c r="H956" s="93"/>
      <c r="I956" s="750"/>
      <c r="J956" s="750"/>
    </row>
    <row r="957" spans="1:10" x14ac:dyDescent="0.35">
      <c r="A957" s="92"/>
      <c r="F957" s="726"/>
      <c r="G957" s="735"/>
      <c r="H957" s="93"/>
      <c r="I957" s="750"/>
      <c r="J957" s="750"/>
    </row>
    <row r="958" spans="1:10" x14ac:dyDescent="0.35">
      <c r="A958" s="92"/>
      <c r="F958" s="726"/>
      <c r="G958" s="735"/>
      <c r="H958" s="93"/>
      <c r="I958" s="750"/>
      <c r="J958" s="750"/>
    </row>
    <row r="959" spans="1:10" x14ac:dyDescent="0.35">
      <c r="A959" s="92"/>
      <c r="F959" s="726"/>
      <c r="G959" s="735"/>
      <c r="H959" s="93"/>
      <c r="I959" s="750"/>
      <c r="J959" s="750"/>
    </row>
    <row r="960" spans="1:10" x14ac:dyDescent="0.35">
      <c r="A960" s="92"/>
      <c r="F960" s="726"/>
      <c r="G960" s="735"/>
      <c r="H960" s="93"/>
      <c r="I960" s="750"/>
      <c r="J960" s="750"/>
    </row>
    <row r="961" spans="1:10" x14ac:dyDescent="0.35">
      <c r="A961" s="92"/>
      <c r="F961" s="726"/>
      <c r="G961" s="735"/>
      <c r="H961" s="93"/>
      <c r="I961" s="750"/>
      <c r="J961" s="750"/>
    </row>
    <row r="962" spans="1:10" x14ac:dyDescent="0.35">
      <c r="A962" s="92"/>
      <c r="F962" s="726"/>
      <c r="G962" s="735"/>
      <c r="H962" s="93"/>
      <c r="I962" s="750"/>
      <c r="J962" s="750"/>
    </row>
    <row r="963" spans="1:10" x14ac:dyDescent="0.35">
      <c r="A963" s="92"/>
      <c r="F963" s="726"/>
      <c r="G963" s="735"/>
      <c r="H963" s="93"/>
      <c r="I963" s="750"/>
      <c r="J963" s="750"/>
    </row>
    <row r="964" spans="1:10" x14ac:dyDescent="0.35">
      <c r="A964" s="92"/>
      <c r="F964" s="726"/>
      <c r="G964" s="735"/>
      <c r="H964" s="93"/>
      <c r="I964" s="750"/>
      <c r="J964" s="750"/>
    </row>
    <row r="965" spans="1:10" x14ac:dyDescent="0.35">
      <c r="A965" s="92"/>
      <c r="F965" s="726"/>
      <c r="G965" s="735"/>
      <c r="H965" s="93"/>
      <c r="I965" s="750"/>
      <c r="J965" s="750"/>
    </row>
    <row r="966" spans="1:10" x14ac:dyDescent="0.35">
      <c r="A966" s="92"/>
      <c r="F966" s="726"/>
      <c r="G966" s="735"/>
      <c r="H966" s="93"/>
      <c r="I966" s="750"/>
      <c r="J966" s="750"/>
    </row>
    <row r="967" spans="1:10" x14ac:dyDescent="0.35">
      <c r="A967" s="92"/>
      <c r="F967" s="726"/>
      <c r="G967" s="735"/>
      <c r="H967" s="93"/>
      <c r="I967" s="750"/>
      <c r="J967" s="750"/>
    </row>
    <row r="968" spans="1:10" x14ac:dyDescent="0.35">
      <c r="A968" s="92"/>
      <c r="F968" s="726"/>
      <c r="G968" s="735"/>
      <c r="H968" s="93"/>
      <c r="I968" s="750"/>
      <c r="J968" s="750"/>
    </row>
    <row r="969" spans="1:10" x14ac:dyDescent="0.35">
      <c r="A969" s="92"/>
      <c r="F969" s="726"/>
      <c r="G969" s="735"/>
      <c r="H969" s="93"/>
      <c r="I969" s="750"/>
      <c r="J969" s="750"/>
    </row>
    <row r="970" spans="1:10" x14ac:dyDescent="0.35">
      <c r="A970" s="92"/>
      <c r="F970" s="726"/>
      <c r="G970" s="735"/>
      <c r="H970" s="93"/>
      <c r="I970" s="750"/>
      <c r="J970" s="750"/>
    </row>
    <row r="971" spans="1:10" x14ac:dyDescent="0.35">
      <c r="A971" s="92"/>
      <c r="F971" s="726"/>
      <c r="G971" s="735"/>
      <c r="H971" s="93"/>
      <c r="I971" s="750"/>
      <c r="J971" s="750"/>
    </row>
    <row r="972" spans="1:10" x14ac:dyDescent="0.35">
      <c r="A972" s="92"/>
      <c r="F972" s="726"/>
      <c r="G972" s="735"/>
      <c r="H972" s="93"/>
      <c r="I972" s="750"/>
      <c r="J972" s="750"/>
    </row>
    <row r="973" spans="1:10" x14ac:dyDescent="0.35">
      <c r="A973" s="92"/>
      <c r="F973" s="726"/>
      <c r="G973" s="735"/>
      <c r="H973" s="93"/>
      <c r="I973" s="750"/>
      <c r="J973" s="750"/>
    </row>
    <row r="974" spans="1:10" x14ac:dyDescent="0.35">
      <c r="A974" s="92"/>
      <c r="F974" s="726"/>
      <c r="G974" s="735"/>
      <c r="H974" s="93"/>
      <c r="I974" s="750"/>
      <c r="J974" s="750"/>
    </row>
    <row r="975" spans="1:10" x14ac:dyDescent="0.35">
      <c r="A975" s="92"/>
      <c r="F975" s="726"/>
      <c r="G975" s="735"/>
      <c r="H975" s="93"/>
      <c r="I975" s="750"/>
      <c r="J975" s="750"/>
    </row>
    <row r="976" spans="1:10" x14ac:dyDescent="0.35">
      <c r="A976" s="92"/>
      <c r="F976" s="726"/>
      <c r="G976" s="735"/>
      <c r="H976" s="93"/>
      <c r="I976" s="750"/>
      <c r="J976" s="750"/>
    </row>
    <row r="977" spans="1:10" x14ac:dyDescent="0.35">
      <c r="A977" s="92"/>
      <c r="F977" s="726"/>
      <c r="G977" s="735"/>
      <c r="H977" s="93"/>
      <c r="I977" s="750"/>
      <c r="J977" s="750"/>
    </row>
    <row r="978" spans="1:10" x14ac:dyDescent="0.35">
      <c r="A978" s="92"/>
      <c r="F978" s="726"/>
      <c r="G978" s="735"/>
      <c r="H978" s="93"/>
      <c r="I978" s="750"/>
      <c r="J978" s="750"/>
    </row>
    <row r="979" spans="1:10" x14ac:dyDescent="0.35">
      <c r="A979" s="92"/>
      <c r="F979" s="726"/>
      <c r="G979" s="735"/>
      <c r="H979" s="93"/>
      <c r="I979" s="750"/>
      <c r="J979" s="750"/>
    </row>
    <row r="980" spans="1:10" x14ac:dyDescent="0.35">
      <c r="A980" s="92"/>
      <c r="F980" s="726"/>
      <c r="G980" s="735"/>
      <c r="H980" s="93"/>
      <c r="I980" s="750"/>
      <c r="J980" s="750"/>
    </row>
    <row r="981" spans="1:10" x14ac:dyDescent="0.35">
      <c r="A981" s="92"/>
      <c r="F981" s="726"/>
      <c r="G981" s="735"/>
      <c r="H981" s="93"/>
      <c r="I981" s="750"/>
      <c r="J981" s="750"/>
    </row>
    <row r="982" spans="1:10" x14ac:dyDescent="0.35">
      <c r="A982" s="92"/>
      <c r="F982" s="726"/>
      <c r="G982" s="735"/>
      <c r="H982" s="93"/>
      <c r="I982" s="750"/>
      <c r="J982" s="750"/>
    </row>
    <row r="983" spans="1:10" x14ac:dyDescent="0.35">
      <c r="A983" s="92"/>
      <c r="F983" s="726"/>
      <c r="G983" s="735"/>
      <c r="H983" s="93"/>
      <c r="I983" s="750"/>
      <c r="J983" s="750"/>
    </row>
    <row r="984" spans="1:10" x14ac:dyDescent="0.35">
      <c r="A984" s="92"/>
      <c r="F984" s="726"/>
      <c r="G984" s="735"/>
      <c r="H984" s="93"/>
      <c r="I984" s="750"/>
      <c r="J984" s="750"/>
    </row>
    <row r="985" spans="1:10" x14ac:dyDescent="0.35">
      <c r="A985" s="92"/>
      <c r="F985" s="726"/>
      <c r="G985" s="735"/>
      <c r="H985" s="93"/>
      <c r="I985" s="750"/>
      <c r="J985" s="750"/>
    </row>
    <row r="986" spans="1:10" x14ac:dyDescent="0.35">
      <c r="A986" s="92"/>
      <c r="F986" s="726"/>
      <c r="G986" s="735"/>
      <c r="H986" s="93"/>
      <c r="I986" s="750"/>
      <c r="J986" s="750"/>
    </row>
    <row r="987" spans="1:10" x14ac:dyDescent="0.35">
      <c r="A987" s="92"/>
      <c r="F987" s="726"/>
      <c r="G987" s="735"/>
      <c r="H987" s="93"/>
      <c r="I987" s="750"/>
      <c r="J987" s="750"/>
    </row>
    <row r="988" spans="1:10" x14ac:dyDescent="0.35">
      <c r="A988" s="92"/>
      <c r="F988" s="726"/>
      <c r="G988" s="735"/>
      <c r="H988" s="93"/>
      <c r="I988" s="750"/>
      <c r="J988" s="750"/>
    </row>
    <row r="989" spans="1:10" x14ac:dyDescent="0.35">
      <c r="A989" s="92"/>
      <c r="F989" s="726"/>
      <c r="G989" s="735"/>
      <c r="H989" s="93"/>
      <c r="I989" s="750"/>
      <c r="J989" s="750"/>
    </row>
    <row r="990" spans="1:10" x14ac:dyDescent="0.35">
      <c r="A990" s="92"/>
      <c r="F990" s="726"/>
      <c r="G990" s="735"/>
      <c r="H990" s="93"/>
      <c r="I990" s="750"/>
      <c r="J990" s="750"/>
    </row>
    <row r="991" spans="1:10" x14ac:dyDescent="0.35">
      <c r="A991" s="92"/>
      <c r="F991" s="726"/>
      <c r="G991" s="735"/>
      <c r="H991" s="93"/>
      <c r="I991" s="750"/>
      <c r="J991" s="750"/>
    </row>
    <row r="992" spans="1:10" x14ac:dyDescent="0.35">
      <c r="A992" s="92"/>
      <c r="F992" s="726"/>
      <c r="G992" s="735"/>
      <c r="H992" s="93"/>
      <c r="I992" s="750"/>
      <c r="J992" s="750"/>
    </row>
    <row r="993" spans="1:10" x14ac:dyDescent="0.35">
      <c r="A993" s="92"/>
      <c r="F993" s="726"/>
      <c r="G993" s="735"/>
      <c r="H993" s="93"/>
      <c r="I993" s="750"/>
      <c r="J993" s="750"/>
    </row>
    <row r="994" spans="1:10" x14ac:dyDescent="0.35">
      <c r="A994" s="92"/>
      <c r="F994" s="726"/>
      <c r="G994" s="735"/>
      <c r="H994" s="93"/>
      <c r="I994" s="750"/>
      <c r="J994" s="750"/>
    </row>
    <row r="995" spans="1:10" x14ac:dyDescent="0.35">
      <c r="A995" s="92"/>
      <c r="F995" s="726"/>
      <c r="G995" s="735"/>
      <c r="H995" s="93"/>
      <c r="I995" s="750"/>
      <c r="J995" s="750"/>
    </row>
    <row r="996" spans="1:10" x14ac:dyDescent="0.35">
      <c r="A996" s="92"/>
      <c r="F996" s="726"/>
      <c r="G996" s="735"/>
      <c r="H996" s="93"/>
      <c r="I996" s="750"/>
      <c r="J996" s="750"/>
    </row>
    <row r="997" spans="1:10" x14ac:dyDescent="0.35">
      <c r="A997" s="92"/>
      <c r="F997" s="726"/>
      <c r="G997" s="735"/>
      <c r="H997" s="93"/>
      <c r="I997" s="750"/>
      <c r="J997" s="750"/>
    </row>
    <row r="998" spans="1:10" x14ac:dyDescent="0.35">
      <c r="A998" s="92"/>
      <c r="F998" s="726"/>
      <c r="G998" s="735"/>
      <c r="H998" s="93"/>
      <c r="I998" s="750"/>
      <c r="J998" s="750"/>
    </row>
    <row r="999" spans="1:10" x14ac:dyDescent="0.35">
      <c r="A999" s="92"/>
      <c r="F999" s="726"/>
      <c r="G999" s="735"/>
      <c r="H999" s="93"/>
      <c r="I999" s="750"/>
      <c r="J999" s="750"/>
    </row>
    <row r="1000" spans="1:10" x14ac:dyDescent="0.35">
      <c r="A1000" s="92"/>
      <c r="F1000" s="726"/>
      <c r="G1000" s="735"/>
      <c r="H1000" s="93"/>
      <c r="I1000" s="750"/>
      <c r="J1000" s="750"/>
    </row>
    <row r="1001" spans="1:10" x14ac:dyDescent="0.35">
      <c r="A1001" s="92"/>
      <c r="F1001" s="726"/>
      <c r="G1001" s="735"/>
      <c r="H1001" s="93"/>
      <c r="I1001" s="750"/>
      <c r="J1001" s="750"/>
    </row>
    <row r="1002" spans="1:10" x14ac:dyDescent="0.35">
      <c r="A1002" s="92"/>
      <c r="F1002" s="726"/>
      <c r="G1002" s="735"/>
      <c r="H1002" s="93"/>
      <c r="I1002" s="750"/>
      <c r="J1002" s="750"/>
    </row>
    <row r="1003" spans="1:10" x14ac:dyDescent="0.35">
      <c r="A1003" s="92"/>
      <c r="F1003" s="726"/>
      <c r="G1003" s="735"/>
      <c r="H1003" s="93"/>
      <c r="I1003" s="750"/>
      <c r="J1003" s="750"/>
    </row>
    <row r="1004" spans="1:10" x14ac:dyDescent="0.35">
      <c r="A1004" s="92"/>
      <c r="F1004" s="726"/>
      <c r="G1004" s="735"/>
      <c r="H1004" s="93"/>
      <c r="I1004" s="750"/>
      <c r="J1004" s="750"/>
    </row>
    <row r="1005" spans="1:10" x14ac:dyDescent="0.35">
      <c r="A1005" s="92"/>
      <c r="F1005" s="726"/>
      <c r="G1005" s="735"/>
      <c r="H1005" s="93"/>
      <c r="I1005" s="750"/>
      <c r="J1005" s="750"/>
    </row>
    <row r="1006" spans="1:10" x14ac:dyDescent="0.35">
      <c r="A1006" s="92"/>
      <c r="F1006" s="726"/>
      <c r="G1006" s="735"/>
      <c r="H1006" s="93"/>
      <c r="I1006" s="750"/>
      <c r="J1006" s="750"/>
    </row>
    <row r="1007" spans="1:10" x14ac:dyDescent="0.35">
      <c r="A1007" s="92"/>
      <c r="F1007" s="726"/>
      <c r="G1007" s="735"/>
      <c r="H1007" s="93"/>
      <c r="I1007" s="750"/>
      <c r="J1007" s="750"/>
    </row>
    <row r="1008" spans="1:10" x14ac:dyDescent="0.35">
      <c r="A1008" s="92"/>
      <c r="F1008" s="726"/>
      <c r="G1008" s="735"/>
      <c r="H1008" s="93"/>
      <c r="I1008" s="750"/>
      <c r="J1008" s="750"/>
    </row>
    <row r="1009" spans="1:10" x14ac:dyDescent="0.35">
      <c r="A1009" s="92"/>
      <c r="F1009" s="726"/>
      <c r="G1009" s="735"/>
      <c r="H1009" s="93"/>
      <c r="I1009" s="750"/>
      <c r="J1009" s="750"/>
    </row>
    <row r="1010" spans="1:10" x14ac:dyDescent="0.35">
      <c r="A1010" s="92"/>
      <c r="F1010" s="726"/>
      <c r="G1010" s="735"/>
      <c r="H1010" s="93"/>
      <c r="I1010" s="750"/>
      <c r="J1010" s="750"/>
    </row>
    <row r="1011" spans="1:10" x14ac:dyDescent="0.35">
      <c r="A1011" s="92"/>
      <c r="F1011" s="726"/>
      <c r="G1011" s="735"/>
      <c r="H1011" s="93"/>
      <c r="I1011" s="750"/>
      <c r="J1011" s="750"/>
    </row>
    <row r="1012" spans="1:10" x14ac:dyDescent="0.35">
      <c r="A1012" s="92"/>
      <c r="F1012" s="726"/>
      <c r="G1012" s="735"/>
      <c r="H1012" s="93"/>
      <c r="I1012" s="750"/>
      <c r="J1012" s="750"/>
    </row>
    <row r="1013" spans="1:10" x14ac:dyDescent="0.35">
      <c r="A1013" s="92"/>
      <c r="F1013" s="726"/>
      <c r="G1013" s="735"/>
      <c r="H1013" s="93"/>
      <c r="I1013" s="750"/>
      <c r="J1013" s="750"/>
    </row>
    <row r="1014" spans="1:10" x14ac:dyDescent="0.35">
      <c r="A1014" s="92"/>
      <c r="F1014" s="726"/>
      <c r="G1014" s="735"/>
      <c r="H1014" s="93"/>
      <c r="I1014" s="750"/>
      <c r="J1014" s="750"/>
    </row>
    <row r="1015" spans="1:10" x14ac:dyDescent="0.35">
      <c r="A1015" s="92"/>
      <c r="F1015" s="726"/>
      <c r="G1015" s="735"/>
      <c r="H1015" s="93"/>
      <c r="I1015" s="750"/>
      <c r="J1015" s="750"/>
    </row>
    <row r="1016" spans="1:10" x14ac:dyDescent="0.35">
      <c r="A1016" s="92"/>
      <c r="F1016" s="726"/>
      <c r="G1016" s="735"/>
      <c r="H1016" s="93"/>
      <c r="I1016" s="750"/>
      <c r="J1016" s="750"/>
    </row>
    <row r="1017" spans="1:10" x14ac:dyDescent="0.35">
      <c r="A1017" s="92"/>
      <c r="F1017" s="726"/>
      <c r="G1017" s="735"/>
      <c r="H1017" s="93"/>
      <c r="I1017" s="750"/>
      <c r="J1017" s="750"/>
    </row>
    <row r="1018" spans="1:10" x14ac:dyDescent="0.35">
      <c r="A1018" s="92"/>
      <c r="F1018" s="726"/>
      <c r="G1018" s="735"/>
      <c r="H1018" s="93"/>
      <c r="I1018" s="750"/>
      <c r="J1018" s="750"/>
    </row>
    <row r="1019" spans="1:10" x14ac:dyDescent="0.35">
      <c r="A1019" s="92"/>
      <c r="F1019" s="726"/>
      <c r="G1019" s="735"/>
      <c r="H1019" s="93"/>
      <c r="I1019" s="750"/>
      <c r="J1019" s="750"/>
    </row>
    <row r="1020" spans="1:10" x14ac:dyDescent="0.35">
      <c r="A1020" s="92"/>
      <c r="F1020" s="726"/>
      <c r="G1020" s="735"/>
      <c r="H1020" s="93"/>
      <c r="I1020" s="750"/>
      <c r="J1020" s="750"/>
    </row>
    <row r="1021" spans="1:10" x14ac:dyDescent="0.35">
      <c r="A1021" s="92"/>
      <c r="F1021" s="726"/>
      <c r="G1021" s="735"/>
      <c r="H1021" s="93"/>
      <c r="I1021" s="750"/>
      <c r="J1021" s="750"/>
    </row>
    <row r="1022" spans="1:10" x14ac:dyDescent="0.35">
      <c r="A1022" s="92"/>
      <c r="F1022" s="726"/>
      <c r="G1022" s="735"/>
      <c r="H1022" s="93"/>
      <c r="I1022" s="750"/>
      <c r="J1022" s="750"/>
    </row>
    <row r="1023" spans="1:10" x14ac:dyDescent="0.35">
      <c r="A1023" s="92"/>
      <c r="F1023" s="726"/>
      <c r="G1023" s="735"/>
      <c r="H1023" s="93"/>
      <c r="I1023" s="750"/>
      <c r="J1023" s="750"/>
    </row>
    <row r="1024" spans="1:10" x14ac:dyDescent="0.35">
      <c r="A1024" s="92"/>
      <c r="F1024" s="726"/>
      <c r="G1024" s="735"/>
      <c r="H1024" s="93"/>
      <c r="I1024" s="750"/>
      <c r="J1024" s="750"/>
    </row>
    <row r="1025" spans="1:10" x14ac:dyDescent="0.35">
      <c r="A1025" s="92"/>
      <c r="F1025" s="726"/>
      <c r="G1025" s="735"/>
      <c r="H1025" s="93"/>
      <c r="I1025" s="750"/>
      <c r="J1025" s="750"/>
    </row>
    <row r="1026" spans="1:10" x14ac:dyDescent="0.35">
      <c r="A1026" s="92"/>
      <c r="F1026" s="726"/>
      <c r="G1026" s="735"/>
      <c r="H1026" s="93"/>
      <c r="I1026" s="750"/>
      <c r="J1026" s="750"/>
    </row>
    <row r="1027" spans="1:10" x14ac:dyDescent="0.35">
      <c r="A1027" s="92"/>
      <c r="F1027" s="726"/>
      <c r="G1027" s="735"/>
      <c r="H1027" s="93"/>
      <c r="I1027" s="750"/>
      <c r="J1027" s="750"/>
    </row>
    <row r="1028" spans="1:10" x14ac:dyDescent="0.35">
      <c r="A1028" s="92"/>
      <c r="F1028" s="726"/>
      <c r="G1028" s="735"/>
      <c r="H1028" s="93"/>
      <c r="I1028" s="750"/>
      <c r="J1028" s="750"/>
    </row>
    <row r="1029" spans="1:10" x14ac:dyDescent="0.35">
      <c r="A1029" s="92"/>
      <c r="F1029" s="726"/>
      <c r="G1029" s="735"/>
      <c r="H1029" s="93"/>
      <c r="I1029" s="750"/>
      <c r="J1029" s="750"/>
    </row>
    <row r="1030" spans="1:10" x14ac:dyDescent="0.35">
      <c r="A1030" s="92"/>
      <c r="F1030" s="726"/>
      <c r="G1030" s="735"/>
      <c r="H1030" s="93"/>
      <c r="I1030" s="750"/>
      <c r="J1030" s="750"/>
    </row>
    <row r="1031" spans="1:10" x14ac:dyDescent="0.35">
      <c r="A1031" s="92"/>
      <c r="F1031" s="726"/>
      <c r="G1031" s="735"/>
      <c r="H1031" s="93"/>
      <c r="I1031" s="750"/>
      <c r="J1031" s="750"/>
    </row>
    <row r="1032" spans="1:10" x14ac:dyDescent="0.35">
      <c r="A1032" s="92"/>
      <c r="F1032" s="726"/>
      <c r="G1032" s="735"/>
      <c r="H1032" s="93"/>
      <c r="I1032" s="750"/>
      <c r="J1032" s="750"/>
    </row>
    <row r="1033" spans="1:10" x14ac:dyDescent="0.35">
      <c r="A1033" s="92"/>
      <c r="F1033" s="726"/>
      <c r="G1033" s="735"/>
      <c r="H1033" s="93"/>
      <c r="I1033" s="750"/>
      <c r="J1033" s="750"/>
    </row>
    <row r="1034" spans="1:10" x14ac:dyDescent="0.35">
      <c r="A1034" s="92"/>
      <c r="F1034" s="726"/>
      <c r="G1034" s="735"/>
      <c r="H1034" s="93"/>
      <c r="I1034" s="750"/>
      <c r="J1034" s="750"/>
    </row>
    <row r="1035" spans="1:10" x14ac:dyDescent="0.35">
      <c r="A1035" s="92"/>
      <c r="F1035" s="726"/>
      <c r="G1035" s="735"/>
      <c r="H1035" s="93"/>
      <c r="I1035" s="750"/>
      <c r="J1035" s="750"/>
    </row>
    <row r="1036" spans="1:10" x14ac:dyDescent="0.35">
      <c r="A1036" s="92"/>
      <c r="F1036" s="726"/>
      <c r="G1036" s="735"/>
      <c r="H1036" s="93"/>
      <c r="I1036" s="750"/>
      <c r="J1036" s="750"/>
    </row>
    <row r="1037" spans="1:10" x14ac:dyDescent="0.35">
      <c r="A1037" s="92"/>
      <c r="F1037" s="726"/>
      <c r="G1037" s="735"/>
      <c r="H1037" s="93"/>
      <c r="I1037" s="750"/>
      <c r="J1037" s="750"/>
    </row>
    <row r="1038" spans="1:10" x14ac:dyDescent="0.35">
      <c r="A1038" s="92"/>
      <c r="F1038" s="726"/>
      <c r="G1038" s="735"/>
      <c r="H1038" s="93"/>
      <c r="I1038" s="750"/>
      <c r="J1038" s="750"/>
    </row>
    <row r="1039" spans="1:10" x14ac:dyDescent="0.35">
      <c r="A1039" s="92"/>
      <c r="F1039" s="726"/>
      <c r="G1039" s="735"/>
      <c r="H1039" s="93"/>
      <c r="I1039" s="750"/>
      <c r="J1039" s="750"/>
    </row>
    <row r="1040" spans="1:10" x14ac:dyDescent="0.35">
      <c r="A1040" s="92"/>
      <c r="F1040" s="726"/>
      <c r="G1040" s="735"/>
      <c r="H1040" s="93"/>
      <c r="I1040" s="750"/>
      <c r="J1040" s="750"/>
    </row>
    <row r="1041" spans="1:10" x14ac:dyDescent="0.35">
      <c r="A1041" s="92"/>
      <c r="F1041" s="726"/>
      <c r="G1041" s="735"/>
      <c r="H1041" s="93"/>
      <c r="I1041" s="750"/>
      <c r="J1041" s="750"/>
    </row>
    <row r="1042" spans="1:10" x14ac:dyDescent="0.35">
      <c r="A1042" s="92"/>
      <c r="F1042" s="726"/>
      <c r="G1042" s="735"/>
      <c r="H1042" s="93"/>
      <c r="I1042" s="750"/>
      <c r="J1042" s="750"/>
    </row>
    <row r="1043" spans="1:10" x14ac:dyDescent="0.35">
      <c r="A1043" s="92"/>
      <c r="F1043" s="726"/>
      <c r="G1043" s="735"/>
      <c r="H1043" s="93"/>
      <c r="I1043" s="750"/>
      <c r="J1043" s="750"/>
    </row>
    <row r="1044" spans="1:10" x14ac:dyDescent="0.35">
      <c r="A1044" s="92"/>
      <c r="F1044" s="726"/>
      <c r="G1044" s="735"/>
      <c r="H1044" s="93"/>
      <c r="I1044" s="750"/>
      <c r="J1044" s="750"/>
    </row>
    <row r="1045" spans="1:10" x14ac:dyDescent="0.35">
      <c r="A1045" s="92"/>
      <c r="F1045" s="726"/>
      <c r="G1045" s="735"/>
      <c r="H1045" s="93"/>
      <c r="I1045" s="750"/>
      <c r="J1045" s="750"/>
    </row>
    <row r="1046" spans="1:10" x14ac:dyDescent="0.35">
      <c r="A1046" s="92"/>
      <c r="F1046" s="726"/>
      <c r="G1046" s="735"/>
      <c r="H1046" s="93"/>
      <c r="I1046" s="750"/>
      <c r="J1046" s="750"/>
    </row>
    <row r="1047" spans="1:10" x14ac:dyDescent="0.35">
      <c r="A1047" s="92"/>
      <c r="F1047" s="726"/>
      <c r="G1047" s="735"/>
      <c r="H1047" s="93"/>
      <c r="I1047" s="750"/>
      <c r="J1047" s="750"/>
    </row>
    <row r="1048" spans="1:10" x14ac:dyDescent="0.35">
      <c r="A1048" s="92"/>
      <c r="F1048" s="726"/>
      <c r="G1048" s="735"/>
      <c r="H1048" s="93"/>
      <c r="I1048" s="750"/>
      <c r="J1048" s="750"/>
    </row>
    <row r="1049" spans="1:10" x14ac:dyDescent="0.35">
      <c r="A1049" s="92"/>
      <c r="F1049" s="726"/>
      <c r="G1049" s="735"/>
      <c r="H1049" s="93"/>
      <c r="I1049" s="750"/>
      <c r="J1049" s="750"/>
    </row>
    <row r="1050" spans="1:10" x14ac:dyDescent="0.35">
      <c r="A1050" s="92"/>
      <c r="F1050" s="726"/>
      <c r="G1050" s="735"/>
      <c r="H1050" s="93"/>
      <c r="I1050" s="750"/>
      <c r="J1050" s="750"/>
    </row>
    <row r="1051" spans="1:10" x14ac:dyDescent="0.35">
      <c r="A1051" s="92"/>
      <c r="F1051" s="726"/>
      <c r="G1051" s="735"/>
      <c r="H1051" s="93"/>
      <c r="I1051" s="750"/>
      <c r="J1051" s="750"/>
    </row>
    <row r="1052" spans="1:10" x14ac:dyDescent="0.35">
      <c r="A1052" s="92"/>
      <c r="F1052" s="726"/>
      <c r="G1052" s="735"/>
      <c r="H1052" s="93"/>
      <c r="I1052" s="750"/>
      <c r="J1052" s="750"/>
    </row>
    <row r="1053" spans="1:10" x14ac:dyDescent="0.35">
      <c r="A1053" s="92"/>
      <c r="F1053" s="726"/>
      <c r="G1053" s="735"/>
      <c r="H1053" s="93"/>
      <c r="I1053" s="750"/>
      <c r="J1053" s="750"/>
    </row>
    <row r="1054" spans="1:10" x14ac:dyDescent="0.35">
      <c r="A1054" s="92"/>
      <c r="F1054" s="726"/>
      <c r="G1054" s="735"/>
      <c r="H1054" s="93"/>
      <c r="I1054" s="750"/>
      <c r="J1054" s="750"/>
    </row>
    <row r="1055" spans="1:10" x14ac:dyDescent="0.35">
      <c r="A1055" s="92"/>
      <c r="F1055" s="726"/>
      <c r="G1055" s="735"/>
      <c r="H1055" s="93"/>
      <c r="I1055" s="750"/>
      <c r="J1055" s="750"/>
    </row>
    <row r="1056" spans="1:10" x14ac:dyDescent="0.35">
      <c r="A1056" s="92"/>
      <c r="F1056" s="726"/>
      <c r="G1056" s="735"/>
      <c r="H1056" s="93"/>
      <c r="I1056" s="750"/>
      <c r="J1056" s="750"/>
    </row>
    <row r="1057" spans="1:10" x14ac:dyDescent="0.35">
      <c r="A1057" s="92"/>
      <c r="F1057" s="726"/>
      <c r="G1057" s="735"/>
      <c r="H1057" s="93"/>
      <c r="I1057" s="750"/>
      <c r="J1057" s="750"/>
    </row>
    <row r="1058" spans="1:10" x14ac:dyDescent="0.35">
      <c r="A1058" s="92"/>
      <c r="F1058" s="726"/>
      <c r="G1058" s="735"/>
      <c r="H1058" s="93"/>
      <c r="I1058" s="750"/>
      <c r="J1058" s="750"/>
    </row>
    <row r="1059" spans="1:10" x14ac:dyDescent="0.35">
      <c r="A1059" s="92"/>
      <c r="F1059" s="726"/>
      <c r="G1059" s="735"/>
      <c r="H1059" s="93"/>
      <c r="I1059" s="750"/>
      <c r="J1059" s="750"/>
    </row>
    <row r="1060" spans="1:10" x14ac:dyDescent="0.35">
      <c r="A1060" s="92"/>
      <c r="F1060" s="726"/>
      <c r="G1060" s="735"/>
      <c r="H1060" s="93"/>
      <c r="I1060" s="750"/>
      <c r="J1060" s="750"/>
    </row>
    <row r="1061" spans="1:10" x14ac:dyDescent="0.35">
      <c r="A1061" s="92"/>
      <c r="F1061" s="726"/>
      <c r="G1061" s="735"/>
      <c r="H1061" s="93"/>
      <c r="I1061" s="750"/>
      <c r="J1061" s="750"/>
    </row>
    <row r="1062" spans="1:10" x14ac:dyDescent="0.35">
      <c r="A1062" s="92"/>
      <c r="F1062" s="726"/>
      <c r="G1062" s="735"/>
      <c r="H1062" s="93"/>
      <c r="I1062" s="750"/>
      <c r="J1062" s="750"/>
    </row>
    <row r="1063" spans="1:10" x14ac:dyDescent="0.35">
      <c r="A1063" s="92"/>
      <c r="F1063" s="726"/>
      <c r="G1063" s="735"/>
      <c r="H1063" s="93"/>
      <c r="I1063" s="750"/>
      <c r="J1063" s="750"/>
    </row>
    <row r="1064" spans="1:10" x14ac:dyDescent="0.35">
      <c r="A1064" s="92"/>
      <c r="F1064" s="726"/>
      <c r="G1064" s="735"/>
      <c r="H1064" s="93"/>
      <c r="I1064" s="750"/>
      <c r="J1064" s="750"/>
    </row>
    <row r="1065" spans="1:10" x14ac:dyDescent="0.35">
      <c r="A1065" s="92"/>
      <c r="F1065" s="726"/>
      <c r="G1065" s="735"/>
      <c r="H1065" s="93"/>
      <c r="I1065" s="750"/>
      <c r="J1065" s="750"/>
    </row>
    <row r="1066" spans="1:10" x14ac:dyDescent="0.35">
      <c r="A1066" s="92"/>
      <c r="F1066" s="726"/>
      <c r="G1066" s="735"/>
      <c r="H1066" s="93"/>
      <c r="I1066" s="750"/>
      <c r="J1066" s="750"/>
    </row>
    <row r="1067" spans="1:10" x14ac:dyDescent="0.35">
      <c r="A1067" s="92"/>
      <c r="F1067" s="726"/>
      <c r="G1067" s="735"/>
      <c r="H1067" s="93"/>
      <c r="I1067" s="750"/>
      <c r="J1067" s="750"/>
    </row>
    <row r="1068" spans="1:10" x14ac:dyDescent="0.35">
      <c r="A1068" s="92"/>
      <c r="F1068" s="726"/>
      <c r="G1068" s="735"/>
      <c r="H1068" s="93"/>
      <c r="I1068" s="750"/>
      <c r="J1068" s="750"/>
    </row>
    <row r="1069" spans="1:10" x14ac:dyDescent="0.35">
      <c r="A1069" s="92"/>
      <c r="F1069" s="726"/>
      <c r="G1069" s="735"/>
      <c r="H1069" s="93"/>
      <c r="I1069" s="750"/>
      <c r="J1069" s="750"/>
    </row>
    <row r="1070" spans="1:10" x14ac:dyDescent="0.35">
      <c r="A1070" s="92"/>
      <c r="F1070" s="726"/>
      <c r="G1070" s="735"/>
      <c r="H1070" s="93"/>
      <c r="I1070" s="750"/>
      <c r="J1070" s="750"/>
    </row>
    <row r="1071" spans="1:10" x14ac:dyDescent="0.35">
      <c r="A1071" s="92"/>
      <c r="F1071" s="726"/>
      <c r="G1071" s="735"/>
      <c r="H1071" s="93"/>
      <c r="I1071" s="750"/>
      <c r="J1071" s="750"/>
    </row>
    <row r="1072" spans="1:10" x14ac:dyDescent="0.35">
      <c r="A1072" s="92"/>
      <c r="F1072" s="726"/>
      <c r="G1072" s="735"/>
      <c r="H1072" s="93"/>
      <c r="I1072" s="750"/>
      <c r="J1072" s="750"/>
    </row>
    <row r="1073" spans="1:10" x14ac:dyDescent="0.35">
      <c r="A1073" s="92"/>
      <c r="F1073" s="726"/>
      <c r="G1073" s="735"/>
      <c r="H1073" s="93"/>
      <c r="I1073" s="750"/>
      <c r="J1073" s="750"/>
    </row>
    <row r="1074" spans="1:10" x14ac:dyDescent="0.35">
      <c r="A1074" s="92"/>
      <c r="F1074" s="726"/>
      <c r="G1074" s="735"/>
      <c r="H1074" s="93"/>
      <c r="I1074" s="750"/>
      <c r="J1074" s="750"/>
    </row>
    <row r="1075" spans="1:10" x14ac:dyDescent="0.35">
      <c r="A1075" s="92"/>
      <c r="F1075" s="726"/>
      <c r="G1075" s="735"/>
      <c r="H1075" s="93"/>
      <c r="I1075" s="750"/>
      <c r="J1075" s="750"/>
    </row>
    <row r="1076" spans="1:10" x14ac:dyDescent="0.35">
      <c r="A1076" s="92"/>
      <c r="F1076" s="726"/>
      <c r="G1076" s="735"/>
      <c r="H1076" s="93"/>
      <c r="I1076" s="750"/>
      <c r="J1076" s="750"/>
    </row>
    <row r="1077" spans="1:10" x14ac:dyDescent="0.35">
      <c r="A1077" s="92"/>
      <c r="F1077" s="726"/>
      <c r="G1077" s="735"/>
      <c r="H1077" s="93"/>
      <c r="I1077" s="750"/>
      <c r="J1077" s="750"/>
    </row>
    <row r="1078" spans="1:10" x14ac:dyDescent="0.35">
      <c r="A1078" s="92"/>
      <c r="F1078" s="726"/>
      <c r="G1078" s="735"/>
      <c r="H1078" s="93"/>
      <c r="I1078" s="750"/>
      <c r="J1078" s="750"/>
    </row>
    <row r="1079" spans="1:10" x14ac:dyDescent="0.35">
      <c r="A1079" s="92"/>
      <c r="F1079" s="726"/>
      <c r="G1079" s="735"/>
      <c r="H1079" s="93"/>
      <c r="I1079" s="750"/>
      <c r="J1079" s="750"/>
    </row>
    <row r="1080" spans="1:10" x14ac:dyDescent="0.35">
      <c r="A1080" s="92"/>
      <c r="F1080" s="726"/>
      <c r="G1080" s="735"/>
      <c r="H1080" s="93"/>
      <c r="I1080" s="750"/>
      <c r="J1080" s="750"/>
    </row>
    <row r="1081" spans="1:10" x14ac:dyDescent="0.35">
      <c r="A1081" s="92"/>
      <c r="F1081" s="726"/>
      <c r="G1081" s="735"/>
      <c r="H1081" s="93"/>
      <c r="I1081" s="750"/>
      <c r="J1081" s="750"/>
    </row>
    <row r="1082" spans="1:10" x14ac:dyDescent="0.35">
      <c r="A1082" s="92"/>
      <c r="F1082" s="726"/>
      <c r="G1082" s="735"/>
      <c r="H1082" s="93"/>
      <c r="I1082" s="750"/>
      <c r="J1082" s="750"/>
    </row>
    <row r="1083" spans="1:10" x14ac:dyDescent="0.35">
      <c r="A1083" s="92"/>
      <c r="F1083" s="726"/>
      <c r="G1083" s="735"/>
      <c r="H1083" s="93"/>
      <c r="I1083" s="750"/>
      <c r="J1083" s="750"/>
    </row>
    <row r="1084" spans="1:10" x14ac:dyDescent="0.35">
      <c r="A1084" s="92"/>
      <c r="F1084" s="726"/>
      <c r="G1084" s="735"/>
      <c r="H1084" s="93"/>
      <c r="I1084" s="750"/>
      <c r="J1084" s="750"/>
    </row>
    <row r="1085" spans="1:10" x14ac:dyDescent="0.35">
      <c r="A1085" s="92"/>
      <c r="F1085" s="726"/>
      <c r="G1085" s="735"/>
      <c r="H1085" s="93"/>
      <c r="I1085" s="750"/>
      <c r="J1085" s="750"/>
    </row>
    <row r="1086" spans="1:10" x14ac:dyDescent="0.35">
      <c r="A1086" s="92"/>
      <c r="F1086" s="726"/>
      <c r="G1086" s="735"/>
      <c r="H1086" s="93"/>
      <c r="I1086" s="750"/>
      <c r="J1086" s="750"/>
    </row>
    <row r="1087" spans="1:10" x14ac:dyDescent="0.35">
      <c r="A1087" s="92"/>
      <c r="F1087" s="726"/>
      <c r="G1087" s="735"/>
      <c r="H1087" s="93"/>
      <c r="I1087" s="750"/>
      <c r="J1087" s="750"/>
    </row>
    <row r="1088" spans="1:10" x14ac:dyDescent="0.35">
      <c r="A1088" s="92"/>
      <c r="F1088" s="726"/>
      <c r="G1088" s="735"/>
      <c r="H1088" s="93"/>
      <c r="I1088" s="750"/>
      <c r="J1088" s="750"/>
    </row>
    <row r="1089" spans="1:10" x14ac:dyDescent="0.35">
      <c r="A1089" s="92"/>
      <c r="F1089" s="726"/>
      <c r="G1089" s="735"/>
      <c r="H1089" s="93"/>
      <c r="I1089" s="750"/>
      <c r="J1089" s="750"/>
    </row>
    <row r="1090" spans="1:10" x14ac:dyDescent="0.35">
      <c r="A1090" s="92"/>
      <c r="F1090" s="726"/>
      <c r="G1090" s="735"/>
      <c r="H1090" s="93"/>
      <c r="I1090" s="750"/>
      <c r="J1090" s="750"/>
    </row>
    <row r="1091" spans="1:10" x14ac:dyDescent="0.35">
      <c r="A1091" s="92"/>
      <c r="F1091" s="726"/>
      <c r="G1091" s="735"/>
      <c r="H1091" s="93"/>
      <c r="I1091" s="750"/>
      <c r="J1091" s="750"/>
    </row>
    <row r="1092" spans="1:10" x14ac:dyDescent="0.35">
      <c r="A1092" s="92"/>
      <c r="F1092" s="726"/>
      <c r="G1092" s="735"/>
      <c r="H1092" s="93"/>
      <c r="I1092" s="750"/>
      <c r="J1092" s="750"/>
    </row>
    <row r="1093" spans="1:10" x14ac:dyDescent="0.35">
      <c r="A1093" s="92"/>
      <c r="F1093" s="726"/>
      <c r="G1093" s="735"/>
      <c r="H1093" s="93"/>
      <c r="I1093" s="750"/>
      <c r="J1093" s="750"/>
    </row>
    <row r="1094" spans="1:10" x14ac:dyDescent="0.35">
      <c r="A1094" s="92"/>
      <c r="F1094" s="726"/>
      <c r="G1094" s="735"/>
      <c r="H1094" s="93"/>
      <c r="I1094" s="750"/>
      <c r="J1094" s="750"/>
    </row>
    <row r="1095" spans="1:10" x14ac:dyDescent="0.35">
      <c r="A1095" s="92"/>
      <c r="F1095" s="726"/>
      <c r="G1095" s="735"/>
      <c r="H1095" s="93"/>
      <c r="I1095" s="750"/>
      <c r="J1095" s="750"/>
    </row>
    <row r="1096" spans="1:10" x14ac:dyDescent="0.35">
      <c r="A1096" s="92"/>
      <c r="F1096" s="726"/>
      <c r="G1096" s="735"/>
      <c r="H1096" s="93"/>
      <c r="I1096" s="750"/>
      <c r="J1096" s="750"/>
    </row>
    <row r="1097" spans="1:10" x14ac:dyDescent="0.35">
      <c r="A1097" s="92"/>
      <c r="F1097" s="726"/>
      <c r="G1097" s="735"/>
      <c r="H1097" s="93"/>
      <c r="I1097" s="750"/>
      <c r="J1097" s="750"/>
    </row>
    <row r="1098" spans="1:10" x14ac:dyDescent="0.35">
      <c r="A1098" s="92"/>
      <c r="F1098" s="726"/>
      <c r="G1098" s="735"/>
      <c r="H1098" s="93"/>
      <c r="I1098" s="750"/>
      <c r="J1098" s="750"/>
    </row>
    <row r="1099" spans="1:10" x14ac:dyDescent="0.35">
      <c r="A1099" s="92"/>
      <c r="F1099" s="726"/>
      <c r="G1099" s="735"/>
      <c r="H1099" s="93"/>
      <c r="I1099" s="750"/>
      <c r="J1099" s="750"/>
    </row>
    <row r="1100" spans="1:10" x14ac:dyDescent="0.35">
      <c r="A1100" s="92"/>
      <c r="F1100" s="726"/>
      <c r="G1100" s="735"/>
      <c r="H1100" s="93"/>
      <c r="I1100" s="750"/>
      <c r="J1100" s="750"/>
    </row>
    <row r="1101" spans="1:10" x14ac:dyDescent="0.35">
      <c r="A1101" s="92"/>
      <c r="F1101" s="726"/>
      <c r="G1101" s="735"/>
      <c r="H1101" s="93"/>
      <c r="I1101" s="750"/>
      <c r="J1101" s="750"/>
    </row>
    <row r="1102" spans="1:10" x14ac:dyDescent="0.35">
      <c r="A1102" s="92"/>
      <c r="F1102" s="726"/>
      <c r="G1102" s="735"/>
      <c r="H1102" s="93"/>
      <c r="I1102" s="750"/>
      <c r="J1102" s="750"/>
    </row>
    <row r="1103" spans="1:10" x14ac:dyDescent="0.35">
      <c r="A1103" s="92"/>
      <c r="F1103" s="726"/>
      <c r="G1103" s="735"/>
      <c r="H1103" s="93"/>
      <c r="I1103" s="750"/>
      <c r="J1103" s="750"/>
    </row>
    <row r="1104" spans="1:10" x14ac:dyDescent="0.35">
      <c r="A1104" s="92"/>
      <c r="F1104" s="726"/>
      <c r="G1104" s="735"/>
      <c r="H1104" s="93"/>
      <c r="I1104" s="750"/>
      <c r="J1104" s="750"/>
    </row>
    <row r="1105" spans="1:10" x14ac:dyDescent="0.35">
      <c r="A1105" s="92"/>
      <c r="F1105" s="726"/>
      <c r="G1105" s="735"/>
      <c r="H1105" s="93"/>
      <c r="I1105" s="750"/>
      <c r="J1105" s="750"/>
    </row>
    <row r="1106" spans="1:10" x14ac:dyDescent="0.35">
      <c r="A1106" s="92"/>
      <c r="F1106" s="726"/>
      <c r="G1106" s="735"/>
      <c r="H1106" s="93"/>
      <c r="I1106" s="750"/>
      <c r="J1106" s="750"/>
    </row>
    <row r="1107" spans="1:10" x14ac:dyDescent="0.35">
      <c r="A1107" s="92"/>
      <c r="F1107" s="726"/>
      <c r="G1107" s="735"/>
      <c r="H1107" s="93"/>
      <c r="I1107" s="750"/>
      <c r="J1107" s="750"/>
    </row>
    <row r="1108" spans="1:10" x14ac:dyDescent="0.35">
      <c r="A1108" s="92"/>
      <c r="F1108" s="726"/>
      <c r="G1108" s="735"/>
      <c r="H1108" s="93"/>
      <c r="I1108" s="750"/>
      <c r="J1108" s="750"/>
    </row>
    <row r="1109" spans="1:10" x14ac:dyDescent="0.35">
      <c r="A1109" s="92"/>
      <c r="F1109" s="726"/>
      <c r="G1109" s="735"/>
      <c r="H1109" s="93"/>
      <c r="I1109" s="750"/>
      <c r="J1109" s="750"/>
    </row>
    <row r="1110" spans="1:10" x14ac:dyDescent="0.35">
      <c r="A1110" s="92"/>
      <c r="F1110" s="726"/>
      <c r="G1110" s="735"/>
      <c r="H1110" s="93"/>
      <c r="I1110" s="750"/>
      <c r="J1110" s="750"/>
    </row>
    <row r="1111" spans="1:10" x14ac:dyDescent="0.35">
      <c r="A1111" s="92"/>
      <c r="F1111" s="726"/>
      <c r="G1111" s="735"/>
      <c r="H1111" s="93"/>
      <c r="I1111" s="750"/>
      <c r="J1111" s="750"/>
    </row>
    <row r="1112" spans="1:10" x14ac:dyDescent="0.35">
      <c r="A1112" s="92"/>
      <c r="F1112" s="726"/>
      <c r="G1112" s="735"/>
      <c r="H1112" s="93"/>
      <c r="I1112" s="750"/>
      <c r="J1112" s="750"/>
    </row>
    <row r="1113" spans="1:10" x14ac:dyDescent="0.35">
      <c r="A1113" s="92"/>
      <c r="F1113" s="726"/>
      <c r="G1113" s="735"/>
      <c r="H1113" s="93"/>
      <c r="I1113" s="750"/>
      <c r="J1113" s="750"/>
    </row>
    <row r="1114" spans="1:10" x14ac:dyDescent="0.35">
      <c r="A1114" s="92"/>
      <c r="F1114" s="726"/>
      <c r="G1114" s="735"/>
      <c r="H1114" s="93"/>
      <c r="I1114" s="750"/>
      <c r="J1114" s="750"/>
    </row>
    <row r="1115" spans="1:10" x14ac:dyDescent="0.35">
      <c r="A1115" s="92"/>
      <c r="F1115" s="726"/>
      <c r="G1115" s="735"/>
      <c r="H1115" s="93"/>
      <c r="I1115" s="750"/>
      <c r="J1115" s="750"/>
    </row>
    <row r="1116" spans="1:10" x14ac:dyDescent="0.35">
      <c r="A1116" s="92"/>
      <c r="F1116" s="726"/>
      <c r="G1116" s="735"/>
      <c r="H1116" s="93"/>
      <c r="I1116" s="750"/>
      <c r="J1116" s="750"/>
    </row>
    <row r="1117" spans="1:10" x14ac:dyDescent="0.35">
      <c r="A1117" s="92"/>
      <c r="F1117" s="726"/>
      <c r="G1117" s="735"/>
      <c r="H1117" s="93"/>
      <c r="I1117" s="750"/>
      <c r="J1117" s="750"/>
    </row>
    <row r="1118" spans="1:10" x14ac:dyDescent="0.35">
      <c r="A1118" s="92"/>
      <c r="F1118" s="726"/>
      <c r="G1118" s="735"/>
      <c r="H1118" s="93"/>
      <c r="I1118" s="750"/>
      <c r="J1118" s="750"/>
    </row>
    <row r="1119" spans="1:10" x14ac:dyDescent="0.35">
      <c r="A1119" s="92"/>
      <c r="F1119" s="726"/>
      <c r="G1119" s="735"/>
      <c r="H1119" s="93"/>
      <c r="I1119" s="750"/>
      <c r="J1119" s="750"/>
    </row>
    <row r="1120" spans="1:10" x14ac:dyDescent="0.35">
      <c r="A1120" s="92"/>
      <c r="F1120" s="726"/>
      <c r="G1120" s="735"/>
      <c r="H1120" s="93"/>
      <c r="I1120" s="750"/>
      <c r="J1120" s="750"/>
    </row>
    <row r="1121" spans="1:10" x14ac:dyDescent="0.35">
      <c r="A1121" s="92"/>
      <c r="F1121" s="726"/>
      <c r="G1121" s="735"/>
      <c r="H1121" s="93"/>
      <c r="I1121" s="750"/>
      <c r="J1121" s="750"/>
    </row>
    <row r="1122" spans="1:10" x14ac:dyDescent="0.35">
      <c r="A1122" s="92"/>
      <c r="F1122" s="726"/>
      <c r="G1122" s="735"/>
      <c r="H1122" s="93"/>
      <c r="I1122" s="750"/>
      <c r="J1122" s="750"/>
    </row>
    <row r="1123" spans="1:10" x14ac:dyDescent="0.35">
      <c r="A1123" s="92"/>
      <c r="F1123" s="726"/>
      <c r="G1123" s="735"/>
      <c r="H1123" s="93"/>
      <c r="I1123" s="750"/>
      <c r="J1123" s="750"/>
    </row>
    <row r="1124" spans="1:10" x14ac:dyDescent="0.35">
      <c r="A1124" s="92"/>
      <c r="F1124" s="726"/>
      <c r="G1124" s="735"/>
      <c r="H1124" s="93"/>
      <c r="I1124" s="750"/>
      <c r="J1124" s="750"/>
    </row>
    <row r="1125" spans="1:10" x14ac:dyDescent="0.35">
      <c r="A1125" s="92"/>
      <c r="F1125" s="726"/>
      <c r="G1125" s="735"/>
      <c r="H1125" s="93"/>
      <c r="I1125" s="750"/>
      <c r="J1125" s="750"/>
    </row>
    <row r="1126" spans="1:10" x14ac:dyDescent="0.35">
      <c r="A1126" s="92"/>
      <c r="F1126" s="726"/>
      <c r="G1126" s="735"/>
      <c r="H1126" s="93"/>
      <c r="I1126" s="750"/>
      <c r="J1126" s="750"/>
    </row>
    <row r="1127" spans="1:10" x14ac:dyDescent="0.35">
      <c r="A1127" s="92"/>
      <c r="F1127" s="726"/>
      <c r="G1127" s="735"/>
      <c r="H1127" s="93"/>
      <c r="I1127" s="750"/>
      <c r="J1127" s="750"/>
    </row>
    <row r="1128" spans="1:10" x14ac:dyDescent="0.35">
      <c r="A1128" s="92"/>
      <c r="F1128" s="726"/>
      <c r="G1128" s="735"/>
      <c r="H1128" s="93"/>
      <c r="I1128" s="750"/>
      <c r="J1128" s="750"/>
    </row>
    <row r="1129" spans="1:10" x14ac:dyDescent="0.35">
      <c r="A1129" s="92"/>
      <c r="F1129" s="726"/>
      <c r="G1129" s="735"/>
      <c r="H1129" s="93"/>
      <c r="I1129" s="750"/>
      <c r="J1129" s="750"/>
    </row>
    <row r="1130" spans="1:10" x14ac:dyDescent="0.35">
      <c r="A1130" s="92"/>
      <c r="F1130" s="726"/>
      <c r="G1130" s="735"/>
      <c r="H1130" s="93"/>
      <c r="I1130" s="750"/>
      <c r="J1130" s="750"/>
    </row>
    <row r="1131" spans="1:10" x14ac:dyDescent="0.35">
      <c r="A1131" s="92"/>
      <c r="F1131" s="726"/>
      <c r="G1131" s="735"/>
      <c r="H1131" s="93"/>
      <c r="I1131" s="750"/>
      <c r="J1131" s="750"/>
    </row>
    <row r="1132" spans="1:10" x14ac:dyDescent="0.35">
      <c r="A1132" s="92"/>
      <c r="F1132" s="726"/>
      <c r="G1132" s="735"/>
      <c r="H1132" s="93"/>
      <c r="I1132" s="750"/>
      <c r="J1132" s="750"/>
    </row>
    <row r="1133" spans="1:10" x14ac:dyDescent="0.35">
      <c r="A1133" s="92"/>
      <c r="F1133" s="726"/>
      <c r="G1133" s="735"/>
      <c r="H1133" s="93"/>
      <c r="I1133" s="750"/>
      <c r="J1133" s="750"/>
    </row>
    <row r="1134" spans="1:10" x14ac:dyDescent="0.35">
      <c r="A1134" s="92"/>
      <c r="F1134" s="726"/>
      <c r="G1134" s="735"/>
      <c r="H1134" s="93"/>
      <c r="I1134" s="750"/>
      <c r="J1134" s="750"/>
    </row>
    <row r="1135" spans="1:10" x14ac:dyDescent="0.35">
      <c r="A1135" s="92"/>
      <c r="F1135" s="726"/>
      <c r="G1135" s="735"/>
      <c r="H1135" s="93"/>
      <c r="I1135" s="750"/>
      <c r="J1135" s="750"/>
    </row>
    <row r="1136" spans="1:10" x14ac:dyDescent="0.35">
      <c r="A1136" s="92"/>
      <c r="F1136" s="726"/>
      <c r="G1136" s="735"/>
      <c r="H1136" s="93"/>
      <c r="I1136" s="750"/>
      <c r="J1136" s="750"/>
    </row>
    <row r="1137" spans="1:10" x14ac:dyDescent="0.35">
      <c r="A1137" s="92"/>
      <c r="F1137" s="726"/>
      <c r="G1137" s="735"/>
      <c r="H1137" s="93"/>
      <c r="I1137" s="750"/>
      <c r="J1137" s="750"/>
    </row>
    <row r="1138" spans="1:10" x14ac:dyDescent="0.35">
      <c r="A1138" s="92"/>
      <c r="F1138" s="726"/>
      <c r="G1138" s="735"/>
      <c r="H1138" s="93"/>
      <c r="I1138" s="750"/>
      <c r="J1138" s="750"/>
    </row>
    <row r="1139" spans="1:10" x14ac:dyDescent="0.35">
      <c r="A1139" s="92"/>
      <c r="F1139" s="726"/>
      <c r="G1139" s="735"/>
      <c r="H1139" s="93"/>
      <c r="I1139" s="750"/>
      <c r="J1139" s="750"/>
    </row>
    <row r="1140" spans="1:10" x14ac:dyDescent="0.35">
      <c r="A1140" s="92"/>
      <c r="F1140" s="726"/>
      <c r="G1140" s="735"/>
      <c r="H1140" s="93"/>
      <c r="I1140" s="750"/>
      <c r="J1140" s="750"/>
    </row>
    <row r="1141" spans="1:10" x14ac:dyDescent="0.35">
      <c r="A1141" s="92"/>
      <c r="F1141" s="726"/>
      <c r="G1141" s="735"/>
      <c r="H1141" s="93"/>
      <c r="I1141" s="750"/>
      <c r="J1141" s="750"/>
    </row>
    <row r="1142" spans="1:10" x14ac:dyDescent="0.35">
      <c r="A1142" s="92"/>
      <c r="F1142" s="726"/>
      <c r="G1142" s="735"/>
      <c r="H1142" s="93"/>
      <c r="I1142" s="750"/>
      <c r="J1142" s="750"/>
    </row>
    <row r="1143" spans="1:10" x14ac:dyDescent="0.35">
      <c r="A1143" s="92"/>
      <c r="F1143" s="726"/>
      <c r="G1143" s="735"/>
      <c r="H1143" s="93"/>
      <c r="I1143" s="750"/>
      <c r="J1143" s="750"/>
    </row>
    <row r="1144" spans="1:10" x14ac:dyDescent="0.35">
      <c r="A1144" s="92"/>
      <c r="F1144" s="726"/>
      <c r="G1144" s="735"/>
      <c r="H1144" s="93"/>
      <c r="I1144" s="750"/>
      <c r="J1144" s="750"/>
    </row>
    <row r="1145" spans="1:10" x14ac:dyDescent="0.35">
      <c r="A1145" s="92"/>
      <c r="F1145" s="726"/>
      <c r="G1145" s="735"/>
      <c r="H1145" s="93"/>
      <c r="I1145" s="750"/>
      <c r="J1145" s="750"/>
    </row>
    <row r="1146" spans="1:10" x14ac:dyDescent="0.35">
      <c r="A1146" s="92"/>
      <c r="F1146" s="726"/>
      <c r="G1146" s="735"/>
      <c r="H1146" s="93"/>
      <c r="I1146" s="750"/>
      <c r="J1146" s="750"/>
    </row>
    <row r="1147" spans="1:10" x14ac:dyDescent="0.35">
      <c r="A1147" s="92"/>
      <c r="F1147" s="726"/>
      <c r="G1147" s="735"/>
      <c r="H1147" s="93"/>
      <c r="I1147" s="750"/>
      <c r="J1147" s="750"/>
    </row>
    <row r="1148" spans="1:10" x14ac:dyDescent="0.35">
      <c r="A1148" s="92"/>
      <c r="F1148" s="726"/>
      <c r="G1148" s="735"/>
      <c r="H1148" s="93"/>
      <c r="I1148" s="750"/>
      <c r="J1148" s="750"/>
    </row>
    <row r="1149" spans="1:10" x14ac:dyDescent="0.35">
      <c r="A1149" s="92"/>
      <c r="F1149" s="726"/>
      <c r="G1149" s="735"/>
      <c r="H1149" s="93"/>
      <c r="I1149" s="750"/>
      <c r="J1149" s="750"/>
    </row>
    <row r="1150" spans="1:10" x14ac:dyDescent="0.35">
      <c r="A1150" s="92"/>
      <c r="F1150" s="726"/>
      <c r="G1150" s="735"/>
      <c r="H1150" s="93"/>
      <c r="I1150" s="750"/>
      <c r="J1150" s="750"/>
    </row>
    <row r="1151" spans="1:10" x14ac:dyDescent="0.35">
      <c r="A1151" s="92"/>
      <c r="F1151" s="726"/>
      <c r="G1151" s="735"/>
      <c r="H1151" s="93"/>
      <c r="I1151" s="750"/>
      <c r="J1151" s="750"/>
    </row>
    <row r="1152" spans="1:10" x14ac:dyDescent="0.35">
      <c r="A1152" s="92"/>
      <c r="F1152" s="726"/>
      <c r="G1152" s="735"/>
      <c r="H1152" s="93"/>
      <c r="I1152" s="750"/>
      <c r="J1152" s="750"/>
    </row>
    <row r="1153" spans="1:10" x14ac:dyDescent="0.35">
      <c r="A1153" s="92"/>
      <c r="F1153" s="726"/>
      <c r="G1153" s="735"/>
      <c r="H1153" s="93"/>
      <c r="I1153" s="750"/>
      <c r="J1153" s="750"/>
    </row>
    <row r="1154" spans="1:10" x14ac:dyDescent="0.35">
      <c r="A1154" s="92"/>
      <c r="F1154" s="726"/>
      <c r="G1154" s="735"/>
      <c r="H1154" s="93"/>
      <c r="I1154" s="750"/>
      <c r="J1154" s="750"/>
    </row>
    <row r="1155" spans="1:10" x14ac:dyDescent="0.35">
      <c r="A1155" s="92"/>
      <c r="F1155" s="726"/>
      <c r="G1155" s="735"/>
      <c r="H1155" s="93"/>
      <c r="I1155" s="750"/>
      <c r="J1155" s="750"/>
    </row>
    <row r="1156" spans="1:10" x14ac:dyDescent="0.35">
      <c r="A1156" s="92"/>
      <c r="F1156" s="726"/>
      <c r="G1156" s="735"/>
      <c r="H1156" s="93"/>
      <c r="I1156" s="750"/>
      <c r="J1156" s="750"/>
    </row>
    <row r="1157" spans="1:10" x14ac:dyDescent="0.35">
      <c r="A1157" s="92"/>
      <c r="F1157" s="726"/>
      <c r="G1157" s="735"/>
      <c r="H1157" s="93"/>
      <c r="I1157" s="750"/>
      <c r="J1157" s="750"/>
    </row>
    <row r="1158" spans="1:10" x14ac:dyDescent="0.35">
      <c r="A1158" s="92"/>
      <c r="F1158" s="726"/>
      <c r="G1158" s="735"/>
      <c r="H1158" s="93"/>
      <c r="I1158" s="750"/>
      <c r="J1158" s="750"/>
    </row>
    <row r="1159" spans="1:10" x14ac:dyDescent="0.35">
      <c r="A1159" s="92"/>
      <c r="F1159" s="726"/>
      <c r="G1159" s="735"/>
      <c r="H1159" s="93"/>
      <c r="I1159" s="750"/>
      <c r="J1159" s="750"/>
    </row>
    <row r="1160" spans="1:10" x14ac:dyDescent="0.35">
      <c r="A1160" s="92"/>
      <c r="F1160" s="726"/>
      <c r="G1160" s="735"/>
      <c r="H1160" s="93"/>
      <c r="I1160" s="750"/>
      <c r="J1160" s="750"/>
    </row>
    <row r="1161" spans="1:10" x14ac:dyDescent="0.35">
      <c r="A1161" s="92"/>
      <c r="F1161" s="726"/>
      <c r="G1161" s="735"/>
      <c r="H1161" s="93"/>
      <c r="I1161" s="750"/>
      <c r="J1161" s="750"/>
    </row>
    <row r="1162" spans="1:10" x14ac:dyDescent="0.35">
      <c r="A1162" s="92"/>
      <c r="F1162" s="726"/>
      <c r="G1162" s="735"/>
      <c r="H1162" s="93"/>
      <c r="I1162" s="750"/>
      <c r="J1162" s="750"/>
    </row>
    <row r="1163" spans="1:10" x14ac:dyDescent="0.35">
      <c r="A1163" s="92"/>
      <c r="F1163" s="726"/>
      <c r="G1163" s="735"/>
      <c r="H1163" s="93"/>
      <c r="I1163" s="750"/>
      <c r="J1163" s="750"/>
    </row>
    <row r="1164" spans="1:10" x14ac:dyDescent="0.35">
      <c r="A1164" s="92"/>
      <c r="F1164" s="726"/>
      <c r="G1164" s="735"/>
      <c r="H1164" s="93"/>
      <c r="I1164" s="750"/>
      <c r="J1164" s="750"/>
    </row>
    <row r="1165" spans="1:10" x14ac:dyDescent="0.35">
      <c r="A1165" s="92"/>
      <c r="F1165" s="726"/>
      <c r="G1165" s="735"/>
      <c r="H1165" s="93"/>
      <c r="I1165" s="750"/>
      <c r="J1165" s="750"/>
    </row>
    <row r="1166" spans="1:10" x14ac:dyDescent="0.35">
      <c r="A1166" s="92"/>
      <c r="F1166" s="726"/>
      <c r="G1166" s="735"/>
      <c r="H1166" s="93"/>
      <c r="I1166" s="750"/>
      <c r="J1166" s="750"/>
    </row>
    <row r="1167" spans="1:10" x14ac:dyDescent="0.35">
      <c r="A1167" s="92"/>
      <c r="F1167" s="726"/>
      <c r="G1167" s="735"/>
      <c r="H1167" s="93"/>
      <c r="I1167" s="750"/>
      <c r="J1167" s="750"/>
    </row>
    <row r="1168" spans="1:10" x14ac:dyDescent="0.35">
      <c r="A1168" s="92"/>
      <c r="F1168" s="726"/>
      <c r="G1168" s="735"/>
      <c r="H1168" s="93"/>
      <c r="I1168" s="750"/>
      <c r="J1168" s="750"/>
    </row>
    <row r="1169" spans="1:10" x14ac:dyDescent="0.35">
      <c r="A1169" s="92"/>
      <c r="F1169" s="726"/>
      <c r="G1169" s="735"/>
      <c r="H1169" s="93"/>
      <c r="I1169" s="750"/>
      <c r="J1169" s="750"/>
    </row>
    <row r="1170" spans="1:10" x14ac:dyDescent="0.35">
      <c r="A1170" s="92"/>
      <c r="F1170" s="726"/>
      <c r="G1170" s="735"/>
      <c r="H1170" s="93"/>
      <c r="I1170" s="750"/>
      <c r="J1170" s="750"/>
    </row>
    <row r="1171" spans="1:10" x14ac:dyDescent="0.35">
      <c r="A1171" s="92"/>
      <c r="F1171" s="726"/>
      <c r="G1171" s="735"/>
      <c r="H1171" s="93"/>
      <c r="I1171" s="750"/>
      <c r="J1171" s="750"/>
    </row>
    <row r="1172" spans="1:10" x14ac:dyDescent="0.35">
      <c r="A1172" s="92"/>
      <c r="F1172" s="726"/>
      <c r="G1172" s="735"/>
      <c r="H1172" s="93"/>
      <c r="I1172" s="750"/>
      <c r="J1172" s="750"/>
    </row>
    <row r="1173" spans="1:10" x14ac:dyDescent="0.35">
      <c r="A1173" s="92"/>
      <c r="F1173" s="726"/>
      <c r="G1173" s="735"/>
      <c r="H1173" s="93"/>
      <c r="I1173" s="750"/>
      <c r="J1173" s="750"/>
    </row>
    <row r="1174" spans="1:10" x14ac:dyDescent="0.35">
      <c r="A1174" s="92"/>
      <c r="F1174" s="726"/>
      <c r="G1174" s="735"/>
      <c r="H1174" s="93"/>
      <c r="I1174" s="750"/>
      <c r="J1174" s="750"/>
    </row>
    <row r="1175" spans="1:10" x14ac:dyDescent="0.35">
      <c r="A1175" s="92"/>
      <c r="F1175" s="726"/>
      <c r="G1175" s="735"/>
      <c r="H1175" s="93"/>
      <c r="I1175" s="750"/>
      <c r="J1175" s="750"/>
    </row>
    <row r="1176" spans="1:10" x14ac:dyDescent="0.35">
      <c r="A1176" s="92"/>
      <c r="F1176" s="726"/>
      <c r="G1176" s="735"/>
      <c r="H1176" s="93"/>
      <c r="I1176" s="750"/>
      <c r="J1176" s="750"/>
    </row>
    <row r="1177" spans="1:10" x14ac:dyDescent="0.35">
      <c r="A1177" s="92"/>
      <c r="F1177" s="726"/>
      <c r="G1177" s="735"/>
      <c r="H1177" s="93"/>
      <c r="I1177" s="750"/>
      <c r="J1177" s="750"/>
    </row>
    <row r="1178" spans="1:10" x14ac:dyDescent="0.35">
      <c r="A1178" s="92"/>
      <c r="F1178" s="726"/>
      <c r="G1178" s="735"/>
      <c r="H1178" s="93"/>
      <c r="I1178" s="750"/>
      <c r="J1178" s="750"/>
    </row>
    <row r="1179" spans="1:10" x14ac:dyDescent="0.35">
      <c r="A1179" s="92"/>
      <c r="F1179" s="726"/>
      <c r="G1179" s="735"/>
      <c r="H1179" s="93"/>
      <c r="I1179" s="750"/>
      <c r="J1179" s="750"/>
    </row>
    <row r="1180" spans="1:10" x14ac:dyDescent="0.35">
      <c r="A1180" s="92"/>
      <c r="F1180" s="726"/>
      <c r="G1180" s="735"/>
      <c r="H1180" s="93"/>
      <c r="I1180" s="750"/>
      <c r="J1180" s="750"/>
    </row>
    <row r="1181" spans="1:10" x14ac:dyDescent="0.35">
      <c r="A1181" s="92"/>
      <c r="F1181" s="726"/>
      <c r="G1181" s="735"/>
      <c r="H1181" s="93"/>
      <c r="I1181" s="750"/>
      <c r="J1181" s="750"/>
    </row>
    <row r="1182" spans="1:10" x14ac:dyDescent="0.35">
      <c r="A1182" s="92"/>
      <c r="F1182" s="726"/>
      <c r="G1182" s="735"/>
      <c r="H1182" s="93"/>
      <c r="I1182" s="750"/>
      <c r="J1182" s="750"/>
    </row>
    <row r="1183" spans="1:10" x14ac:dyDescent="0.35">
      <c r="A1183" s="92"/>
      <c r="F1183" s="726"/>
      <c r="G1183" s="735"/>
      <c r="H1183" s="93"/>
      <c r="I1183" s="750"/>
      <c r="J1183" s="750"/>
    </row>
    <row r="1184" spans="1:10" x14ac:dyDescent="0.35">
      <c r="A1184" s="92"/>
      <c r="F1184" s="726"/>
      <c r="G1184" s="735"/>
      <c r="H1184" s="93"/>
      <c r="I1184" s="750"/>
      <c r="J1184" s="750"/>
    </row>
    <row r="1185" spans="1:10" x14ac:dyDescent="0.35">
      <c r="A1185" s="92"/>
      <c r="F1185" s="726"/>
      <c r="G1185" s="735"/>
      <c r="H1185" s="93"/>
      <c r="I1185" s="750"/>
      <c r="J1185" s="750"/>
    </row>
    <row r="1186" spans="1:10" x14ac:dyDescent="0.35">
      <c r="A1186" s="92"/>
      <c r="F1186" s="726"/>
      <c r="G1186" s="735"/>
      <c r="H1186" s="93"/>
      <c r="I1186" s="750"/>
      <c r="J1186" s="750"/>
    </row>
    <row r="1187" spans="1:10" x14ac:dyDescent="0.35">
      <c r="A1187" s="92"/>
      <c r="F1187" s="726"/>
      <c r="G1187" s="735"/>
      <c r="H1187" s="93"/>
      <c r="I1187" s="750"/>
      <c r="J1187" s="750"/>
    </row>
    <row r="1188" spans="1:10" x14ac:dyDescent="0.35">
      <c r="A1188" s="92"/>
      <c r="F1188" s="726"/>
      <c r="G1188" s="735"/>
      <c r="H1188" s="93"/>
      <c r="I1188" s="750"/>
      <c r="J1188" s="750"/>
    </row>
    <row r="1189" spans="1:10" x14ac:dyDescent="0.35">
      <c r="A1189" s="92"/>
      <c r="F1189" s="726"/>
      <c r="G1189" s="735"/>
      <c r="H1189" s="93"/>
      <c r="I1189" s="750"/>
      <c r="J1189" s="750"/>
    </row>
    <row r="1190" spans="1:10" x14ac:dyDescent="0.35">
      <c r="A1190" s="92"/>
      <c r="F1190" s="726"/>
      <c r="G1190" s="735"/>
      <c r="H1190" s="93"/>
      <c r="I1190" s="750"/>
      <c r="J1190" s="750"/>
    </row>
    <row r="1191" spans="1:10" x14ac:dyDescent="0.35">
      <c r="A1191" s="92"/>
      <c r="F1191" s="726"/>
      <c r="G1191" s="735"/>
      <c r="H1191" s="93"/>
      <c r="I1191" s="750"/>
      <c r="J1191" s="750"/>
    </row>
    <row r="1192" spans="1:10" x14ac:dyDescent="0.35">
      <c r="A1192" s="92"/>
      <c r="F1192" s="726"/>
      <c r="G1192" s="735"/>
      <c r="H1192" s="93"/>
      <c r="I1192" s="750"/>
      <c r="J1192" s="750"/>
    </row>
    <row r="1193" spans="1:10" x14ac:dyDescent="0.35">
      <c r="A1193" s="92"/>
      <c r="F1193" s="726"/>
      <c r="G1193" s="735"/>
      <c r="H1193" s="93"/>
      <c r="I1193" s="750"/>
      <c r="J1193" s="750"/>
    </row>
    <row r="1194" spans="1:10" x14ac:dyDescent="0.35">
      <c r="A1194" s="92"/>
      <c r="F1194" s="726"/>
      <c r="G1194" s="735"/>
      <c r="H1194" s="93"/>
      <c r="I1194" s="750"/>
      <c r="J1194" s="750"/>
    </row>
    <row r="1195" spans="1:10" x14ac:dyDescent="0.35">
      <c r="A1195" s="92"/>
      <c r="F1195" s="726"/>
      <c r="G1195" s="735"/>
      <c r="H1195" s="93"/>
      <c r="I1195" s="750"/>
      <c r="J1195" s="750"/>
    </row>
    <row r="1196" spans="1:10" x14ac:dyDescent="0.35">
      <c r="A1196" s="92"/>
      <c r="F1196" s="726"/>
      <c r="G1196" s="735"/>
      <c r="H1196" s="93"/>
      <c r="I1196" s="750"/>
      <c r="J1196" s="750"/>
    </row>
    <row r="1197" spans="1:10" x14ac:dyDescent="0.35">
      <c r="A1197" s="92"/>
      <c r="F1197" s="726"/>
      <c r="G1197" s="735"/>
      <c r="H1197" s="93"/>
      <c r="I1197" s="750"/>
      <c r="J1197" s="750"/>
    </row>
    <row r="1198" spans="1:10" x14ac:dyDescent="0.35">
      <c r="A1198" s="92"/>
      <c r="F1198" s="726"/>
      <c r="G1198" s="735"/>
      <c r="H1198" s="93"/>
      <c r="I1198" s="750"/>
      <c r="J1198" s="750"/>
    </row>
    <row r="1199" spans="1:10" x14ac:dyDescent="0.35">
      <c r="A1199" s="92"/>
      <c r="F1199" s="726"/>
      <c r="G1199" s="735"/>
      <c r="H1199" s="93"/>
      <c r="I1199" s="750"/>
      <c r="J1199" s="750"/>
    </row>
    <row r="1200" spans="1:10" x14ac:dyDescent="0.35">
      <c r="A1200" s="92"/>
      <c r="F1200" s="726"/>
      <c r="G1200" s="735"/>
      <c r="H1200" s="93"/>
      <c r="I1200" s="750"/>
      <c r="J1200" s="750"/>
    </row>
    <row r="1201" spans="1:10" x14ac:dyDescent="0.35">
      <c r="A1201" s="92"/>
      <c r="F1201" s="726"/>
      <c r="G1201" s="735"/>
      <c r="H1201" s="93"/>
      <c r="I1201" s="750"/>
      <c r="J1201" s="750"/>
    </row>
    <row r="1202" spans="1:10" x14ac:dyDescent="0.35">
      <c r="A1202" s="92"/>
      <c r="F1202" s="726"/>
      <c r="G1202" s="735"/>
      <c r="H1202" s="93"/>
      <c r="I1202" s="750"/>
      <c r="J1202" s="750"/>
    </row>
    <row r="1203" spans="1:10" x14ac:dyDescent="0.35">
      <c r="A1203" s="92"/>
      <c r="F1203" s="726"/>
      <c r="G1203" s="735"/>
      <c r="H1203" s="93"/>
      <c r="I1203" s="750"/>
      <c r="J1203" s="750"/>
    </row>
    <row r="1204" spans="1:10" x14ac:dyDescent="0.35">
      <c r="A1204" s="92"/>
      <c r="F1204" s="726"/>
      <c r="G1204" s="735"/>
      <c r="H1204" s="93"/>
      <c r="I1204" s="750"/>
      <c r="J1204" s="750"/>
    </row>
    <row r="1205" spans="1:10" x14ac:dyDescent="0.35">
      <c r="A1205" s="92"/>
      <c r="F1205" s="726"/>
      <c r="G1205" s="735"/>
      <c r="H1205" s="93"/>
      <c r="I1205" s="750"/>
      <c r="J1205" s="750"/>
    </row>
    <row r="1206" spans="1:10" x14ac:dyDescent="0.35">
      <c r="A1206" s="92"/>
      <c r="F1206" s="726"/>
      <c r="G1206" s="735"/>
      <c r="H1206" s="93"/>
      <c r="I1206" s="750"/>
      <c r="J1206" s="750"/>
    </row>
    <row r="1207" spans="1:10" x14ac:dyDescent="0.35">
      <c r="A1207" s="92"/>
      <c r="F1207" s="726"/>
      <c r="G1207" s="735"/>
      <c r="H1207" s="93"/>
      <c r="I1207" s="750"/>
      <c r="J1207" s="750"/>
    </row>
    <row r="1208" spans="1:10" x14ac:dyDescent="0.35">
      <c r="A1208" s="92"/>
      <c r="F1208" s="726"/>
      <c r="G1208" s="735"/>
      <c r="H1208" s="93"/>
      <c r="I1208" s="750"/>
      <c r="J1208" s="750"/>
    </row>
    <row r="1209" spans="1:10" x14ac:dyDescent="0.35">
      <c r="A1209" s="92"/>
      <c r="F1209" s="726"/>
      <c r="G1209" s="735"/>
      <c r="H1209" s="93"/>
      <c r="I1209" s="750"/>
      <c r="J1209" s="750"/>
    </row>
    <row r="1210" spans="1:10" x14ac:dyDescent="0.35">
      <c r="A1210" s="92"/>
      <c r="F1210" s="726"/>
      <c r="G1210" s="735"/>
      <c r="H1210" s="93"/>
      <c r="I1210" s="750"/>
      <c r="J1210" s="750"/>
    </row>
    <row r="1211" spans="1:10" x14ac:dyDescent="0.35">
      <c r="A1211" s="92"/>
      <c r="F1211" s="726"/>
      <c r="G1211" s="735"/>
      <c r="H1211" s="93"/>
      <c r="I1211" s="750"/>
      <c r="J1211" s="750"/>
    </row>
    <row r="1212" spans="1:10" x14ac:dyDescent="0.35">
      <c r="A1212" s="92"/>
      <c r="F1212" s="726"/>
      <c r="G1212" s="735"/>
      <c r="H1212" s="93"/>
      <c r="I1212" s="750"/>
      <c r="J1212" s="750"/>
    </row>
    <row r="1213" spans="1:10" x14ac:dyDescent="0.35">
      <c r="A1213" s="92"/>
      <c r="F1213" s="726"/>
      <c r="G1213" s="735"/>
      <c r="H1213" s="93"/>
      <c r="I1213" s="750"/>
      <c r="J1213" s="750"/>
    </row>
    <row r="1214" spans="1:10" x14ac:dyDescent="0.35">
      <c r="A1214" s="92"/>
      <c r="F1214" s="726"/>
      <c r="G1214" s="735"/>
      <c r="H1214" s="93"/>
      <c r="I1214" s="750"/>
      <c r="J1214" s="750"/>
    </row>
    <row r="1215" spans="1:10" x14ac:dyDescent="0.35">
      <c r="A1215" s="92"/>
      <c r="F1215" s="726"/>
      <c r="G1215" s="735"/>
      <c r="H1215" s="93"/>
      <c r="I1215" s="750"/>
      <c r="J1215" s="750"/>
    </row>
    <row r="1216" spans="1:10" x14ac:dyDescent="0.35">
      <c r="A1216" s="92"/>
      <c r="F1216" s="726"/>
      <c r="G1216" s="735"/>
      <c r="H1216" s="93"/>
      <c r="I1216" s="750"/>
      <c r="J1216" s="750"/>
    </row>
    <row r="1217" spans="1:10" x14ac:dyDescent="0.35">
      <c r="A1217" s="92"/>
      <c r="F1217" s="726"/>
      <c r="G1217" s="735"/>
      <c r="H1217" s="93"/>
      <c r="I1217" s="750"/>
      <c r="J1217" s="750"/>
    </row>
    <row r="1218" spans="1:10" x14ac:dyDescent="0.35">
      <c r="A1218" s="92"/>
      <c r="F1218" s="726"/>
      <c r="G1218" s="735"/>
      <c r="H1218" s="93"/>
      <c r="I1218" s="750"/>
      <c r="J1218" s="750"/>
    </row>
    <row r="1219" spans="1:10" x14ac:dyDescent="0.35">
      <c r="A1219" s="92"/>
      <c r="F1219" s="726"/>
      <c r="G1219" s="735"/>
      <c r="H1219" s="93"/>
      <c r="I1219" s="750"/>
      <c r="J1219" s="750"/>
    </row>
    <row r="1220" spans="1:10" x14ac:dyDescent="0.35">
      <c r="A1220" s="92"/>
      <c r="F1220" s="726"/>
      <c r="G1220" s="735"/>
      <c r="H1220" s="93"/>
      <c r="I1220" s="750"/>
      <c r="J1220" s="750"/>
    </row>
    <row r="1221" spans="1:10" x14ac:dyDescent="0.35">
      <c r="A1221" s="92"/>
      <c r="F1221" s="726"/>
      <c r="G1221" s="735"/>
      <c r="H1221" s="93"/>
      <c r="I1221" s="750"/>
      <c r="J1221" s="750"/>
    </row>
    <row r="1222" spans="1:10" x14ac:dyDescent="0.35">
      <c r="A1222" s="92"/>
      <c r="F1222" s="726"/>
      <c r="G1222" s="735"/>
      <c r="H1222" s="93"/>
      <c r="I1222" s="750"/>
      <c r="J1222" s="750"/>
    </row>
    <row r="1223" spans="1:10" x14ac:dyDescent="0.35">
      <c r="A1223" s="92"/>
      <c r="F1223" s="726"/>
      <c r="G1223" s="735"/>
      <c r="H1223" s="93"/>
      <c r="I1223" s="750"/>
      <c r="J1223" s="750"/>
    </row>
    <row r="1224" spans="1:10" x14ac:dyDescent="0.35">
      <c r="A1224" s="92"/>
      <c r="F1224" s="726"/>
      <c r="G1224" s="735"/>
      <c r="H1224" s="93"/>
      <c r="I1224" s="750"/>
      <c r="J1224" s="750"/>
    </row>
    <row r="1225" spans="1:10" x14ac:dyDescent="0.35">
      <c r="A1225" s="92"/>
      <c r="F1225" s="726"/>
      <c r="G1225" s="735"/>
      <c r="H1225" s="93"/>
      <c r="I1225" s="750"/>
      <c r="J1225" s="750"/>
    </row>
    <row r="1226" spans="1:10" x14ac:dyDescent="0.35">
      <c r="A1226" s="92"/>
      <c r="F1226" s="726"/>
      <c r="G1226" s="735"/>
      <c r="H1226" s="93"/>
      <c r="I1226" s="750"/>
      <c r="J1226" s="750"/>
    </row>
    <row r="1227" spans="1:10" x14ac:dyDescent="0.35">
      <c r="A1227" s="92"/>
      <c r="F1227" s="726"/>
      <c r="G1227" s="735"/>
      <c r="H1227" s="93"/>
      <c r="I1227" s="750"/>
      <c r="J1227" s="750"/>
    </row>
    <row r="1228" spans="1:10" x14ac:dyDescent="0.35">
      <c r="A1228" s="92"/>
      <c r="F1228" s="726"/>
      <c r="G1228" s="735"/>
      <c r="H1228" s="93"/>
      <c r="I1228" s="750"/>
      <c r="J1228" s="750"/>
    </row>
    <row r="1229" spans="1:10" x14ac:dyDescent="0.35">
      <c r="A1229" s="92"/>
      <c r="F1229" s="726"/>
      <c r="G1229" s="735"/>
      <c r="H1229" s="93"/>
      <c r="I1229" s="750"/>
      <c r="J1229" s="750"/>
    </row>
    <row r="1230" spans="1:10" x14ac:dyDescent="0.35">
      <c r="A1230" s="92"/>
      <c r="F1230" s="726"/>
      <c r="G1230" s="735"/>
      <c r="H1230" s="93"/>
      <c r="I1230" s="750"/>
      <c r="J1230" s="750"/>
    </row>
    <row r="1231" spans="1:10" x14ac:dyDescent="0.35">
      <c r="A1231" s="92"/>
      <c r="F1231" s="726"/>
      <c r="G1231" s="735"/>
      <c r="H1231" s="93"/>
      <c r="I1231" s="750"/>
      <c r="J1231" s="750"/>
    </row>
    <row r="1232" spans="1:10" x14ac:dyDescent="0.35">
      <c r="A1232" s="92"/>
      <c r="F1232" s="726"/>
      <c r="G1232" s="735"/>
      <c r="H1232" s="93"/>
      <c r="I1232" s="750"/>
      <c r="J1232" s="750"/>
    </row>
    <row r="1233" spans="1:10" x14ac:dyDescent="0.35">
      <c r="A1233" s="92"/>
      <c r="F1233" s="726"/>
      <c r="G1233" s="735"/>
      <c r="H1233" s="93"/>
      <c r="I1233" s="750"/>
      <c r="J1233" s="750"/>
    </row>
    <row r="1234" spans="1:10" x14ac:dyDescent="0.35">
      <c r="A1234" s="92"/>
      <c r="F1234" s="726"/>
      <c r="G1234" s="735"/>
      <c r="H1234" s="93"/>
      <c r="I1234" s="750"/>
      <c r="J1234" s="750"/>
    </row>
    <row r="1235" spans="1:10" x14ac:dyDescent="0.35">
      <c r="A1235" s="92"/>
      <c r="F1235" s="726"/>
      <c r="G1235" s="735"/>
      <c r="H1235" s="93"/>
      <c r="I1235" s="750"/>
      <c r="J1235" s="750"/>
    </row>
    <row r="1236" spans="1:10" x14ac:dyDescent="0.35">
      <c r="A1236" s="92"/>
      <c r="F1236" s="726"/>
      <c r="G1236" s="735"/>
      <c r="H1236" s="93"/>
      <c r="I1236" s="750"/>
      <c r="J1236" s="750"/>
    </row>
    <row r="1237" spans="1:10" x14ac:dyDescent="0.35">
      <c r="A1237" s="92"/>
      <c r="F1237" s="726"/>
      <c r="G1237" s="735"/>
      <c r="H1237" s="93"/>
      <c r="I1237" s="750"/>
      <c r="J1237" s="750"/>
    </row>
    <row r="1238" spans="1:10" x14ac:dyDescent="0.35">
      <c r="A1238" s="92"/>
      <c r="F1238" s="726"/>
      <c r="G1238" s="735"/>
      <c r="H1238" s="93"/>
      <c r="I1238" s="750"/>
      <c r="J1238" s="750"/>
    </row>
    <row r="1239" spans="1:10" x14ac:dyDescent="0.35">
      <c r="A1239" s="92"/>
      <c r="F1239" s="726"/>
      <c r="G1239" s="735"/>
      <c r="H1239" s="93"/>
      <c r="I1239" s="750"/>
      <c r="J1239" s="750"/>
    </row>
    <row r="1240" spans="1:10" x14ac:dyDescent="0.35">
      <c r="A1240" s="92"/>
      <c r="F1240" s="726"/>
      <c r="G1240" s="735"/>
      <c r="H1240" s="93"/>
      <c r="I1240" s="750"/>
      <c r="J1240" s="750"/>
    </row>
    <row r="1241" spans="1:10" x14ac:dyDescent="0.35">
      <c r="A1241" s="92"/>
      <c r="F1241" s="726"/>
      <c r="G1241" s="735"/>
      <c r="H1241" s="93"/>
      <c r="I1241" s="750"/>
      <c r="J1241" s="750"/>
    </row>
    <row r="1242" spans="1:10" x14ac:dyDescent="0.35">
      <c r="A1242" s="92"/>
      <c r="F1242" s="726"/>
      <c r="G1242" s="735"/>
      <c r="H1242" s="93"/>
      <c r="I1242" s="750"/>
      <c r="J1242" s="750"/>
    </row>
    <row r="1243" spans="1:10" x14ac:dyDescent="0.35">
      <c r="A1243" s="92"/>
      <c r="F1243" s="726"/>
      <c r="G1243" s="735"/>
      <c r="H1243" s="93"/>
      <c r="I1243" s="750"/>
      <c r="J1243" s="750"/>
    </row>
    <row r="1244" spans="1:10" x14ac:dyDescent="0.35">
      <c r="A1244" s="92"/>
      <c r="F1244" s="726"/>
      <c r="G1244" s="735"/>
      <c r="H1244" s="93"/>
      <c r="I1244" s="750"/>
      <c r="J1244" s="750"/>
    </row>
    <row r="1245" spans="1:10" x14ac:dyDescent="0.35">
      <c r="A1245" s="92"/>
      <c r="F1245" s="726"/>
      <c r="G1245" s="735"/>
      <c r="H1245" s="93"/>
      <c r="I1245" s="750"/>
      <c r="J1245" s="750"/>
    </row>
    <row r="1246" spans="1:10" x14ac:dyDescent="0.35">
      <c r="A1246" s="92"/>
      <c r="F1246" s="726"/>
      <c r="G1246" s="735"/>
      <c r="H1246" s="93"/>
      <c r="I1246" s="750"/>
      <c r="J1246" s="750"/>
    </row>
    <row r="1247" spans="1:10" x14ac:dyDescent="0.35">
      <c r="A1247" s="92"/>
      <c r="F1247" s="726"/>
      <c r="G1247" s="735"/>
      <c r="H1247" s="93"/>
      <c r="I1247" s="750"/>
      <c r="J1247" s="750"/>
    </row>
    <row r="1248" spans="1:10" x14ac:dyDescent="0.35">
      <c r="A1248" s="92"/>
      <c r="F1248" s="726"/>
      <c r="G1248" s="735"/>
      <c r="H1248" s="93"/>
      <c r="I1248" s="750"/>
      <c r="J1248" s="750"/>
    </row>
    <row r="1249" spans="1:10" x14ac:dyDescent="0.35">
      <c r="A1249" s="92"/>
      <c r="F1249" s="726"/>
      <c r="G1249" s="735"/>
      <c r="H1249" s="93"/>
      <c r="I1249" s="750"/>
      <c r="J1249" s="750"/>
    </row>
    <row r="1250" spans="1:10" x14ac:dyDescent="0.35">
      <c r="A1250" s="92"/>
      <c r="F1250" s="726"/>
      <c r="G1250" s="735"/>
      <c r="H1250" s="93"/>
      <c r="I1250" s="750"/>
      <c r="J1250" s="750"/>
    </row>
    <row r="1251" spans="1:10" x14ac:dyDescent="0.35">
      <c r="A1251" s="92"/>
      <c r="F1251" s="726"/>
      <c r="G1251" s="735"/>
      <c r="H1251" s="93"/>
      <c r="I1251" s="750"/>
      <c r="J1251" s="750"/>
    </row>
    <row r="1252" spans="1:10" x14ac:dyDescent="0.35">
      <c r="A1252" s="92"/>
      <c r="F1252" s="726"/>
      <c r="G1252" s="735"/>
      <c r="H1252" s="93"/>
      <c r="I1252" s="750"/>
      <c r="J1252" s="750"/>
    </row>
    <row r="1253" spans="1:10" x14ac:dyDescent="0.35">
      <c r="A1253" s="92"/>
      <c r="F1253" s="726"/>
      <c r="G1253" s="735"/>
      <c r="H1253" s="93"/>
      <c r="I1253" s="750"/>
      <c r="J1253" s="750"/>
    </row>
    <row r="1254" spans="1:10" x14ac:dyDescent="0.35">
      <c r="A1254" s="92"/>
      <c r="F1254" s="726"/>
      <c r="G1254" s="735"/>
      <c r="H1254" s="93"/>
      <c r="I1254" s="750"/>
      <c r="J1254" s="750"/>
    </row>
    <row r="1255" spans="1:10" x14ac:dyDescent="0.35">
      <c r="A1255" s="92"/>
      <c r="F1255" s="726"/>
      <c r="G1255" s="735"/>
      <c r="H1255" s="93"/>
      <c r="I1255" s="750"/>
      <c r="J1255" s="750"/>
    </row>
    <row r="1256" spans="1:10" x14ac:dyDescent="0.35">
      <c r="A1256" s="92"/>
      <c r="F1256" s="726"/>
      <c r="G1256" s="735"/>
      <c r="H1256" s="93"/>
      <c r="I1256" s="750"/>
      <c r="J1256" s="750"/>
    </row>
    <row r="1257" spans="1:10" x14ac:dyDescent="0.35">
      <c r="A1257" s="92"/>
      <c r="F1257" s="726"/>
      <c r="G1257" s="735"/>
      <c r="H1257" s="93"/>
      <c r="I1257" s="750"/>
      <c r="J1257" s="750"/>
    </row>
    <row r="1258" spans="1:10" x14ac:dyDescent="0.35">
      <c r="A1258" s="92"/>
      <c r="F1258" s="726"/>
      <c r="G1258" s="735"/>
      <c r="H1258" s="93"/>
      <c r="I1258" s="750"/>
      <c r="J1258" s="750"/>
    </row>
    <row r="1259" spans="1:10" x14ac:dyDescent="0.35">
      <c r="A1259" s="92"/>
      <c r="F1259" s="726"/>
      <c r="G1259" s="735"/>
      <c r="H1259" s="93"/>
      <c r="I1259" s="750"/>
      <c r="J1259" s="750"/>
    </row>
    <row r="1260" spans="1:10" x14ac:dyDescent="0.35">
      <c r="A1260" s="92"/>
      <c r="F1260" s="726"/>
      <c r="G1260" s="735"/>
      <c r="H1260" s="93"/>
      <c r="I1260" s="750"/>
      <c r="J1260" s="750"/>
    </row>
    <row r="1261" spans="1:10" x14ac:dyDescent="0.35">
      <c r="A1261" s="92"/>
      <c r="F1261" s="726"/>
      <c r="G1261" s="735"/>
      <c r="H1261" s="93"/>
      <c r="I1261" s="750"/>
      <c r="J1261" s="750"/>
    </row>
    <row r="1262" spans="1:10" x14ac:dyDescent="0.35">
      <c r="A1262" s="92"/>
      <c r="F1262" s="726"/>
      <c r="G1262" s="735"/>
      <c r="H1262" s="93"/>
      <c r="I1262" s="750"/>
      <c r="J1262" s="750"/>
    </row>
    <row r="1263" spans="1:10" x14ac:dyDescent="0.35">
      <c r="A1263" s="92"/>
      <c r="F1263" s="726"/>
      <c r="G1263" s="735"/>
      <c r="H1263" s="93"/>
      <c r="I1263" s="750"/>
      <c r="J1263" s="750"/>
    </row>
    <row r="1264" spans="1:10" x14ac:dyDescent="0.35">
      <c r="A1264" s="92"/>
      <c r="F1264" s="726"/>
      <c r="G1264" s="735"/>
      <c r="H1264" s="93"/>
      <c r="I1264" s="750"/>
      <c r="J1264" s="750"/>
    </row>
    <row r="1265" spans="1:10" x14ac:dyDescent="0.35">
      <c r="A1265" s="92"/>
      <c r="F1265" s="726"/>
      <c r="G1265" s="735"/>
      <c r="H1265" s="93"/>
      <c r="I1265" s="750"/>
      <c r="J1265" s="750"/>
    </row>
    <row r="1266" spans="1:10" x14ac:dyDescent="0.35">
      <c r="A1266" s="92"/>
      <c r="F1266" s="726"/>
      <c r="G1266" s="735"/>
      <c r="H1266" s="93"/>
      <c r="I1266" s="750"/>
      <c r="J1266" s="750"/>
    </row>
    <row r="1267" spans="1:10" x14ac:dyDescent="0.35">
      <c r="A1267" s="92"/>
      <c r="F1267" s="726"/>
      <c r="G1267" s="735"/>
      <c r="H1267" s="93"/>
      <c r="I1267" s="750"/>
      <c r="J1267" s="750"/>
    </row>
    <row r="1268" spans="1:10" x14ac:dyDescent="0.35">
      <c r="A1268" s="92"/>
      <c r="F1268" s="726"/>
      <c r="G1268" s="735"/>
      <c r="H1268" s="93"/>
      <c r="I1268" s="750"/>
      <c r="J1268" s="750"/>
    </row>
    <row r="1269" spans="1:10" x14ac:dyDescent="0.35">
      <c r="A1269" s="92"/>
      <c r="F1269" s="726"/>
      <c r="G1269" s="735"/>
      <c r="H1269" s="93"/>
      <c r="I1269" s="750"/>
      <c r="J1269" s="750"/>
    </row>
    <row r="1270" spans="1:10" x14ac:dyDescent="0.35">
      <c r="A1270" s="92"/>
      <c r="F1270" s="726"/>
      <c r="G1270" s="735"/>
      <c r="H1270" s="93"/>
      <c r="I1270" s="750"/>
      <c r="J1270" s="750"/>
    </row>
    <row r="1271" spans="1:10" x14ac:dyDescent="0.35">
      <c r="A1271" s="92"/>
      <c r="F1271" s="726"/>
      <c r="G1271" s="735"/>
      <c r="H1271" s="93"/>
      <c r="I1271" s="750"/>
      <c r="J1271" s="750"/>
    </row>
    <row r="1272" spans="1:10" x14ac:dyDescent="0.35">
      <c r="A1272" s="92"/>
      <c r="F1272" s="726"/>
      <c r="G1272" s="735"/>
      <c r="H1272" s="93"/>
      <c r="I1272" s="750"/>
      <c r="J1272" s="750"/>
    </row>
    <row r="1273" spans="1:10" x14ac:dyDescent="0.35">
      <c r="A1273" s="92"/>
      <c r="F1273" s="726"/>
      <c r="G1273" s="735"/>
      <c r="H1273" s="93"/>
      <c r="I1273" s="750"/>
      <c r="J1273" s="750"/>
    </row>
    <row r="1274" spans="1:10" x14ac:dyDescent="0.35">
      <c r="A1274" s="92"/>
      <c r="F1274" s="726"/>
      <c r="G1274" s="735"/>
      <c r="H1274" s="93"/>
      <c r="I1274" s="750"/>
      <c r="J1274" s="750"/>
    </row>
    <row r="1275" spans="1:10" x14ac:dyDescent="0.35">
      <c r="A1275" s="92"/>
      <c r="F1275" s="726"/>
      <c r="G1275" s="735"/>
      <c r="H1275" s="93"/>
      <c r="I1275" s="750"/>
      <c r="J1275" s="750"/>
    </row>
    <row r="1276" spans="1:10" x14ac:dyDescent="0.35">
      <c r="A1276" s="92"/>
      <c r="F1276" s="726"/>
      <c r="G1276" s="735"/>
      <c r="H1276" s="93"/>
      <c r="I1276" s="750"/>
      <c r="J1276" s="750"/>
    </row>
    <row r="1277" spans="1:10" x14ac:dyDescent="0.35">
      <c r="A1277" s="92"/>
      <c r="F1277" s="726"/>
      <c r="G1277" s="735"/>
      <c r="H1277" s="93"/>
      <c r="I1277" s="750"/>
      <c r="J1277" s="750"/>
    </row>
    <row r="1278" spans="1:10" x14ac:dyDescent="0.35">
      <c r="A1278" s="92"/>
      <c r="F1278" s="726"/>
      <c r="G1278" s="735"/>
      <c r="H1278" s="93"/>
      <c r="I1278" s="750"/>
      <c r="J1278" s="750"/>
    </row>
    <row r="1279" spans="1:10" x14ac:dyDescent="0.35">
      <c r="A1279" s="92"/>
      <c r="F1279" s="726"/>
      <c r="G1279" s="735"/>
      <c r="H1279" s="93"/>
      <c r="I1279" s="750"/>
      <c r="J1279" s="750"/>
    </row>
    <row r="1280" spans="1:10" x14ac:dyDescent="0.35">
      <c r="A1280" s="92"/>
      <c r="F1280" s="726"/>
      <c r="G1280" s="735"/>
      <c r="H1280" s="93"/>
      <c r="I1280" s="750"/>
      <c r="J1280" s="750"/>
    </row>
    <row r="1281" spans="1:10" x14ac:dyDescent="0.35">
      <c r="A1281" s="92"/>
      <c r="F1281" s="726"/>
      <c r="G1281" s="735"/>
      <c r="H1281" s="93"/>
      <c r="I1281" s="750"/>
      <c r="J1281" s="750"/>
    </row>
    <row r="1282" spans="1:10" x14ac:dyDescent="0.35">
      <c r="A1282" s="92"/>
      <c r="F1282" s="726"/>
      <c r="G1282" s="735"/>
      <c r="H1282" s="93"/>
      <c r="I1282" s="750"/>
      <c r="J1282" s="750"/>
    </row>
    <row r="1283" spans="1:10" x14ac:dyDescent="0.35">
      <c r="A1283" s="92"/>
      <c r="F1283" s="726"/>
      <c r="G1283" s="735"/>
      <c r="H1283" s="93"/>
      <c r="I1283" s="750"/>
      <c r="J1283" s="750"/>
    </row>
    <row r="1284" spans="1:10" x14ac:dyDescent="0.35">
      <c r="A1284" s="92"/>
      <c r="F1284" s="726"/>
      <c r="G1284" s="735"/>
      <c r="H1284" s="93"/>
      <c r="I1284" s="750"/>
      <c r="J1284" s="750"/>
    </row>
    <row r="1285" spans="1:10" x14ac:dyDescent="0.35">
      <c r="A1285" s="92"/>
      <c r="F1285" s="726"/>
      <c r="G1285" s="735"/>
      <c r="H1285" s="93"/>
      <c r="I1285" s="750"/>
      <c r="J1285" s="750"/>
    </row>
    <row r="1286" spans="1:10" x14ac:dyDescent="0.35">
      <c r="A1286" s="92"/>
      <c r="F1286" s="726"/>
      <c r="G1286" s="735"/>
      <c r="H1286" s="93"/>
      <c r="I1286" s="750"/>
      <c r="J1286" s="750"/>
    </row>
    <row r="1287" spans="1:10" x14ac:dyDescent="0.35">
      <c r="A1287" s="92"/>
      <c r="F1287" s="726"/>
      <c r="G1287" s="735"/>
      <c r="H1287" s="93"/>
      <c r="I1287" s="750"/>
      <c r="J1287" s="750"/>
    </row>
    <row r="1288" spans="1:10" x14ac:dyDescent="0.35">
      <c r="A1288" s="92"/>
      <c r="F1288" s="726"/>
      <c r="G1288" s="735"/>
      <c r="H1288" s="93"/>
      <c r="I1288" s="750"/>
      <c r="J1288" s="750"/>
    </row>
    <row r="1289" spans="1:10" x14ac:dyDescent="0.35">
      <c r="A1289" s="92"/>
      <c r="F1289" s="726"/>
      <c r="G1289" s="735"/>
      <c r="H1289" s="93"/>
      <c r="I1289" s="750"/>
      <c r="J1289" s="750"/>
    </row>
    <row r="1290" spans="1:10" x14ac:dyDescent="0.35">
      <c r="A1290" s="92"/>
      <c r="F1290" s="726"/>
      <c r="G1290" s="735"/>
      <c r="H1290" s="93"/>
      <c r="I1290" s="750"/>
      <c r="J1290" s="750"/>
    </row>
    <row r="1291" spans="1:10" x14ac:dyDescent="0.35">
      <c r="A1291" s="92"/>
      <c r="F1291" s="726"/>
      <c r="G1291" s="735"/>
      <c r="H1291" s="93"/>
      <c r="I1291" s="750"/>
      <c r="J1291" s="750"/>
    </row>
    <row r="1292" spans="1:10" x14ac:dyDescent="0.35">
      <c r="A1292" s="92"/>
      <c r="F1292" s="726"/>
      <c r="G1292" s="735"/>
      <c r="H1292" s="93"/>
      <c r="I1292" s="750"/>
      <c r="J1292" s="750"/>
    </row>
    <row r="1293" spans="1:10" x14ac:dyDescent="0.35">
      <c r="A1293" s="92"/>
      <c r="F1293" s="726"/>
      <c r="G1293" s="735"/>
      <c r="H1293" s="93"/>
      <c r="I1293" s="750"/>
      <c r="J1293" s="750"/>
    </row>
    <row r="1294" spans="1:10" x14ac:dyDescent="0.35">
      <c r="A1294" s="92"/>
      <c r="F1294" s="726"/>
      <c r="G1294" s="735"/>
      <c r="H1294" s="93"/>
      <c r="I1294" s="750"/>
      <c r="J1294" s="750"/>
    </row>
    <row r="1295" spans="1:10" x14ac:dyDescent="0.35">
      <c r="A1295" s="92"/>
      <c r="F1295" s="726"/>
      <c r="G1295" s="735"/>
      <c r="H1295" s="93"/>
      <c r="I1295" s="750"/>
      <c r="J1295" s="750"/>
    </row>
    <row r="1296" spans="1:10" x14ac:dyDescent="0.35">
      <c r="A1296" s="92"/>
      <c r="F1296" s="726"/>
      <c r="G1296" s="735"/>
      <c r="H1296" s="93"/>
      <c r="I1296" s="750"/>
      <c r="J1296" s="750"/>
    </row>
    <row r="1297" spans="1:10" x14ac:dyDescent="0.35">
      <c r="A1297" s="92"/>
      <c r="F1297" s="726"/>
      <c r="G1297" s="735"/>
      <c r="H1297" s="93"/>
      <c r="I1297" s="750"/>
      <c r="J1297" s="750"/>
    </row>
    <row r="1298" spans="1:10" x14ac:dyDescent="0.35">
      <c r="A1298" s="92"/>
      <c r="F1298" s="726"/>
      <c r="G1298" s="735"/>
      <c r="H1298" s="93"/>
      <c r="I1298" s="750"/>
      <c r="J1298" s="750"/>
    </row>
    <row r="1299" spans="1:10" x14ac:dyDescent="0.35">
      <c r="A1299" s="92"/>
      <c r="F1299" s="726"/>
      <c r="G1299" s="735"/>
      <c r="H1299" s="93"/>
      <c r="I1299" s="750"/>
      <c r="J1299" s="750"/>
    </row>
    <row r="1300" spans="1:10" x14ac:dyDescent="0.35">
      <c r="A1300" s="92"/>
      <c r="F1300" s="726"/>
      <c r="G1300" s="735"/>
      <c r="H1300" s="93"/>
      <c r="I1300" s="750"/>
      <c r="J1300" s="750"/>
    </row>
    <row r="1301" spans="1:10" x14ac:dyDescent="0.35">
      <c r="A1301" s="92"/>
      <c r="F1301" s="726"/>
      <c r="G1301" s="735"/>
      <c r="H1301" s="93"/>
      <c r="I1301" s="750"/>
      <c r="J1301" s="750"/>
    </row>
    <row r="1302" spans="1:10" x14ac:dyDescent="0.35">
      <c r="A1302" s="92"/>
      <c r="F1302" s="726"/>
      <c r="G1302" s="735"/>
      <c r="H1302" s="93"/>
      <c r="I1302" s="750"/>
      <c r="J1302" s="750"/>
    </row>
    <row r="1303" spans="1:10" x14ac:dyDescent="0.35">
      <c r="A1303" s="92"/>
      <c r="F1303" s="726"/>
      <c r="G1303" s="735"/>
      <c r="H1303" s="93"/>
      <c r="I1303" s="750"/>
      <c r="J1303" s="750"/>
    </row>
    <row r="1304" spans="1:10" x14ac:dyDescent="0.35">
      <c r="A1304" s="92"/>
      <c r="F1304" s="726"/>
      <c r="G1304" s="735"/>
      <c r="H1304" s="93"/>
      <c r="I1304" s="750"/>
      <c r="J1304" s="750"/>
    </row>
    <row r="1305" spans="1:10" x14ac:dyDescent="0.35">
      <c r="A1305" s="92"/>
      <c r="F1305" s="726"/>
      <c r="G1305" s="735"/>
      <c r="H1305" s="93"/>
      <c r="I1305" s="750"/>
      <c r="J1305" s="750"/>
    </row>
    <row r="1306" spans="1:10" x14ac:dyDescent="0.35">
      <c r="A1306" s="92"/>
      <c r="F1306" s="726"/>
      <c r="G1306" s="735"/>
      <c r="H1306" s="93"/>
      <c r="I1306" s="750"/>
      <c r="J1306" s="750"/>
    </row>
    <row r="1307" spans="1:10" x14ac:dyDescent="0.35">
      <c r="A1307" s="92"/>
      <c r="F1307" s="726"/>
      <c r="G1307" s="735"/>
      <c r="H1307" s="93"/>
      <c r="I1307" s="750"/>
      <c r="J1307" s="750"/>
    </row>
    <row r="1308" spans="1:10" x14ac:dyDescent="0.35">
      <c r="A1308" s="92"/>
      <c r="F1308" s="726"/>
      <c r="G1308" s="735"/>
      <c r="H1308" s="93"/>
      <c r="I1308" s="750"/>
      <c r="J1308" s="750"/>
    </row>
    <row r="1309" spans="1:10" x14ac:dyDescent="0.35">
      <c r="A1309" s="92"/>
      <c r="F1309" s="726"/>
      <c r="G1309" s="735"/>
      <c r="H1309" s="93"/>
      <c r="I1309" s="750"/>
      <c r="J1309" s="750"/>
    </row>
    <row r="1310" spans="1:10" x14ac:dyDescent="0.35">
      <c r="A1310" s="92"/>
      <c r="F1310" s="726"/>
      <c r="G1310" s="735"/>
      <c r="H1310" s="93"/>
      <c r="I1310" s="750"/>
      <c r="J1310" s="750"/>
    </row>
    <row r="1311" spans="1:10" x14ac:dyDescent="0.35">
      <c r="A1311" s="92"/>
      <c r="F1311" s="726"/>
      <c r="G1311" s="735"/>
      <c r="H1311" s="93"/>
      <c r="I1311" s="750"/>
      <c r="J1311" s="750"/>
    </row>
    <row r="1312" spans="1:10" x14ac:dyDescent="0.35">
      <c r="A1312" s="92"/>
      <c r="F1312" s="726"/>
      <c r="G1312" s="735"/>
      <c r="H1312" s="93"/>
      <c r="I1312" s="750"/>
      <c r="J1312" s="750"/>
    </row>
    <row r="1313" spans="1:10" x14ac:dyDescent="0.35">
      <c r="A1313" s="92"/>
      <c r="F1313" s="726"/>
      <c r="G1313" s="735"/>
      <c r="H1313" s="93"/>
      <c r="I1313" s="750"/>
      <c r="J1313" s="750"/>
    </row>
    <row r="1314" spans="1:10" x14ac:dyDescent="0.35">
      <c r="A1314" s="92"/>
      <c r="F1314" s="726"/>
      <c r="G1314" s="735"/>
      <c r="H1314" s="93"/>
      <c r="I1314" s="750"/>
      <c r="J1314" s="750"/>
    </row>
    <row r="1315" spans="1:10" x14ac:dyDescent="0.35">
      <c r="A1315" s="92"/>
      <c r="F1315" s="726"/>
      <c r="G1315" s="735"/>
      <c r="H1315" s="93"/>
      <c r="I1315" s="750"/>
      <c r="J1315" s="750"/>
    </row>
    <row r="1316" spans="1:10" x14ac:dyDescent="0.35">
      <c r="A1316" s="92"/>
      <c r="F1316" s="726"/>
      <c r="G1316" s="735"/>
      <c r="H1316" s="93"/>
      <c r="I1316" s="750"/>
      <c r="J1316" s="750"/>
    </row>
    <row r="1317" spans="1:10" x14ac:dyDescent="0.35">
      <c r="A1317" s="92"/>
      <c r="F1317" s="726"/>
      <c r="G1317" s="735"/>
      <c r="H1317" s="93"/>
      <c r="I1317" s="750"/>
      <c r="J1317" s="750"/>
    </row>
    <row r="1318" spans="1:10" x14ac:dyDescent="0.35">
      <c r="A1318" s="92"/>
      <c r="F1318" s="726"/>
      <c r="G1318" s="735"/>
      <c r="H1318" s="93"/>
      <c r="I1318" s="750"/>
      <c r="J1318" s="750"/>
    </row>
    <row r="1319" spans="1:10" x14ac:dyDescent="0.35">
      <c r="A1319" s="92"/>
      <c r="F1319" s="726"/>
      <c r="G1319" s="735"/>
      <c r="H1319" s="93"/>
      <c r="I1319" s="750"/>
      <c r="J1319" s="750"/>
    </row>
    <row r="1320" spans="1:10" x14ac:dyDescent="0.35">
      <c r="A1320" s="92"/>
      <c r="F1320" s="726"/>
      <c r="G1320" s="735"/>
      <c r="H1320" s="93"/>
      <c r="I1320" s="750"/>
      <c r="J1320" s="750"/>
    </row>
    <row r="1321" spans="1:10" x14ac:dyDescent="0.35">
      <c r="A1321" s="92"/>
      <c r="F1321" s="726"/>
      <c r="G1321" s="735"/>
      <c r="H1321" s="93"/>
      <c r="I1321" s="750"/>
      <c r="J1321" s="750"/>
    </row>
    <row r="1322" spans="1:10" x14ac:dyDescent="0.35">
      <c r="A1322" s="92"/>
      <c r="F1322" s="726"/>
      <c r="G1322" s="735"/>
      <c r="H1322" s="93"/>
      <c r="I1322" s="750"/>
      <c r="J1322" s="750"/>
    </row>
    <row r="1323" spans="1:10" x14ac:dyDescent="0.35">
      <c r="A1323" s="92"/>
      <c r="F1323" s="726"/>
      <c r="G1323" s="735"/>
      <c r="H1323" s="93"/>
      <c r="I1323" s="750"/>
      <c r="J1323" s="750"/>
    </row>
    <row r="1324" spans="1:10" x14ac:dyDescent="0.35">
      <c r="A1324" s="92"/>
      <c r="F1324" s="726"/>
      <c r="G1324" s="735"/>
      <c r="H1324" s="93"/>
      <c r="I1324" s="750"/>
      <c r="J1324" s="750"/>
    </row>
    <row r="1325" spans="1:10" x14ac:dyDescent="0.35">
      <c r="A1325" s="92"/>
      <c r="F1325" s="726"/>
      <c r="G1325" s="735"/>
      <c r="H1325" s="93"/>
      <c r="I1325" s="750"/>
      <c r="J1325" s="750"/>
    </row>
    <row r="1326" spans="1:10" x14ac:dyDescent="0.35">
      <c r="A1326" s="92"/>
      <c r="F1326" s="726"/>
      <c r="G1326" s="735"/>
      <c r="H1326" s="93"/>
      <c r="I1326" s="750"/>
      <c r="J1326" s="750"/>
    </row>
    <row r="1327" spans="1:10" x14ac:dyDescent="0.35">
      <c r="A1327" s="92"/>
      <c r="F1327" s="726"/>
      <c r="G1327" s="735"/>
      <c r="H1327" s="93"/>
      <c r="I1327" s="750"/>
      <c r="J1327" s="750"/>
    </row>
    <row r="1328" spans="1:10" x14ac:dyDescent="0.35">
      <c r="A1328" s="92"/>
      <c r="F1328" s="726"/>
      <c r="G1328" s="735"/>
      <c r="H1328" s="93"/>
      <c r="I1328" s="750"/>
      <c r="J1328" s="750"/>
    </row>
    <row r="1329" spans="1:10" x14ac:dyDescent="0.35">
      <c r="A1329" s="92"/>
      <c r="F1329" s="726"/>
      <c r="G1329" s="735"/>
      <c r="H1329" s="93"/>
      <c r="I1329" s="750"/>
      <c r="J1329" s="750"/>
    </row>
    <row r="1330" spans="1:10" x14ac:dyDescent="0.35">
      <c r="A1330" s="92"/>
      <c r="F1330" s="726"/>
      <c r="G1330" s="735"/>
      <c r="H1330" s="93"/>
      <c r="I1330" s="750"/>
      <c r="J1330" s="750"/>
    </row>
    <row r="1331" spans="1:10" x14ac:dyDescent="0.35">
      <c r="A1331" s="92"/>
      <c r="F1331" s="726"/>
      <c r="G1331" s="735"/>
      <c r="H1331" s="93"/>
      <c r="I1331" s="750"/>
      <c r="J1331" s="750"/>
    </row>
    <row r="1332" spans="1:10" x14ac:dyDescent="0.35">
      <c r="A1332" s="92"/>
      <c r="F1332" s="726"/>
      <c r="G1332" s="735"/>
      <c r="H1332" s="93"/>
      <c r="I1332" s="750"/>
      <c r="J1332" s="750"/>
    </row>
    <row r="1333" spans="1:10" x14ac:dyDescent="0.35">
      <c r="A1333" s="92"/>
      <c r="F1333" s="726"/>
      <c r="G1333" s="735"/>
      <c r="H1333" s="93"/>
      <c r="I1333" s="750"/>
      <c r="J1333" s="750"/>
    </row>
    <row r="1334" spans="1:10" x14ac:dyDescent="0.35">
      <c r="A1334" s="92"/>
      <c r="F1334" s="726"/>
      <c r="G1334" s="735"/>
      <c r="H1334" s="93"/>
      <c r="I1334" s="750"/>
      <c r="J1334" s="750"/>
    </row>
    <row r="1335" spans="1:10" x14ac:dyDescent="0.35">
      <c r="A1335" s="92"/>
      <c r="F1335" s="726"/>
      <c r="G1335" s="735"/>
      <c r="H1335" s="93"/>
      <c r="I1335" s="750"/>
      <c r="J1335" s="750"/>
    </row>
    <row r="1336" spans="1:10" x14ac:dyDescent="0.35">
      <c r="A1336" s="92"/>
      <c r="F1336" s="726"/>
      <c r="G1336" s="735"/>
      <c r="H1336" s="93"/>
      <c r="I1336" s="750"/>
      <c r="J1336" s="750"/>
    </row>
    <row r="1337" spans="1:10" x14ac:dyDescent="0.35">
      <c r="A1337" s="92"/>
      <c r="F1337" s="726"/>
      <c r="G1337" s="735"/>
      <c r="H1337" s="93"/>
      <c r="I1337" s="750"/>
      <c r="J1337" s="750"/>
    </row>
    <row r="1338" spans="1:10" x14ac:dyDescent="0.35">
      <c r="A1338" s="92"/>
      <c r="F1338" s="726"/>
      <c r="G1338" s="735"/>
      <c r="H1338" s="93"/>
      <c r="I1338" s="750"/>
      <c r="J1338" s="750"/>
    </row>
    <row r="1339" spans="1:10" x14ac:dyDescent="0.35">
      <c r="A1339" s="92"/>
      <c r="F1339" s="726"/>
      <c r="G1339" s="735"/>
      <c r="H1339" s="93"/>
      <c r="I1339" s="750"/>
      <c r="J1339" s="750"/>
    </row>
    <row r="1340" spans="1:10" x14ac:dyDescent="0.35">
      <c r="A1340" s="92"/>
      <c r="F1340" s="726"/>
      <c r="G1340" s="735"/>
      <c r="H1340" s="93"/>
      <c r="I1340" s="750"/>
      <c r="J1340" s="750"/>
    </row>
    <row r="1341" spans="1:10" x14ac:dyDescent="0.35">
      <c r="A1341" s="92"/>
      <c r="F1341" s="726"/>
      <c r="G1341" s="735"/>
      <c r="H1341" s="93"/>
      <c r="I1341" s="750"/>
      <c r="J1341" s="750"/>
    </row>
    <row r="1342" spans="1:10" x14ac:dyDescent="0.35">
      <c r="A1342" s="92"/>
      <c r="F1342" s="726"/>
      <c r="G1342" s="735"/>
      <c r="H1342" s="93"/>
      <c r="I1342" s="750"/>
      <c r="J1342" s="750"/>
    </row>
    <row r="1343" spans="1:10" x14ac:dyDescent="0.35">
      <c r="A1343" s="92"/>
      <c r="F1343" s="726"/>
      <c r="G1343" s="735"/>
      <c r="H1343" s="93"/>
      <c r="I1343" s="750"/>
      <c r="J1343" s="750"/>
    </row>
    <row r="1344" spans="1:10" x14ac:dyDescent="0.35">
      <c r="A1344" s="92"/>
      <c r="F1344" s="726"/>
      <c r="G1344" s="735"/>
      <c r="H1344" s="93"/>
      <c r="I1344" s="750"/>
      <c r="J1344" s="750"/>
    </row>
    <row r="1345" spans="1:10" x14ac:dyDescent="0.35">
      <c r="A1345" s="92"/>
      <c r="F1345" s="726"/>
      <c r="G1345" s="735"/>
      <c r="H1345" s="93"/>
      <c r="I1345" s="750"/>
      <c r="J1345" s="750"/>
    </row>
    <row r="1346" spans="1:10" x14ac:dyDescent="0.35">
      <c r="A1346" s="92"/>
      <c r="F1346" s="726"/>
      <c r="G1346" s="735"/>
      <c r="H1346" s="93"/>
      <c r="I1346" s="750"/>
      <c r="J1346" s="750"/>
    </row>
    <row r="1347" spans="1:10" x14ac:dyDescent="0.35">
      <c r="A1347" s="92"/>
      <c r="F1347" s="726"/>
      <c r="G1347" s="735"/>
      <c r="H1347" s="93"/>
      <c r="I1347" s="750"/>
      <c r="J1347" s="750"/>
    </row>
    <row r="1348" spans="1:10" x14ac:dyDescent="0.35">
      <c r="A1348" s="92"/>
      <c r="F1348" s="726"/>
      <c r="G1348" s="735"/>
      <c r="H1348" s="93"/>
      <c r="I1348" s="750"/>
      <c r="J1348" s="750"/>
    </row>
    <row r="1349" spans="1:10" x14ac:dyDescent="0.35">
      <c r="A1349" s="92"/>
      <c r="F1349" s="726"/>
      <c r="G1349" s="735"/>
      <c r="H1349" s="93"/>
      <c r="I1349" s="750"/>
      <c r="J1349" s="750"/>
    </row>
    <row r="1350" spans="1:10" x14ac:dyDescent="0.35">
      <c r="A1350" s="92"/>
      <c r="F1350" s="726"/>
      <c r="G1350" s="735"/>
      <c r="H1350" s="93"/>
      <c r="I1350" s="750"/>
      <c r="J1350" s="750"/>
    </row>
    <row r="1351" spans="1:10" x14ac:dyDescent="0.35">
      <c r="A1351" s="92"/>
      <c r="F1351" s="726"/>
      <c r="G1351" s="735"/>
      <c r="H1351" s="93"/>
      <c r="I1351" s="750"/>
      <c r="J1351" s="750"/>
    </row>
    <row r="1352" spans="1:10" x14ac:dyDescent="0.35">
      <c r="A1352" s="92"/>
      <c r="F1352" s="726"/>
      <c r="G1352" s="735"/>
      <c r="H1352" s="93"/>
      <c r="I1352" s="750"/>
      <c r="J1352" s="750"/>
    </row>
    <row r="1353" spans="1:10" x14ac:dyDescent="0.35">
      <c r="A1353" s="92"/>
      <c r="F1353" s="726"/>
      <c r="G1353" s="735"/>
      <c r="H1353" s="93"/>
      <c r="I1353" s="750"/>
      <c r="J1353" s="750"/>
    </row>
    <row r="1354" spans="1:10" x14ac:dyDescent="0.35">
      <c r="A1354" s="92"/>
      <c r="F1354" s="726"/>
      <c r="G1354" s="735"/>
      <c r="H1354" s="93"/>
      <c r="I1354" s="750"/>
      <c r="J1354" s="750"/>
    </row>
    <row r="1355" spans="1:10" x14ac:dyDescent="0.35">
      <c r="A1355" s="92"/>
      <c r="F1355" s="726"/>
      <c r="G1355" s="735"/>
      <c r="H1355" s="93"/>
      <c r="I1355" s="750"/>
      <c r="J1355" s="750"/>
    </row>
    <row r="1356" spans="1:10" x14ac:dyDescent="0.35">
      <c r="A1356" s="92"/>
      <c r="F1356" s="726"/>
      <c r="G1356" s="735"/>
      <c r="H1356" s="93"/>
      <c r="I1356" s="750"/>
      <c r="J1356" s="750"/>
    </row>
    <row r="1357" spans="1:10" x14ac:dyDescent="0.35">
      <c r="A1357" s="92"/>
      <c r="F1357" s="726"/>
      <c r="G1357" s="735"/>
      <c r="H1357" s="93"/>
      <c r="I1357" s="750"/>
      <c r="J1357" s="750"/>
    </row>
    <row r="1358" spans="1:10" x14ac:dyDescent="0.35">
      <c r="A1358" s="92"/>
      <c r="F1358" s="726"/>
      <c r="G1358" s="735"/>
      <c r="H1358" s="93"/>
      <c r="I1358" s="750"/>
      <c r="J1358" s="750"/>
    </row>
    <row r="1359" spans="1:10" x14ac:dyDescent="0.35">
      <c r="A1359" s="92"/>
      <c r="F1359" s="726"/>
      <c r="G1359" s="735"/>
      <c r="H1359" s="93"/>
      <c r="I1359" s="750"/>
      <c r="J1359" s="750"/>
    </row>
    <row r="1360" spans="1:10" x14ac:dyDescent="0.35">
      <c r="A1360" s="92"/>
      <c r="F1360" s="726"/>
      <c r="G1360" s="735"/>
      <c r="H1360" s="93"/>
      <c r="I1360" s="750"/>
      <c r="J1360" s="750"/>
    </row>
    <row r="1361" spans="1:10" x14ac:dyDescent="0.35">
      <c r="A1361" s="92"/>
      <c r="F1361" s="726"/>
      <c r="G1361" s="735"/>
      <c r="H1361" s="93"/>
      <c r="I1361" s="750"/>
      <c r="J1361" s="750"/>
    </row>
    <row r="1362" spans="1:10" x14ac:dyDescent="0.35">
      <c r="A1362" s="92"/>
      <c r="F1362" s="726"/>
      <c r="G1362" s="735"/>
      <c r="H1362" s="93"/>
      <c r="I1362" s="750"/>
      <c r="J1362" s="750"/>
    </row>
    <row r="1363" spans="1:10" x14ac:dyDescent="0.35">
      <c r="A1363" s="92"/>
      <c r="F1363" s="726"/>
      <c r="G1363" s="735"/>
      <c r="H1363" s="93"/>
      <c r="I1363" s="750"/>
      <c r="J1363" s="750"/>
    </row>
    <row r="1364" spans="1:10" x14ac:dyDescent="0.35">
      <c r="A1364" s="92"/>
      <c r="F1364" s="726"/>
      <c r="G1364" s="735"/>
      <c r="H1364" s="93"/>
      <c r="I1364" s="750"/>
      <c r="J1364" s="750"/>
    </row>
    <row r="1365" spans="1:10" x14ac:dyDescent="0.35">
      <c r="A1365" s="92"/>
      <c r="F1365" s="726"/>
      <c r="G1365" s="735"/>
      <c r="H1365" s="93"/>
      <c r="I1365" s="750"/>
      <c r="J1365" s="750"/>
    </row>
    <row r="1366" spans="1:10" x14ac:dyDescent="0.35">
      <c r="A1366" s="92"/>
      <c r="F1366" s="726"/>
      <c r="G1366" s="735"/>
      <c r="H1366" s="93"/>
      <c r="I1366" s="750"/>
      <c r="J1366" s="750"/>
    </row>
    <row r="1367" spans="1:10" x14ac:dyDescent="0.35">
      <c r="A1367" s="92"/>
      <c r="F1367" s="726"/>
      <c r="G1367" s="735"/>
      <c r="H1367" s="93"/>
      <c r="I1367" s="750"/>
      <c r="J1367" s="750"/>
    </row>
    <row r="1368" spans="1:10" x14ac:dyDescent="0.35">
      <c r="A1368" s="92"/>
      <c r="F1368" s="726"/>
      <c r="G1368" s="735"/>
      <c r="H1368" s="93"/>
      <c r="I1368" s="750"/>
      <c r="J1368" s="750"/>
    </row>
    <row r="1369" spans="1:10" x14ac:dyDescent="0.35">
      <c r="A1369" s="92"/>
      <c r="F1369" s="726"/>
      <c r="G1369" s="735"/>
      <c r="H1369" s="93"/>
      <c r="I1369" s="750"/>
      <c r="J1369" s="750"/>
    </row>
    <row r="1370" spans="1:10" x14ac:dyDescent="0.35">
      <c r="A1370" s="92"/>
      <c r="F1370" s="726"/>
      <c r="G1370" s="735"/>
      <c r="H1370" s="93"/>
      <c r="I1370" s="750"/>
      <c r="J1370" s="750"/>
    </row>
    <row r="1371" spans="1:10" x14ac:dyDescent="0.35">
      <c r="A1371" s="92"/>
      <c r="F1371" s="726"/>
      <c r="G1371" s="735"/>
      <c r="H1371" s="93"/>
      <c r="I1371" s="750"/>
      <c r="J1371" s="750"/>
    </row>
    <row r="1372" spans="1:10" x14ac:dyDescent="0.35">
      <c r="A1372" s="92"/>
      <c r="F1372" s="726"/>
      <c r="G1372" s="735"/>
      <c r="H1372" s="93"/>
      <c r="I1372" s="750"/>
      <c r="J1372" s="750"/>
    </row>
    <row r="1373" spans="1:10" x14ac:dyDescent="0.35">
      <c r="A1373" s="92"/>
      <c r="F1373" s="726"/>
      <c r="G1373" s="735"/>
      <c r="H1373" s="93"/>
      <c r="I1373" s="750"/>
      <c r="J1373" s="750"/>
    </row>
    <row r="1374" spans="1:10" x14ac:dyDescent="0.35">
      <c r="A1374" s="92"/>
      <c r="F1374" s="726"/>
      <c r="G1374" s="735"/>
      <c r="H1374" s="93"/>
      <c r="I1374" s="750"/>
      <c r="J1374" s="750"/>
    </row>
    <row r="1375" spans="1:10" x14ac:dyDescent="0.35">
      <c r="A1375" s="92"/>
      <c r="F1375" s="726"/>
      <c r="G1375" s="735"/>
      <c r="H1375" s="93"/>
      <c r="I1375" s="750"/>
      <c r="J1375" s="750"/>
    </row>
    <row r="1376" spans="1:10" x14ac:dyDescent="0.35">
      <c r="A1376" s="92"/>
      <c r="F1376" s="726"/>
      <c r="G1376" s="735"/>
      <c r="H1376" s="93"/>
      <c r="I1376" s="750"/>
      <c r="J1376" s="750"/>
    </row>
    <row r="1377" spans="1:10" x14ac:dyDescent="0.35">
      <c r="A1377" s="92"/>
      <c r="F1377" s="726"/>
      <c r="G1377" s="735"/>
      <c r="H1377" s="93"/>
      <c r="I1377" s="750"/>
      <c r="J1377" s="750"/>
    </row>
    <row r="1378" spans="1:10" x14ac:dyDescent="0.35">
      <c r="A1378" s="92"/>
      <c r="F1378" s="726"/>
      <c r="G1378" s="735"/>
      <c r="H1378" s="93"/>
      <c r="I1378" s="750"/>
      <c r="J1378" s="750"/>
    </row>
    <row r="1379" spans="1:10" x14ac:dyDescent="0.35">
      <c r="A1379" s="92"/>
      <c r="F1379" s="726"/>
      <c r="G1379" s="735"/>
      <c r="H1379" s="93"/>
      <c r="I1379" s="750"/>
      <c r="J1379" s="750"/>
    </row>
    <row r="1380" spans="1:10" x14ac:dyDescent="0.35">
      <c r="A1380" s="92"/>
      <c r="F1380" s="726"/>
      <c r="G1380" s="735"/>
      <c r="H1380" s="93"/>
      <c r="I1380" s="750"/>
      <c r="J1380" s="750"/>
    </row>
    <row r="1381" spans="1:10" x14ac:dyDescent="0.35">
      <c r="A1381" s="92"/>
      <c r="F1381" s="726"/>
      <c r="G1381" s="735"/>
      <c r="H1381" s="93"/>
      <c r="I1381" s="750"/>
      <c r="J1381" s="750"/>
    </row>
    <row r="1382" spans="1:10" x14ac:dyDescent="0.35">
      <c r="A1382" s="92"/>
      <c r="F1382" s="726"/>
      <c r="G1382" s="735"/>
      <c r="H1382" s="93"/>
      <c r="I1382" s="750"/>
      <c r="J1382" s="750"/>
    </row>
    <row r="1383" spans="1:10" x14ac:dyDescent="0.35">
      <c r="A1383" s="92"/>
      <c r="F1383" s="726"/>
      <c r="G1383" s="735"/>
      <c r="H1383" s="93"/>
      <c r="I1383" s="750"/>
      <c r="J1383" s="750"/>
    </row>
    <row r="1384" spans="1:10" x14ac:dyDescent="0.35">
      <c r="A1384" s="92"/>
      <c r="F1384" s="726"/>
      <c r="G1384" s="735"/>
      <c r="H1384" s="93"/>
      <c r="I1384" s="750"/>
      <c r="J1384" s="750"/>
    </row>
    <row r="1385" spans="1:10" x14ac:dyDescent="0.35">
      <c r="A1385" s="92"/>
      <c r="F1385" s="726"/>
      <c r="G1385" s="735"/>
      <c r="H1385" s="93"/>
      <c r="I1385" s="750"/>
      <c r="J1385" s="750"/>
    </row>
    <row r="1386" spans="1:10" x14ac:dyDescent="0.35">
      <c r="A1386" s="92"/>
      <c r="F1386" s="726"/>
      <c r="G1386" s="735"/>
      <c r="H1386" s="93"/>
      <c r="I1386" s="750"/>
      <c r="J1386" s="750"/>
    </row>
    <row r="1387" spans="1:10" x14ac:dyDescent="0.35">
      <c r="A1387" s="92"/>
      <c r="F1387" s="726"/>
      <c r="G1387" s="735"/>
      <c r="H1387" s="93"/>
      <c r="I1387" s="750"/>
      <c r="J1387" s="750"/>
    </row>
    <row r="1388" spans="1:10" x14ac:dyDescent="0.35">
      <c r="A1388" s="92"/>
      <c r="F1388" s="726"/>
      <c r="G1388" s="735"/>
      <c r="H1388" s="93"/>
      <c r="I1388" s="750"/>
      <c r="J1388" s="750"/>
    </row>
    <row r="1389" spans="1:10" x14ac:dyDescent="0.35">
      <c r="A1389" s="92"/>
      <c r="F1389" s="726"/>
      <c r="G1389" s="735"/>
      <c r="H1389" s="93"/>
      <c r="I1389" s="750"/>
      <c r="J1389" s="750"/>
    </row>
    <row r="1390" spans="1:10" x14ac:dyDescent="0.35">
      <c r="A1390" s="92"/>
      <c r="F1390" s="726"/>
      <c r="G1390" s="735"/>
      <c r="H1390" s="93"/>
      <c r="I1390" s="750"/>
      <c r="J1390" s="750"/>
    </row>
    <row r="1391" spans="1:10" x14ac:dyDescent="0.35">
      <c r="A1391" s="92"/>
      <c r="F1391" s="726"/>
      <c r="G1391" s="735"/>
      <c r="H1391" s="93"/>
      <c r="I1391" s="750"/>
      <c r="J1391" s="750"/>
    </row>
    <row r="1392" spans="1:10" x14ac:dyDescent="0.35">
      <c r="A1392" s="92"/>
      <c r="F1392" s="726"/>
      <c r="G1392" s="735"/>
      <c r="H1392" s="93"/>
      <c r="I1392" s="750"/>
      <c r="J1392" s="750"/>
    </row>
    <row r="1393" spans="1:10" x14ac:dyDescent="0.35">
      <c r="A1393" s="92"/>
      <c r="F1393" s="726"/>
      <c r="G1393" s="735"/>
      <c r="H1393" s="93"/>
      <c r="I1393" s="750"/>
      <c r="J1393" s="750"/>
    </row>
    <row r="1394" spans="1:10" x14ac:dyDescent="0.35">
      <c r="A1394" s="92"/>
      <c r="F1394" s="726"/>
      <c r="G1394" s="735"/>
      <c r="H1394" s="93"/>
      <c r="I1394" s="750"/>
      <c r="J1394" s="750"/>
    </row>
    <row r="1395" spans="1:10" x14ac:dyDescent="0.35">
      <c r="A1395" s="92"/>
      <c r="F1395" s="726"/>
      <c r="G1395" s="735"/>
      <c r="H1395" s="93"/>
      <c r="I1395" s="750"/>
      <c r="J1395" s="750"/>
    </row>
    <row r="1396" spans="1:10" x14ac:dyDescent="0.35">
      <c r="A1396" s="92"/>
      <c r="F1396" s="726"/>
      <c r="G1396" s="735"/>
      <c r="H1396" s="93"/>
      <c r="I1396" s="750"/>
      <c r="J1396" s="750"/>
    </row>
    <row r="1397" spans="1:10" x14ac:dyDescent="0.35">
      <c r="A1397" s="92"/>
      <c r="F1397" s="726"/>
      <c r="G1397" s="735"/>
      <c r="H1397" s="93"/>
      <c r="I1397" s="750"/>
      <c r="J1397" s="750"/>
    </row>
    <row r="1398" spans="1:10" x14ac:dyDescent="0.35">
      <c r="A1398" s="92"/>
      <c r="F1398" s="726"/>
      <c r="G1398" s="735"/>
      <c r="H1398" s="93"/>
      <c r="I1398" s="750"/>
      <c r="J1398" s="750"/>
    </row>
    <row r="1399" spans="1:10" x14ac:dyDescent="0.35">
      <c r="A1399" s="92"/>
      <c r="F1399" s="726"/>
      <c r="G1399" s="735"/>
      <c r="H1399" s="93"/>
      <c r="I1399" s="750"/>
      <c r="J1399" s="750"/>
    </row>
    <row r="1400" spans="1:10" x14ac:dyDescent="0.35">
      <c r="A1400" s="92"/>
      <c r="F1400" s="726"/>
      <c r="G1400" s="735"/>
      <c r="H1400" s="93"/>
      <c r="I1400" s="750"/>
      <c r="J1400" s="750"/>
    </row>
    <row r="1401" spans="1:10" x14ac:dyDescent="0.35">
      <c r="A1401" s="92"/>
      <c r="F1401" s="726"/>
      <c r="G1401" s="735"/>
      <c r="H1401" s="93"/>
      <c r="I1401" s="750"/>
      <c r="J1401" s="750"/>
    </row>
    <row r="1402" spans="1:10" x14ac:dyDescent="0.35">
      <c r="A1402" s="92"/>
      <c r="F1402" s="726"/>
      <c r="G1402" s="735"/>
      <c r="H1402" s="93"/>
      <c r="I1402" s="750"/>
      <c r="J1402" s="750"/>
    </row>
    <row r="1403" spans="1:10" x14ac:dyDescent="0.35">
      <c r="A1403" s="92"/>
      <c r="F1403" s="726"/>
      <c r="G1403" s="735"/>
      <c r="H1403" s="93"/>
      <c r="I1403" s="750"/>
      <c r="J1403" s="750"/>
    </row>
    <row r="1404" spans="1:10" x14ac:dyDescent="0.35">
      <c r="A1404" s="92"/>
      <c r="F1404" s="726"/>
      <c r="G1404" s="735"/>
      <c r="H1404" s="93"/>
      <c r="I1404" s="750"/>
      <c r="J1404" s="750"/>
    </row>
    <row r="1405" spans="1:10" x14ac:dyDescent="0.35">
      <c r="A1405" s="92"/>
      <c r="F1405" s="726"/>
      <c r="G1405" s="735"/>
      <c r="H1405" s="93"/>
      <c r="I1405" s="750"/>
      <c r="J1405" s="750"/>
    </row>
    <row r="1406" spans="1:10" x14ac:dyDescent="0.35">
      <c r="A1406" s="92"/>
      <c r="F1406" s="726"/>
      <c r="G1406" s="735"/>
      <c r="H1406" s="93"/>
      <c r="I1406" s="750"/>
      <c r="J1406" s="750"/>
    </row>
    <row r="1407" spans="1:10" x14ac:dyDescent="0.35">
      <c r="A1407" s="92"/>
      <c r="F1407" s="726"/>
      <c r="G1407" s="735"/>
      <c r="H1407" s="93"/>
      <c r="I1407" s="750"/>
      <c r="J1407" s="750"/>
    </row>
    <row r="1408" spans="1:10" x14ac:dyDescent="0.35">
      <c r="A1408" s="92"/>
      <c r="F1408" s="726"/>
      <c r="G1408" s="735"/>
      <c r="H1408" s="93"/>
      <c r="I1408" s="750"/>
      <c r="J1408" s="750"/>
    </row>
    <row r="1409" spans="1:10" x14ac:dyDescent="0.35">
      <c r="A1409" s="92"/>
      <c r="F1409" s="726"/>
      <c r="G1409" s="735"/>
      <c r="H1409" s="93"/>
      <c r="I1409" s="750"/>
      <c r="J1409" s="750"/>
    </row>
    <row r="1410" spans="1:10" x14ac:dyDescent="0.35">
      <c r="A1410" s="92"/>
      <c r="F1410" s="726"/>
      <c r="G1410" s="735"/>
      <c r="H1410" s="93"/>
      <c r="I1410" s="750"/>
      <c r="J1410" s="750"/>
    </row>
    <row r="1411" spans="1:10" x14ac:dyDescent="0.35">
      <c r="A1411" s="92"/>
      <c r="F1411" s="726"/>
      <c r="G1411" s="735"/>
      <c r="H1411" s="93"/>
      <c r="I1411" s="750"/>
      <c r="J1411" s="750"/>
    </row>
    <row r="1412" spans="1:10" x14ac:dyDescent="0.35">
      <c r="A1412" s="92"/>
      <c r="F1412" s="726"/>
      <c r="G1412" s="735"/>
      <c r="H1412" s="93"/>
      <c r="I1412" s="750"/>
      <c r="J1412" s="750"/>
    </row>
    <row r="1413" spans="1:10" x14ac:dyDescent="0.35">
      <c r="A1413" s="92"/>
      <c r="F1413" s="726"/>
      <c r="G1413" s="735"/>
      <c r="H1413" s="93"/>
      <c r="I1413" s="750"/>
      <c r="J1413" s="750"/>
    </row>
    <row r="1414" spans="1:10" x14ac:dyDescent="0.35">
      <c r="A1414" s="92"/>
      <c r="F1414" s="726"/>
      <c r="G1414" s="735"/>
      <c r="H1414" s="93"/>
      <c r="I1414" s="750"/>
      <c r="J1414" s="750"/>
    </row>
    <row r="1415" spans="1:10" x14ac:dyDescent="0.35">
      <c r="A1415" s="92"/>
      <c r="F1415" s="726"/>
      <c r="G1415" s="735"/>
      <c r="H1415" s="93"/>
      <c r="I1415" s="750"/>
      <c r="J1415" s="750"/>
    </row>
    <row r="1416" spans="1:10" x14ac:dyDescent="0.35">
      <c r="A1416" s="92"/>
      <c r="F1416" s="726"/>
      <c r="G1416" s="735"/>
      <c r="H1416" s="93"/>
      <c r="I1416" s="750"/>
      <c r="J1416" s="750"/>
    </row>
    <row r="1417" spans="1:10" x14ac:dyDescent="0.35">
      <c r="A1417" s="92"/>
      <c r="F1417" s="726"/>
      <c r="G1417" s="735"/>
      <c r="H1417" s="93"/>
      <c r="I1417" s="750"/>
      <c r="J1417" s="750"/>
    </row>
    <row r="1418" spans="1:10" x14ac:dyDescent="0.35">
      <c r="A1418" s="92"/>
      <c r="F1418" s="726"/>
      <c r="G1418" s="735"/>
      <c r="H1418" s="93"/>
      <c r="I1418" s="750"/>
      <c r="J1418" s="750"/>
    </row>
    <row r="1419" spans="1:10" x14ac:dyDescent="0.35">
      <c r="A1419" s="92"/>
      <c r="F1419" s="726"/>
      <c r="G1419" s="735"/>
      <c r="H1419" s="93"/>
      <c r="I1419" s="750"/>
      <c r="J1419" s="750"/>
    </row>
    <row r="1420" spans="1:10" x14ac:dyDescent="0.35">
      <c r="A1420" s="92"/>
      <c r="F1420" s="726"/>
      <c r="G1420" s="735"/>
      <c r="H1420" s="93"/>
      <c r="I1420" s="750"/>
      <c r="J1420" s="750"/>
    </row>
    <row r="1421" spans="1:10" x14ac:dyDescent="0.35">
      <c r="A1421" s="92"/>
      <c r="F1421" s="726"/>
      <c r="G1421" s="735"/>
      <c r="H1421" s="93"/>
      <c r="I1421" s="750"/>
      <c r="J1421" s="750"/>
    </row>
    <row r="1422" spans="1:10" x14ac:dyDescent="0.35">
      <c r="A1422" s="92"/>
      <c r="F1422" s="726"/>
      <c r="G1422" s="735"/>
      <c r="H1422" s="93"/>
      <c r="I1422" s="750"/>
      <c r="J1422" s="750"/>
    </row>
    <row r="1423" spans="1:10" x14ac:dyDescent="0.35">
      <c r="A1423" s="92"/>
      <c r="F1423" s="726"/>
      <c r="G1423" s="735"/>
      <c r="H1423" s="93"/>
      <c r="I1423" s="750"/>
      <c r="J1423" s="750"/>
    </row>
    <row r="1424" spans="1:10" x14ac:dyDescent="0.35">
      <c r="A1424" s="92"/>
      <c r="F1424" s="726"/>
      <c r="G1424" s="735"/>
      <c r="H1424" s="93"/>
      <c r="I1424" s="750"/>
      <c r="J1424" s="750"/>
    </row>
    <row r="1425" spans="1:10" x14ac:dyDescent="0.35">
      <c r="A1425" s="92"/>
      <c r="F1425" s="726"/>
      <c r="G1425" s="735"/>
      <c r="H1425" s="93"/>
      <c r="I1425" s="750"/>
      <c r="J1425" s="750"/>
    </row>
    <row r="1426" spans="1:10" x14ac:dyDescent="0.35">
      <c r="A1426" s="92"/>
      <c r="F1426" s="726"/>
      <c r="G1426" s="735"/>
      <c r="H1426" s="93"/>
      <c r="I1426" s="750"/>
      <c r="J1426" s="750"/>
    </row>
    <row r="1427" spans="1:10" x14ac:dyDescent="0.35">
      <c r="A1427" s="92"/>
      <c r="F1427" s="726"/>
      <c r="G1427" s="735"/>
      <c r="H1427" s="93"/>
      <c r="I1427" s="750"/>
      <c r="J1427" s="750"/>
    </row>
    <row r="1428" spans="1:10" x14ac:dyDescent="0.35">
      <c r="A1428" s="92"/>
      <c r="F1428" s="726"/>
      <c r="G1428" s="735"/>
      <c r="H1428" s="93"/>
      <c r="I1428" s="750"/>
      <c r="J1428" s="750"/>
    </row>
    <row r="1429" spans="1:10" x14ac:dyDescent="0.35">
      <c r="A1429" s="92"/>
      <c r="F1429" s="726"/>
      <c r="G1429" s="735"/>
      <c r="H1429" s="93"/>
      <c r="I1429" s="750"/>
      <c r="J1429" s="750"/>
    </row>
    <row r="1430" spans="1:10" x14ac:dyDescent="0.35">
      <c r="A1430" s="92"/>
      <c r="F1430" s="726"/>
      <c r="G1430" s="735"/>
      <c r="H1430" s="93"/>
      <c r="I1430" s="750"/>
      <c r="J1430" s="750"/>
    </row>
    <row r="1431" spans="1:10" x14ac:dyDescent="0.35">
      <c r="A1431" s="92"/>
      <c r="F1431" s="726"/>
      <c r="G1431" s="735"/>
      <c r="H1431" s="93"/>
      <c r="I1431" s="750"/>
      <c r="J1431" s="750"/>
    </row>
    <row r="1432" spans="1:10" x14ac:dyDescent="0.35">
      <c r="A1432" s="92"/>
      <c r="F1432" s="726"/>
      <c r="G1432" s="735"/>
      <c r="H1432" s="93"/>
      <c r="I1432" s="750"/>
      <c r="J1432" s="750"/>
    </row>
    <row r="1433" spans="1:10" x14ac:dyDescent="0.35">
      <c r="A1433" s="92"/>
      <c r="F1433" s="726"/>
      <c r="G1433" s="735"/>
      <c r="H1433" s="93"/>
      <c r="I1433" s="750"/>
      <c r="J1433" s="750"/>
    </row>
    <row r="1434" spans="1:10" x14ac:dyDescent="0.35">
      <c r="A1434" s="92"/>
      <c r="F1434" s="726"/>
      <c r="G1434" s="735"/>
      <c r="H1434" s="93"/>
      <c r="I1434" s="750"/>
      <c r="J1434" s="750"/>
    </row>
    <row r="1435" spans="1:10" x14ac:dyDescent="0.35">
      <c r="A1435" s="92"/>
      <c r="F1435" s="726"/>
      <c r="G1435" s="735"/>
      <c r="H1435" s="93"/>
      <c r="I1435" s="750"/>
      <c r="J1435" s="750"/>
    </row>
    <row r="1436" spans="1:10" x14ac:dyDescent="0.35">
      <c r="A1436" s="92"/>
      <c r="F1436" s="726"/>
      <c r="G1436" s="735"/>
      <c r="H1436" s="93"/>
      <c r="I1436" s="750"/>
      <c r="J1436" s="750"/>
    </row>
    <row r="1437" spans="1:10" x14ac:dyDescent="0.35">
      <c r="A1437" s="92"/>
      <c r="F1437" s="726"/>
      <c r="G1437" s="735"/>
      <c r="H1437" s="93"/>
      <c r="I1437" s="750"/>
      <c r="J1437" s="750"/>
    </row>
    <row r="1438" spans="1:10" x14ac:dyDescent="0.35">
      <c r="A1438" s="92"/>
      <c r="F1438" s="726"/>
      <c r="G1438" s="735"/>
      <c r="H1438" s="93"/>
      <c r="I1438" s="750"/>
      <c r="J1438" s="750"/>
    </row>
    <row r="1439" spans="1:10" x14ac:dyDescent="0.35">
      <c r="A1439" s="92"/>
      <c r="F1439" s="726"/>
      <c r="G1439" s="735"/>
      <c r="H1439" s="93"/>
      <c r="I1439" s="750"/>
      <c r="J1439" s="750"/>
    </row>
    <row r="1440" spans="1:10" x14ac:dyDescent="0.35">
      <c r="A1440" s="92"/>
      <c r="F1440" s="726"/>
      <c r="G1440" s="735"/>
      <c r="H1440" s="93"/>
      <c r="I1440" s="750"/>
      <c r="J1440" s="750"/>
    </row>
    <row r="1441" spans="1:10" x14ac:dyDescent="0.35">
      <c r="A1441" s="92"/>
      <c r="F1441" s="726"/>
      <c r="G1441" s="735"/>
      <c r="H1441" s="93"/>
      <c r="I1441" s="750"/>
      <c r="J1441" s="750"/>
    </row>
    <row r="1442" spans="1:10" x14ac:dyDescent="0.35">
      <c r="A1442" s="92"/>
      <c r="F1442" s="726"/>
      <c r="G1442" s="735"/>
      <c r="H1442" s="93"/>
      <c r="I1442" s="750"/>
      <c r="J1442" s="750"/>
    </row>
    <row r="1443" spans="1:10" x14ac:dyDescent="0.35">
      <c r="A1443" s="92"/>
      <c r="F1443" s="726"/>
      <c r="G1443" s="735"/>
      <c r="H1443" s="93"/>
      <c r="I1443" s="750"/>
      <c r="J1443" s="750"/>
    </row>
    <row r="1444" spans="1:10" x14ac:dyDescent="0.35">
      <c r="A1444" s="92"/>
      <c r="F1444" s="726"/>
      <c r="G1444" s="735"/>
      <c r="H1444" s="93"/>
      <c r="I1444" s="750"/>
      <c r="J1444" s="750"/>
    </row>
    <row r="1445" spans="1:10" x14ac:dyDescent="0.35">
      <c r="A1445" s="92"/>
      <c r="F1445" s="726"/>
      <c r="G1445" s="735"/>
      <c r="H1445" s="93"/>
      <c r="I1445" s="750"/>
      <c r="J1445" s="750"/>
    </row>
    <row r="1446" spans="1:10" x14ac:dyDescent="0.35">
      <c r="A1446" s="92"/>
      <c r="F1446" s="726"/>
      <c r="G1446" s="735"/>
      <c r="H1446" s="93"/>
      <c r="I1446" s="750"/>
      <c r="J1446" s="750"/>
    </row>
    <row r="1447" spans="1:10" x14ac:dyDescent="0.35">
      <c r="A1447" s="92"/>
      <c r="F1447" s="726"/>
      <c r="G1447" s="735"/>
      <c r="H1447" s="93"/>
      <c r="I1447" s="750"/>
      <c r="J1447" s="750"/>
    </row>
    <row r="1448" spans="1:10" x14ac:dyDescent="0.35">
      <c r="A1448" s="92"/>
      <c r="F1448" s="726"/>
      <c r="G1448" s="735"/>
      <c r="H1448" s="93"/>
      <c r="I1448" s="750"/>
      <c r="J1448" s="750"/>
    </row>
    <row r="1449" spans="1:10" x14ac:dyDescent="0.35">
      <c r="A1449" s="92"/>
      <c r="F1449" s="726"/>
      <c r="G1449" s="735"/>
      <c r="H1449" s="93"/>
      <c r="I1449" s="750"/>
      <c r="J1449" s="750"/>
    </row>
    <row r="1450" spans="1:10" x14ac:dyDescent="0.35">
      <c r="A1450" s="92"/>
      <c r="F1450" s="726"/>
      <c r="G1450" s="735"/>
      <c r="H1450" s="93"/>
      <c r="I1450" s="750"/>
      <c r="J1450" s="750"/>
    </row>
    <row r="1451" spans="1:10" x14ac:dyDescent="0.35">
      <c r="A1451" s="92"/>
      <c r="F1451" s="726"/>
      <c r="G1451" s="735"/>
      <c r="H1451" s="93"/>
      <c r="I1451" s="750"/>
      <c r="J1451" s="750"/>
    </row>
    <row r="1452" spans="1:10" x14ac:dyDescent="0.35">
      <c r="A1452" s="92"/>
      <c r="F1452" s="726"/>
      <c r="G1452" s="735"/>
      <c r="H1452" s="93"/>
      <c r="I1452" s="750"/>
      <c r="J1452" s="750"/>
    </row>
    <row r="1453" spans="1:10" x14ac:dyDescent="0.35">
      <c r="A1453" s="92"/>
      <c r="F1453" s="726"/>
      <c r="G1453" s="735"/>
      <c r="H1453" s="93"/>
      <c r="I1453" s="750"/>
      <c r="J1453" s="750"/>
    </row>
    <row r="1454" spans="1:10" x14ac:dyDescent="0.35">
      <c r="A1454" s="92"/>
      <c r="F1454" s="726"/>
      <c r="G1454" s="735"/>
      <c r="H1454" s="93"/>
      <c r="I1454" s="750"/>
      <c r="J1454" s="750"/>
    </row>
    <row r="1455" spans="1:10" x14ac:dyDescent="0.35">
      <c r="A1455" s="92"/>
      <c r="F1455" s="726"/>
      <c r="G1455" s="735"/>
      <c r="H1455" s="93"/>
      <c r="I1455" s="750"/>
      <c r="J1455" s="750"/>
    </row>
    <row r="1456" spans="1:10" x14ac:dyDescent="0.35">
      <c r="A1456" s="92"/>
      <c r="F1456" s="726"/>
      <c r="G1456" s="735"/>
      <c r="H1456" s="93"/>
      <c r="I1456" s="750"/>
      <c r="J1456" s="750"/>
    </row>
    <row r="1457" spans="1:10" x14ac:dyDescent="0.35">
      <c r="A1457" s="92"/>
      <c r="F1457" s="726"/>
      <c r="G1457" s="735"/>
      <c r="H1457" s="93"/>
      <c r="I1457" s="750"/>
      <c r="J1457" s="750"/>
    </row>
    <row r="1458" spans="1:10" x14ac:dyDescent="0.35">
      <c r="A1458" s="92"/>
      <c r="F1458" s="726"/>
      <c r="G1458" s="735"/>
      <c r="H1458" s="93"/>
      <c r="I1458" s="750"/>
      <c r="J1458" s="750"/>
    </row>
    <row r="1459" spans="1:10" x14ac:dyDescent="0.35">
      <c r="A1459" s="92"/>
      <c r="F1459" s="726"/>
      <c r="G1459" s="735"/>
      <c r="H1459" s="93"/>
      <c r="I1459" s="750"/>
      <c r="J1459" s="750"/>
    </row>
    <row r="1460" spans="1:10" x14ac:dyDescent="0.35">
      <c r="A1460" s="92"/>
      <c r="F1460" s="726"/>
      <c r="G1460" s="735"/>
      <c r="H1460" s="93"/>
      <c r="I1460" s="750"/>
      <c r="J1460" s="750"/>
    </row>
    <row r="1461" spans="1:10" x14ac:dyDescent="0.35">
      <c r="A1461" s="92"/>
      <c r="F1461" s="726"/>
      <c r="G1461" s="735"/>
      <c r="H1461" s="93"/>
      <c r="I1461" s="750"/>
      <c r="J1461" s="750"/>
    </row>
    <row r="1462" spans="1:10" x14ac:dyDescent="0.35">
      <c r="A1462" s="92"/>
      <c r="F1462" s="726"/>
      <c r="G1462" s="735"/>
      <c r="H1462" s="93"/>
      <c r="I1462" s="750"/>
      <c r="J1462" s="750"/>
    </row>
    <row r="1463" spans="1:10" x14ac:dyDescent="0.35">
      <c r="A1463" s="92"/>
      <c r="F1463" s="726"/>
      <c r="G1463" s="735"/>
      <c r="H1463" s="93"/>
      <c r="I1463" s="750"/>
      <c r="J1463" s="750"/>
    </row>
    <row r="1464" spans="1:10" x14ac:dyDescent="0.35">
      <c r="A1464" s="92"/>
      <c r="F1464" s="726"/>
      <c r="G1464" s="735"/>
      <c r="H1464" s="93"/>
      <c r="I1464" s="750"/>
      <c r="J1464" s="750"/>
    </row>
    <row r="1465" spans="1:10" x14ac:dyDescent="0.35">
      <c r="A1465" s="92"/>
      <c r="F1465" s="726"/>
      <c r="G1465" s="735"/>
      <c r="H1465" s="93"/>
      <c r="I1465" s="750"/>
      <c r="J1465" s="750"/>
    </row>
    <row r="1466" spans="1:10" x14ac:dyDescent="0.35">
      <c r="A1466" s="92"/>
      <c r="F1466" s="726"/>
      <c r="G1466" s="735"/>
      <c r="H1466" s="93"/>
      <c r="I1466" s="750"/>
      <c r="J1466" s="750"/>
    </row>
    <row r="1467" spans="1:10" x14ac:dyDescent="0.35">
      <c r="A1467" s="92"/>
      <c r="F1467" s="726"/>
      <c r="G1467" s="735"/>
      <c r="H1467" s="93"/>
      <c r="I1467" s="750"/>
      <c r="J1467" s="750"/>
    </row>
    <row r="1468" spans="1:10" x14ac:dyDescent="0.35">
      <c r="A1468" s="92"/>
      <c r="F1468" s="726"/>
      <c r="G1468" s="735"/>
      <c r="H1468" s="93"/>
      <c r="I1468" s="750"/>
      <c r="J1468" s="750"/>
    </row>
    <row r="1469" spans="1:10" x14ac:dyDescent="0.35">
      <c r="A1469" s="92"/>
      <c r="F1469" s="726"/>
      <c r="G1469" s="735"/>
      <c r="H1469" s="93"/>
      <c r="I1469" s="750"/>
      <c r="J1469" s="750"/>
    </row>
    <row r="1470" spans="1:10" x14ac:dyDescent="0.35">
      <c r="A1470" s="92"/>
      <c r="F1470" s="726"/>
      <c r="G1470" s="735"/>
      <c r="H1470" s="93"/>
      <c r="I1470" s="750"/>
      <c r="J1470" s="750"/>
    </row>
    <row r="1471" spans="1:10" x14ac:dyDescent="0.35">
      <c r="A1471" s="92"/>
      <c r="F1471" s="726"/>
      <c r="G1471" s="735"/>
      <c r="H1471" s="93"/>
      <c r="I1471" s="750"/>
      <c r="J1471" s="750"/>
    </row>
    <row r="1472" spans="1:10" x14ac:dyDescent="0.35">
      <c r="A1472" s="92"/>
      <c r="F1472" s="726"/>
      <c r="G1472" s="735"/>
      <c r="H1472" s="93"/>
      <c r="I1472" s="750"/>
      <c r="J1472" s="750"/>
    </row>
    <row r="1473" spans="1:10" x14ac:dyDescent="0.35">
      <c r="A1473" s="92"/>
      <c r="F1473" s="726"/>
      <c r="G1473" s="735"/>
      <c r="H1473" s="93"/>
      <c r="I1473" s="750"/>
      <c r="J1473" s="750"/>
    </row>
    <row r="1474" spans="1:10" x14ac:dyDescent="0.35">
      <c r="A1474" s="92"/>
      <c r="F1474" s="726"/>
      <c r="G1474" s="735"/>
      <c r="H1474" s="93"/>
      <c r="I1474" s="750"/>
      <c r="J1474" s="750"/>
    </row>
    <row r="1475" spans="1:10" x14ac:dyDescent="0.35">
      <c r="A1475" s="92"/>
      <c r="F1475" s="726"/>
      <c r="G1475" s="735"/>
      <c r="H1475" s="93"/>
      <c r="I1475" s="750"/>
      <c r="J1475" s="750"/>
    </row>
    <row r="1476" spans="1:10" x14ac:dyDescent="0.35">
      <c r="A1476" s="92"/>
      <c r="F1476" s="726"/>
      <c r="G1476" s="735"/>
      <c r="H1476" s="93"/>
      <c r="I1476" s="750"/>
      <c r="J1476" s="750"/>
    </row>
    <row r="1477" spans="1:10" x14ac:dyDescent="0.35">
      <c r="A1477" s="92"/>
      <c r="F1477" s="726"/>
      <c r="G1477" s="735"/>
      <c r="H1477" s="93"/>
      <c r="I1477" s="750"/>
      <c r="J1477" s="750"/>
    </row>
    <row r="1478" spans="1:10" x14ac:dyDescent="0.35">
      <c r="A1478" s="92"/>
      <c r="F1478" s="726"/>
      <c r="G1478" s="735"/>
      <c r="H1478" s="93"/>
      <c r="I1478" s="750"/>
      <c r="J1478" s="750"/>
    </row>
    <row r="1479" spans="1:10" x14ac:dyDescent="0.35">
      <c r="A1479" s="92"/>
      <c r="F1479" s="726"/>
      <c r="G1479" s="735"/>
      <c r="H1479" s="93"/>
      <c r="I1479" s="750"/>
      <c r="J1479" s="750"/>
    </row>
    <row r="1480" spans="1:10" x14ac:dyDescent="0.35">
      <c r="A1480" s="92"/>
      <c r="F1480" s="726"/>
      <c r="G1480" s="735"/>
      <c r="H1480" s="93"/>
      <c r="I1480" s="750"/>
      <c r="J1480" s="750"/>
    </row>
    <row r="1481" spans="1:10" x14ac:dyDescent="0.35">
      <c r="A1481" s="92"/>
      <c r="F1481" s="726"/>
      <c r="G1481" s="735"/>
      <c r="H1481" s="93"/>
      <c r="I1481" s="750"/>
      <c r="J1481" s="750"/>
    </row>
    <row r="1482" spans="1:10" x14ac:dyDescent="0.35">
      <c r="A1482" s="92"/>
      <c r="F1482" s="726"/>
      <c r="G1482" s="735"/>
      <c r="H1482" s="93"/>
      <c r="I1482" s="750"/>
      <c r="J1482" s="750"/>
    </row>
    <row r="1483" spans="1:10" x14ac:dyDescent="0.35">
      <c r="A1483" s="92"/>
      <c r="F1483" s="726"/>
      <c r="G1483" s="735"/>
      <c r="H1483" s="93"/>
      <c r="I1483" s="750"/>
      <c r="J1483" s="750"/>
    </row>
    <row r="1484" spans="1:10" x14ac:dyDescent="0.35">
      <c r="A1484" s="92"/>
      <c r="F1484" s="726"/>
      <c r="G1484" s="735"/>
      <c r="H1484" s="93"/>
      <c r="I1484" s="750"/>
      <c r="J1484" s="750"/>
    </row>
    <row r="1485" spans="1:10" x14ac:dyDescent="0.35">
      <c r="A1485" s="92"/>
      <c r="F1485" s="726"/>
      <c r="G1485" s="735"/>
      <c r="H1485" s="93"/>
      <c r="I1485" s="750"/>
      <c r="J1485" s="750"/>
    </row>
    <row r="1486" spans="1:10" x14ac:dyDescent="0.35">
      <c r="A1486" s="92"/>
      <c r="F1486" s="726"/>
      <c r="G1486" s="735"/>
      <c r="H1486" s="93"/>
      <c r="I1486" s="750"/>
      <c r="J1486" s="750"/>
    </row>
    <row r="1487" spans="1:10" x14ac:dyDescent="0.35">
      <c r="A1487" s="92"/>
      <c r="F1487" s="726"/>
      <c r="G1487" s="735"/>
      <c r="H1487" s="93"/>
      <c r="I1487" s="750"/>
      <c r="J1487" s="750"/>
    </row>
    <row r="1488" spans="1:10" x14ac:dyDescent="0.35">
      <c r="A1488" s="92"/>
      <c r="F1488" s="726"/>
      <c r="G1488" s="735"/>
      <c r="H1488" s="93"/>
      <c r="I1488" s="750"/>
      <c r="J1488" s="750"/>
    </row>
    <row r="1489" spans="1:10" x14ac:dyDescent="0.35">
      <c r="A1489" s="92"/>
      <c r="F1489" s="726"/>
      <c r="G1489" s="735"/>
      <c r="H1489" s="93"/>
      <c r="I1489" s="750"/>
      <c r="J1489" s="750"/>
    </row>
    <row r="1490" spans="1:10" x14ac:dyDescent="0.35">
      <c r="A1490" s="92"/>
      <c r="F1490" s="726"/>
      <c r="G1490" s="735"/>
      <c r="H1490" s="93"/>
      <c r="I1490" s="750"/>
      <c r="J1490" s="750"/>
    </row>
    <row r="1491" spans="1:10" x14ac:dyDescent="0.35">
      <c r="A1491" s="92"/>
      <c r="F1491" s="726"/>
      <c r="G1491" s="735"/>
      <c r="H1491" s="93"/>
      <c r="I1491" s="750"/>
      <c r="J1491" s="750"/>
    </row>
    <row r="1492" spans="1:10" x14ac:dyDescent="0.35">
      <c r="A1492" s="92"/>
      <c r="F1492" s="726"/>
      <c r="G1492" s="735"/>
      <c r="H1492" s="93"/>
      <c r="I1492" s="750"/>
      <c r="J1492" s="750"/>
    </row>
    <row r="1493" spans="1:10" x14ac:dyDescent="0.35">
      <c r="A1493" s="92"/>
      <c r="F1493" s="726"/>
      <c r="G1493" s="735"/>
      <c r="H1493" s="93"/>
      <c r="I1493" s="750"/>
      <c r="J1493" s="750"/>
    </row>
    <row r="1494" spans="1:10" x14ac:dyDescent="0.35">
      <c r="A1494" s="92"/>
      <c r="F1494" s="726"/>
      <c r="G1494" s="735"/>
      <c r="H1494" s="93"/>
      <c r="I1494" s="750"/>
      <c r="J1494" s="750"/>
    </row>
    <row r="1495" spans="1:10" x14ac:dyDescent="0.35">
      <c r="A1495" s="92"/>
      <c r="F1495" s="726"/>
      <c r="G1495" s="735"/>
      <c r="H1495" s="93"/>
      <c r="I1495" s="750"/>
      <c r="J1495" s="750"/>
    </row>
    <row r="1496" spans="1:10" x14ac:dyDescent="0.35">
      <c r="A1496" s="92"/>
      <c r="F1496" s="726"/>
      <c r="G1496" s="735"/>
      <c r="H1496" s="93"/>
      <c r="I1496" s="750"/>
      <c r="J1496" s="750"/>
    </row>
    <row r="1497" spans="1:10" x14ac:dyDescent="0.35">
      <c r="A1497" s="92"/>
      <c r="F1497" s="726"/>
      <c r="G1497" s="735"/>
      <c r="H1497" s="93"/>
      <c r="I1497" s="750"/>
      <c r="J1497" s="750"/>
    </row>
    <row r="1498" spans="1:10" x14ac:dyDescent="0.35">
      <c r="A1498" s="92"/>
      <c r="F1498" s="726"/>
      <c r="G1498" s="735"/>
      <c r="H1498" s="93"/>
      <c r="I1498" s="750"/>
      <c r="J1498" s="750"/>
    </row>
    <row r="1499" spans="1:10" x14ac:dyDescent="0.35">
      <c r="A1499" s="92"/>
      <c r="F1499" s="726"/>
      <c r="G1499" s="735"/>
      <c r="H1499" s="93"/>
      <c r="I1499" s="750"/>
      <c r="J1499" s="750"/>
    </row>
    <row r="1500" spans="1:10" x14ac:dyDescent="0.35">
      <c r="A1500" s="92"/>
      <c r="F1500" s="726"/>
      <c r="G1500" s="735"/>
      <c r="H1500" s="93"/>
      <c r="I1500" s="750"/>
      <c r="J1500" s="750"/>
    </row>
    <row r="1501" spans="1:10" x14ac:dyDescent="0.35">
      <c r="A1501" s="92"/>
      <c r="F1501" s="726"/>
      <c r="G1501" s="735"/>
      <c r="H1501" s="93"/>
      <c r="I1501" s="750"/>
      <c r="J1501" s="750"/>
    </row>
    <row r="1502" spans="1:10" x14ac:dyDescent="0.35">
      <c r="A1502" s="92"/>
      <c r="F1502" s="726"/>
      <c r="G1502" s="735"/>
      <c r="H1502" s="93"/>
      <c r="I1502" s="750"/>
      <c r="J1502" s="750"/>
    </row>
    <row r="1503" spans="1:10" x14ac:dyDescent="0.35">
      <c r="A1503" s="92"/>
      <c r="F1503" s="726"/>
      <c r="G1503" s="735"/>
      <c r="H1503" s="93"/>
      <c r="I1503" s="750"/>
      <c r="J1503" s="750"/>
    </row>
    <row r="1504" spans="1:10" x14ac:dyDescent="0.35">
      <c r="A1504" s="92"/>
      <c r="F1504" s="726"/>
      <c r="G1504" s="735"/>
      <c r="H1504" s="93"/>
      <c r="I1504" s="750"/>
      <c r="J1504" s="750"/>
    </row>
    <row r="1505" spans="1:10" x14ac:dyDescent="0.35">
      <c r="A1505" s="92"/>
      <c r="F1505" s="726"/>
      <c r="G1505" s="735"/>
      <c r="H1505" s="93"/>
      <c r="I1505" s="750"/>
      <c r="J1505" s="750"/>
    </row>
    <row r="1506" spans="1:10" x14ac:dyDescent="0.35">
      <c r="A1506" s="92"/>
      <c r="F1506" s="726"/>
      <c r="G1506" s="735"/>
      <c r="H1506" s="93"/>
      <c r="I1506" s="750"/>
      <c r="J1506" s="750"/>
    </row>
    <row r="1507" spans="1:10" x14ac:dyDescent="0.35">
      <c r="A1507" s="92"/>
      <c r="F1507" s="726"/>
      <c r="G1507" s="735"/>
      <c r="H1507" s="93"/>
      <c r="I1507" s="750"/>
      <c r="J1507" s="750"/>
    </row>
    <row r="1508" spans="1:10" x14ac:dyDescent="0.35">
      <c r="A1508" s="92"/>
      <c r="F1508" s="726"/>
      <c r="G1508" s="735"/>
      <c r="H1508" s="93"/>
      <c r="I1508" s="750"/>
      <c r="J1508" s="750"/>
    </row>
    <row r="1509" spans="1:10" x14ac:dyDescent="0.35">
      <c r="A1509" s="92"/>
      <c r="F1509" s="726"/>
      <c r="G1509" s="735"/>
      <c r="H1509" s="93"/>
      <c r="I1509" s="750"/>
      <c r="J1509" s="750"/>
    </row>
    <row r="1510" spans="1:10" x14ac:dyDescent="0.35">
      <c r="A1510" s="92"/>
      <c r="F1510" s="726"/>
      <c r="G1510" s="735"/>
      <c r="H1510" s="93"/>
      <c r="I1510" s="750"/>
      <c r="J1510" s="750"/>
    </row>
    <row r="1511" spans="1:10" x14ac:dyDescent="0.35">
      <c r="A1511" s="92"/>
      <c r="F1511" s="726"/>
      <c r="G1511" s="735"/>
      <c r="H1511" s="93"/>
      <c r="I1511" s="750"/>
      <c r="J1511" s="750"/>
    </row>
    <row r="1512" spans="1:10" x14ac:dyDescent="0.35">
      <c r="A1512" s="92"/>
      <c r="F1512" s="726"/>
      <c r="G1512" s="735"/>
      <c r="H1512" s="93"/>
      <c r="I1512" s="750"/>
      <c r="J1512" s="750"/>
    </row>
    <row r="1513" spans="1:10" x14ac:dyDescent="0.35">
      <c r="A1513" s="92"/>
      <c r="F1513" s="726"/>
      <c r="G1513" s="735"/>
      <c r="H1513" s="93"/>
      <c r="I1513" s="750"/>
      <c r="J1513" s="750"/>
    </row>
    <row r="1514" spans="1:10" x14ac:dyDescent="0.35">
      <c r="A1514" s="92"/>
      <c r="F1514" s="726"/>
      <c r="G1514" s="735"/>
      <c r="H1514" s="93"/>
      <c r="I1514" s="750"/>
      <c r="J1514" s="750"/>
    </row>
    <row r="1515" spans="1:10" x14ac:dyDescent="0.35">
      <c r="A1515" s="92"/>
      <c r="F1515" s="726"/>
      <c r="G1515" s="735"/>
      <c r="H1515" s="93"/>
      <c r="I1515" s="750"/>
      <c r="J1515" s="750"/>
    </row>
    <row r="1516" spans="1:10" x14ac:dyDescent="0.35">
      <c r="A1516" s="92"/>
      <c r="F1516" s="726"/>
      <c r="G1516" s="735"/>
      <c r="H1516" s="93"/>
      <c r="I1516" s="750"/>
      <c r="J1516" s="750"/>
    </row>
    <row r="1517" spans="1:10" x14ac:dyDescent="0.35">
      <c r="A1517" s="92"/>
      <c r="F1517" s="726"/>
      <c r="G1517" s="735"/>
      <c r="H1517" s="93"/>
      <c r="I1517" s="750"/>
      <c r="J1517" s="750"/>
    </row>
    <row r="1518" spans="1:10" x14ac:dyDescent="0.35">
      <c r="A1518" s="92"/>
      <c r="F1518" s="726"/>
      <c r="G1518" s="735"/>
      <c r="H1518" s="93"/>
      <c r="I1518" s="750"/>
      <c r="J1518" s="750"/>
    </row>
    <row r="1519" spans="1:10" x14ac:dyDescent="0.35">
      <c r="A1519" s="92"/>
      <c r="F1519" s="726"/>
      <c r="G1519" s="735"/>
      <c r="H1519" s="93"/>
      <c r="I1519" s="750"/>
      <c r="J1519" s="750"/>
    </row>
    <row r="1520" spans="1:10" x14ac:dyDescent="0.35">
      <c r="A1520" s="92"/>
      <c r="F1520" s="726"/>
      <c r="G1520" s="735"/>
      <c r="H1520" s="93"/>
      <c r="I1520" s="750"/>
      <c r="J1520" s="750"/>
    </row>
    <row r="1521" spans="1:10" x14ac:dyDescent="0.35">
      <c r="A1521" s="92"/>
      <c r="F1521" s="726"/>
      <c r="G1521" s="735"/>
      <c r="H1521" s="93"/>
      <c r="I1521" s="750"/>
      <c r="J1521" s="750"/>
    </row>
    <row r="1522" spans="1:10" x14ac:dyDescent="0.35">
      <c r="A1522" s="92"/>
      <c r="F1522" s="726"/>
      <c r="G1522" s="735"/>
      <c r="H1522" s="93"/>
      <c r="I1522" s="750"/>
      <c r="J1522" s="750"/>
    </row>
    <row r="1523" spans="1:10" x14ac:dyDescent="0.35">
      <c r="A1523" s="92"/>
      <c r="F1523" s="726"/>
      <c r="G1523" s="735"/>
      <c r="H1523" s="93"/>
      <c r="I1523" s="750"/>
      <c r="J1523" s="750"/>
    </row>
    <row r="1524" spans="1:10" x14ac:dyDescent="0.35">
      <c r="A1524" s="92"/>
      <c r="F1524" s="726"/>
      <c r="G1524" s="735"/>
      <c r="H1524" s="93"/>
      <c r="I1524" s="750"/>
      <c r="J1524" s="750"/>
    </row>
    <row r="1525" spans="1:10" x14ac:dyDescent="0.35">
      <c r="A1525" s="92"/>
      <c r="F1525" s="726"/>
      <c r="G1525" s="735"/>
      <c r="H1525" s="93"/>
      <c r="I1525" s="750"/>
      <c r="J1525" s="750"/>
    </row>
    <row r="1526" spans="1:10" x14ac:dyDescent="0.35">
      <c r="A1526" s="92"/>
      <c r="F1526" s="726"/>
      <c r="G1526" s="735"/>
      <c r="H1526" s="93"/>
      <c r="I1526" s="750"/>
      <c r="J1526" s="750"/>
    </row>
    <row r="1527" spans="1:10" x14ac:dyDescent="0.35">
      <c r="A1527" s="92"/>
      <c r="F1527" s="726"/>
      <c r="G1527" s="735"/>
      <c r="H1527" s="93"/>
      <c r="I1527" s="750"/>
      <c r="J1527" s="750"/>
    </row>
    <row r="1528" spans="1:10" x14ac:dyDescent="0.35">
      <c r="A1528" s="92"/>
      <c r="F1528" s="726"/>
      <c r="G1528" s="735"/>
      <c r="H1528" s="93"/>
      <c r="I1528" s="750"/>
      <c r="J1528" s="750"/>
    </row>
    <row r="1529" spans="1:10" x14ac:dyDescent="0.35">
      <c r="A1529" s="92"/>
      <c r="F1529" s="726"/>
      <c r="G1529" s="735"/>
      <c r="H1529" s="93"/>
      <c r="I1529" s="750"/>
      <c r="J1529" s="750"/>
    </row>
    <row r="1530" spans="1:10" x14ac:dyDescent="0.35">
      <c r="A1530" s="92"/>
      <c r="F1530" s="726"/>
      <c r="G1530" s="735"/>
      <c r="H1530" s="93"/>
      <c r="I1530" s="750"/>
      <c r="J1530" s="750"/>
    </row>
    <row r="1531" spans="1:10" x14ac:dyDescent="0.35">
      <c r="A1531" s="92"/>
      <c r="F1531" s="726"/>
      <c r="G1531" s="735"/>
      <c r="H1531" s="93"/>
      <c r="I1531" s="750"/>
      <c r="J1531" s="750"/>
    </row>
    <row r="1532" spans="1:10" x14ac:dyDescent="0.35">
      <c r="A1532" s="92"/>
      <c r="F1532" s="726"/>
      <c r="G1532" s="735"/>
      <c r="H1532" s="93"/>
      <c r="I1532" s="750"/>
      <c r="J1532" s="750"/>
    </row>
    <row r="1533" spans="1:10" x14ac:dyDescent="0.35">
      <c r="A1533" s="92"/>
      <c r="F1533" s="726"/>
      <c r="G1533" s="735"/>
      <c r="H1533" s="93"/>
      <c r="I1533" s="750"/>
      <c r="J1533" s="750"/>
    </row>
    <row r="1534" spans="1:10" x14ac:dyDescent="0.35">
      <c r="A1534" s="92"/>
      <c r="F1534" s="726"/>
      <c r="G1534" s="735"/>
      <c r="H1534" s="93"/>
      <c r="I1534" s="750"/>
      <c r="J1534" s="750"/>
    </row>
    <row r="1535" spans="1:10" x14ac:dyDescent="0.35">
      <c r="A1535" s="92"/>
      <c r="F1535" s="726"/>
      <c r="G1535" s="735"/>
      <c r="H1535" s="93"/>
      <c r="I1535" s="750"/>
      <c r="J1535" s="750"/>
    </row>
    <row r="1536" spans="1:10" x14ac:dyDescent="0.35">
      <c r="A1536" s="92"/>
      <c r="F1536" s="726"/>
      <c r="G1536" s="735"/>
      <c r="H1536" s="93"/>
      <c r="I1536" s="750"/>
      <c r="J1536" s="750"/>
    </row>
    <row r="1537" spans="1:10" x14ac:dyDescent="0.35">
      <c r="A1537" s="92"/>
      <c r="F1537" s="726"/>
      <c r="G1537" s="735"/>
      <c r="H1537" s="93"/>
      <c r="I1537" s="750"/>
      <c r="J1537" s="750"/>
    </row>
    <row r="1538" spans="1:10" x14ac:dyDescent="0.35">
      <c r="A1538" s="92"/>
      <c r="F1538" s="726"/>
      <c r="G1538" s="735"/>
      <c r="H1538" s="93"/>
      <c r="I1538" s="750"/>
      <c r="J1538" s="750"/>
    </row>
    <row r="1539" spans="1:10" x14ac:dyDescent="0.35">
      <c r="A1539" s="92"/>
      <c r="F1539" s="726"/>
      <c r="G1539" s="735"/>
      <c r="H1539" s="93"/>
      <c r="I1539" s="750"/>
      <c r="J1539" s="750"/>
    </row>
    <row r="1540" spans="1:10" x14ac:dyDescent="0.35">
      <c r="A1540" s="92"/>
      <c r="F1540" s="726"/>
      <c r="G1540" s="735"/>
      <c r="H1540" s="93"/>
      <c r="I1540" s="750"/>
      <c r="J1540" s="750"/>
    </row>
    <row r="1541" spans="1:10" x14ac:dyDescent="0.35">
      <c r="A1541" s="92"/>
      <c r="F1541" s="726"/>
      <c r="G1541" s="735"/>
      <c r="H1541" s="93"/>
      <c r="I1541" s="750"/>
      <c r="J1541" s="750"/>
    </row>
    <row r="1542" spans="1:10" x14ac:dyDescent="0.35">
      <c r="A1542" s="92"/>
      <c r="F1542" s="726"/>
      <c r="G1542" s="735"/>
      <c r="H1542" s="93"/>
      <c r="I1542" s="750"/>
      <c r="J1542" s="750"/>
    </row>
    <row r="1543" spans="1:10" x14ac:dyDescent="0.35">
      <c r="A1543" s="92"/>
      <c r="F1543" s="726"/>
      <c r="G1543" s="735"/>
      <c r="H1543" s="93"/>
      <c r="I1543" s="750"/>
      <c r="J1543" s="750"/>
    </row>
    <row r="1544" spans="1:10" x14ac:dyDescent="0.35">
      <c r="A1544" s="92"/>
      <c r="F1544" s="726"/>
      <c r="G1544" s="735"/>
      <c r="H1544" s="93"/>
      <c r="I1544" s="750"/>
      <c r="J1544" s="750"/>
    </row>
    <row r="1545" spans="1:10" x14ac:dyDescent="0.35">
      <c r="A1545" s="92"/>
      <c r="F1545" s="726"/>
      <c r="G1545" s="735"/>
      <c r="H1545" s="93"/>
      <c r="I1545" s="750"/>
      <c r="J1545" s="750"/>
    </row>
    <row r="1546" spans="1:10" x14ac:dyDescent="0.35">
      <c r="A1546" s="92"/>
      <c r="F1546" s="726"/>
      <c r="G1546" s="735"/>
      <c r="H1546" s="93"/>
      <c r="I1546" s="750"/>
      <c r="J1546" s="750"/>
    </row>
    <row r="1547" spans="1:10" x14ac:dyDescent="0.35">
      <c r="A1547" s="92"/>
      <c r="F1547" s="726"/>
      <c r="G1547" s="735"/>
      <c r="H1547" s="93"/>
      <c r="I1547" s="750"/>
      <c r="J1547" s="750"/>
    </row>
    <row r="1548" spans="1:10" x14ac:dyDescent="0.35">
      <c r="A1548" s="92"/>
      <c r="F1548" s="726"/>
      <c r="G1548" s="735"/>
      <c r="H1548" s="93"/>
      <c r="I1548" s="750"/>
      <c r="J1548" s="750"/>
    </row>
    <row r="1549" spans="1:10" x14ac:dyDescent="0.35">
      <c r="A1549" s="92"/>
      <c r="F1549" s="726"/>
      <c r="G1549" s="735"/>
      <c r="H1549" s="93"/>
      <c r="I1549" s="750"/>
      <c r="J1549" s="750"/>
    </row>
    <row r="1550" spans="1:10" x14ac:dyDescent="0.35">
      <c r="A1550" s="92"/>
      <c r="F1550" s="726"/>
      <c r="G1550" s="735"/>
      <c r="H1550" s="93"/>
      <c r="I1550" s="750"/>
      <c r="J1550" s="750"/>
    </row>
    <row r="1551" spans="1:10" x14ac:dyDescent="0.35">
      <c r="A1551" s="92"/>
      <c r="F1551" s="726"/>
      <c r="G1551" s="735"/>
      <c r="H1551" s="93"/>
      <c r="I1551" s="750"/>
      <c r="J1551" s="750"/>
    </row>
    <row r="1552" spans="1:10" x14ac:dyDescent="0.35">
      <c r="A1552" s="92"/>
      <c r="F1552" s="726"/>
      <c r="G1552" s="735"/>
      <c r="H1552" s="93"/>
      <c r="I1552" s="750"/>
      <c r="J1552" s="750"/>
    </row>
    <row r="1553" spans="1:10" x14ac:dyDescent="0.35">
      <c r="A1553" s="92"/>
      <c r="F1553" s="726"/>
      <c r="G1553" s="735"/>
      <c r="H1553" s="93"/>
      <c r="I1553" s="750"/>
      <c r="J1553" s="750"/>
    </row>
    <row r="1554" spans="1:10" x14ac:dyDescent="0.35">
      <c r="A1554" s="92"/>
      <c r="F1554" s="726"/>
      <c r="G1554" s="735"/>
      <c r="H1554" s="93"/>
      <c r="I1554" s="750"/>
      <c r="J1554" s="750"/>
    </row>
    <row r="1555" spans="1:10" x14ac:dyDescent="0.35">
      <c r="A1555" s="92"/>
      <c r="F1555" s="726"/>
      <c r="G1555" s="735"/>
      <c r="H1555" s="93"/>
      <c r="I1555" s="750"/>
      <c r="J1555" s="750"/>
    </row>
    <row r="1556" spans="1:10" x14ac:dyDescent="0.35">
      <c r="A1556" s="92"/>
      <c r="F1556" s="726"/>
      <c r="G1556" s="735"/>
      <c r="H1556" s="93"/>
      <c r="I1556" s="750"/>
      <c r="J1556" s="750"/>
    </row>
    <row r="1557" spans="1:10" x14ac:dyDescent="0.35">
      <c r="A1557" s="92"/>
      <c r="F1557" s="726"/>
      <c r="G1557" s="735"/>
      <c r="H1557" s="93"/>
      <c r="I1557" s="750"/>
      <c r="J1557" s="750"/>
    </row>
    <row r="1558" spans="1:10" x14ac:dyDescent="0.35">
      <c r="A1558" s="92"/>
      <c r="F1558" s="726"/>
      <c r="G1558" s="735"/>
      <c r="H1558" s="93"/>
      <c r="I1558" s="750"/>
      <c r="J1558" s="750"/>
    </row>
    <row r="1559" spans="1:10" x14ac:dyDescent="0.35">
      <c r="A1559" s="92"/>
      <c r="F1559" s="726"/>
      <c r="G1559" s="735"/>
      <c r="H1559" s="93"/>
      <c r="I1559" s="750"/>
      <c r="J1559" s="750"/>
    </row>
    <row r="1560" spans="1:10" x14ac:dyDescent="0.35">
      <c r="A1560" s="92"/>
      <c r="F1560" s="726"/>
      <c r="G1560" s="735"/>
      <c r="H1560" s="93"/>
      <c r="I1560" s="750"/>
      <c r="J1560" s="750"/>
    </row>
    <row r="1561" spans="1:10" x14ac:dyDescent="0.35">
      <c r="A1561" s="92"/>
      <c r="F1561" s="726"/>
      <c r="G1561" s="735"/>
      <c r="H1561" s="93"/>
      <c r="I1561" s="750"/>
      <c r="J1561" s="750"/>
    </row>
    <row r="1562" spans="1:10" x14ac:dyDescent="0.35">
      <c r="A1562" s="92"/>
      <c r="F1562" s="726"/>
      <c r="G1562" s="735"/>
      <c r="H1562" s="93"/>
      <c r="I1562" s="750"/>
      <c r="J1562" s="750"/>
    </row>
    <row r="1563" spans="1:10" x14ac:dyDescent="0.35">
      <c r="A1563" s="92"/>
      <c r="F1563" s="726"/>
      <c r="G1563" s="735"/>
      <c r="H1563" s="93"/>
      <c r="I1563" s="750"/>
      <c r="J1563" s="750"/>
    </row>
    <row r="1564" spans="1:10" x14ac:dyDescent="0.35">
      <c r="A1564" s="92"/>
      <c r="F1564" s="726"/>
      <c r="G1564" s="735"/>
      <c r="H1564" s="93"/>
      <c r="I1564" s="750"/>
      <c r="J1564" s="750"/>
    </row>
    <row r="1565" spans="1:10" x14ac:dyDescent="0.35">
      <c r="A1565" s="92"/>
      <c r="F1565" s="726"/>
      <c r="G1565" s="735"/>
      <c r="H1565" s="93"/>
      <c r="I1565" s="750"/>
      <c r="J1565" s="750"/>
    </row>
    <row r="1566" spans="1:10" x14ac:dyDescent="0.35">
      <c r="A1566" s="92"/>
      <c r="F1566" s="726"/>
      <c r="G1566" s="735"/>
      <c r="H1566" s="93"/>
      <c r="I1566" s="750"/>
      <c r="J1566" s="750"/>
    </row>
    <row r="1567" spans="1:10" x14ac:dyDescent="0.35">
      <c r="A1567" s="92"/>
      <c r="F1567" s="726"/>
      <c r="G1567" s="735"/>
      <c r="H1567" s="93"/>
      <c r="I1567" s="750"/>
      <c r="J1567" s="750"/>
    </row>
    <row r="1568" spans="1:10" x14ac:dyDescent="0.35">
      <c r="A1568" s="92"/>
      <c r="F1568" s="726"/>
      <c r="G1568" s="735"/>
      <c r="H1568" s="93"/>
      <c r="I1568" s="750"/>
      <c r="J1568" s="750"/>
    </row>
    <row r="1569" spans="1:10" x14ac:dyDescent="0.35">
      <c r="A1569" s="92"/>
      <c r="F1569" s="726"/>
      <c r="G1569" s="735"/>
      <c r="H1569" s="93"/>
      <c r="I1569" s="750"/>
      <c r="J1569" s="750"/>
    </row>
    <row r="1570" spans="1:10" x14ac:dyDescent="0.35">
      <c r="A1570" s="92"/>
      <c r="F1570" s="726"/>
      <c r="G1570" s="735"/>
      <c r="H1570" s="93"/>
      <c r="I1570" s="750"/>
      <c r="J1570" s="750"/>
    </row>
    <row r="1571" spans="1:10" x14ac:dyDescent="0.35">
      <c r="A1571" s="92"/>
      <c r="F1571" s="726"/>
      <c r="G1571" s="735"/>
      <c r="H1571" s="93"/>
      <c r="I1571" s="750"/>
      <c r="J1571" s="750"/>
    </row>
    <row r="1572" spans="1:10" x14ac:dyDescent="0.35">
      <c r="A1572" s="92"/>
      <c r="F1572" s="726"/>
      <c r="G1572" s="735"/>
      <c r="H1572" s="93"/>
      <c r="I1572" s="750"/>
      <c r="J1572" s="750"/>
    </row>
    <row r="1573" spans="1:10" x14ac:dyDescent="0.35">
      <c r="A1573" s="92"/>
      <c r="F1573" s="726"/>
      <c r="G1573" s="735"/>
      <c r="H1573" s="93"/>
      <c r="I1573" s="750"/>
      <c r="J1573" s="750"/>
    </row>
    <row r="1574" spans="1:10" x14ac:dyDescent="0.35">
      <c r="A1574" s="92"/>
      <c r="F1574" s="726"/>
      <c r="G1574" s="735"/>
      <c r="H1574" s="93"/>
      <c r="I1574" s="750"/>
      <c r="J1574" s="750"/>
    </row>
    <row r="1575" spans="1:10" x14ac:dyDescent="0.35">
      <c r="A1575" s="92"/>
      <c r="F1575" s="726"/>
      <c r="G1575" s="735"/>
      <c r="H1575" s="93"/>
      <c r="I1575" s="750"/>
      <c r="J1575" s="750"/>
    </row>
    <row r="1576" spans="1:10" x14ac:dyDescent="0.35">
      <c r="A1576" s="92"/>
      <c r="F1576" s="726"/>
      <c r="G1576" s="735"/>
      <c r="H1576" s="93"/>
      <c r="I1576" s="750"/>
      <c r="J1576" s="750"/>
    </row>
    <row r="1577" spans="1:10" x14ac:dyDescent="0.35">
      <c r="A1577" s="92"/>
      <c r="F1577" s="726"/>
      <c r="G1577" s="735"/>
      <c r="H1577" s="93"/>
      <c r="I1577" s="750"/>
      <c r="J1577" s="750"/>
    </row>
    <row r="1578" spans="1:10" x14ac:dyDescent="0.35">
      <c r="A1578" s="92"/>
      <c r="F1578" s="726"/>
      <c r="G1578" s="735"/>
      <c r="H1578" s="93"/>
      <c r="I1578" s="750"/>
      <c r="J1578" s="750"/>
    </row>
    <row r="1579" spans="1:10" x14ac:dyDescent="0.35">
      <c r="A1579" s="92"/>
      <c r="F1579" s="726"/>
      <c r="G1579" s="735"/>
      <c r="H1579" s="93"/>
      <c r="I1579" s="750"/>
      <c r="J1579" s="750"/>
    </row>
    <row r="1580" spans="1:10" x14ac:dyDescent="0.35">
      <c r="A1580" s="92"/>
      <c r="F1580" s="726"/>
      <c r="G1580" s="735"/>
      <c r="H1580" s="93"/>
      <c r="I1580" s="750"/>
      <c r="J1580" s="750"/>
    </row>
    <row r="1581" spans="1:10" x14ac:dyDescent="0.35">
      <c r="A1581" s="92"/>
      <c r="F1581" s="726"/>
      <c r="G1581" s="735"/>
      <c r="H1581" s="93"/>
      <c r="I1581" s="750"/>
      <c r="J1581" s="750"/>
    </row>
    <row r="1582" spans="1:10" x14ac:dyDescent="0.35">
      <c r="A1582" s="92"/>
      <c r="F1582" s="726"/>
      <c r="G1582" s="735"/>
      <c r="H1582" s="93"/>
      <c r="I1582" s="750"/>
      <c r="J1582" s="750"/>
    </row>
    <row r="1583" spans="1:10" x14ac:dyDescent="0.35">
      <c r="A1583" s="92"/>
      <c r="F1583" s="726"/>
      <c r="G1583" s="735"/>
      <c r="H1583" s="93"/>
      <c r="I1583" s="750"/>
      <c r="J1583" s="750"/>
    </row>
    <row r="1584" spans="1:10" x14ac:dyDescent="0.35">
      <c r="A1584" s="92"/>
      <c r="F1584" s="726"/>
      <c r="G1584" s="735"/>
      <c r="H1584" s="93"/>
      <c r="I1584" s="750"/>
      <c r="J1584" s="750"/>
    </row>
    <row r="1585" spans="1:10" x14ac:dyDescent="0.35">
      <c r="A1585" s="92"/>
      <c r="F1585" s="726"/>
      <c r="G1585" s="735"/>
      <c r="H1585" s="93"/>
      <c r="I1585" s="750"/>
      <c r="J1585" s="750"/>
    </row>
    <row r="1586" spans="1:10" x14ac:dyDescent="0.35">
      <c r="A1586" s="92"/>
      <c r="F1586" s="726"/>
      <c r="G1586" s="735"/>
      <c r="H1586" s="93"/>
      <c r="I1586" s="750"/>
      <c r="J1586" s="750"/>
    </row>
    <row r="1587" spans="1:10" x14ac:dyDescent="0.35">
      <c r="A1587" s="92"/>
      <c r="F1587" s="726"/>
      <c r="G1587" s="735"/>
      <c r="H1587" s="93"/>
      <c r="I1587" s="750"/>
      <c r="J1587" s="750"/>
    </row>
    <row r="1588" spans="1:10" x14ac:dyDescent="0.35">
      <c r="A1588" s="92"/>
      <c r="F1588" s="726"/>
      <c r="G1588" s="735"/>
      <c r="H1588" s="93"/>
      <c r="I1588" s="750"/>
      <c r="J1588" s="750"/>
    </row>
    <row r="1589" spans="1:10" x14ac:dyDescent="0.35">
      <c r="A1589" s="92"/>
      <c r="F1589" s="726"/>
      <c r="G1589" s="735"/>
      <c r="H1589" s="93"/>
      <c r="I1589" s="750"/>
      <c r="J1589" s="750"/>
    </row>
    <row r="1590" spans="1:10" x14ac:dyDescent="0.35">
      <c r="A1590" s="92"/>
      <c r="F1590" s="726"/>
      <c r="G1590" s="735"/>
      <c r="H1590" s="93"/>
      <c r="I1590" s="750"/>
      <c r="J1590" s="750"/>
    </row>
    <row r="1591" spans="1:10" x14ac:dyDescent="0.35">
      <c r="A1591" s="92"/>
      <c r="F1591" s="726"/>
      <c r="G1591" s="735"/>
      <c r="H1591" s="93"/>
      <c r="I1591" s="750"/>
      <c r="J1591" s="750"/>
    </row>
    <row r="1592" spans="1:10" x14ac:dyDescent="0.35">
      <c r="A1592" s="92"/>
      <c r="F1592" s="726"/>
      <c r="G1592" s="735"/>
      <c r="H1592" s="93"/>
      <c r="I1592" s="750"/>
      <c r="J1592" s="750"/>
    </row>
    <row r="1593" spans="1:10" x14ac:dyDescent="0.35">
      <c r="A1593" s="92"/>
      <c r="F1593" s="726"/>
      <c r="G1593" s="735"/>
      <c r="H1593" s="93"/>
      <c r="I1593" s="750"/>
      <c r="J1593" s="750"/>
    </row>
    <row r="1594" spans="1:10" x14ac:dyDescent="0.35">
      <c r="A1594" s="92"/>
      <c r="F1594" s="726"/>
      <c r="G1594" s="735"/>
      <c r="H1594" s="93"/>
      <c r="I1594" s="750"/>
      <c r="J1594" s="750"/>
    </row>
    <row r="1595" spans="1:10" x14ac:dyDescent="0.35">
      <c r="A1595" s="92"/>
      <c r="F1595" s="726"/>
      <c r="G1595" s="735"/>
      <c r="H1595" s="93"/>
      <c r="I1595" s="750"/>
      <c r="J1595" s="750"/>
    </row>
    <row r="1596" spans="1:10" x14ac:dyDescent="0.35">
      <c r="A1596" s="92"/>
      <c r="F1596" s="726"/>
      <c r="G1596" s="735"/>
      <c r="H1596" s="93"/>
      <c r="I1596" s="750"/>
      <c r="J1596" s="750"/>
    </row>
    <row r="1597" spans="1:10" x14ac:dyDescent="0.35">
      <c r="A1597" s="92"/>
      <c r="F1597" s="726"/>
      <c r="G1597" s="735"/>
      <c r="H1597" s="93"/>
      <c r="I1597" s="750"/>
      <c r="J1597" s="750"/>
    </row>
    <row r="1598" spans="1:10" x14ac:dyDescent="0.35">
      <c r="A1598" s="92"/>
      <c r="F1598" s="726"/>
      <c r="G1598" s="735"/>
      <c r="H1598" s="93"/>
      <c r="I1598" s="750"/>
      <c r="J1598" s="750"/>
    </row>
    <row r="1599" spans="1:10" x14ac:dyDescent="0.35">
      <c r="A1599" s="92"/>
      <c r="F1599" s="726"/>
      <c r="G1599" s="735"/>
      <c r="H1599" s="93"/>
      <c r="I1599" s="750"/>
      <c r="J1599" s="750"/>
    </row>
    <row r="1600" spans="1:10" x14ac:dyDescent="0.35">
      <c r="A1600" s="92"/>
      <c r="F1600" s="726"/>
      <c r="G1600" s="735"/>
      <c r="H1600" s="93"/>
      <c r="I1600" s="750"/>
      <c r="J1600" s="750"/>
    </row>
    <row r="1601" spans="1:10" x14ac:dyDescent="0.35">
      <c r="A1601" s="92"/>
      <c r="F1601" s="726"/>
      <c r="G1601" s="735"/>
      <c r="H1601" s="93"/>
      <c r="I1601" s="750"/>
      <c r="J1601" s="750"/>
    </row>
    <row r="1602" spans="1:10" x14ac:dyDescent="0.35">
      <c r="A1602" s="92"/>
      <c r="F1602" s="726"/>
      <c r="G1602" s="735"/>
      <c r="H1602" s="93"/>
      <c r="I1602" s="750"/>
      <c r="J1602" s="750"/>
    </row>
    <row r="1603" spans="1:10" x14ac:dyDescent="0.35">
      <c r="A1603" s="92"/>
      <c r="F1603" s="726"/>
      <c r="G1603" s="735"/>
      <c r="H1603" s="93"/>
      <c r="I1603" s="750"/>
      <c r="J1603" s="750"/>
    </row>
    <row r="1604" spans="1:10" x14ac:dyDescent="0.35">
      <c r="A1604" s="92"/>
      <c r="F1604" s="726"/>
      <c r="G1604" s="735"/>
      <c r="H1604" s="93"/>
      <c r="I1604" s="750"/>
      <c r="J1604" s="750"/>
    </row>
    <row r="1605" spans="1:10" x14ac:dyDescent="0.35">
      <c r="A1605" s="92"/>
      <c r="F1605" s="726"/>
      <c r="G1605" s="735"/>
      <c r="H1605" s="93"/>
      <c r="I1605" s="750"/>
      <c r="J1605" s="750"/>
    </row>
    <row r="1606" spans="1:10" x14ac:dyDescent="0.35">
      <c r="A1606" s="92"/>
      <c r="F1606" s="726"/>
      <c r="G1606" s="735"/>
      <c r="H1606" s="93"/>
      <c r="I1606" s="750"/>
      <c r="J1606" s="750"/>
    </row>
    <row r="1607" spans="1:10" x14ac:dyDescent="0.35">
      <c r="A1607" s="92"/>
      <c r="F1607" s="726"/>
      <c r="G1607" s="735"/>
      <c r="H1607" s="93"/>
      <c r="I1607" s="750"/>
      <c r="J1607" s="750"/>
    </row>
    <row r="1608" spans="1:10" x14ac:dyDescent="0.35">
      <c r="A1608" s="92"/>
      <c r="F1608" s="726"/>
      <c r="G1608" s="735"/>
      <c r="H1608" s="93"/>
      <c r="I1608" s="750"/>
      <c r="J1608" s="750"/>
    </row>
    <row r="1609" spans="1:10" x14ac:dyDescent="0.35">
      <c r="A1609" s="92"/>
      <c r="F1609" s="726"/>
      <c r="G1609" s="735"/>
      <c r="H1609" s="93"/>
      <c r="I1609" s="750"/>
      <c r="J1609" s="750"/>
    </row>
    <row r="1610" spans="1:10" x14ac:dyDescent="0.35">
      <c r="A1610" s="92"/>
      <c r="F1610" s="726"/>
      <c r="G1610" s="735"/>
      <c r="H1610" s="93"/>
      <c r="I1610" s="750"/>
      <c r="J1610" s="750"/>
    </row>
    <row r="1611" spans="1:10" x14ac:dyDescent="0.35">
      <c r="A1611" s="92"/>
      <c r="F1611" s="726"/>
      <c r="G1611" s="735"/>
      <c r="H1611" s="93"/>
      <c r="I1611" s="750"/>
      <c r="J1611" s="750"/>
    </row>
    <row r="1612" spans="1:10" x14ac:dyDescent="0.35">
      <c r="A1612" s="92"/>
      <c r="F1612" s="726"/>
      <c r="G1612" s="735"/>
      <c r="H1612" s="93"/>
      <c r="I1612" s="750"/>
      <c r="J1612" s="750"/>
    </row>
    <row r="1613" spans="1:10" x14ac:dyDescent="0.35">
      <c r="A1613" s="92"/>
      <c r="F1613" s="726"/>
      <c r="G1613" s="735"/>
      <c r="H1613" s="93"/>
      <c r="I1613" s="750"/>
      <c r="J1613" s="750"/>
    </row>
    <row r="1614" spans="1:10" x14ac:dyDescent="0.35">
      <c r="A1614" s="92"/>
      <c r="F1614" s="726"/>
      <c r="G1614" s="735"/>
      <c r="H1614" s="93"/>
      <c r="I1614" s="750"/>
      <c r="J1614" s="750"/>
    </row>
    <row r="1615" spans="1:10" x14ac:dyDescent="0.35">
      <c r="A1615" s="92"/>
      <c r="F1615" s="726"/>
      <c r="G1615" s="735"/>
      <c r="H1615" s="93"/>
      <c r="I1615" s="750"/>
      <c r="J1615" s="750"/>
    </row>
    <row r="1616" spans="1:10" x14ac:dyDescent="0.35">
      <c r="A1616" s="92"/>
      <c r="F1616" s="726"/>
      <c r="G1616" s="735"/>
      <c r="H1616" s="93"/>
      <c r="I1616" s="750"/>
      <c r="J1616" s="750"/>
    </row>
    <row r="1617" spans="1:10" x14ac:dyDescent="0.35">
      <c r="A1617" s="92"/>
      <c r="F1617" s="726"/>
      <c r="G1617" s="735"/>
      <c r="H1617" s="93"/>
      <c r="I1617" s="750"/>
      <c r="J1617" s="750"/>
    </row>
    <row r="1618" spans="1:10" x14ac:dyDescent="0.35">
      <c r="A1618" s="92"/>
      <c r="F1618" s="726"/>
      <c r="G1618" s="735"/>
      <c r="H1618" s="93"/>
      <c r="I1618" s="750"/>
      <c r="J1618" s="750"/>
    </row>
    <row r="1619" spans="1:10" x14ac:dyDescent="0.35">
      <c r="A1619" s="92"/>
      <c r="F1619" s="726"/>
      <c r="G1619" s="735"/>
      <c r="H1619" s="93"/>
      <c r="I1619" s="750"/>
      <c r="J1619" s="750"/>
    </row>
    <row r="1620" spans="1:10" x14ac:dyDescent="0.35">
      <c r="A1620" s="92"/>
      <c r="F1620" s="726"/>
      <c r="G1620" s="735"/>
      <c r="H1620" s="93"/>
      <c r="I1620" s="750"/>
      <c r="J1620" s="750"/>
    </row>
    <row r="1621" spans="1:10" x14ac:dyDescent="0.35">
      <c r="A1621" s="92"/>
      <c r="F1621" s="726"/>
      <c r="G1621" s="735"/>
      <c r="H1621" s="93"/>
      <c r="I1621" s="750"/>
      <c r="J1621" s="750"/>
    </row>
    <row r="1622" spans="1:10" x14ac:dyDescent="0.35">
      <c r="A1622" s="92"/>
      <c r="F1622" s="726"/>
      <c r="G1622" s="735"/>
      <c r="H1622" s="93"/>
      <c r="I1622" s="750"/>
      <c r="J1622" s="750"/>
    </row>
    <row r="1623" spans="1:10" x14ac:dyDescent="0.35">
      <c r="A1623" s="92"/>
      <c r="F1623" s="726"/>
      <c r="G1623" s="735"/>
      <c r="H1623" s="93"/>
      <c r="I1623" s="750"/>
      <c r="J1623" s="750"/>
    </row>
    <row r="1624" spans="1:10" x14ac:dyDescent="0.35">
      <c r="A1624" s="92"/>
      <c r="F1624" s="726"/>
      <c r="G1624" s="735"/>
      <c r="H1624" s="93"/>
      <c r="I1624" s="750"/>
      <c r="J1624" s="750"/>
    </row>
    <row r="1625" spans="1:10" x14ac:dyDescent="0.35">
      <c r="A1625" s="92"/>
      <c r="F1625" s="726"/>
      <c r="G1625" s="735"/>
      <c r="H1625" s="93"/>
      <c r="I1625" s="750"/>
      <c r="J1625" s="750"/>
    </row>
    <row r="1626" spans="1:10" x14ac:dyDescent="0.35">
      <c r="A1626" s="92"/>
      <c r="F1626" s="726"/>
      <c r="G1626" s="735"/>
      <c r="H1626" s="93"/>
      <c r="I1626" s="750"/>
      <c r="J1626" s="750"/>
    </row>
    <row r="1627" spans="1:10" x14ac:dyDescent="0.35">
      <c r="A1627" s="92"/>
      <c r="F1627" s="726"/>
      <c r="G1627" s="735"/>
      <c r="H1627" s="93"/>
      <c r="I1627" s="750"/>
      <c r="J1627" s="750"/>
    </row>
    <row r="1628" spans="1:10" x14ac:dyDescent="0.35">
      <c r="A1628" s="92"/>
      <c r="F1628" s="726"/>
      <c r="G1628" s="735"/>
      <c r="H1628" s="93"/>
      <c r="I1628" s="750"/>
      <c r="J1628" s="750"/>
    </row>
    <row r="1629" spans="1:10" x14ac:dyDescent="0.35">
      <c r="A1629" s="92"/>
      <c r="F1629" s="726"/>
      <c r="G1629" s="735"/>
      <c r="H1629" s="93"/>
      <c r="I1629" s="750"/>
      <c r="J1629" s="750"/>
    </row>
    <row r="1630" spans="1:10" x14ac:dyDescent="0.35">
      <c r="A1630" s="92"/>
      <c r="F1630" s="726"/>
      <c r="G1630" s="735"/>
      <c r="H1630" s="93"/>
      <c r="I1630" s="750"/>
      <c r="J1630" s="750"/>
    </row>
    <row r="1631" spans="1:10" x14ac:dyDescent="0.35">
      <c r="A1631" s="92"/>
      <c r="F1631" s="726"/>
      <c r="G1631" s="735"/>
      <c r="H1631" s="93"/>
      <c r="I1631" s="750"/>
      <c r="J1631" s="750"/>
    </row>
    <row r="1632" spans="1:10" x14ac:dyDescent="0.35">
      <c r="A1632" s="92"/>
      <c r="F1632" s="726"/>
      <c r="G1632" s="735"/>
      <c r="H1632" s="93"/>
      <c r="I1632" s="750"/>
      <c r="J1632" s="750"/>
    </row>
    <row r="1633" spans="1:10" x14ac:dyDescent="0.35">
      <c r="A1633" s="92"/>
      <c r="F1633" s="726"/>
      <c r="G1633" s="735"/>
      <c r="H1633" s="93"/>
      <c r="I1633" s="750"/>
      <c r="J1633" s="750"/>
    </row>
    <row r="1634" spans="1:10" x14ac:dyDescent="0.35">
      <c r="A1634" s="92"/>
      <c r="F1634" s="726"/>
      <c r="G1634" s="735"/>
      <c r="H1634" s="93"/>
      <c r="I1634" s="750"/>
      <c r="J1634" s="750"/>
    </row>
    <row r="1635" spans="1:10" x14ac:dyDescent="0.35">
      <c r="A1635" s="92"/>
      <c r="F1635" s="726"/>
      <c r="G1635" s="735"/>
      <c r="H1635" s="93"/>
      <c r="I1635" s="750"/>
      <c r="J1635" s="750"/>
    </row>
    <row r="1636" spans="1:10" x14ac:dyDescent="0.35">
      <c r="A1636" s="92"/>
      <c r="F1636" s="726"/>
      <c r="G1636" s="735"/>
      <c r="H1636" s="93"/>
      <c r="I1636" s="750"/>
      <c r="J1636" s="750"/>
    </row>
    <row r="1637" spans="1:10" x14ac:dyDescent="0.35">
      <c r="A1637" s="92"/>
      <c r="F1637" s="726"/>
      <c r="G1637" s="735"/>
      <c r="H1637" s="93"/>
      <c r="I1637" s="750"/>
      <c r="J1637" s="750"/>
    </row>
    <row r="1638" spans="1:10" x14ac:dyDescent="0.35">
      <c r="A1638" s="92"/>
      <c r="F1638" s="726"/>
      <c r="G1638" s="735"/>
      <c r="H1638" s="93"/>
      <c r="I1638" s="750"/>
      <c r="J1638" s="750"/>
    </row>
    <row r="1639" spans="1:10" x14ac:dyDescent="0.35">
      <c r="A1639" s="92"/>
      <c r="F1639" s="726"/>
      <c r="G1639" s="735"/>
      <c r="H1639" s="93"/>
      <c r="I1639" s="750"/>
      <c r="J1639" s="750"/>
    </row>
    <row r="1640" spans="1:10" x14ac:dyDescent="0.35">
      <c r="A1640" s="92"/>
      <c r="F1640" s="726"/>
      <c r="G1640" s="735"/>
      <c r="H1640" s="93"/>
      <c r="I1640" s="750"/>
      <c r="J1640" s="750"/>
    </row>
    <row r="1641" spans="1:10" x14ac:dyDescent="0.35">
      <c r="A1641" s="92"/>
      <c r="F1641" s="726"/>
      <c r="G1641" s="735"/>
      <c r="H1641" s="93"/>
      <c r="I1641" s="750"/>
      <c r="J1641" s="750"/>
    </row>
    <row r="1642" spans="1:10" x14ac:dyDescent="0.35">
      <c r="A1642" s="92"/>
      <c r="F1642" s="726"/>
      <c r="G1642" s="735"/>
      <c r="H1642" s="93"/>
      <c r="I1642" s="750"/>
      <c r="J1642" s="750"/>
    </row>
    <row r="1643" spans="1:10" x14ac:dyDescent="0.35">
      <c r="A1643" s="92"/>
      <c r="F1643" s="726"/>
      <c r="G1643" s="735"/>
      <c r="H1643" s="93"/>
      <c r="I1643" s="750"/>
      <c r="J1643" s="750"/>
    </row>
    <row r="1644" spans="1:10" x14ac:dyDescent="0.35">
      <c r="A1644" s="92"/>
      <c r="F1644" s="726"/>
      <c r="G1644" s="735"/>
      <c r="H1644" s="93"/>
      <c r="I1644" s="750"/>
      <c r="J1644" s="750"/>
    </row>
    <row r="1645" spans="1:10" x14ac:dyDescent="0.35">
      <c r="A1645" s="92"/>
      <c r="F1645" s="726"/>
      <c r="G1645" s="735"/>
      <c r="H1645" s="93"/>
      <c r="I1645" s="750"/>
      <c r="J1645" s="750"/>
    </row>
    <row r="1646" spans="1:10" x14ac:dyDescent="0.35">
      <c r="A1646" s="92"/>
      <c r="F1646" s="726"/>
      <c r="G1646" s="735"/>
      <c r="H1646" s="93"/>
      <c r="I1646" s="750"/>
      <c r="J1646" s="750"/>
    </row>
    <row r="1647" spans="1:10" x14ac:dyDescent="0.35">
      <c r="A1647" s="92"/>
      <c r="F1647" s="726"/>
      <c r="G1647" s="735"/>
      <c r="H1647" s="93"/>
      <c r="I1647" s="750"/>
      <c r="J1647" s="750"/>
    </row>
    <row r="1648" spans="1:10" x14ac:dyDescent="0.35">
      <c r="A1648" s="92"/>
      <c r="F1648" s="726"/>
      <c r="G1648" s="735"/>
      <c r="H1648" s="93"/>
      <c r="I1648" s="750"/>
      <c r="J1648" s="750"/>
    </row>
    <row r="1649" spans="1:10" x14ac:dyDescent="0.35">
      <c r="A1649" s="92"/>
      <c r="F1649" s="726"/>
      <c r="G1649" s="735"/>
      <c r="H1649" s="93"/>
      <c r="I1649" s="750"/>
      <c r="J1649" s="750"/>
    </row>
    <row r="1650" spans="1:10" x14ac:dyDescent="0.35">
      <c r="A1650" s="92"/>
      <c r="F1650" s="726"/>
      <c r="G1650" s="735"/>
      <c r="H1650" s="93"/>
      <c r="I1650" s="750"/>
      <c r="J1650" s="750"/>
    </row>
    <row r="1651" spans="1:10" x14ac:dyDescent="0.35">
      <c r="A1651" s="92"/>
      <c r="F1651" s="726"/>
      <c r="G1651" s="735"/>
      <c r="H1651" s="93"/>
      <c r="I1651" s="750"/>
      <c r="J1651" s="750"/>
    </row>
    <row r="1652" spans="1:10" x14ac:dyDescent="0.35">
      <c r="A1652" s="92"/>
      <c r="F1652" s="726"/>
      <c r="G1652" s="735"/>
      <c r="H1652" s="93"/>
      <c r="I1652" s="750"/>
      <c r="J1652" s="750"/>
    </row>
    <row r="1653" spans="1:10" x14ac:dyDescent="0.35">
      <c r="A1653" s="92"/>
      <c r="F1653" s="726"/>
      <c r="G1653" s="735"/>
      <c r="H1653" s="93"/>
      <c r="I1653" s="750"/>
      <c r="J1653" s="750"/>
    </row>
    <row r="1654" spans="1:10" x14ac:dyDescent="0.35">
      <c r="A1654" s="92"/>
      <c r="F1654" s="726"/>
      <c r="G1654" s="735"/>
      <c r="H1654" s="93"/>
      <c r="I1654" s="750"/>
      <c r="J1654" s="750"/>
    </row>
    <row r="1655" spans="1:10" x14ac:dyDescent="0.35">
      <c r="A1655" s="92"/>
      <c r="F1655" s="726"/>
      <c r="G1655" s="735"/>
      <c r="H1655" s="93"/>
      <c r="I1655" s="750"/>
      <c r="J1655" s="750"/>
    </row>
    <row r="1656" spans="1:10" x14ac:dyDescent="0.35">
      <c r="A1656" s="92"/>
      <c r="F1656" s="726"/>
      <c r="G1656" s="735"/>
      <c r="H1656" s="93"/>
      <c r="I1656" s="750"/>
      <c r="J1656" s="750"/>
    </row>
    <row r="1657" spans="1:10" x14ac:dyDescent="0.35">
      <c r="A1657" s="92"/>
      <c r="F1657" s="726"/>
      <c r="G1657" s="735"/>
      <c r="H1657" s="93"/>
      <c r="I1657" s="750"/>
      <c r="J1657" s="750"/>
    </row>
    <row r="1658" spans="1:10" x14ac:dyDescent="0.35">
      <c r="A1658" s="92"/>
      <c r="F1658" s="726"/>
      <c r="G1658" s="735"/>
      <c r="H1658" s="93"/>
      <c r="I1658" s="750"/>
      <c r="J1658" s="750"/>
    </row>
    <row r="1659" spans="1:10" x14ac:dyDescent="0.35">
      <c r="A1659" s="92"/>
      <c r="F1659" s="726"/>
      <c r="G1659" s="735"/>
      <c r="H1659" s="93"/>
      <c r="I1659" s="750"/>
      <c r="J1659" s="750"/>
    </row>
    <row r="1660" spans="1:10" x14ac:dyDescent="0.35">
      <c r="A1660" s="92"/>
      <c r="F1660" s="726"/>
      <c r="G1660" s="735"/>
      <c r="H1660" s="93"/>
      <c r="I1660" s="750"/>
      <c r="J1660" s="750"/>
    </row>
    <row r="1661" spans="1:10" x14ac:dyDescent="0.35">
      <c r="A1661" s="92"/>
      <c r="F1661" s="726"/>
      <c r="G1661" s="735"/>
      <c r="H1661" s="93"/>
      <c r="I1661" s="750"/>
      <c r="J1661" s="750"/>
    </row>
    <row r="1662" spans="1:10" x14ac:dyDescent="0.35">
      <c r="A1662" s="92"/>
      <c r="F1662" s="726"/>
      <c r="G1662" s="735"/>
      <c r="H1662" s="93"/>
      <c r="I1662" s="750"/>
      <c r="J1662" s="750"/>
    </row>
    <row r="1663" spans="1:10" x14ac:dyDescent="0.35">
      <c r="A1663" s="92"/>
      <c r="F1663" s="726"/>
      <c r="G1663" s="735"/>
      <c r="H1663" s="93"/>
      <c r="I1663" s="750"/>
      <c r="J1663" s="750"/>
    </row>
    <row r="1664" spans="1:10" x14ac:dyDescent="0.35">
      <c r="A1664" s="92"/>
      <c r="F1664" s="726"/>
      <c r="G1664" s="735"/>
      <c r="H1664" s="93"/>
      <c r="I1664" s="750"/>
      <c r="J1664" s="750"/>
    </row>
    <row r="1665" spans="1:10" x14ac:dyDescent="0.35">
      <c r="A1665" s="92"/>
      <c r="F1665" s="726"/>
      <c r="G1665" s="735"/>
      <c r="H1665" s="93"/>
      <c r="I1665" s="750"/>
      <c r="J1665" s="750"/>
    </row>
    <row r="1666" spans="1:10" x14ac:dyDescent="0.35">
      <c r="A1666" s="92"/>
      <c r="F1666" s="726"/>
      <c r="G1666" s="735"/>
      <c r="H1666" s="93"/>
      <c r="I1666" s="750"/>
      <c r="J1666" s="750"/>
    </row>
    <row r="1667" spans="1:10" x14ac:dyDescent="0.35">
      <c r="A1667" s="92"/>
      <c r="F1667" s="726"/>
      <c r="G1667" s="735"/>
      <c r="H1667" s="93"/>
      <c r="I1667" s="750"/>
      <c r="J1667" s="750"/>
    </row>
    <row r="1668" spans="1:10" x14ac:dyDescent="0.35">
      <c r="A1668" s="92"/>
      <c r="F1668" s="726"/>
      <c r="G1668" s="735"/>
      <c r="H1668" s="93"/>
      <c r="I1668" s="750"/>
      <c r="J1668" s="750"/>
    </row>
    <row r="1669" spans="1:10" x14ac:dyDescent="0.35">
      <c r="A1669" s="92"/>
      <c r="F1669" s="726"/>
      <c r="G1669" s="735"/>
      <c r="H1669" s="93"/>
      <c r="I1669" s="750"/>
      <c r="J1669" s="750"/>
    </row>
    <row r="1670" spans="1:10" x14ac:dyDescent="0.35">
      <c r="A1670" s="92"/>
      <c r="F1670" s="726"/>
      <c r="G1670" s="735"/>
      <c r="H1670" s="93"/>
      <c r="I1670" s="750"/>
      <c r="J1670" s="750"/>
    </row>
    <row r="1671" spans="1:10" x14ac:dyDescent="0.35">
      <c r="A1671" s="92"/>
      <c r="F1671" s="726"/>
      <c r="G1671" s="735"/>
      <c r="H1671" s="93"/>
      <c r="I1671" s="750"/>
      <c r="J1671" s="750"/>
    </row>
    <row r="1672" spans="1:10" x14ac:dyDescent="0.35">
      <c r="A1672" s="92"/>
      <c r="F1672" s="726"/>
      <c r="G1672" s="735"/>
      <c r="H1672" s="93"/>
      <c r="I1672" s="750"/>
      <c r="J1672" s="750"/>
    </row>
    <row r="1673" spans="1:10" x14ac:dyDescent="0.35">
      <c r="A1673" s="92"/>
      <c r="F1673" s="726"/>
      <c r="G1673" s="735"/>
      <c r="H1673" s="93"/>
      <c r="I1673" s="750"/>
      <c r="J1673" s="750"/>
    </row>
    <row r="1674" spans="1:10" x14ac:dyDescent="0.35">
      <c r="A1674" s="92"/>
      <c r="F1674" s="726"/>
      <c r="G1674" s="735"/>
      <c r="H1674" s="93"/>
      <c r="I1674" s="750"/>
      <c r="J1674" s="750"/>
    </row>
    <row r="1675" spans="1:10" x14ac:dyDescent="0.35">
      <c r="A1675" s="92"/>
      <c r="F1675" s="726"/>
      <c r="G1675" s="735"/>
      <c r="H1675" s="93"/>
      <c r="I1675" s="750"/>
      <c r="J1675" s="750"/>
    </row>
    <row r="1676" spans="1:10" x14ac:dyDescent="0.35">
      <c r="A1676" s="92"/>
      <c r="F1676" s="726"/>
      <c r="G1676" s="735"/>
      <c r="H1676" s="93"/>
      <c r="I1676" s="750"/>
      <c r="J1676" s="750"/>
    </row>
    <row r="1677" spans="1:10" x14ac:dyDescent="0.35">
      <c r="A1677" s="92"/>
      <c r="F1677" s="726"/>
      <c r="G1677" s="735"/>
      <c r="H1677" s="93"/>
      <c r="I1677" s="750"/>
      <c r="J1677" s="750"/>
    </row>
    <row r="1678" spans="1:10" x14ac:dyDescent="0.35">
      <c r="A1678" s="92"/>
      <c r="F1678" s="726"/>
      <c r="G1678" s="735"/>
      <c r="H1678" s="93"/>
      <c r="I1678" s="750"/>
      <c r="J1678" s="750"/>
    </row>
    <row r="1679" spans="1:10" x14ac:dyDescent="0.35">
      <c r="A1679" s="92"/>
      <c r="F1679" s="726"/>
      <c r="G1679" s="735"/>
      <c r="H1679" s="93"/>
      <c r="I1679" s="750"/>
      <c r="J1679" s="750"/>
    </row>
    <row r="1680" spans="1:10" x14ac:dyDescent="0.35">
      <c r="A1680" s="92"/>
      <c r="F1680" s="726"/>
      <c r="G1680" s="735"/>
      <c r="H1680" s="93"/>
      <c r="I1680" s="750"/>
      <c r="J1680" s="750"/>
    </row>
    <row r="1681" spans="1:10" x14ac:dyDescent="0.35">
      <c r="A1681" s="92"/>
      <c r="F1681" s="726"/>
      <c r="G1681" s="735"/>
      <c r="H1681" s="93"/>
      <c r="I1681" s="750"/>
      <c r="J1681" s="750"/>
    </row>
    <row r="1682" spans="1:10" x14ac:dyDescent="0.35">
      <c r="A1682" s="92"/>
      <c r="F1682" s="726"/>
      <c r="G1682" s="735"/>
      <c r="H1682" s="93"/>
      <c r="I1682" s="750"/>
      <c r="J1682" s="750"/>
    </row>
    <row r="1683" spans="1:10" x14ac:dyDescent="0.35">
      <c r="A1683" s="92"/>
      <c r="F1683" s="726"/>
      <c r="G1683" s="735"/>
      <c r="H1683" s="93"/>
      <c r="I1683" s="750"/>
      <c r="J1683" s="750"/>
    </row>
    <row r="1684" spans="1:10" x14ac:dyDescent="0.35">
      <c r="A1684" s="92"/>
      <c r="F1684" s="726"/>
      <c r="G1684" s="735"/>
      <c r="H1684" s="93"/>
      <c r="I1684" s="750"/>
      <c r="J1684" s="750"/>
    </row>
    <row r="1685" spans="1:10" x14ac:dyDescent="0.35">
      <c r="A1685" s="92"/>
      <c r="F1685" s="726"/>
      <c r="G1685" s="735"/>
      <c r="H1685" s="93"/>
      <c r="I1685" s="750"/>
      <c r="J1685" s="750"/>
    </row>
    <row r="1686" spans="1:10" x14ac:dyDescent="0.35">
      <c r="A1686" s="92"/>
      <c r="F1686" s="726"/>
      <c r="G1686" s="735"/>
      <c r="H1686" s="93"/>
      <c r="I1686" s="750"/>
      <c r="J1686" s="750"/>
    </row>
    <row r="1687" spans="1:10" x14ac:dyDescent="0.35">
      <c r="A1687" s="92"/>
      <c r="F1687" s="726"/>
      <c r="G1687" s="735"/>
      <c r="H1687" s="93"/>
      <c r="I1687" s="750"/>
      <c r="J1687" s="750"/>
    </row>
    <row r="1688" spans="1:10" x14ac:dyDescent="0.35">
      <c r="A1688" s="92"/>
      <c r="F1688" s="726"/>
      <c r="G1688" s="735"/>
      <c r="H1688" s="93"/>
      <c r="I1688" s="750"/>
      <c r="J1688" s="750"/>
    </row>
    <row r="1689" spans="1:10" x14ac:dyDescent="0.35">
      <c r="A1689" s="92"/>
      <c r="F1689" s="726"/>
      <c r="G1689" s="735"/>
      <c r="H1689" s="93"/>
      <c r="I1689" s="750"/>
      <c r="J1689" s="750"/>
    </row>
    <row r="1690" spans="1:10" x14ac:dyDescent="0.35">
      <c r="A1690" s="92"/>
      <c r="F1690" s="726"/>
      <c r="G1690" s="735"/>
      <c r="H1690" s="93"/>
      <c r="I1690" s="750"/>
      <c r="J1690" s="750"/>
    </row>
    <row r="1691" spans="1:10" x14ac:dyDescent="0.35">
      <c r="A1691" s="92"/>
      <c r="F1691" s="726"/>
      <c r="G1691" s="735"/>
      <c r="H1691" s="93"/>
      <c r="I1691" s="750"/>
      <c r="J1691" s="750"/>
    </row>
    <row r="1692" spans="1:10" x14ac:dyDescent="0.35">
      <c r="A1692" s="92"/>
      <c r="F1692" s="726"/>
      <c r="G1692" s="735"/>
      <c r="H1692" s="93"/>
      <c r="I1692" s="750"/>
      <c r="J1692" s="750"/>
    </row>
    <row r="1693" spans="1:10" x14ac:dyDescent="0.35">
      <c r="A1693" s="92"/>
      <c r="F1693" s="726"/>
      <c r="G1693" s="735"/>
      <c r="H1693" s="93"/>
      <c r="I1693" s="750"/>
      <c r="J1693" s="750"/>
    </row>
    <row r="1694" spans="1:10" x14ac:dyDescent="0.35">
      <c r="A1694" s="92"/>
      <c r="F1694" s="726"/>
      <c r="G1694" s="735"/>
      <c r="H1694" s="93"/>
      <c r="I1694" s="750"/>
      <c r="J1694" s="750"/>
    </row>
    <row r="1695" spans="1:10" x14ac:dyDescent="0.35">
      <c r="A1695" s="92"/>
      <c r="F1695" s="726"/>
      <c r="G1695" s="735"/>
      <c r="H1695" s="93"/>
      <c r="I1695" s="750"/>
      <c r="J1695" s="750"/>
    </row>
    <row r="1696" spans="1:10" x14ac:dyDescent="0.35">
      <c r="A1696" s="92"/>
      <c r="F1696" s="726"/>
      <c r="G1696" s="735"/>
      <c r="H1696" s="93"/>
      <c r="I1696" s="750"/>
      <c r="J1696" s="750"/>
    </row>
    <row r="1697" spans="1:10" x14ac:dyDescent="0.35">
      <c r="A1697" s="92"/>
      <c r="F1697" s="726"/>
      <c r="G1697" s="735"/>
      <c r="H1697" s="93"/>
      <c r="I1697" s="750"/>
      <c r="J1697" s="750"/>
    </row>
    <row r="1698" spans="1:10" x14ac:dyDescent="0.35">
      <c r="A1698" s="92"/>
      <c r="F1698" s="726"/>
      <c r="G1698" s="735"/>
      <c r="H1698" s="93"/>
      <c r="I1698" s="750"/>
      <c r="J1698" s="750"/>
    </row>
    <row r="1699" spans="1:10" x14ac:dyDescent="0.35">
      <c r="A1699" s="92"/>
      <c r="F1699" s="726"/>
      <c r="G1699" s="735"/>
      <c r="H1699" s="93"/>
      <c r="I1699" s="750"/>
      <c r="J1699" s="750"/>
    </row>
    <row r="1700" spans="1:10" x14ac:dyDescent="0.35">
      <c r="A1700" s="92"/>
      <c r="F1700" s="726"/>
      <c r="G1700" s="735"/>
      <c r="H1700" s="93"/>
      <c r="I1700" s="750"/>
      <c r="J1700" s="750"/>
    </row>
    <row r="1701" spans="1:10" x14ac:dyDescent="0.35">
      <c r="A1701" s="92"/>
      <c r="F1701" s="726"/>
      <c r="G1701" s="735"/>
      <c r="H1701" s="93"/>
      <c r="I1701" s="750"/>
      <c r="J1701" s="750"/>
    </row>
    <row r="1702" spans="1:10" x14ac:dyDescent="0.35">
      <c r="A1702" s="92"/>
      <c r="F1702" s="726"/>
      <c r="G1702" s="735"/>
      <c r="H1702" s="93"/>
      <c r="I1702" s="750"/>
      <c r="J1702" s="750"/>
    </row>
    <row r="1703" spans="1:10" x14ac:dyDescent="0.35">
      <c r="A1703" s="92"/>
      <c r="F1703" s="726"/>
      <c r="G1703" s="735"/>
      <c r="H1703" s="93"/>
      <c r="I1703" s="750"/>
      <c r="J1703" s="750"/>
    </row>
    <row r="1704" spans="1:10" x14ac:dyDescent="0.35">
      <c r="A1704" s="92"/>
      <c r="F1704" s="726"/>
      <c r="G1704" s="735"/>
      <c r="H1704" s="93"/>
      <c r="I1704" s="750"/>
      <c r="J1704" s="750"/>
    </row>
    <row r="1705" spans="1:10" x14ac:dyDescent="0.35">
      <c r="A1705" s="92"/>
      <c r="F1705" s="726"/>
      <c r="G1705" s="735"/>
      <c r="H1705" s="93"/>
      <c r="I1705" s="750"/>
      <c r="J1705" s="750"/>
    </row>
    <row r="1706" spans="1:10" x14ac:dyDescent="0.35">
      <c r="A1706" s="92"/>
      <c r="F1706" s="726"/>
      <c r="G1706" s="735"/>
      <c r="H1706" s="93"/>
      <c r="I1706" s="750"/>
      <c r="J1706" s="750"/>
    </row>
    <row r="1707" spans="1:10" x14ac:dyDescent="0.35">
      <c r="A1707" s="92"/>
      <c r="F1707" s="726"/>
      <c r="G1707" s="735"/>
      <c r="H1707" s="93"/>
      <c r="I1707" s="750"/>
      <c r="J1707" s="750"/>
    </row>
    <row r="1708" spans="1:10" x14ac:dyDescent="0.35">
      <c r="A1708" s="92"/>
      <c r="F1708" s="726"/>
      <c r="G1708" s="735"/>
      <c r="H1708" s="93"/>
      <c r="I1708" s="750"/>
      <c r="J1708" s="750"/>
    </row>
    <row r="1709" spans="1:10" x14ac:dyDescent="0.35">
      <c r="A1709" s="92"/>
      <c r="F1709" s="726"/>
      <c r="G1709" s="735"/>
      <c r="H1709" s="93"/>
      <c r="I1709" s="750"/>
      <c r="J1709" s="750"/>
    </row>
    <row r="1710" spans="1:10" x14ac:dyDescent="0.35">
      <c r="A1710" s="92"/>
      <c r="F1710" s="726"/>
      <c r="G1710" s="735"/>
      <c r="H1710" s="93"/>
      <c r="I1710" s="750"/>
      <c r="J1710" s="750"/>
    </row>
    <row r="1711" spans="1:10" x14ac:dyDescent="0.35">
      <c r="A1711" s="92"/>
      <c r="F1711" s="726"/>
      <c r="G1711" s="735"/>
      <c r="H1711" s="93"/>
      <c r="I1711" s="750"/>
      <c r="J1711" s="750"/>
    </row>
    <row r="1712" spans="1:10" x14ac:dyDescent="0.35">
      <c r="A1712" s="92"/>
      <c r="F1712" s="726"/>
      <c r="G1712" s="735"/>
      <c r="H1712" s="93"/>
      <c r="I1712" s="750"/>
      <c r="J1712" s="750"/>
    </row>
    <row r="1713" spans="1:10" x14ac:dyDescent="0.35">
      <c r="A1713" s="92"/>
      <c r="F1713" s="726"/>
      <c r="G1713" s="735"/>
      <c r="H1713" s="93"/>
      <c r="I1713" s="750"/>
      <c r="J1713" s="750"/>
    </row>
    <row r="1714" spans="1:10" x14ac:dyDescent="0.35">
      <c r="A1714" s="92"/>
      <c r="F1714" s="726"/>
      <c r="G1714" s="735"/>
      <c r="H1714" s="93"/>
      <c r="I1714" s="750"/>
      <c r="J1714" s="750"/>
    </row>
    <row r="1715" spans="1:10" x14ac:dyDescent="0.35">
      <c r="A1715" s="92"/>
      <c r="F1715" s="726"/>
      <c r="G1715" s="735"/>
      <c r="H1715" s="93"/>
      <c r="I1715" s="750"/>
      <c r="J1715" s="750"/>
    </row>
    <row r="1716" spans="1:10" x14ac:dyDescent="0.35">
      <c r="A1716" s="92"/>
      <c r="F1716" s="726"/>
      <c r="G1716" s="735"/>
      <c r="H1716" s="93"/>
      <c r="I1716" s="750"/>
      <c r="J1716" s="750"/>
    </row>
    <row r="1717" spans="1:10" x14ac:dyDescent="0.35">
      <c r="A1717" s="92"/>
      <c r="F1717" s="726"/>
      <c r="G1717" s="735"/>
      <c r="H1717" s="93"/>
      <c r="I1717" s="750"/>
      <c r="J1717" s="750"/>
    </row>
    <row r="1718" spans="1:10" x14ac:dyDescent="0.35">
      <c r="A1718" s="92"/>
      <c r="F1718" s="726"/>
      <c r="G1718" s="735"/>
      <c r="H1718" s="93"/>
      <c r="I1718" s="750"/>
      <c r="J1718" s="750"/>
    </row>
    <row r="1719" spans="1:10" x14ac:dyDescent="0.35">
      <c r="A1719" s="92"/>
      <c r="F1719" s="726"/>
      <c r="G1719" s="735"/>
      <c r="H1719" s="93"/>
      <c r="I1719" s="750"/>
      <c r="J1719" s="750"/>
    </row>
    <row r="1720" spans="1:10" x14ac:dyDescent="0.35">
      <c r="A1720" s="92"/>
      <c r="F1720" s="726"/>
      <c r="G1720" s="735"/>
      <c r="H1720" s="93"/>
      <c r="I1720" s="750"/>
      <c r="J1720" s="750"/>
    </row>
    <row r="1721" spans="1:10" x14ac:dyDescent="0.35">
      <c r="A1721" s="92"/>
      <c r="F1721" s="726"/>
      <c r="G1721" s="735"/>
      <c r="H1721" s="93"/>
      <c r="I1721" s="750"/>
      <c r="J1721" s="750"/>
    </row>
    <row r="1722" spans="1:10" x14ac:dyDescent="0.35">
      <c r="A1722" s="92"/>
      <c r="F1722" s="726"/>
      <c r="G1722" s="735"/>
      <c r="H1722" s="93"/>
      <c r="I1722" s="750"/>
      <c r="J1722" s="750"/>
    </row>
    <row r="1723" spans="1:10" x14ac:dyDescent="0.35">
      <c r="A1723" s="92"/>
      <c r="F1723" s="726"/>
      <c r="G1723" s="735"/>
      <c r="H1723" s="93"/>
      <c r="I1723" s="750"/>
      <c r="J1723" s="750"/>
    </row>
    <row r="1724" spans="1:10" x14ac:dyDescent="0.35">
      <c r="A1724" s="92"/>
      <c r="F1724" s="726"/>
      <c r="G1724" s="735"/>
      <c r="H1724" s="93"/>
      <c r="I1724" s="750"/>
      <c r="J1724" s="750"/>
    </row>
    <row r="1725" spans="1:10" x14ac:dyDescent="0.35">
      <c r="A1725" s="92"/>
      <c r="F1725" s="726"/>
      <c r="G1725" s="735"/>
      <c r="H1725" s="93"/>
      <c r="I1725" s="750"/>
      <c r="J1725" s="750"/>
    </row>
    <row r="1726" spans="1:10" x14ac:dyDescent="0.35">
      <c r="A1726" s="92"/>
      <c r="F1726" s="726"/>
      <c r="G1726" s="735"/>
      <c r="H1726" s="93"/>
      <c r="I1726" s="750"/>
      <c r="J1726" s="750"/>
    </row>
    <row r="1727" spans="1:10" x14ac:dyDescent="0.35">
      <c r="A1727" s="92"/>
      <c r="F1727" s="726"/>
      <c r="G1727" s="735"/>
      <c r="H1727" s="93"/>
      <c r="I1727" s="750"/>
      <c r="J1727" s="750"/>
    </row>
    <row r="1728" spans="1:10" x14ac:dyDescent="0.35">
      <c r="A1728" s="92"/>
      <c r="F1728" s="726"/>
      <c r="G1728" s="735"/>
      <c r="H1728" s="93"/>
      <c r="I1728" s="750"/>
      <c r="J1728" s="750"/>
    </row>
    <row r="1729" spans="1:10" x14ac:dyDescent="0.35">
      <c r="A1729" s="92"/>
      <c r="F1729" s="726"/>
      <c r="G1729" s="735"/>
      <c r="H1729" s="93"/>
      <c r="I1729" s="750"/>
      <c r="J1729" s="750"/>
    </row>
    <row r="1730" spans="1:10" x14ac:dyDescent="0.35">
      <c r="A1730" s="92"/>
      <c r="F1730" s="726"/>
      <c r="G1730" s="735"/>
      <c r="H1730" s="93"/>
      <c r="I1730" s="750"/>
      <c r="J1730" s="750"/>
    </row>
    <row r="1731" spans="1:10" x14ac:dyDescent="0.35">
      <c r="A1731" s="92"/>
      <c r="F1731" s="726"/>
      <c r="G1731" s="735"/>
      <c r="H1731" s="93"/>
      <c r="I1731" s="750"/>
      <c r="J1731" s="750"/>
    </row>
    <row r="1732" spans="1:10" x14ac:dyDescent="0.35">
      <c r="A1732" s="92"/>
      <c r="F1732" s="726"/>
      <c r="G1732" s="735"/>
      <c r="H1732" s="93"/>
      <c r="I1732" s="750"/>
      <c r="J1732" s="750"/>
    </row>
    <row r="1733" spans="1:10" x14ac:dyDescent="0.35">
      <c r="A1733" s="92"/>
      <c r="F1733" s="726"/>
      <c r="G1733" s="735"/>
      <c r="H1733" s="93"/>
      <c r="I1733" s="750"/>
      <c r="J1733" s="750"/>
    </row>
    <row r="1734" spans="1:10" x14ac:dyDescent="0.35">
      <c r="A1734" s="92"/>
      <c r="F1734" s="726"/>
      <c r="G1734" s="735"/>
      <c r="H1734" s="93"/>
      <c r="I1734" s="750"/>
      <c r="J1734" s="750"/>
    </row>
    <row r="1735" spans="1:10" x14ac:dyDescent="0.35">
      <c r="A1735" s="92"/>
      <c r="F1735" s="726"/>
      <c r="G1735" s="735"/>
      <c r="H1735" s="93"/>
      <c r="I1735" s="750"/>
      <c r="J1735" s="750"/>
    </row>
    <row r="1736" spans="1:10" x14ac:dyDescent="0.35">
      <c r="A1736" s="92"/>
      <c r="F1736" s="726"/>
      <c r="G1736" s="735"/>
      <c r="H1736" s="93"/>
      <c r="I1736" s="750"/>
      <c r="J1736" s="750"/>
    </row>
    <row r="1737" spans="1:10" x14ac:dyDescent="0.35">
      <c r="A1737" s="92"/>
      <c r="F1737" s="726"/>
      <c r="G1737" s="735"/>
      <c r="H1737" s="93"/>
      <c r="I1737" s="750"/>
      <c r="J1737" s="750"/>
    </row>
    <row r="1738" spans="1:10" x14ac:dyDescent="0.35">
      <c r="A1738" s="92"/>
      <c r="F1738" s="726"/>
      <c r="G1738" s="735"/>
      <c r="H1738" s="93"/>
      <c r="I1738" s="750"/>
      <c r="J1738" s="750"/>
    </row>
    <row r="1739" spans="1:10" x14ac:dyDescent="0.35">
      <c r="A1739" s="92"/>
      <c r="F1739" s="726"/>
      <c r="G1739" s="735"/>
      <c r="H1739" s="93"/>
      <c r="I1739" s="750"/>
      <c r="J1739" s="750"/>
    </row>
    <row r="1740" spans="1:10" x14ac:dyDescent="0.35">
      <c r="A1740" s="92"/>
      <c r="F1740" s="726"/>
      <c r="G1740" s="735"/>
      <c r="H1740" s="93"/>
      <c r="I1740" s="750"/>
      <c r="J1740" s="750"/>
    </row>
    <row r="1741" spans="1:10" x14ac:dyDescent="0.35">
      <c r="A1741" s="92"/>
      <c r="F1741" s="726"/>
      <c r="G1741" s="735"/>
      <c r="H1741" s="93"/>
      <c r="I1741" s="750"/>
      <c r="J1741" s="750"/>
    </row>
    <row r="1742" spans="1:10" x14ac:dyDescent="0.35">
      <c r="A1742" s="92"/>
      <c r="F1742" s="726"/>
      <c r="G1742" s="735"/>
      <c r="H1742" s="93"/>
      <c r="I1742" s="750"/>
      <c r="J1742" s="750"/>
    </row>
    <row r="1743" spans="1:10" x14ac:dyDescent="0.35">
      <c r="A1743" s="92"/>
      <c r="F1743" s="726"/>
      <c r="G1743" s="735"/>
      <c r="H1743" s="93"/>
      <c r="I1743" s="750"/>
      <c r="J1743" s="750"/>
    </row>
    <row r="1744" spans="1:10" x14ac:dyDescent="0.35">
      <c r="A1744" s="92"/>
      <c r="F1744" s="726"/>
      <c r="G1744" s="735"/>
      <c r="H1744" s="93"/>
      <c r="I1744" s="750"/>
      <c r="J1744" s="750"/>
    </row>
    <row r="1745" spans="1:10" x14ac:dyDescent="0.35">
      <c r="A1745" s="92"/>
      <c r="F1745" s="726"/>
      <c r="G1745" s="735"/>
      <c r="H1745" s="93"/>
      <c r="I1745" s="750"/>
      <c r="J1745" s="750"/>
    </row>
    <row r="1746" spans="1:10" x14ac:dyDescent="0.35">
      <c r="A1746" s="92"/>
      <c r="F1746" s="726"/>
      <c r="G1746" s="735"/>
      <c r="H1746" s="93"/>
      <c r="I1746" s="750"/>
      <c r="J1746" s="750"/>
    </row>
    <row r="1747" spans="1:10" x14ac:dyDescent="0.35">
      <c r="A1747" s="92"/>
      <c r="F1747" s="726"/>
      <c r="G1747" s="735"/>
      <c r="H1747" s="93"/>
      <c r="I1747" s="750"/>
      <c r="J1747" s="750"/>
    </row>
    <row r="1748" spans="1:10" x14ac:dyDescent="0.35">
      <c r="A1748" s="92"/>
      <c r="F1748" s="726"/>
      <c r="G1748" s="735"/>
      <c r="H1748" s="93"/>
      <c r="I1748" s="750"/>
      <c r="J1748" s="750"/>
    </row>
    <row r="1749" spans="1:10" x14ac:dyDescent="0.35">
      <c r="A1749" s="92"/>
      <c r="F1749" s="726"/>
      <c r="G1749" s="735"/>
      <c r="H1749" s="93"/>
      <c r="I1749" s="750"/>
      <c r="J1749" s="750"/>
    </row>
    <row r="1750" spans="1:10" x14ac:dyDescent="0.35">
      <c r="A1750" s="92"/>
      <c r="F1750" s="726"/>
      <c r="G1750" s="735"/>
      <c r="H1750" s="93"/>
      <c r="I1750" s="750"/>
      <c r="J1750" s="750"/>
    </row>
    <row r="1751" spans="1:10" x14ac:dyDescent="0.35">
      <c r="A1751" s="92"/>
      <c r="F1751" s="726"/>
      <c r="G1751" s="735"/>
      <c r="H1751" s="93"/>
      <c r="I1751" s="750"/>
      <c r="J1751" s="750"/>
    </row>
    <row r="1752" spans="1:10" x14ac:dyDescent="0.35">
      <c r="A1752" s="92"/>
      <c r="F1752" s="726"/>
      <c r="G1752" s="735"/>
      <c r="H1752" s="93"/>
      <c r="I1752" s="750"/>
      <c r="J1752" s="750"/>
    </row>
    <row r="1753" spans="1:10" x14ac:dyDescent="0.35">
      <c r="A1753" s="92"/>
      <c r="F1753" s="726"/>
      <c r="G1753" s="735"/>
      <c r="H1753" s="93"/>
      <c r="I1753" s="750"/>
      <c r="J1753" s="750"/>
    </row>
    <row r="1754" spans="1:10" x14ac:dyDescent="0.35">
      <c r="A1754" s="92"/>
      <c r="F1754" s="726"/>
      <c r="G1754" s="735"/>
      <c r="H1754" s="93"/>
      <c r="I1754" s="750"/>
      <c r="J1754" s="750"/>
    </row>
    <row r="1755" spans="1:10" x14ac:dyDescent="0.35">
      <c r="A1755" s="92"/>
      <c r="F1755" s="726"/>
      <c r="G1755" s="735"/>
      <c r="H1755" s="93"/>
      <c r="I1755" s="750"/>
      <c r="J1755" s="750"/>
    </row>
    <row r="1756" spans="1:10" x14ac:dyDescent="0.35">
      <c r="A1756" s="92"/>
      <c r="F1756" s="726"/>
      <c r="G1756" s="735"/>
      <c r="H1756" s="93"/>
      <c r="I1756" s="750"/>
      <c r="J1756" s="750"/>
    </row>
    <row r="1757" spans="1:10" x14ac:dyDescent="0.35">
      <c r="A1757" s="92"/>
      <c r="F1757" s="726"/>
      <c r="G1757" s="735"/>
      <c r="H1757" s="93"/>
      <c r="I1757" s="750"/>
      <c r="J1757" s="750"/>
    </row>
    <row r="1758" spans="1:10" x14ac:dyDescent="0.35">
      <c r="A1758" s="92"/>
      <c r="F1758" s="726"/>
      <c r="G1758" s="735"/>
      <c r="H1758" s="93"/>
      <c r="I1758" s="750"/>
      <c r="J1758" s="750"/>
    </row>
    <row r="1759" spans="1:10" x14ac:dyDescent="0.35">
      <c r="A1759" s="92"/>
      <c r="F1759" s="726"/>
      <c r="G1759" s="735"/>
      <c r="H1759" s="93"/>
      <c r="I1759" s="750"/>
      <c r="J1759" s="750"/>
    </row>
    <row r="1760" spans="1:10" x14ac:dyDescent="0.35">
      <c r="A1760" s="92"/>
      <c r="F1760" s="726"/>
      <c r="G1760" s="735"/>
      <c r="H1760" s="93"/>
      <c r="I1760" s="750"/>
      <c r="J1760" s="750"/>
    </row>
    <row r="1761" spans="1:10" x14ac:dyDescent="0.35">
      <c r="A1761" s="92"/>
      <c r="F1761" s="726"/>
      <c r="G1761" s="735"/>
      <c r="H1761" s="93"/>
      <c r="I1761" s="750"/>
      <c r="J1761" s="750"/>
    </row>
    <row r="1762" spans="1:10" x14ac:dyDescent="0.35">
      <c r="A1762" s="92"/>
      <c r="F1762" s="726"/>
      <c r="G1762" s="735"/>
      <c r="H1762" s="93"/>
      <c r="I1762" s="750"/>
      <c r="J1762" s="750"/>
    </row>
    <row r="1763" spans="1:10" x14ac:dyDescent="0.35">
      <c r="A1763" s="92"/>
      <c r="F1763" s="726"/>
      <c r="G1763" s="735"/>
      <c r="H1763" s="93"/>
      <c r="I1763" s="750"/>
      <c r="J1763" s="750"/>
    </row>
    <row r="1764" spans="1:10" x14ac:dyDescent="0.35">
      <c r="A1764" s="92"/>
      <c r="F1764" s="726"/>
      <c r="G1764" s="735"/>
      <c r="H1764" s="93"/>
      <c r="I1764" s="750"/>
      <c r="J1764" s="750"/>
    </row>
    <row r="1765" spans="1:10" x14ac:dyDescent="0.35">
      <c r="A1765" s="92"/>
      <c r="F1765" s="726"/>
      <c r="G1765" s="735"/>
      <c r="H1765" s="93"/>
      <c r="I1765" s="750"/>
      <c r="J1765" s="750"/>
    </row>
    <row r="1766" spans="1:10" x14ac:dyDescent="0.35">
      <c r="A1766" s="92"/>
      <c r="F1766" s="726"/>
      <c r="G1766" s="735"/>
      <c r="H1766" s="93"/>
      <c r="I1766" s="750"/>
      <c r="J1766" s="750"/>
    </row>
    <row r="1767" spans="1:10" x14ac:dyDescent="0.35">
      <c r="A1767" s="92"/>
      <c r="F1767" s="726"/>
      <c r="G1767" s="735"/>
      <c r="H1767" s="93"/>
      <c r="I1767" s="750"/>
      <c r="J1767" s="750"/>
    </row>
    <row r="1768" spans="1:10" x14ac:dyDescent="0.35">
      <c r="A1768" s="92"/>
      <c r="F1768" s="726"/>
      <c r="G1768" s="735"/>
      <c r="H1768" s="93"/>
      <c r="I1768" s="750"/>
      <c r="J1768" s="750"/>
    </row>
    <row r="1769" spans="1:10" x14ac:dyDescent="0.35">
      <c r="A1769" s="92"/>
      <c r="F1769" s="726"/>
      <c r="G1769" s="735"/>
      <c r="H1769" s="93"/>
      <c r="I1769" s="750"/>
      <c r="J1769" s="750"/>
    </row>
    <row r="1770" spans="1:10" x14ac:dyDescent="0.35">
      <c r="A1770" s="92"/>
      <c r="F1770" s="726"/>
      <c r="G1770" s="735"/>
      <c r="H1770" s="93"/>
      <c r="I1770" s="750"/>
      <c r="J1770" s="750"/>
    </row>
    <row r="1771" spans="1:10" x14ac:dyDescent="0.35">
      <c r="A1771" s="92"/>
      <c r="F1771" s="726"/>
      <c r="G1771" s="735"/>
      <c r="H1771" s="93"/>
      <c r="I1771" s="750"/>
      <c r="J1771" s="750"/>
    </row>
    <row r="1772" spans="1:10" x14ac:dyDescent="0.35">
      <c r="A1772" s="92"/>
      <c r="F1772" s="726"/>
      <c r="G1772" s="735"/>
      <c r="H1772" s="93"/>
      <c r="I1772" s="750"/>
      <c r="J1772" s="750"/>
    </row>
    <row r="1773" spans="1:10" x14ac:dyDescent="0.35">
      <c r="A1773" s="92"/>
      <c r="F1773" s="726"/>
      <c r="G1773" s="735"/>
      <c r="H1773" s="93"/>
      <c r="I1773" s="750"/>
      <c r="J1773" s="750"/>
    </row>
    <row r="1774" spans="1:10" x14ac:dyDescent="0.35">
      <c r="A1774" s="92"/>
      <c r="F1774" s="726"/>
      <c r="G1774" s="735"/>
      <c r="H1774" s="93"/>
      <c r="I1774" s="750"/>
      <c r="J1774" s="750"/>
    </row>
    <row r="1775" spans="1:10" x14ac:dyDescent="0.35">
      <c r="A1775" s="92"/>
      <c r="F1775" s="726"/>
      <c r="G1775" s="735"/>
      <c r="H1775" s="93"/>
      <c r="I1775" s="750"/>
      <c r="J1775" s="750"/>
    </row>
    <row r="1776" spans="1:10" x14ac:dyDescent="0.35">
      <c r="A1776" s="92"/>
      <c r="F1776" s="726"/>
      <c r="G1776" s="735"/>
      <c r="H1776" s="93"/>
      <c r="I1776" s="750"/>
      <c r="J1776" s="750"/>
    </row>
    <row r="1777" spans="1:10" x14ac:dyDescent="0.35">
      <c r="A1777" s="92"/>
      <c r="F1777" s="726"/>
      <c r="G1777" s="735"/>
      <c r="H1777" s="93"/>
      <c r="I1777" s="750"/>
      <c r="J1777" s="750"/>
    </row>
    <row r="1778" spans="1:10" x14ac:dyDescent="0.35">
      <c r="A1778" s="92"/>
      <c r="F1778" s="726"/>
      <c r="G1778" s="735"/>
      <c r="H1778" s="93"/>
      <c r="I1778" s="750"/>
      <c r="J1778" s="750"/>
    </row>
    <row r="1779" spans="1:10" x14ac:dyDescent="0.35">
      <c r="A1779" s="92"/>
      <c r="F1779" s="726"/>
      <c r="G1779" s="735"/>
      <c r="H1779" s="93"/>
      <c r="I1779" s="750"/>
      <c r="J1779" s="750"/>
    </row>
    <row r="1780" spans="1:10" x14ac:dyDescent="0.35">
      <c r="A1780" s="92"/>
      <c r="F1780" s="726"/>
      <c r="G1780" s="735"/>
      <c r="H1780" s="93"/>
      <c r="I1780" s="750"/>
      <c r="J1780" s="750"/>
    </row>
    <row r="1781" spans="1:10" x14ac:dyDescent="0.35">
      <c r="H1781" s="93"/>
      <c r="I1781" s="750"/>
      <c r="J1781" s="750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286</vt:i4>
      </vt:variant>
    </vt:vector>
  </HeadingPairs>
  <TitlesOfParts>
    <vt:vector size="311" baseType="lpstr">
      <vt:lpstr>Libre</vt:lpstr>
      <vt:lpstr>deuda</vt:lpstr>
      <vt:lpstr>plazosUVA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CtzC</vt:lpstr>
      <vt:lpstr>CtzM</vt:lpstr>
      <vt:lpstr>CtzU</vt:lpstr>
      <vt:lpstr>Ctzv</vt:lpstr>
      <vt:lpstr>CtzvB</vt:lpstr>
      <vt:lpstr>CtzvC</vt:lpstr>
      <vt:lpstr>CtzvM</vt:lpstr>
      <vt:lpstr>Dias_Restantes</vt:lpstr>
      <vt:lpstr>Plazo_EstFinal</vt:lpstr>
      <vt:lpstr>Plazo_EstMensual</vt:lpstr>
      <vt:lpstr>Plazo_EstParcial</vt:lpstr>
      <vt:lpstr>Plazo_TenFinal</vt:lpstr>
      <vt:lpstr>Plazo_TenInicial</vt:lpstr>
      <vt:lpstr>Plazo_TenMensual</vt:lpstr>
      <vt:lpstr>Plazo_TenParcial</vt:lpstr>
      <vt:lpstr>Stock_DOL</vt:lpstr>
      <vt:lpstr>Stock_PES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2022-05-10T23:24:30Z</cp:lastPrinted>
  <dcterms:created xsi:type="dcterms:W3CDTF">2006-09-12T12:46:56Z</dcterms:created>
  <dcterms:modified xsi:type="dcterms:W3CDTF">2022-07-23T03:50:07Z</dcterms:modified>
</cp:coreProperties>
</file>